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3-1-TRAMITACION/2023-IPRO/23.IPRO-COBRO-Formularios/"/>
    </mc:Choice>
  </mc:AlternateContent>
  <xr:revisionPtr revIDLastSave="393" documentId="8_{BD6FCA4D-CFD0-4FFD-B1F1-DF22C7378F09}" xr6:coauthVersionLast="47" xr6:coauthVersionMax="47" xr10:uidLastSave="{87B849E6-FF6B-49DC-9696-DBEDD14D14AA}"/>
  <bookViews>
    <workbookView xWindow="-120" yWindow="-120" windowWidth="29040" windowHeight="15720" tabRatio="698" activeTab="2" xr2:uid="{73F84779-9D99-45B8-9D55-5F1AF97648F8}"/>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s>
  <definedNames>
    <definedName name="_xlnm._FilterDatabase" localSheetId="2" hidden="1">'RELACIÓN DE FACTURAS'!$L$6:$AJ$6</definedName>
    <definedName name="_xlnm.Print_Area" localSheetId="7">AUXILIAR!$A$1:$R$24</definedName>
    <definedName name="_xlnm.Print_Area" localSheetId="1">EXPEDIENTE!$B$1:$I$35</definedName>
    <definedName name="_xlnm.Print_Area" localSheetId="6">INFORME!$B$3:$E$43</definedName>
    <definedName name="_xlnm.Print_Area" localSheetId="0">INSTRUCCIONES!$B$3:$B$133</definedName>
    <definedName name="_xlnm.Print_Area" localSheetId="3">'LISTADO PROVEEDORES &gt; 15.000 €'!$B$44:$F$88</definedName>
    <definedName name="_xlnm.Print_Area" localSheetId="5">PAGOS!$D$3:$Y$47</definedName>
    <definedName name="_xlnm.Print_Area" localSheetId="2">'RELACIÓN DE FACTURAS'!$K$1:$AJ$48</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ista1">#REF!</definedName>
    <definedName name="Lmes">OFFSET(#REF!,0,0,COUNTA(#REF!)-1)</definedName>
    <definedName name="Lpersonal">OFFSET(#REF!,0,0,COUNTA(#REF!)-1)</definedName>
    <definedName name="Lsemana">OFFSET(#REF!,0,0,COUNTA(#REF!)-1)</definedName>
    <definedName name="Tipo_gasto">AUXILIAR!$H$14:$H$23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 i="2" l="1"/>
  <c r="AD48" i="2"/>
  <c r="AB48" i="2"/>
  <c r="X48" i="2"/>
  <c r="W48" i="2"/>
  <c r="V48" i="2"/>
  <c r="M36" i="2"/>
  <c r="M37" i="2"/>
  <c r="M38" i="2"/>
  <c r="M39" i="2"/>
  <c r="M40" i="2"/>
  <c r="M41" i="2"/>
  <c r="M42" i="2"/>
  <c r="M43" i="2"/>
  <c r="M44" i="2"/>
  <c r="M45" i="2"/>
  <c r="M46" i="2"/>
  <c r="M47" i="2"/>
  <c r="B34" i="9"/>
  <c r="D34" i="9"/>
  <c r="M34" i="9" s="1"/>
  <c r="S34" i="9"/>
  <c r="U34" i="9"/>
  <c r="V34" i="9"/>
  <c r="B35" i="9"/>
  <c r="D35" i="9"/>
  <c r="K35" i="9" s="1"/>
  <c r="F35" i="9"/>
  <c r="M35" i="9"/>
  <c r="N35" i="9"/>
  <c r="O35" i="9" s="1"/>
  <c r="P35" i="9"/>
  <c r="S35" i="9"/>
  <c r="T35" i="9"/>
  <c r="U35" i="9"/>
  <c r="V35" i="9"/>
  <c r="B36" i="9"/>
  <c r="D36" i="9"/>
  <c r="G36" i="9" s="1"/>
  <c r="F36" i="9"/>
  <c r="N36" i="9"/>
  <c r="O36" i="9" s="1"/>
  <c r="P36" i="9"/>
  <c r="S36" i="9"/>
  <c r="U36" i="9"/>
  <c r="V36" i="9"/>
  <c r="B37" i="9"/>
  <c r="D37" i="9"/>
  <c r="I37" i="9" s="1"/>
  <c r="G37" i="9"/>
  <c r="N37" i="9"/>
  <c r="O37" i="9" s="1"/>
  <c r="S37" i="9"/>
  <c r="U37" i="9"/>
  <c r="V37" i="9"/>
  <c r="B38" i="9"/>
  <c r="D38" i="9"/>
  <c r="G38" i="9" s="1"/>
  <c r="F38" i="9"/>
  <c r="P38" i="9"/>
  <c r="S38" i="9"/>
  <c r="T38" i="9"/>
  <c r="U38" i="9"/>
  <c r="V38" i="9"/>
  <c r="B39" i="9"/>
  <c r="D39" i="9"/>
  <c r="F39" i="9" s="1"/>
  <c r="E39" i="9"/>
  <c r="N39" i="9"/>
  <c r="O39" i="9"/>
  <c r="S39" i="9"/>
  <c r="U39" i="9"/>
  <c r="V39" i="9"/>
  <c r="B40" i="9"/>
  <c r="D40" i="9"/>
  <c r="E40" i="9" s="1"/>
  <c r="S40" i="9"/>
  <c r="U40" i="9"/>
  <c r="V40" i="9"/>
  <c r="B41" i="9"/>
  <c r="D41" i="9"/>
  <c r="G41" i="9" s="1"/>
  <c r="I41" i="9"/>
  <c r="J41" i="9"/>
  <c r="K41" i="9"/>
  <c r="M41" i="9"/>
  <c r="N41" i="9"/>
  <c r="O41" i="9"/>
  <c r="S41" i="9"/>
  <c r="T41" i="9"/>
  <c r="U41" i="9"/>
  <c r="V41" i="9"/>
  <c r="X41" i="9"/>
  <c r="B42" i="9"/>
  <c r="D42" i="9"/>
  <c r="M42" i="9" s="1"/>
  <c r="N42" i="9"/>
  <c r="O42" i="9" s="1"/>
  <c r="S42" i="9"/>
  <c r="U42" i="9"/>
  <c r="V42" i="9"/>
  <c r="B43" i="9"/>
  <c r="D43" i="9"/>
  <c r="K43" i="9" s="1"/>
  <c r="I43" i="9"/>
  <c r="J43" i="9"/>
  <c r="M43" i="9"/>
  <c r="N43" i="9"/>
  <c r="O43" i="9" s="1"/>
  <c r="P43" i="9"/>
  <c r="S43" i="9"/>
  <c r="T43" i="9"/>
  <c r="U43" i="9"/>
  <c r="V43" i="9"/>
  <c r="X43" i="9"/>
  <c r="B44" i="9"/>
  <c r="D44" i="9"/>
  <c r="J44" i="9" s="1"/>
  <c r="S44" i="9"/>
  <c r="U44" i="9"/>
  <c r="V44" i="9"/>
  <c r="B45" i="9"/>
  <c r="D45" i="9"/>
  <c r="I45" i="9" s="1"/>
  <c r="G45" i="9"/>
  <c r="S45" i="9"/>
  <c r="U45" i="9"/>
  <c r="V45" i="9"/>
  <c r="C33" i="7"/>
  <c r="F33" i="7" s="1"/>
  <c r="G33" i="7" s="1"/>
  <c r="H33" i="7" s="1"/>
  <c r="D33" i="7"/>
  <c r="E33" i="7"/>
  <c r="C34" i="7"/>
  <c r="D34" i="7"/>
  <c r="E34" i="7"/>
  <c r="F34" i="7"/>
  <c r="G34" i="7" s="1"/>
  <c r="H34" i="7" s="1"/>
  <c r="C35" i="7"/>
  <c r="D35" i="7"/>
  <c r="E35" i="7"/>
  <c r="F35" i="7"/>
  <c r="G35" i="7" s="1"/>
  <c r="H35" i="7" s="1"/>
  <c r="C36" i="7"/>
  <c r="D36" i="7"/>
  <c r="E36" i="7"/>
  <c r="F36" i="7"/>
  <c r="G36" i="7" s="1"/>
  <c r="H36" i="7" s="1"/>
  <c r="C37" i="7"/>
  <c r="D37" i="7"/>
  <c r="E37" i="7"/>
  <c r="F37" i="7"/>
  <c r="G37" i="7" s="1"/>
  <c r="H37" i="7" s="1"/>
  <c r="C38" i="7"/>
  <c r="D38" i="7"/>
  <c r="E38" i="7"/>
  <c r="F38" i="7"/>
  <c r="G38" i="7" s="1"/>
  <c r="H38" i="7" s="1"/>
  <c r="C39" i="7"/>
  <c r="D39" i="7"/>
  <c r="E39" i="7"/>
  <c r="F39" i="7"/>
  <c r="G39" i="7" s="1"/>
  <c r="H39" i="7" s="1"/>
  <c r="C40" i="7"/>
  <c r="D40" i="7"/>
  <c r="E40" i="7"/>
  <c r="F40" i="7"/>
  <c r="G40" i="7" s="1"/>
  <c r="H40" i="7" s="1"/>
  <c r="C41" i="7"/>
  <c r="D41" i="7"/>
  <c r="E41" i="7"/>
  <c r="F41" i="7"/>
  <c r="G41" i="7" s="1"/>
  <c r="H41" i="7" s="1"/>
  <c r="C42" i="7"/>
  <c r="D42" i="7"/>
  <c r="E42" i="7"/>
  <c r="F42" i="7"/>
  <c r="G42" i="7" s="1"/>
  <c r="H42" i="7" s="1"/>
  <c r="C43" i="7"/>
  <c r="D43" i="7"/>
  <c r="E43" i="7"/>
  <c r="F43" i="7"/>
  <c r="G43" i="7" s="1"/>
  <c r="H43" i="7" s="1"/>
  <c r="Z8" i="2"/>
  <c r="AB8" i="2"/>
  <c r="I17" i="8"/>
  <c r="I15" i="8"/>
  <c r="C19" i="8"/>
  <c r="C17" i="8"/>
  <c r="C15" i="8"/>
  <c r="C11" i="8"/>
  <c r="C1" i="9"/>
  <c r="S8" i="9"/>
  <c r="S9" i="9"/>
  <c r="S11" i="9"/>
  <c r="S13" i="9"/>
  <c r="S14" i="9"/>
  <c r="S15" i="9"/>
  <c r="S16" i="9"/>
  <c r="S17" i="9"/>
  <c r="S18" i="9"/>
  <c r="S19" i="9"/>
  <c r="S20" i="9"/>
  <c r="S21" i="9"/>
  <c r="S22" i="9"/>
  <c r="S23" i="9"/>
  <c r="S24" i="9"/>
  <c r="S25" i="9"/>
  <c r="S26" i="9"/>
  <c r="S27" i="9"/>
  <c r="S28" i="9"/>
  <c r="S29" i="9"/>
  <c r="S30" i="9"/>
  <c r="S31" i="9"/>
  <c r="S32" i="9"/>
  <c r="S33" i="9"/>
  <c r="D7" i="9"/>
  <c r="F7" i="9" s="1"/>
  <c r="D8" i="9"/>
  <c r="E8" i="9" s="1"/>
  <c r="D9" i="9"/>
  <c r="F9" i="9" s="1"/>
  <c r="D11" i="9"/>
  <c r="E11" i="9" s="1"/>
  <c r="D12" i="9"/>
  <c r="T12" i="9" s="1"/>
  <c r="D13" i="9"/>
  <c r="F13" i="9" s="1"/>
  <c r="D14" i="9"/>
  <c r="F14" i="9" s="1"/>
  <c r="D15" i="9"/>
  <c r="E15" i="9" s="1"/>
  <c r="D16" i="9"/>
  <c r="E16" i="9" s="1"/>
  <c r="D17" i="9"/>
  <c r="E17" i="9" s="1"/>
  <c r="D18" i="9"/>
  <c r="F18" i="9" s="1"/>
  <c r="D19" i="9"/>
  <c r="T19" i="9" s="1"/>
  <c r="D20" i="9"/>
  <c r="F20" i="9" s="1"/>
  <c r="D21" i="9"/>
  <c r="F21" i="9" s="1"/>
  <c r="D22" i="9"/>
  <c r="F22" i="9" s="1"/>
  <c r="D23" i="9"/>
  <c r="E23" i="9" s="1"/>
  <c r="D24" i="9"/>
  <c r="E24" i="9" s="1"/>
  <c r="D25" i="9"/>
  <c r="E25" i="9" s="1"/>
  <c r="D26" i="9"/>
  <c r="F26" i="9" s="1"/>
  <c r="D27" i="9"/>
  <c r="F27" i="9" s="1"/>
  <c r="D28" i="9"/>
  <c r="F28" i="9" s="1"/>
  <c r="D29" i="9"/>
  <c r="F29" i="9" s="1"/>
  <c r="D30" i="9"/>
  <c r="F30" i="9" s="1"/>
  <c r="D31" i="9"/>
  <c r="E31" i="9" s="1"/>
  <c r="D32" i="9"/>
  <c r="E32" i="9" s="1"/>
  <c r="D33" i="9"/>
  <c r="E33" i="9" s="1"/>
  <c r="AC8" i="2" l="1"/>
  <c r="P44" i="9"/>
  <c r="E38" i="9"/>
  <c r="E36" i="9"/>
  <c r="N44" i="9"/>
  <c r="O44" i="9" s="1"/>
  <c r="X44" i="9"/>
  <c r="M44" i="9"/>
  <c r="K42" i="9"/>
  <c r="X36" i="9"/>
  <c r="M36" i="9"/>
  <c r="K44" i="9"/>
  <c r="F43" i="9"/>
  <c r="J42" i="9"/>
  <c r="F41" i="9"/>
  <c r="N38" i="9"/>
  <c r="O38" i="9" s="1"/>
  <c r="K36" i="9"/>
  <c r="X35" i="9"/>
  <c r="J35" i="9"/>
  <c r="N34" i="9"/>
  <c r="O34" i="9" s="1"/>
  <c r="I44" i="9"/>
  <c r="G42" i="9"/>
  <c r="P41" i="9"/>
  <c r="E41" i="9"/>
  <c r="X38" i="9"/>
  <c r="M38" i="9"/>
  <c r="J36" i="9"/>
  <c r="I35" i="9"/>
  <c r="K34" i="9"/>
  <c r="T44" i="9"/>
  <c r="G44" i="9"/>
  <c r="J38" i="9"/>
  <c r="T36" i="9"/>
  <c r="I36" i="9"/>
  <c r="N45" i="9"/>
  <c r="O45" i="9" s="1"/>
  <c r="E44" i="9"/>
  <c r="I38" i="9"/>
  <c r="P45" i="9"/>
  <c r="F45" i="9"/>
  <c r="X40" i="9"/>
  <c r="M40" i="9"/>
  <c r="P37" i="9"/>
  <c r="F37" i="9"/>
  <c r="J34" i="9"/>
  <c r="E45" i="9"/>
  <c r="F44" i="9"/>
  <c r="G43" i="9"/>
  <c r="T42" i="9"/>
  <c r="I42" i="9"/>
  <c r="K40" i="9"/>
  <c r="X39" i="9"/>
  <c r="M39" i="9"/>
  <c r="E37" i="9"/>
  <c r="G35" i="9"/>
  <c r="T34" i="9"/>
  <c r="I34" i="9"/>
  <c r="J40" i="9"/>
  <c r="K39" i="9"/>
  <c r="G34" i="9"/>
  <c r="X45" i="9"/>
  <c r="M45" i="9"/>
  <c r="E43" i="9"/>
  <c r="P42" i="9"/>
  <c r="F42" i="9"/>
  <c r="T40" i="9"/>
  <c r="I40" i="9"/>
  <c r="J39" i="9"/>
  <c r="K38" i="9"/>
  <c r="X37" i="9"/>
  <c r="M37" i="9"/>
  <c r="E35" i="9"/>
  <c r="P34" i="9"/>
  <c r="F34" i="9"/>
  <c r="N40" i="9"/>
  <c r="O40" i="9" s="1"/>
  <c r="K45" i="9"/>
  <c r="E42" i="9"/>
  <c r="G40" i="9"/>
  <c r="T39" i="9"/>
  <c r="I39" i="9"/>
  <c r="K37" i="9"/>
  <c r="E34" i="9"/>
  <c r="J45" i="9"/>
  <c r="P40" i="9"/>
  <c r="F40" i="9"/>
  <c r="G39" i="9"/>
  <c r="J37" i="9"/>
  <c r="T45" i="9"/>
  <c r="X42" i="9"/>
  <c r="P39" i="9"/>
  <c r="T37" i="9"/>
  <c r="X34" i="9"/>
  <c r="T16" i="9"/>
  <c r="G26" i="9"/>
  <c r="T18" i="9"/>
  <c r="T33" i="9"/>
  <c r="T31" i="9"/>
  <c r="T32" i="9"/>
  <c r="T17" i="9"/>
  <c r="G33" i="9"/>
  <c r="T30" i="9"/>
  <c r="G17" i="9"/>
  <c r="T25" i="9"/>
  <c r="G18" i="9"/>
  <c r="T24" i="9"/>
  <c r="G19" i="9"/>
  <c r="E26" i="9"/>
  <c r="F19" i="9"/>
  <c r="E13" i="9"/>
  <c r="T23" i="9"/>
  <c r="G24" i="9"/>
  <c r="G12" i="9"/>
  <c r="E19" i="9"/>
  <c r="T22" i="9"/>
  <c r="G25" i="9"/>
  <c r="T15" i="9"/>
  <c r="G20" i="9"/>
  <c r="T29" i="9"/>
  <c r="T21" i="9"/>
  <c r="T13" i="9"/>
  <c r="G13" i="9"/>
  <c r="G21" i="9"/>
  <c r="G29" i="9"/>
  <c r="F11" i="9"/>
  <c r="T28" i="9"/>
  <c r="T20" i="9"/>
  <c r="T11" i="9"/>
  <c r="G14" i="9"/>
  <c r="G22" i="9"/>
  <c r="G30" i="9"/>
  <c r="G9" i="9"/>
  <c r="G11" i="9"/>
  <c r="G27" i="9"/>
  <c r="T14" i="9"/>
  <c r="G28" i="9"/>
  <c r="T27" i="9"/>
  <c r="T9" i="9"/>
  <c r="G15" i="9"/>
  <c r="G23" i="9"/>
  <c r="G31" i="9"/>
  <c r="E21" i="9"/>
  <c r="T26" i="9"/>
  <c r="T8" i="9"/>
  <c r="G8" i="9"/>
  <c r="G16" i="9"/>
  <c r="G32" i="9"/>
  <c r="I43" i="7"/>
  <c r="J43" i="7"/>
  <c r="K43" i="7"/>
  <c r="I38" i="7"/>
  <c r="J38" i="7"/>
  <c r="K38" i="7"/>
  <c r="I39" i="7"/>
  <c r="J39" i="7"/>
  <c r="K39" i="7"/>
  <c r="I40" i="7"/>
  <c r="J40" i="7"/>
  <c r="K40" i="7"/>
  <c r="K41" i="7"/>
  <c r="J41" i="7"/>
  <c r="I41" i="7"/>
  <c r="I34" i="7"/>
  <c r="J34" i="7"/>
  <c r="K34" i="7"/>
  <c r="I42" i="7"/>
  <c r="J42" i="7"/>
  <c r="K42" i="7"/>
  <c r="I36" i="7"/>
  <c r="J36" i="7"/>
  <c r="K36" i="7"/>
  <c r="I35" i="7"/>
  <c r="J35" i="7"/>
  <c r="K35" i="7"/>
  <c r="K37" i="7"/>
  <c r="J37" i="7"/>
  <c r="I37" i="7"/>
  <c r="K33" i="7"/>
  <c r="I33" i="7"/>
  <c r="J33" i="7"/>
  <c r="E12" i="9"/>
  <c r="E18" i="9"/>
  <c r="E30" i="9"/>
  <c r="E27" i="9"/>
  <c r="E29" i="9"/>
  <c r="E14" i="9"/>
  <c r="E22" i="9"/>
  <c r="F8" i="9"/>
  <c r="E28" i="9"/>
  <c r="E20" i="9"/>
  <c r="E9" i="9"/>
  <c r="F12" i="9"/>
  <c r="F31" i="9"/>
  <c r="F23" i="9"/>
  <c r="F15" i="9"/>
  <c r="F33" i="9"/>
  <c r="F25" i="9"/>
  <c r="F17" i="9"/>
  <c r="F32" i="9"/>
  <c r="F24" i="9"/>
  <c r="F16" i="9"/>
  <c r="F23" i="4" l="1"/>
  <c r="F22" i="4"/>
  <c r="F21" i="4"/>
  <c r="F20" i="4"/>
  <c r="F19" i="4"/>
  <c r="F18" i="4"/>
  <c r="F17" i="4"/>
  <c r="F16" i="4"/>
  <c r="F15" i="4"/>
  <c r="F14" i="4"/>
  <c r="E23" i="4"/>
  <c r="E22" i="4"/>
  <c r="E21" i="4"/>
  <c r="E20" i="4"/>
  <c r="E19" i="4"/>
  <c r="E18" i="4"/>
  <c r="E17" i="4"/>
  <c r="E16" i="4"/>
  <c r="E15" i="4"/>
  <c r="E14" i="4"/>
  <c r="Z9" i="2"/>
  <c r="AC9" i="2" s="1"/>
  <c r="AC48" i="2" s="1"/>
  <c r="Z10" i="2"/>
  <c r="AB10" i="2"/>
  <c r="Z11" i="2"/>
  <c r="AB11" i="2"/>
  <c r="Z12" i="2"/>
  <c r="AB12" i="2"/>
  <c r="Z13" i="2"/>
  <c r="AB13" i="2"/>
  <c r="Z14" i="2"/>
  <c r="AB14" i="2"/>
  <c r="AC14" i="2" s="1"/>
  <c r="Z15" i="2"/>
  <c r="AB15" i="2"/>
  <c r="Z16" i="2"/>
  <c r="AB16" i="2"/>
  <c r="Z17" i="2"/>
  <c r="AB17" i="2"/>
  <c r="AC17" i="2" s="1"/>
  <c r="Z18" i="2"/>
  <c r="AB18" i="2"/>
  <c r="AC18" i="2" s="1"/>
  <c r="Z19" i="2"/>
  <c r="AB19" i="2"/>
  <c r="Z20" i="2"/>
  <c r="AC20" i="2" s="1"/>
  <c r="AB20" i="2"/>
  <c r="Z21" i="2"/>
  <c r="AB21" i="2"/>
  <c r="AC21" i="2"/>
  <c r="Z22" i="2"/>
  <c r="AB22" i="2"/>
  <c r="AC22" i="2" s="1"/>
  <c r="Z23" i="2"/>
  <c r="AB23" i="2"/>
  <c r="AC23" i="2" s="1"/>
  <c r="Z24" i="2"/>
  <c r="AB24" i="2"/>
  <c r="AC24" i="2" s="1"/>
  <c r="Z25" i="2"/>
  <c r="AB25" i="2"/>
  <c r="AC25" i="2" s="1"/>
  <c r="Z26" i="2"/>
  <c r="AB26" i="2"/>
  <c r="AC26" i="2" s="1"/>
  <c r="Z27" i="2"/>
  <c r="AC27" i="2" s="1"/>
  <c r="AB27" i="2"/>
  <c r="Z28" i="2"/>
  <c r="AB28" i="2"/>
  <c r="Z29" i="2"/>
  <c r="AB29" i="2"/>
  <c r="AC29" i="2"/>
  <c r="Z30" i="2"/>
  <c r="AB30" i="2"/>
  <c r="Z31" i="2"/>
  <c r="AB31" i="2"/>
  <c r="AC31" i="2" s="1"/>
  <c r="Z32" i="2"/>
  <c r="AB32" i="2"/>
  <c r="AC32" i="2" s="1"/>
  <c r="Z33" i="2"/>
  <c r="AB33" i="2"/>
  <c r="Z34" i="2"/>
  <c r="AC34" i="2" s="1"/>
  <c r="AB34" i="2"/>
  <c r="Z35" i="2"/>
  <c r="AC35" i="2" s="1"/>
  <c r="AB35" i="2"/>
  <c r="Z36" i="2"/>
  <c r="AB36" i="2"/>
  <c r="Z37" i="2"/>
  <c r="AB37" i="2"/>
  <c r="AC37" i="2" s="1"/>
  <c r="Z38" i="2"/>
  <c r="AB38" i="2"/>
  <c r="Z39" i="2"/>
  <c r="AB39" i="2"/>
  <c r="AC39" i="2"/>
  <c r="Z40" i="2"/>
  <c r="AB40" i="2"/>
  <c r="Z41" i="2"/>
  <c r="AB41" i="2"/>
  <c r="AC41" i="2" s="1"/>
  <c r="Z42" i="2"/>
  <c r="AB42" i="2"/>
  <c r="AC42" i="2"/>
  <c r="Z43" i="2"/>
  <c r="AC43" i="2" s="1"/>
  <c r="AB43" i="2"/>
  <c r="Z44" i="2"/>
  <c r="AC44" i="2" s="1"/>
  <c r="AB44" i="2"/>
  <c r="Z45" i="2"/>
  <c r="AB45" i="2"/>
  <c r="AC45" i="2" s="1"/>
  <c r="Z46" i="2"/>
  <c r="AB46" i="2"/>
  <c r="AC46" i="2" s="1"/>
  <c r="Z47" i="2"/>
  <c r="AB47" i="2"/>
  <c r="AC47" i="2" s="1"/>
  <c r="C13" i="4"/>
  <c r="O3" i="2"/>
  <c r="L44" i="3"/>
  <c r="L40" i="3"/>
  <c r="L36" i="3"/>
  <c r="L32" i="3"/>
  <c r="L28" i="3"/>
  <c r="L24" i="3"/>
  <c r="L20" i="3"/>
  <c r="L16" i="3"/>
  <c r="L12" i="3"/>
  <c r="L8" i="3"/>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4" i="7"/>
  <c r="C42" i="2"/>
  <c r="E14" i="2"/>
  <c r="H14" i="2"/>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D36"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E46" i="2"/>
  <c r="H46" i="2"/>
  <c r="E47" i="2"/>
  <c r="H47" i="2"/>
  <c r="C21" i="8"/>
  <c r="AC28" i="2" l="1"/>
  <c r="AC40" i="2"/>
  <c r="B40" i="2" s="1"/>
  <c r="AC30" i="2"/>
  <c r="AC16" i="2"/>
  <c r="AC33" i="2"/>
  <c r="AC36" i="2"/>
  <c r="B36" i="2" s="1"/>
  <c r="AC19" i="2"/>
  <c r="AC12" i="2"/>
  <c r="AC13" i="2"/>
  <c r="AC10" i="2"/>
  <c r="AC11" i="2"/>
  <c r="AC15" i="2"/>
  <c r="AC38" i="2"/>
  <c r="B38" i="2" s="1"/>
  <c r="F42" i="2"/>
  <c r="G42" i="2" s="1"/>
  <c r="B42" i="2"/>
  <c r="C45" i="2"/>
  <c r="F45" i="2" s="1"/>
  <c r="B45" i="2"/>
  <c r="B44" i="2"/>
  <c r="C44" i="2"/>
  <c r="F44" i="2" s="1"/>
  <c r="C37" i="2"/>
  <c r="C43" i="2"/>
  <c r="B39" i="2"/>
  <c r="C36" i="2"/>
  <c r="B41" i="2"/>
  <c r="C41" i="2"/>
  <c r="B37" i="2"/>
  <c r="H26" i="8"/>
  <c r="H24" i="8"/>
  <c r="U10" i="9"/>
  <c r="C40" i="2" l="1"/>
  <c r="F40" i="2" s="1"/>
  <c r="C38" i="2"/>
  <c r="F38" i="2" s="1"/>
  <c r="G38" i="2" s="1"/>
  <c r="I38" i="2" s="1"/>
  <c r="G44" i="2"/>
  <c r="I44" i="2" s="1"/>
  <c r="F43" i="2"/>
  <c r="G43" i="2" s="1"/>
  <c r="F37" i="2"/>
  <c r="G37" i="2" s="1"/>
  <c r="I37" i="2" s="1"/>
  <c r="F36" i="2"/>
  <c r="G36" i="2" s="1"/>
  <c r="I36" i="2" s="1"/>
  <c r="G45" i="2"/>
  <c r="I45" i="2" s="1"/>
  <c r="F41" i="2"/>
  <c r="G41" i="2" s="1"/>
  <c r="I41" i="2" s="1"/>
  <c r="I42" i="2"/>
  <c r="C39" i="2"/>
  <c r="F39" i="2" s="1"/>
  <c r="B43" i="2"/>
  <c r="B1" i="6"/>
  <c r="D10" i="7"/>
  <c r="D13" i="7"/>
  <c r="D5" i="7"/>
  <c r="D4" i="7"/>
  <c r="D6" i="7"/>
  <c r="D7" i="7"/>
  <c r="D8" i="7"/>
  <c r="D9" i="7"/>
  <c r="D11" i="7"/>
  <c r="D12" i="7"/>
  <c r="D14" i="7"/>
  <c r="D15" i="7"/>
  <c r="D16" i="7"/>
  <c r="D17" i="7"/>
  <c r="D18" i="7"/>
  <c r="D19" i="7"/>
  <c r="D20" i="7"/>
  <c r="D21" i="7"/>
  <c r="D22" i="7"/>
  <c r="D23" i="7"/>
  <c r="D24" i="7"/>
  <c r="D25" i="7"/>
  <c r="D26" i="7"/>
  <c r="D27" i="7"/>
  <c r="D28" i="7"/>
  <c r="D29" i="7"/>
  <c r="D30" i="7"/>
  <c r="D31" i="7"/>
  <c r="D32"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4" i="7"/>
  <c r="M9" i="2"/>
  <c r="M10" i="2"/>
  <c r="M11" i="2"/>
  <c r="M12" i="2"/>
  <c r="M13" i="2"/>
  <c r="M14" i="2"/>
  <c r="D14" i="2" s="1"/>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D46" i="2"/>
  <c r="D47" i="2"/>
  <c r="M8" i="2"/>
  <c r="B1" i="4"/>
  <c r="B8" i="9"/>
  <c r="B15" i="9"/>
  <c r="B16" i="9"/>
  <c r="B17" i="9"/>
  <c r="B18" i="9"/>
  <c r="B19" i="9"/>
  <c r="B20" i="9"/>
  <c r="B21" i="9"/>
  <c r="B22" i="9"/>
  <c r="B23" i="9"/>
  <c r="B24" i="9"/>
  <c r="B25" i="9"/>
  <c r="B26" i="9"/>
  <c r="B27" i="9"/>
  <c r="B28" i="9"/>
  <c r="B29" i="9"/>
  <c r="B30" i="9"/>
  <c r="B31" i="9"/>
  <c r="B32" i="9"/>
  <c r="B33" i="9"/>
  <c r="B6" i="9"/>
  <c r="B7" i="9" l="1"/>
  <c r="E13" i="2"/>
  <c r="D13" i="2"/>
  <c r="E12" i="2"/>
  <c r="D12" i="2"/>
  <c r="D11" i="2"/>
  <c r="E11" i="2"/>
  <c r="D10" i="2"/>
  <c r="E10" i="2"/>
  <c r="E9" i="2"/>
  <c r="G40" i="2"/>
  <c r="I40" i="2" s="1"/>
  <c r="D9" i="2"/>
  <c r="G39" i="2"/>
  <c r="I43" i="2"/>
  <c r="E8"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8" i="2"/>
  <c r="B9" i="9" l="1"/>
  <c r="B47" i="2"/>
  <c r="C47" i="2"/>
  <c r="F47" i="2" s="1"/>
  <c r="C29" i="2"/>
  <c r="F29" i="2" s="1"/>
  <c r="B29" i="2"/>
  <c r="B35" i="2"/>
  <c r="C35" i="2"/>
  <c r="F35" i="2" s="1"/>
  <c r="C33" i="2"/>
  <c r="F33" i="2" s="1"/>
  <c r="B33" i="2"/>
  <c r="I39" i="2"/>
  <c r="B26" i="2"/>
  <c r="C26" i="2"/>
  <c r="F26" i="2" s="1"/>
  <c r="C30" i="2"/>
  <c r="F30" i="2" s="1"/>
  <c r="B30" i="2"/>
  <c r="B12" i="2"/>
  <c r="C12" i="2"/>
  <c r="F12" i="2" s="1"/>
  <c r="C21" i="2"/>
  <c r="F21" i="2" s="1"/>
  <c r="B21" i="2"/>
  <c r="B16" i="2"/>
  <c r="C16" i="2"/>
  <c r="F16" i="2" s="1"/>
  <c r="B10" i="2"/>
  <c r="C10" i="2"/>
  <c r="F10" i="2" s="1"/>
  <c r="B20" i="2"/>
  <c r="C20" i="2"/>
  <c r="F20" i="2" s="1"/>
  <c r="C17" i="2"/>
  <c r="F17" i="2" s="1"/>
  <c r="B17" i="2"/>
  <c r="B27" i="2"/>
  <c r="C27" i="2"/>
  <c r="F27" i="2" s="1"/>
  <c r="B22" i="2"/>
  <c r="C22" i="2"/>
  <c r="F22" i="2" s="1"/>
  <c r="B28" i="2"/>
  <c r="C28" i="2"/>
  <c r="F28" i="2" s="1"/>
  <c r="C24" i="2"/>
  <c r="F24" i="2" s="1"/>
  <c r="B24" i="2"/>
  <c r="B23" i="2"/>
  <c r="C23" i="2"/>
  <c r="F23" i="2" s="1"/>
  <c r="B15" i="2"/>
  <c r="C15" i="2"/>
  <c r="F15" i="2" s="1"/>
  <c r="B19" i="2"/>
  <c r="C19" i="2"/>
  <c r="F19" i="2" s="1"/>
  <c r="B34" i="2"/>
  <c r="C34" i="2"/>
  <c r="F34" i="2" s="1"/>
  <c r="B32" i="2"/>
  <c r="C32" i="2"/>
  <c r="F32" i="2" s="1"/>
  <c r="C14" i="2"/>
  <c r="F14" i="2" s="1"/>
  <c r="B14" i="2"/>
  <c r="B25" i="2"/>
  <c r="C25" i="2"/>
  <c r="F25" i="2" s="1"/>
  <c r="B18" i="2"/>
  <c r="C18" i="2"/>
  <c r="F18" i="2" s="1"/>
  <c r="C13" i="2"/>
  <c r="F13" i="2" s="1"/>
  <c r="B13" i="2"/>
  <c r="B11" i="2"/>
  <c r="C11" i="2"/>
  <c r="F11" i="2" s="1"/>
  <c r="B31" i="2"/>
  <c r="C31" i="2"/>
  <c r="F31" i="2" s="1"/>
  <c r="B9" i="2"/>
  <c r="C9" i="2"/>
  <c r="F9" i="2" s="1"/>
  <c r="C46" i="2"/>
  <c r="F46" i="2" s="1"/>
  <c r="B46" i="2"/>
  <c r="G10" i="7"/>
  <c r="G6" i="7"/>
  <c r="G17" i="7"/>
  <c r="G11" i="7"/>
  <c r="G25" i="7"/>
  <c r="G16" i="7"/>
  <c r="G9" i="7"/>
  <c r="G15" i="7"/>
  <c r="G12" i="7"/>
  <c r="G19" i="7"/>
  <c r="G18" i="7"/>
  <c r="G4" i="7"/>
  <c r="G27" i="7"/>
  <c r="G26" i="7"/>
  <c r="G5" i="7"/>
  <c r="G32" i="7"/>
  <c r="G20" i="7"/>
  <c r="G22" i="7"/>
  <c r="G28" i="7"/>
  <c r="G30" i="7"/>
  <c r="G24" i="7"/>
  <c r="G21" i="7"/>
  <c r="G23" i="7"/>
  <c r="G29" i="7"/>
  <c r="G31" i="7"/>
  <c r="B10" i="9" l="1"/>
  <c r="B11" i="9"/>
  <c r="B14" i="9"/>
  <c r="G16" i="2"/>
  <c r="G24" i="2"/>
  <c r="G25" i="2"/>
  <c r="G33" i="2"/>
  <c r="G19" i="2"/>
  <c r="G15" i="2"/>
  <c r="G29" i="2"/>
  <c r="H4" i="7"/>
  <c r="H6" i="7"/>
  <c r="U7" i="9"/>
  <c r="V7" i="9"/>
  <c r="U8" i="9"/>
  <c r="V8" i="9"/>
  <c r="U9" i="9"/>
  <c r="V9"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U33" i="9"/>
  <c r="V33" i="9"/>
  <c r="V6" i="9"/>
  <c r="U6" i="9"/>
  <c r="D10" i="9"/>
  <c r="G10" i="9" s="1"/>
  <c r="D6" i="9"/>
  <c r="G6" i="9" s="1"/>
  <c r="G7" i="9" s="1"/>
  <c r="F6" i="9"/>
  <c r="E6" i="9"/>
  <c r="E7" i="9" s="1"/>
  <c r="U47" i="9" l="1"/>
  <c r="V47" i="9"/>
  <c r="D5" i="6" s="1"/>
  <c r="F10" i="9"/>
  <c r="E10" i="9"/>
  <c r="B12" i="9"/>
  <c r="K19" i="9"/>
  <c r="X19" i="9"/>
  <c r="M26" i="9"/>
  <c r="X26" i="9"/>
  <c r="K28" i="9"/>
  <c r="X28" i="9"/>
  <c r="X33" i="9"/>
  <c r="K9" i="9"/>
  <c r="M18" i="9"/>
  <c r="X18" i="9"/>
  <c r="X25" i="9"/>
  <c r="X17" i="9"/>
  <c r="K32" i="9"/>
  <c r="X32" i="9"/>
  <c r="K24" i="9"/>
  <c r="X24" i="9"/>
  <c r="K16" i="9"/>
  <c r="X16" i="9"/>
  <c r="K8" i="9"/>
  <c r="N8" i="9" s="1"/>
  <c r="X31" i="9"/>
  <c r="K7" i="9"/>
  <c r="N7" i="9" s="1"/>
  <c r="K20" i="9"/>
  <c r="X20" i="9"/>
  <c r="K27" i="9"/>
  <c r="X27" i="9"/>
  <c r="X23" i="9"/>
  <c r="X15" i="9"/>
  <c r="K30" i="9"/>
  <c r="X30" i="9"/>
  <c r="K22" i="9"/>
  <c r="X22" i="9"/>
  <c r="K14" i="9"/>
  <c r="X14" i="9"/>
  <c r="I29" i="9"/>
  <c r="X29" i="9"/>
  <c r="I21" i="9"/>
  <c r="X21" i="9"/>
  <c r="I13" i="9"/>
  <c r="X13" i="9"/>
  <c r="G31" i="2"/>
  <c r="I31" i="2" s="1"/>
  <c r="G34" i="2"/>
  <c r="I34" i="2" s="1"/>
  <c r="G14" i="2"/>
  <c r="I14" i="2" s="1"/>
  <c r="G47" i="2"/>
  <c r="I47" i="2" s="1"/>
  <c r="G22" i="2"/>
  <c r="I22" i="2" s="1"/>
  <c r="G17" i="2"/>
  <c r="I17" i="2" s="1"/>
  <c r="G18" i="2"/>
  <c r="I18" i="2" s="1"/>
  <c r="G35" i="2"/>
  <c r="I35" i="2" s="1"/>
  <c r="G26" i="2"/>
  <c r="I26" i="2" s="1"/>
  <c r="G46" i="2"/>
  <c r="I46" i="2" s="1"/>
  <c r="G12" i="2"/>
  <c r="G28" i="2"/>
  <c r="I28" i="2" s="1"/>
  <c r="G13" i="2"/>
  <c r="G23" i="2"/>
  <c r="I23" i="2" s="1"/>
  <c r="G20" i="2"/>
  <c r="I20" i="2" s="1"/>
  <c r="G27" i="2"/>
  <c r="I27" i="2" s="1"/>
  <c r="G30" i="2"/>
  <c r="I30" i="2" s="1"/>
  <c r="I19" i="2"/>
  <c r="G21" i="2"/>
  <c r="I21" i="2" s="1"/>
  <c r="G32" i="2"/>
  <c r="I32" i="2" s="1"/>
  <c r="G11" i="2"/>
  <c r="G9" i="2"/>
  <c r="G10" i="2"/>
  <c r="I15" i="2"/>
  <c r="I24" i="2"/>
  <c r="I25" i="2"/>
  <c r="I33" i="2"/>
  <c r="I16" i="2"/>
  <c r="I29" i="2"/>
  <c r="K4" i="7"/>
  <c r="I4" i="7"/>
  <c r="J4" i="7"/>
  <c r="K6" i="7"/>
  <c r="I6" i="7"/>
  <c r="J6" i="7"/>
  <c r="H23" i="7"/>
  <c r="H21" i="7"/>
  <c r="H29" i="7"/>
  <c r="H22" i="7"/>
  <c r="H31" i="7"/>
  <c r="H20" i="7"/>
  <c r="H28" i="7"/>
  <c r="H30" i="7"/>
  <c r="H15" i="7"/>
  <c r="H32" i="7"/>
  <c r="H17" i="7"/>
  <c r="H10" i="7"/>
  <c r="H24" i="7"/>
  <c r="H13" i="7"/>
  <c r="H9" i="7"/>
  <c r="H19" i="7"/>
  <c r="H18" i="7"/>
  <c r="H26" i="7"/>
  <c r="H25" i="7"/>
  <c r="H11" i="7"/>
  <c r="H27" i="7"/>
  <c r="J6" i="9"/>
  <c r="I6" i="9" s="1"/>
  <c r="N26" i="9"/>
  <c r="M23" i="9"/>
  <c r="N27" i="9"/>
  <c r="M24" i="9"/>
  <c r="N18" i="9"/>
  <c r="M16" i="9"/>
  <c r="M15" i="9"/>
  <c r="M19" i="9"/>
  <c r="M32" i="9"/>
  <c r="N19" i="9"/>
  <c r="M31" i="9"/>
  <c r="P26" i="9"/>
  <c r="M27" i="9"/>
  <c r="P18" i="9"/>
  <c r="N30" i="9"/>
  <c r="N14" i="9"/>
  <c r="P13" i="9"/>
  <c r="N28" i="9"/>
  <c r="N20" i="9"/>
  <c r="M33" i="9"/>
  <c r="M25" i="9"/>
  <c r="M17" i="9"/>
  <c r="P27" i="9"/>
  <c r="P19" i="9"/>
  <c r="P33" i="9"/>
  <c r="P25" i="9"/>
  <c r="P17" i="9"/>
  <c r="N33" i="9"/>
  <c r="N25" i="9"/>
  <c r="N17" i="9"/>
  <c r="N9" i="9"/>
  <c r="M30" i="9"/>
  <c r="M22" i="9"/>
  <c r="P32" i="9"/>
  <c r="P24" i="9"/>
  <c r="P16" i="9"/>
  <c r="N32" i="9"/>
  <c r="N24" i="9"/>
  <c r="N16" i="9"/>
  <c r="M29" i="9"/>
  <c r="M21" i="9"/>
  <c r="M13" i="9"/>
  <c r="P31" i="9"/>
  <c r="P23" i="9"/>
  <c r="P15" i="9"/>
  <c r="N31" i="9"/>
  <c r="N23" i="9"/>
  <c r="N15" i="9"/>
  <c r="M28" i="9"/>
  <c r="M20" i="9"/>
  <c r="P30" i="9"/>
  <c r="P22" i="9"/>
  <c r="N22" i="9"/>
  <c r="P29" i="9"/>
  <c r="P21" i="9"/>
  <c r="N29" i="9"/>
  <c r="N21" i="9"/>
  <c r="N13" i="9"/>
  <c r="P28" i="9"/>
  <c r="P20" i="9"/>
  <c r="I30" i="9"/>
  <c r="I22" i="9"/>
  <c r="I28" i="9"/>
  <c r="I20" i="9"/>
  <c r="I27" i="9"/>
  <c r="I19" i="9"/>
  <c r="I26" i="9"/>
  <c r="I18" i="9"/>
  <c r="I33" i="9"/>
  <c r="I25" i="9"/>
  <c r="I17" i="9"/>
  <c r="I32" i="9"/>
  <c r="I24" i="9"/>
  <c r="I16" i="9"/>
  <c r="I31" i="9"/>
  <c r="I23" i="9"/>
  <c r="I15" i="9"/>
  <c r="J29" i="9"/>
  <c r="J21" i="9"/>
  <c r="J13" i="9"/>
  <c r="J30" i="9"/>
  <c r="J22" i="9"/>
  <c r="J28" i="9"/>
  <c r="J20" i="9"/>
  <c r="J12" i="9"/>
  <c r="J27" i="9"/>
  <c r="J19" i="9"/>
  <c r="J26" i="9"/>
  <c r="J18" i="9"/>
  <c r="J33" i="9"/>
  <c r="J25" i="9"/>
  <c r="J17" i="9"/>
  <c r="J32" i="9"/>
  <c r="J24" i="9"/>
  <c r="J16" i="9"/>
  <c r="J31" i="9"/>
  <c r="J23" i="9"/>
  <c r="J15" i="9"/>
  <c r="K26" i="9"/>
  <c r="K18" i="9"/>
  <c r="J14" i="9"/>
  <c r="K29" i="9"/>
  <c r="K21" i="9"/>
  <c r="K13" i="9"/>
  <c r="K10" i="9"/>
  <c r="N10" i="9" s="1"/>
  <c r="K6" i="9"/>
  <c r="N6" i="9" s="1"/>
  <c r="K31" i="9"/>
  <c r="K23" i="9"/>
  <c r="K15" i="9"/>
  <c r="K12" i="9"/>
  <c r="K33" i="9"/>
  <c r="K25" i="9"/>
  <c r="K17" i="9"/>
  <c r="K11" i="9"/>
  <c r="N11" i="9" s="1"/>
  <c r="G15" i="4"/>
  <c r="G16" i="4"/>
  <c r="G17" i="4"/>
  <c r="G18" i="4"/>
  <c r="G19" i="4"/>
  <c r="G20" i="4"/>
  <c r="G21" i="4"/>
  <c r="G22" i="4"/>
  <c r="G23" i="4"/>
  <c r="G14" i="4"/>
  <c r="D3" i="3"/>
  <c r="L16" i="4"/>
  <c r="L21" i="4" s="1"/>
  <c r="L22" i="4" s="1"/>
  <c r="F28" i="8" s="1"/>
  <c r="H13" i="2" s="1"/>
  <c r="H21" i="8"/>
  <c r="I13" i="2" l="1"/>
  <c r="B13" i="9"/>
  <c r="E38" i="6" s="1"/>
  <c r="I12" i="9"/>
  <c r="C35" i="6"/>
  <c r="D34" i="6"/>
  <c r="C39" i="6"/>
  <c r="H11" i="2"/>
  <c r="I11" i="2" s="1"/>
  <c r="H10" i="2"/>
  <c r="I10" i="2" s="1"/>
  <c r="H12" i="2"/>
  <c r="I12" i="2" s="1"/>
  <c r="H9" i="2"/>
  <c r="I9" i="2" s="1"/>
  <c r="H28" i="8"/>
  <c r="J47" i="2" s="1"/>
  <c r="H8" i="2"/>
  <c r="M14" i="9"/>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4" i="9"/>
  <c r="I14" i="9"/>
  <c r="P6" i="9"/>
  <c r="N12" i="9"/>
  <c r="D9" i="6" s="1"/>
  <c r="J7" i="9"/>
  <c r="I7" i="9" s="1"/>
  <c r="H15" i="4"/>
  <c r="H19" i="4"/>
  <c r="H18" i="4"/>
  <c r="H20" i="4"/>
  <c r="H17" i="4"/>
  <c r="H22" i="4"/>
  <c r="H14" i="4"/>
  <c r="H16" i="4"/>
  <c r="H21" i="4"/>
  <c r="H23" i="4"/>
  <c r="L18" i="4"/>
  <c r="L17" i="4"/>
  <c r="L19" i="4"/>
  <c r="D28" i="6" l="1"/>
  <c r="D18" i="6"/>
  <c r="C21" i="6"/>
  <c r="D24" i="6"/>
  <c r="D20" i="6"/>
  <c r="C32" i="6"/>
  <c r="D33" i="6"/>
  <c r="C16" i="6"/>
  <c r="C31" i="6"/>
  <c r="C26" i="6"/>
  <c r="E33" i="6"/>
  <c r="C28" i="6"/>
  <c r="D29" i="6"/>
  <c r="C42" i="6"/>
  <c r="E17" i="6"/>
  <c r="C22" i="6"/>
  <c r="C20" i="6"/>
  <c r="E31" i="6"/>
  <c r="D23" i="6"/>
  <c r="C30" i="6"/>
  <c r="D41" i="6"/>
  <c r="D27" i="6"/>
  <c r="E30" i="6"/>
  <c r="C33" i="6"/>
  <c r="C27" i="6"/>
  <c r="D17" i="6"/>
  <c r="C24" i="6"/>
  <c r="E43" i="6"/>
  <c r="E18" i="6"/>
  <c r="C17" i="6"/>
  <c r="D19" i="6"/>
  <c r="D21" i="6"/>
  <c r="D16" i="6"/>
  <c r="E42" i="6"/>
  <c r="C19" i="6"/>
  <c r="C18" i="6"/>
  <c r="C37" i="6"/>
  <c r="D35" i="6"/>
  <c r="C43" i="6"/>
  <c r="E32" i="6"/>
  <c r="C25" i="6"/>
  <c r="E23" i="6"/>
  <c r="C41" i="6"/>
  <c r="C34" i="6"/>
  <c r="D40" i="6"/>
  <c r="E26" i="6"/>
  <c r="D38" i="6"/>
  <c r="E15" i="6"/>
  <c r="C14" i="6"/>
  <c r="S6" i="9"/>
  <c r="T6" i="9" s="1"/>
  <c r="E16" i="6"/>
  <c r="E14" i="6"/>
  <c r="C36" i="6"/>
  <c r="E41" i="6"/>
  <c r="E19" i="6"/>
  <c r="D15" i="6"/>
  <c r="E22" i="6"/>
  <c r="E34" i="6"/>
  <c r="C15" i="6"/>
  <c r="D14" i="6"/>
  <c r="D42" i="6"/>
  <c r="D22" i="6"/>
  <c r="D37" i="6"/>
  <c r="D39" i="6"/>
  <c r="C38" i="6"/>
  <c r="E39" i="6"/>
  <c r="E36" i="6"/>
  <c r="D30" i="6"/>
  <c r="D32" i="6"/>
  <c r="D43" i="6"/>
  <c r="D26" i="6"/>
  <c r="D25" i="6"/>
  <c r="C23" i="6"/>
  <c r="C29" i="6"/>
  <c r="E27" i="6"/>
  <c r="E37" i="6"/>
  <c r="C40" i="6"/>
  <c r="E29" i="6"/>
  <c r="E28" i="6"/>
  <c r="E35" i="6"/>
  <c r="E25" i="6"/>
  <c r="D31" i="6"/>
  <c r="E21" i="6"/>
  <c r="E24" i="6"/>
  <c r="E40" i="6"/>
  <c r="E20" i="6"/>
  <c r="D36" i="6"/>
  <c r="O33" i="9"/>
  <c r="O18" i="9"/>
  <c r="J26" i="2"/>
  <c r="J29" i="2"/>
  <c r="O27" i="9"/>
  <c r="J34" i="2"/>
  <c r="J27" i="2"/>
  <c r="O28" i="9"/>
  <c r="O30" i="9"/>
  <c r="J9" i="2"/>
  <c r="J30" i="2"/>
  <c r="O13" i="9"/>
  <c r="O15" i="9"/>
  <c r="O17" i="9"/>
  <c r="J25" i="2"/>
  <c r="J20" i="2"/>
  <c r="O7" i="9"/>
  <c r="O16" i="9"/>
  <c r="J17" i="2"/>
  <c r="J12" i="2"/>
  <c r="O8" i="9"/>
  <c r="O29" i="9"/>
  <c r="O22" i="9"/>
  <c r="J10" i="2"/>
  <c r="J43" i="2"/>
  <c r="O21" i="9"/>
  <c r="O6" i="9"/>
  <c r="J13" i="2"/>
  <c r="J38" i="2"/>
  <c r="O20" i="9"/>
  <c r="O10" i="9"/>
  <c r="J33" i="2"/>
  <c r="J22" i="2"/>
  <c r="J41" i="2"/>
  <c r="J18" i="2"/>
  <c r="J19" i="2"/>
  <c r="O14" i="9"/>
  <c r="O25" i="9"/>
  <c r="O19" i="9"/>
  <c r="J21" i="2"/>
  <c r="J24" i="2"/>
  <c r="J46" i="2"/>
  <c r="J40" i="2"/>
  <c r="O23" i="9"/>
  <c r="O9" i="9"/>
  <c r="J15" i="2"/>
  <c r="J14" i="2"/>
  <c r="J8" i="2"/>
  <c r="J39" i="2"/>
  <c r="O32" i="9"/>
  <c r="O31" i="9"/>
  <c r="J35" i="2"/>
  <c r="J31" i="2"/>
  <c r="J32" i="2"/>
  <c r="J11" i="2"/>
  <c r="J37" i="2"/>
  <c r="J44" i="2"/>
  <c r="J45" i="2"/>
  <c r="J42" i="2"/>
  <c r="O11" i="9"/>
  <c r="O26" i="9"/>
  <c r="O24" i="9"/>
  <c r="J23" i="2"/>
  <c r="J16" i="2"/>
  <c r="J28" i="2"/>
  <c r="J36" i="2"/>
  <c r="D8" i="6"/>
  <c r="O12" i="9"/>
  <c r="J12" i="7"/>
  <c r="K12" i="7"/>
  <c r="I12" i="7"/>
  <c r="I14" i="7"/>
  <c r="J14" i="7"/>
  <c r="K14" i="7"/>
  <c r="I16" i="7"/>
  <c r="J16" i="7"/>
  <c r="K16" i="7"/>
  <c r="H8" i="7"/>
  <c r="H7" i="7"/>
  <c r="K7" i="7" s="1"/>
  <c r="H5" i="7"/>
  <c r="P7" i="9"/>
  <c r="P12" i="9"/>
  <c r="S12" i="9" s="1"/>
  <c r="J11" i="9"/>
  <c r="J8" i="9"/>
  <c r="J10" i="9"/>
  <c r="D4" i="6"/>
  <c r="M34" i="7" l="1"/>
  <c r="L34" i="7" s="1"/>
  <c r="N38" i="7"/>
  <c r="P38" i="7" s="1"/>
  <c r="N37" i="7"/>
  <c r="P37" i="7" s="1"/>
  <c r="N36" i="7"/>
  <c r="P36" i="7" s="1"/>
  <c r="N39" i="7"/>
  <c r="P39" i="7" s="1"/>
  <c r="O35" i="7"/>
  <c r="M33" i="7"/>
  <c r="L33" i="7" s="1"/>
  <c r="N41" i="7"/>
  <c r="P41" i="7" s="1"/>
  <c r="N40" i="7"/>
  <c r="P40" i="7" s="1"/>
  <c r="M38" i="7"/>
  <c r="L38" i="7" s="1"/>
  <c r="O34" i="7"/>
  <c r="O33" i="7"/>
  <c r="M35" i="7"/>
  <c r="L35" i="7" s="1"/>
  <c r="O39" i="7"/>
  <c r="M37" i="7"/>
  <c r="L37" i="7" s="1"/>
  <c r="M36" i="7"/>
  <c r="L36" i="7" s="1"/>
  <c r="O36" i="7"/>
  <c r="M42" i="7"/>
  <c r="L42" i="7" s="1"/>
  <c r="O38" i="7"/>
  <c r="O37" i="7"/>
  <c r="M39" i="7"/>
  <c r="L39" i="7" s="1"/>
  <c r="M41" i="7"/>
  <c r="L41" i="7" s="1"/>
  <c r="O40" i="7"/>
  <c r="O43" i="7"/>
  <c r="E88" i="7" s="1"/>
  <c r="M40" i="7"/>
  <c r="L40" i="7" s="1"/>
  <c r="N42" i="7"/>
  <c r="P42" i="7" s="1"/>
  <c r="O42" i="7"/>
  <c r="O41" i="7"/>
  <c r="M43" i="7"/>
  <c r="L43" i="7" s="1"/>
  <c r="N34" i="7"/>
  <c r="P34" i="7" s="1"/>
  <c r="N33" i="7"/>
  <c r="P33" i="7" s="1"/>
  <c r="N43" i="7"/>
  <c r="P43" i="7" s="1"/>
  <c r="N35" i="7"/>
  <c r="P35" i="7" s="1"/>
  <c r="S7" i="9"/>
  <c r="T7" i="9" s="1"/>
  <c r="P10" i="9"/>
  <c r="S10" i="9" s="1"/>
  <c r="T10" i="9" s="1"/>
  <c r="I10" i="9"/>
  <c r="O23" i="7"/>
  <c r="E78" i="7" s="1"/>
  <c r="O25" i="7"/>
  <c r="E80" i="7" s="1"/>
  <c r="M24" i="7"/>
  <c r="C79" i="7" s="1"/>
  <c r="M11" i="7"/>
  <c r="C66" i="7" s="1"/>
  <c r="N32" i="7"/>
  <c r="D87" i="7" s="1"/>
  <c r="N11" i="7"/>
  <c r="D66" i="7" s="1"/>
  <c r="O32" i="7"/>
  <c r="E87" i="7" s="1"/>
  <c r="N14" i="7"/>
  <c r="D69" i="7" s="1"/>
  <c r="N9" i="7"/>
  <c r="D64" i="7" s="1"/>
  <c r="M18" i="7"/>
  <c r="C73" i="7" s="1"/>
  <c r="N25" i="7"/>
  <c r="D80" i="7" s="1"/>
  <c r="O8" i="7"/>
  <c r="E63" i="7" s="1"/>
  <c r="N26" i="7"/>
  <c r="D81" i="7" s="1"/>
  <c r="O26" i="7"/>
  <c r="E81" i="7" s="1"/>
  <c r="O13" i="7"/>
  <c r="E68" i="7" s="1"/>
  <c r="N17" i="7"/>
  <c r="D72" i="7" s="1"/>
  <c r="M14" i="7"/>
  <c r="C69" i="7" s="1"/>
  <c r="O6" i="7"/>
  <c r="E61" i="7" s="1"/>
  <c r="M17" i="7"/>
  <c r="C72" i="7" s="1"/>
  <c r="M28" i="7"/>
  <c r="C83" i="7" s="1"/>
  <c r="O20" i="7"/>
  <c r="E75" i="7" s="1"/>
  <c r="M7" i="7"/>
  <c r="C62" i="7" s="1"/>
  <c r="N8" i="7"/>
  <c r="D63" i="7" s="1"/>
  <c r="N15" i="7"/>
  <c r="D70" i="7" s="1"/>
  <c r="O7" i="7"/>
  <c r="E62" i="7" s="1"/>
  <c r="M29" i="7"/>
  <c r="C84" i="7" s="1"/>
  <c r="M8" i="7"/>
  <c r="C63" i="7" s="1"/>
  <c r="N29" i="7"/>
  <c r="D84" i="7" s="1"/>
  <c r="N16" i="7"/>
  <c r="D71" i="7" s="1"/>
  <c r="O22" i="7"/>
  <c r="E77" i="7" s="1"/>
  <c r="O16" i="7"/>
  <c r="E71" i="7" s="1"/>
  <c r="O19" i="7"/>
  <c r="E74" i="7" s="1"/>
  <c r="O9" i="7"/>
  <c r="E64" i="7" s="1"/>
  <c r="N23" i="7"/>
  <c r="D78" i="7" s="1"/>
  <c r="M23" i="7"/>
  <c r="C78" i="7" s="1"/>
  <c r="M15" i="7"/>
  <c r="C70" i="7" s="1"/>
  <c r="N10" i="7"/>
  <c r="D65" i="7" s="1"/>
  <c r="O31" i="7"/>
  <c r="E86" i="7" s="1"/>
  <c r="O10" i="7"/>
  <c r="E65" i="7" s="1"/>
  <c r="M32" i="7"/>
  <c r="C87" i="7" s="1"/>
  <c r="M19" i="7"/>
  <c r="C74" i="7" s="1"/>
  <c r="N12" i="7"/>
  <c r="D67" i="7" s="1"/>
  <c r="N19" i="7"/>
  <c r="D74" i="7" s="1"/>
  <c r="O17" i="7"/>
  <c r="E72" i="7" s="1"/>
  <c r="N22" i="7"/>
  <c r="D77" i="7" s="1"/>
  <c r="N28" i="7"/>
  <c r="D83" i="7" s="1"/>
  <c r="M26" i="7"/>
  <c r="C81" i="7" s="1"/>
  <c r="M21" i="7"/>
  <c r="C76" i="7" s="1"/>
  <c r="O11" i="7"/>
  <c r="E66" i="7" s="1"/>
  <c r="M13" i="7"/>
  <c r="C68" i="7" s="1"/>
  <c r="N13" i="7"/>
  <c r="D68" i="7" s="1"/>
  <c r="O21" i="7"/>
  <c r="E76" i="7" s="1"/>
  <c r="N20" i="7"/>
  <c r="D75" i="7" s="1"/>
  <c r="M22" i="7"/>
  <c r="C77" i="7" s="1"/>
  <c r="M31" i="7"/>
  <c r="C86" i="7" s="1"/>
  <c r="M25" i="7"/>
  <c r="C80" i="7" s="1"/>
  <c r="N7" i="7"/>
  <c r="D62" i="7" s="1"/>
  <c r="O28" i="7"/>
  <c r="E83" i="7" s="1"/>
  <c r="O15" i="7"/>
  <c r="E70" i="7" s="1"/>
  <c r="M12" i="7"/>
  <c r="C67" i="7" s="1"/>
  <c r="M16" i="7"/>
  <c r="C71" i="7" s="1"/>
  <c r="M20" i="7"/>
  <c r="C75" i="7" s="1"/>
  <c r="N24" i="7"/>
  <c r="D79" i="7" s="1"/>
  <c r="O24" i="7"/>
  <c r="E79" i="7" s="1"/>
  <c r="O27" i="7"/>
  <c r="E82" i="7" s="1"/>
  <c r="M10" i="7"/>
  <c r="C65" i="7" s="1"/>
  <c r="N31" i="7"/>
  <c r="D86" i="7" s="1"/>
  <c r="N21" i="7"/>
  <c r="D76" i="7" s="1"/>
  <c r="O14" i="7"/>
  <c r="E69" i="7" s="1"/>
  <c r="N18" i="7"/>
  <c r="D73" i="7" s="1"/>
  <c r="O30" i="7"/>
  <c r="E85" i="7" s="1"/>
  <c r="O18" i="7"/>
  <c r="E73" i="7" s="1"/>
  <c r="M27" i="7"/>
  <c r="C82" i="7" s="1"/>
  <c r="N27" i="7"/>
  <c r="D82" i="7" s="1"/>
  <c r="M9" i="7"/>
  <c r="C64" i="7" s="1"/>
  <c r="N30" i="7"/>
  <c r="D85" i="7" s="1"/>
  <c r="O12" i="7"/>
  <c r="E67" i="7" s="1"/>
  <c r="O29" i="7"/>
  <c r="E84" i="7" s="1"/>
  <c r="M30" i="7"/>
  <c r="C85" i="7" s="1"/>
  <c r="I8" i="7"/>
  <c r="J8" i="7"/>
  <c r="K8" i="7"/>
  <c r="I5" i="7"/>
  <c r="J5" i="7"/>
  <c r="K5" i="7"/>
  <c r="I7" i="7"/>
  <c r="M6" i="7" s="1"/>
  <c r="C61" i="7" s="1"/>
  <c r="J7" i="7"/>
  <c r="M10" i="9"/>
  <c r="M7" i="9"/>
  <c r="M11" i="9"/>
  <c r="M8" i="9"/>
  <c r="M9" i="9"/>
  <c r="M6" i="9"/>
  <c r="X6" i="9" s="1"/>
  <c r="M12" i="9"/>
  <c r="X12" i="9" s="1"/>
  <c r="I8" i="9"/>
  <c r="P8" i="9"/>
  <c r="P11" i="9"/>
  <c r="I11" i="9"/>
  <c r="J9" i="9"/>
  <c r="K11" i="2"/>
  <c r="B8" i="2"/>
  <c r="D10" i="6"/>
  <c r="D11" i="6"/>
  <c r="C88" i="7" l="1"/>
  <c r="D88" i="7"/>
  <c r="X7" i="9"/>
  <c r="X11" i="9"/>
  <c r="X10" i="9"/>
  <c r="X8" i="9"/>
  <c r="N4" i="7"/>
  <c r="D59" i="7" s="1"/>
  <c r="N6" i="7"/>
  <c r="D61" i="7" s="1"/>
  <c r="O5" i="7"/>
  <c r="E60" i="7" s="1"/>
  <c r="N5" i="7"/>
  <c r="P5" i="7" s="1"/>
  <c r="F60" i="7" s="1"/>
  <c r="M4" i="7"/>
  <c r="L4" i="7" s="1"/>
  <c r="B59" i="7" s="1"/>
  <c r="O4" i="7"/>
  <c r="E59" i="7" s="1"/>
  <c r="P13" i="7"/>
  <c r="F68" i="7" s="1"/>
  <c r="P11" i="7"/>
  <c r="F66" i="7" s="1"/>
  <c r="P28" i="7"/>
  <c r="F83" i="7" s="1"/>
  <c r="F88" i="7"/>
  <c r="P15" i="7"/>
  <c r="F70" i="7" s="1"/>
  <c r="P17" i="7"/>
  <c r="F72" i="7" s="1"/>
  <c r="P14" i="7"/>
  <c r="F69" i="7" s="1"/>
  <c r="P10" i="7"/>
  <c r="F65" i="7" s="1"/>
  <c r="P7" i="7"/>
  <c r="F62" i="7" s="1"/>
  <c r="P19" i="7"/>
  <c r="F74" i="7" s="1"/>
  <c r="P16" i="7"/>
  <c r="F71" i="7" s="1"/>
  <c r="P26" i="7"/>
  <c r="F81" i="7" s="1"/>
  <c r="P32" i="7"/>
  <c r="F87" i="7" s="1"/>
  <c r="P22" i="7"/>
  <c r="F77" i="7" s="1"/>
  <c r="P18" i="7"/>
  <c r="F73" i="7" s="1"/>
  <c r="P12" i="7"/>
  <c r="F67" i="7" s="1"/>
  <c r="P29" i="7"/>
  <c r="F84" i="7" s="1"/>
  <c r="P8" i="7"/>
  <c r="F63" i="7" s="1"/>
  <c r="P24" i="7"/>
  <c r="F79" i="7" s="1"/>
  <c r="P23" i="7"/>
  <c r="F78" i="7" s="1"/>
  <c r="P25" i="7"/>
  <c r="F80" i="7" s="1"/>
  <c r="P21" i="7"/>
  <c r="F76" i="7" s="1"/>
  <c r="P30" i="7"/>
  <c r="F85" i="7" s="1"/>
  <c r="P27" i="7"/>
  <c r="F82" i="7" s="1"/>
  <c r="P31" i="7"/>
  <c r="F86" i="7" s="1"/>
  <c r="P20" i="7"/>
  <c r="F75" i="7" s="1"/>
  <c r="P9" i="7"/>
  <c r="F64" i="7" s="1"/>
  <c r="M5" i="7"/>
  <c r="C60" i="7" s="1"/>
  <c r="L15" i="7"/>
  <c r="B70" i="7" s="1"/>
  <c r="L25" i="7"/>
  <c r="B80" i="7" s="1"/>
  <c r="L13" i="7"/>
  <c r="B68" i="7" s="1"/>
  <c r="L23" i="7"/>
  <c r="B78" i="7" s="1"/>
  <c r="L28" i="7"/>
  <c r="B83" i="7" s="1"/>
  <c r="L30" i="7"/>
  <c r="B85" i="7" s="1"/>
  <c r="L31" i="7"/>
  <c r="B86" i="7" s="1"/>
  <c r="L19" i="7"/>
  <c r="B74" i="7" s="1"/>
  <c r="L8" i="7"/>
  <c r="B63" i="7" s="1"/>
  <c r="L17" i="7"/>
  <c r="B72" i="7" s="1"/>
  <c r="L11" i="7"/>
  <c r="B66" i="7" s="1"/>
  <c r="L27" i="7"/>
  <c r="B82" i="7" s="1"/>
  <c r="B88" i="7"/>
  <c r="L7" i="7"/>
  <c r="B62" i="7" s="1"/>
  <c r="L9" i="7"/>
  <c r="B64" i="7" s="1"/>
  <c r="L20" i="7"/>
  <c r="B75" i="7" s="1"/>
  <c r="L22" i="7"/>
  <c r="B77" i="7" s="1"/>
  <c r="L21" i="7"/>
  <c r="B76" i="7" s="1"/>
  <c r="L32" i="7"/>
  <c r="B87" i="7" s="1"/>
  <c r="L29" i="7"/>
  <c r="B84" i="7" s="1"/>
  <c r="L24" i="7"/>
  <c r="B79" i="7" s="1"/>
  <c r="L16" i="7"/>
  <c r="B71" i="7" s="1"/>
  <c r="L26" i="7"/>
  <c r="B81" i="7" s="1"/>
  <c r="L14" i="7"/>
  <c r="B69" i="7" s="1"/>
  <c r="L18" i="7"/>
  <c r="B73" i="7" s="1"/>
  <c r="L6" i="7"/>
  <c r="B61" i="7" s="1"/>
  <c r="L10" i="7"/>
  <c r="B65" i="7" s="1"/>
  <c r="L12" i="7"/>
  <c r="B67" i="7" s="1"/>
  <c r="C8" i="2"/>
  <c r="F8" i="2" s="1"/>
  <c r="K13" i="2"/>
  <c r="K9" i="2"/>
  <c r="K10" i="2"/>
  <c r="K46" i="2"/>
  <c r="K21" i="2"/>
  <c r="K18" i="2"/>
  <c r="K27" i="2"/>
  <c r="K23" i="2"/>
  <c r="K33" i="2"/>
  <c r="I9" i="9"/>
  <c r="P9" i="9"/>
  <c r="K12" i="2"/>
  <c r="K16" i="2"/>
  <c r="K22" i="2"/>
  <c r="K19" i="2"/>
  <c r="K31" i="2"/>
  <c r="K29" i="2"/>
  <c r="K17" i="2"/>
  <c r="K14" i="2"/>
  <c r="K15" i="2"/>
  <c r="K20" i="2"/>
  <c r="K30" i="2"/>
  <c r="K32" i="2"/>
  <c r="K25" i="2"/>
  <c r="K35" i="2"/>
  <c r="K24" i="2"/>
  <c r="K26" i="2"/>
  <c r="K28" i="2"/>
  <c r="K34" i="2"/>
  <c r="D60" i="7" l="1"/>
  <c r="X9" i="9"/>
  <c r="P4" i="7"/>
  <c r="F59" i="7" s="1"/>
  <c r="P6" i="7"/>
  <c r="F61" i="7" s="1"/>
  <c r="C59" i="7"/>
  <c r="L5" i="7"/>
  <c r="B60" i="7" s="1"/>
  <c r="K47" i="2"/>
  <c r="G8" i="2" l="1"/>
  <c r="I8" i="2" s="1"/>
  <c r="K8" i="2" s="1"/>
</calcChain>
</file>

<file path=xl/sharedStrings.xml><?xml version="1.0" encoding="utf-8"?>
<sst xmlns="http://schemas.openxmlformats.org/spreadsheetml/2006/main" count="251" uniqueCount="194">
  <si>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</si>
  <si>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</si>
  <si>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</si>
  <si>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</si>
  <si>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</si>
  <si>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</si>
  <si>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</si>
  <si>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</si>
  <si>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</si>
  <si>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</si>
  <si>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</si>
  <si>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</si>
  <si>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</si>
  <si>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</si>
  <si>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</si>
  <si>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</si>
  <si>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</si>
  <si>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</si>
  <si>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</si>
  <si>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</si>
  <si>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</si>
  <si>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</si>
  <si>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</si>
  <si>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r>
      <rPr>
        <b/>
        <sz val="10"/>
        <rFont val="Century Gothic"/>
        <family val="2"/>
      </rPr>
      <t>TOTAL
IVA</t>
    </r>
    <r>
      <rPr>
        <b/>
        <sz val="6"/>
        <rFont val="Century Gothic"/>
        <family val="2"/>
      </rPr>
      <t xml:space="preserve">
(NO
SUBVENCIONABLE)</t>
    </r>
  </si>
  <si>
    <t>TIPO DE GASTO O INVERSIÓN</t>
  </si>
  <si>
    <t>Nº DE EXPEDIENTE:</t>
  </si>
  <si>
    <t>RAZÓN SOCIAL OFERTANTE</t>
  </si>
  <si>
    <t>NIF/CIF
OFERTANTE</t>
  </si>
  <si>
    <t>IMPORTE TOTAL
DEL GASTO o
INVERSIÓN
REALIZADO
(IVA EXLUÍDO)</t>
  </si>
  <si>
    <t>FECHA FINAL PLAZO JUSTIFICACIÓN:</t>
  </si>
  <si>
    <t>PROGRAMA:</t>
  </si>
  <si>
    <t>AÑO:</t>
  </si>
  <si>
    <t>DIVISIÓN:</t>
  </si>
  <si>
    <t>LÍNEA:</t>
  </si>
  <si>
    <t>Nº EXPEDIENTE:</t>
  </si>
  <si>
    <t>PLAZO JUSTIFICACIÓN TRAS EJECUCIÓN</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</si>
  <si>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</si>
  <si>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</si>
  <si>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</si>
  <si>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</si>
  <si>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</si>
  <si>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</si>
  <si>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</si>
  <si>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</si>
  <si>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</si>
  <si>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</si>
  <si>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</si>
  <si>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</si>
  <si>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</si>
  <si>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</si>
  <si>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</si>
  <si>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</si>
  <si>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</si>
  <si>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</si>
  <si>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</si>
  <si>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</si>
  <si>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</si>
  <si>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</si>
  <si>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</si>
  <si>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</si>
  <si>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</si>
  <si>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PAGO
&gt; 30 días</t>
  </si>
  <si>
    <t>CONTINUA
INCIDENCIA</t>
  </si>
  <si>
    <t>OTRAS
INCIDENCIAS
(si/no)</t>
  </si>
  <si>
    <t>IMPUTADO vs ELEGIBLE</t>
  </si>
  <si>
    <t>IDENTIFICACIÓN FACTURAS BENEFICIARIO</t>
  </si>
  <si>
    <t>BENEF.</t>
  </si>
  <si>
    <t>INFO</t>
  </si>
  <si>
    <t>FECHA
FACTURA
DEFINITIVA</t>
  </si>
  <si>
    <t>FECHA
PAGO
DEFINITIVA</t>
  </si>
  <si>
    <t>FECHA FACTURA</t>
  </si>
  <si>
    <t>FECHA PAGO</t>
  </si>
  <si>
    <t>EN SU CASO, OBSERVACIONES
DEL BENEFICIARIO</t>
  </si>
  <si>
    <t>FECHAS INFO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</si>
  <si>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</si>
  <si>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</si>
  <si>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</si>
  <si>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</si>
  <si>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</si>
  <si>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</si>
  <si>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</si>
  <si>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</si>
  <si>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</si>
  <si>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</si>
  <si>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</si>
  <si>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</si>
  <si>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</si>
  <si>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</si>
  <si>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</si>
  <si>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</si>
  <si>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</si>
  <si>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</si>
  <si>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</si>
  <si>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</si>
  <si>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</si>
  <si>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</si>
  <si>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</si>
  <si>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</si>
  <si>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</si>
  <si>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</si>
  <si>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</si>
  <si>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</si>
  <si>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</si>
  <si>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</si>
  <si>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SUMA
IMPORTES
FACTURADOS
AL
PROVEEDOR</t>
  </si>
  <si>
    <t>Nº TOTAL
DE
FACTURAS
DEL
PROVEEDOR</t>
  </si>
  <si>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</si>
  <si>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OFERTA
SELECCIONADA</t>
  </si>
  <si>
    <t>OFERTA
ALTERNATIVA</t>
  </si>
  <si>
    <t>OFERTAS ALTERNATIVAS DE PROVEEDORES PARA GASTOS/INVERSIONES DEL EXPEDIENTE CUYO IMPORTE ES SUPERIOR A 15.000 EUROS (IVA EXCLUIDO)</t>
  </si>
  <si>
    <t>EN SU CASO,
INSERTAR MEMORIA
JUSTIFICANDO ELECCIÓN
(PDF)</t>
  </si>
  <si>
    <t>NÚMERO OFERTA
o PROFORMA</t>
  </si>
  <si>
    <t>OFERTAS / PROFORMAS</t>
  </si>
  <si>
    <t>IMPORTE
OFERTA
o PROFORMA
(IVA EXLUÍDO)</t>
  </si>
  <si>
    <t>INSERTAR OFERTA
o PROFORMA (PDF)</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</si>
  <si>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</si>
  <si>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</si>
  <si>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</si>
  <si>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</si>
  <si>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</si>
  <si>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</si>
  <si>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</si>
  <si>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</si>
  <si>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</si>
  <si>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b) Celda D21: número del expediente.</t>
  </si>
  <si>
    <t>FECHA PRESENTACIÓN SOLICITUD DE AYUDA (*):</t>
  </si>
  <si>
    <t>FECHA FINAL PLAZO EJECUCIÓN DEL PROYECTO (**):</t>
  </si>
  <si>
    <t>(**): La fecha final del plazo de ejecución del proyecto/actividad viene reflejada en el segundo punto de las condiciones particulares de la Resolución Individual de Concesión de Ayuda.</t>
  </si>
  <si>
    <t>c) Celda F24: se deberá incluir la fecha de presentación de la solicitud de ayuda o la fecha de inicio de del plazo de ejecución de acuerdo con lo dispuesto en el segundo punto de las condiciones particulares de la Resolución Individual de Concesión de Ayuda.</t>
  </si>
  <si>
    <t>d) Celda F26: se deberá incluir la fecha final del plazo de ejecución del proyecto/actividad que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</si>
  <si>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</si>
  <si>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</si>
  <si>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</si>
  <si>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</si>
  <si>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</si>
  <si>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</si>
  <si>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</si>
  <si>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</si>
  <si>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</si>
  <si>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</si>
  <si>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</si>
  <si>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</si>
  <si>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</si>
  <si>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</si>
  <si>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</si>
  <si>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</si>
  <si>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</si>
  <si>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</si>
  <si>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</si>
  <si>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</si>
  <si>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</si>
  <si>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</si>
  <si>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</si>
  <si>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</si>
  <si>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</si>
  <si>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</si>
  <si>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</si>
  <si>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</si>
  <si>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</si>
  <si>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</si>
  <si>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</si>
  <si>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</si>
  <si>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</si>
  <si>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</si>
  <si>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</si>
  <si>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</si>
  <si>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</si>
  <si>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</si>
  <si>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</si>
  <si>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</si>
  <si>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</si>
  <si>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</si>
  <si>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</si>
  <si>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a) Nombre o razón social del 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</si>
  <si>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</si>
  <si>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</si>
  <si>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</si>
  <si>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SUMAR
DÍAS
ACUERDO</t>
  </si>
  <si>
    <t>FECHA
MAXIMA
PAGO</t>
  </si>
  <si>
    <t>ENTREGA O
PUESTA EN
MARCHA</t>
  </si>
  <si>
    <t>BBRR:</t>
  </si>
  <si>
    <t>EXTRACTO CONVOCATORIA:</t>
  </si>
  <si>
    <t>IMPORTES</t>
  </si>
  <si>
    <t>EJECUTADO SEGÚN BENEFICIARIO</t>
  </si>
  <si>
    <t>ELEGIBLE SEGÚN INFO</t>
  </si>
  <si>
    <t>BORM BASES REGULADORAS:</t>
  </si>
  <si>
    <t>BORM EXTRACTO CONVOCATORIA:</t>
  </si>
  <si>
    <t>CUMPLIMENTAR COLUMNA "N"</t>
  </si>
  <si>
    <t>MOD-50-24</t>
  </si>
  <si>
    <t>PROGRAMA DE APOYO A INVERSIONES PRODUCTIVAS Y TECNOLÓGICAS PARA PYMES.</t>
  </si>
  <si>
    <t>IPRO</t>
  </si>
  <si>
    <t>nº 82, de 11 de abril de 2023</t>
  </si>
  <si>
    <t>nº 107, de 11 de mayo de 2023</t>
  </si>
  <si>
    <t>Activos materiales nuevos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</si>
</sst>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0" x14ac:knownFonts="1">
    <font>
      <sz val="10"/>
      <name val="Arial"/>
      <charset val="1"/>
    </font>
    <font>
      <b/>
      <sz val="12"/>
      <name val="Century Gothic"/>
      <family val="2"/>
    </font>
    <font>
      <sz val="10"/>
      <name val="Century Gothic"/>
      <family val="2"/>
    </font>
    <font>
      <sz val="12"/>
      <name val="Century Gothic"/>
      <family val="2"/>
    </font>
    <font>
      <b/>
      <sz val="14"/>
      <name val="Century Gothic"/>
      <family val="2"/>
    </font>
    <font>
      <b/>
      <sz val="10"/>
      <name val="Century Gothic"/>
      <family val="2"/>
    </font>
    <font>
      <b/>
      <sz val="12"/>
      <color rgb="FFFF0000"/>
      <name val="Century Gothic"/>
      <family val="2"/>
    </font>
    <font>
      <b/>
      <sz val="9"/>
      <name val="Century Gothic"/>
      <family val="2"/>
    </font>
    <font>
      <b/>
      <sz val="8"/>
      <name val="Century Gothic"/>
      <family val="2"/>
    </font>
    <font>
      <b/>
      <sz val="11"/>
      <name val="Century Gothic"/>
      <family val="2"/>
    </font>
    <font>
      <b/>
      <sz val="6"/>
      <name val="Century Gothic"/>
      <family val="2"/>
    </font>
    <font>
      <sz val="11"/>
      <name val="Century Gothic"/>
      <family val="2"/>
    </font>
    <font>
      <sz val="8"/>
      <name val="Arial"/>
      <family val="2"/>
    </font>
    <font>
      <sz val="10"/>
      <color theme="0"/>
      <name val="Century Gothic"/>
      <family val="2"/>
    </font>
    <font>
      <sz val="10"/>
      <name val="Arial"/>
      <family val="2"/>
    </font>
    <font>
      <sz val="8"/>
      <name val="Century Gothic"/>
      <family val="2"/>
    </font>
    <font>
      <sz val="9"/>
      <name val="Century Gothic"/>
      <family val="2"/>
    </font>
    <font>
      <b/>
      <sz val="10"/>
      <color rgb="FFFFC000"/>
      <name val="Century Gothic"/>
      <family val="2"/>
    </font>
    <font>
      <sz val="10"/>
      <color rgb="FFFF0000"/>
      <name val="Century Gothic"/>
      <family val="2"/>
    </font>
    <font>
      <b/>
      <sz val="10"/>
      <color rgb="FFFF0000"/>
      <name val="Century Gothic"/>
      <family val="2"/>
    </font>
  </fonts>
  <fills count="21">
    <fill>
      <patternFill patternType="none"/>
    </fill>
    <fill>
      <patternFill patternType="gray125"/>
    </fill>
    <fill>
      <patternFill patternType="solid">
        <fgColor theme="8" tint="0.79998168889431442"/>
        <bgColor rgb="FFFFCC00"/>
      </patternFill>
    </fill>
    <fill>
      <patternFill patternType="solid">
        <fgColor theme="9" tint="0.59999389629810485"/>
        <bgColor indexed="64"/>
      </patternFill>
    </fill>
    <fill>
      <patternFill patternType="solid">
        <fgColor theme="9" tint="0.59999389629810485"/>
        <bgColor rgb="FFFFFFCC"/>
      </patternFill>
    </fill>
    <fill>
      <patternFill patternType="solid">
        <fgColor theme="9" tint="0.59999389629810485"/>
        <bgColor rgb="FFFFCC00"/>
      </patternFill>
    </fill>
    <fill>
      <patternFill patternType="solid">
        <fgColor theme="9" tint="0.59999389629810485"/>
        <bgColor rgb="FFCCFFFF"/>
      </patternFill>
    </fill>
    <fill>
      <patternFill patternType="solid">
        <fgColor theme="9" tint="0.59999389629810485"/>
        <bgColor rgb="FF33CCCC"/>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1D400"/>
        <bgColor indexed="64"/>
      </patternFill>
    </fill>
    <fill>
      <patternFill patternType="solid">
        <fgColor rgb="FFC6E0B4"/>
        <bgColor indexed="64"/>
      </patternFill>
    </fill>
    <fill>
      <patternFill patternType="solid">
        <fgColor rgb="FFFFE575"/>
        <bgColor indexed="64"/>
      </patternFill>
    </fill>
    <fill>
      <patternFill patternType="solid">
        <fgColor rgb="FFFFFF00"/>
        <bgColor indexed="64"/>
      </patternFill>
    </fill>
    <fill>
      <patternFill patternType="solid">
        <fgColor rgb="FFE7F1F9"/>
        <bgColor rgb="FFCCFFFF"/>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s>
  <cellStyleXfs count="2">
    <xf numFmtId="0" fontId="0" fillId="0" borderId="0"/>
    <xf numFmtId="0" fontId="14" fillId="0" borderId="0"/>
  </cellStyleXfs>
  <cellXfs count="361">
    <xf numFmtId="0" fontId="0" fillId="0" borderId="0" xfId="0"/>
    <xf numFmtId="0" fontId="2" fillId="0" borderId="0" xfId="0" applyFont="1" applyAlignment="1">
      <alignment vertical="center"/>
    </xf>
    <xf numFmtId="165" fontId="2" fillId="2" borderId="1" xfId="0" applyNumberFormat="1" applyFont="1" applyFill="1" applyBorder="1" applyAlignment="1" applyProtection="1">
      <alignment horizontal="center" vertical="center"/>
      <protection locked="0"/>
    </xf>
    <xf numFmtId="16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1" xfId="0" applyFont="1" applyBorder="1"/>
    <xf numFmtId="0" fontId="5" fillId="0" borderId="0" xfId="0" applyFont="1" applyAlignment="1">
      <alignment horizontal="center"/>
    </xf>
    <xf numFmtId="166" fontId="2" fillId="0" borderId="1" xfId="0" applyNumberFormat="1" applyFont="1" applyBorder="1"/>
    <xf numFmtId="0" fontId="5" fillId="0" borderId="0" xfId="0" applyFont="1"/>
    <xf numFmtId="0" fontId="2" fillId="11" borderId="1" xfId="0" applyFont="1" applyFill="1" applyBorder="1"/>
    <xf numFmtId="0" fontId="2" fillId="11" borderId="1"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166" fontId="2" fillId="10" borderId="1" xfId="0" applyNumberFormat="1"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1" xfId="0" applyFont="1" applyFill="1" applyBorder="1" applyAlignment="1" applyProtection="1">
      <alignment vertical="center"/>
      <protection locked="0"/>
    </xf>
    <xf numFmtId="4" fontId="2" fillId="10" borderId="1" xfId="0" applyNumberFormat="1" applyFont="1" applyFill="1" applyBorder="1" applyAlignment="1" applyProtection="1">
      <alignment vertical="center"/>
      <protection locked="0"/>
    </xf>
    <xf numFmtId="166" fontId="2" fillId="0" borderId="1" xfId="0" applyNumberFormat="1" applyFont="1" applyBorder="1" applyAlignment="1">
      <alignment horizontal="center" vertical="center"/>
    </xf>
    <xf numFmtId="0" fontId="2" fillId="13" borderId="14"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vertical="center"/>
    </xf>
    <xf numFmtId="0" fontId="2" fillId="13" borderId="7" xfId="0" applyFont="1" applyFill="1" applyBorder="1" applyAlignment="1">
      <alignment vertical="center"/>
    </xf>
    <xf numFmtId="0" fontId="2" fillId="13" borderId="12" xfId="0" applyFont="1" applyFill="1" applyBorder="1" applyAlignment="1">
      <alignment vertical="center"/>
    </xf>
    <xf numFmtId="0" fontId="2" fillId="13" borderId="13" xfId="0" applyFont="1" applyFill="1" applyBorder="1" applyAlignment="1">
      <alignment vertical="center"/>
    </xf>
    <xf numFmtId="0" fontId="2" fillId="13" borderId="14" xfId="0" applyFont="1" applyFill="1" applyBorder="1" applyAlignment="1">
      <alignment vertical="center"/>
    </xf>
    <xf numFmtId="0" fontId="2" fillId="13" borderId="10" xfId="0" applyFont="1" applyFill="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166" fontId="2" fillId="0" borderId="3"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4" fontId="2" fillId="13" borderId="11" xfId="0" applyNumberFormat="1" applyFont="1" applyFill="1" applyBorder="1" applyAlignment="1">
      <alignment horizontal="center" vertical="center"/>
    </xf>
    <xf numFmtId="4" fontId="2" fillId="13" borderId="12" xfId="0" applyNumberFormat="1" applyFont="1" applyFill="1" applyBorder="1" applyAlignment="1">
      <alignment horizontal="center" vertical="center"/>
    </xf>
    <xf numFmtId="4" fontId="2" fillId="13" borderId="14" xfId="0" applyNumberFormat="1" applyFont="1" applyFill="1" applyBorder="1" applyAlignment="1">
      <alignment horizontal="center" vertical="center"/>
    </xf>
    <xf numFmtId="0" fontId="5" fillId="15" borderId="1" xfId="0" applyFont="1" applyFill="1" applyBorder="1" applyAlignment="1">
      <alignment horizontal="center"/>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left" vertical="center" indent="1"/>
    </xf>
    <xf numFmtId="167" fontId="2" fillId="0" borderId="0" xfId="1" applyNumberFormat="1" applyFont="1" applyAlignment="1">
      <alignment horizontal="left" vertical="center" indent="1"/>
    </xf>
    <xf numFmtId="0" fontId="13" fillId="0" borderId="0" xfId="1" applyFont="1" applyAlignment="1">
      <alignment horizontal="right" vertical="center"/>
    </xf>
    <xf numFmtId="0" fontId="2" fillId="0" borderId="0" xfId="1" applyFont="1" applyAlignment="1">
      <alignment horizontal="center" vertical="center"/>
    </xf>
    <xf numFmtId="166" fontId="2" fillId="9" borderId="1" xfId="0" applyNumberFormat="1" applyFont="1" applyFill="1" applyBorder="1" applyAlignment="1" applyProtection="1">
      <alignment horizontal="center"/>
      <protection locked="0"/>
    </xf>
    <xf numFmtId="0" fontId="1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0" xfId="0" applyFont="1" applyAlignment="1">
      <alignment horizontal="center" vertical="center"/>
    </xf>
    <xf numFmtId="4" fontId="2" fillId="0" borderId="1" xfId="0" applyNumberFormat="1" applyFont="1" applyBorder="1" applyAlignment="1">
      <alignment vertical="center"/>
    </xf>
    <xf numFmtId="4" fontId="2" fillId="7" borderId="1"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2" fillId="8" borderId="1" xfId="0" applyFont="1" applyFill="1" applyBorder="1" applyAlignment="1" applyProtection="1">
      <alignment vertical="center"/>
      <protection locked="0"/>
    </xf>
    <xf numFmtId="0" fontId="2" fillId="10" borderId="3"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protection locked="0"/>
    </xf>
    <xf numFmtId="0" fontId="2" fillId="10" borderId="3" xfId="0" applyFont="1" applyFill="1" applyBorder="1" applyAlignment="1" applyProtection="1">
      <alignment vertical="center"/>
      <protection locked="0"/>
    </xf>
    <xf numFmtId="14" fontId="2" fillId="10" borderId="3" xfId="0" applyNumberFormat="1" applyFont="1" applyFill="1" applyBorder="1" applyAlignment="1" applyProtection="1">
      <alignment horizontal="center" vertical="center"/>
      <protection locked="0"/>
    </xf>
    <xf numFmtId="4" fontId="2" fillId="10" borderId="3" xfId="0" applyNumberFormat="1" applyFont="1" applyFill="1" applyBorder="1" applyAlignment="1" applyProtection="1">
      <alignment vertical="center"/>
      <protection locked="0"/>
    </xf>
    <xf numFmtId="0" fontId="2" fillId="10" borderId="1" xfId="0" applyFont="1" applyFill="1" applyBorder="1" applyAlignment="1" applyProtection="1">
      <alignment horizontal="left" vertical="center"/>
      <protection locked="0"/>
    </xf>
    <xf numFmtId="14" fontId="2" fillId="10" borderId="1" xfId="0" applyNumberFormat="1" applyFont="1" applyFill="1" applyBorder="1" applyAlignment="1" applyProtection="1">
      <alignment horizontal="center" vertical="center"/>
      <protection locked="0"/>
    </xf>
    <xf numFmtId="0" fontId="2" fillId="10" borderId="9" xfId="0" applyFont="1" applyFill="1" applyBorder="1" applyAlignment="1" applyProtection="1">
      <alignment horizontal="left" vertical="center"/>
      <protection locked="0"/>
    </xf>
    <xf numFmtId="0" fontId="2" fillId="10" borderId="9" xfId="0" applyFont="1" applyFill="1" applyBorder="1" applyAlignment="1" applyProtection="1">
      <alignment vertical="center"/>
      <protection locked="0"/>
    </xf>
    <xf numFmtId="14" fontId="2" fillId="10" borderId="9"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vertical="center"/>
      <protection locked="0"/>
    </xf>
    <xf numFmtId="0" fontId="9"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164" fontId="11" fillId="0" borderId="0" xfId="0" applyNumberFormat="1" applyFont="1" applyAlignment="1">
      <alignment vertical="center"/>
    </xf>
    <xf numFmtId="164" fontId="11" fillId="0" borderId="0" xfId="0" applyNumberFormat="1" applyFont="1" applyAlignment="1">
      <alignment horizontal="center" vertical="center"/>
    </xf>
    <xf numFmtId="4" fontId="11" fillId="0" borderId="0" xfId="0" applyNumberFormat="1" applyFont="1" applyAlignment="1">
      <alignment vertical="center"/>
    </xf>
    <xf numFmtId="0" fontId="9" fillId="0" borderId="0" xfId="0" applyFont="1" applyAlignment="1">
      <alignment horizontal="justify" vertical="center"/>
    </xf>
    <xf numFmtId="0" fontId="5" fillId="3" borderId="9" xfId="0" applyFont="1" applyFill="1" applyBorder="1" applyAlignment="1">
      <alignment horizontal="center" vertical="center" wrapText="1"/>
    </xf>
    <xf numFmtId="166" fontId="5" fillId="3" borderId="9"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0" fontId="5" fillId="0" borderId="0" xfId="0" applyFont="1" applyAlignment="1">
      <alignment horizontal="justify" vertical="center"/>
    </xf>
    <xf numFmtId="0" fontId="2" fillId="8" borderId="3" xfId="0" applyFont="1" applyFill="1" applyBorder="1" applyAlignment="1" applyProtection="1">
      <alignment vertical="center"/>
      <protection locked="0"/>
    </xf>
    <xf numFmtId="0" fontId="2" fillId="8" borderId="9" xfId="0" applyFont="1" applyFill="1" applyBorder="1" applyAlignment="1" applyProtection="1">
      <alignment vertical="center"/>
      <protection locked="0"/>
    </xf>
    <xf numFmtId="0" fontId="2" fillId="12" borderId="7" xfId="0" applyFont="1" applyFill="1" applyBorder="1" applyAlignment="1" applyProtection="1">
      <alignment vertical="center" wrapText="1"/>
      <protection locked="0"/>
    </xf>
    <xf numFmtId="0" fontId="2" fillId="12" borderId="13" xfId="0" applyFont="1" applyFill="1" applyBorder="1" applyAlignment="1" applyProtection="1">
      <alignment vertical="center" wrapText="1"/>
      <protection locked="0"/>
    </xf>
    <xf numFmtId="0" fontId="2" fillId="12" borderId="10" xfId="0" applyFont="1" applyFill="1" applyBorder="1" applyAlignment="1" applyProtection="1">
      <alignment vertical="center" wrapText="1"/>
      <protection locked="0"/>
    </xf>
    <xf numFmtId="0" fontId="2" fillId="10" borderId="7" xfId="0" applyFont="1" applyFill="1" applyBorder="1" applyAlignment="1" applyProtection="1">
      <alignment vertical="center" wrapText="1"/>
      <protection locked="0"/>
    </xf>
    <xf numFmtId="0" fontId="2" fillId="10" borderId="13" xfId="0" applyFont="1" applyFill="1" applyBorder="1" applyAlignment="1" applyProtection="1">
      <alignment vertical="center" wrapText="1"/>
      <protection locked="0"/>
    </xf>
    <xf numFmtId="0" fontId="2" fillId="10" borderId="10" xfId="0" applyFont="1" applyFill="1" applyBorder="1" applyAlignment="1" applyProtection="1">
      <alignment vertical="center" wrapText="1"/>
      <protection locked="0"/>
    </xf>
    <xf numFmtId="4" fontId="2" fillId="0" borderId="30" xfId="0" applyNumberFormat="1" applyFont="1" applyBorder="1" applyAlignment="1">
      <alignment horizontal="center" vertical="center"/>
    </xf>
    <xf numFmtId="4" fontId="2" fillId="0" borderId="37"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66" fontId="17" fillId="13" borderId="11" xfId="0" applyNumberFormat="1" applyFont="1" applyFill="1" applyBorder="1" applyAlignment="1">
      <alignment horizontal="center" vertical="center"/>
    </xf>
    <xf numFmtId="166" fontId="2" fillId="13" borderId="12" xfId="0" applyNumberFormat="1" applyFont="1" applyFill="1" applyBorder="1" applyAlignment="1">
      <alignment horizontal="center" vertical="center"/>
    </xf>
    <xf numFmtId="166" fontId="2" fillId="13" borderId="14" xfId="0" applyNumberFormat="1" applyFont="1" applyFill="1" applyBorder="1" applyAlignment="1">
      <alignment horizontal="center" vertical="center"/>
    </xf>
    <xf numFmtId="166" fontId="2" fillId="14" borderId="27" xfId="0" applyNumberFormat="1" applyFont="1" applyFill="1" applyBorder="1" applyAlignment="1">
      <alignment horizontal="center" vertical="center"/>
    </xf>
    <xf numFmtId="166" fontId="2" fillId="14" borderId="25" xfId="0" applyNumberFormat="1" applyFont="1" applyFill="1" applyBorder="1" applyAlignment="1">
      <alignment horizontal="center" vertical="center"/>
    </xf>
    <xf numFmtId="166" fontId="2" fillId="14" borderId="8" xfId="0" applyNumberFormat="1" applyFont="1" applyFill="1" applyBorder="1" applyAlignment="1">
      <alignment horizontal="center" vertical="center"/>
    </xf>
    <xf numFmtId="166" fontId="2" fillId="13" borderId="11" xfId="0" applyNumberFormat="1" applyFont="1" applyFill="1" applyBorder="1" applyAlignment="1">
      <alignment horizontal="center" vertical="center"/>
    </xf>
    <xf numFmtId="0" fontId="2" fillId="13" borderId="12" xfId="0" applyFont="1" applyFill="1" applyBorder="1" applyAlignment="1">
      <alignment horizontal="center" vertical="center"/>
    </xf>
    <xf numFmtId="0" fontId="2" fillId="13" borderId="14"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9" xfId="0" applyFont="1" applyFill="1" applyBorder="1" applyAlignment="1">
      <alignment horizontal="center" vertical="center" wrapText="1"/>
    </xf>
    <xf numFmtId="166" fontId="2" fillId="16" borderId="1" xfId="0" applyNumberFormat="1" applyFont="1" applyFill="1" applyBorder="1" applyAlignment="1">
      <alignment horizontal="center"/>
    </xf>
    <xf numFmtId="0" fontId="2" fillId="0" borderId="11" xfId="0" applyFont="1" applyBorder="1" applyAlignment="1">
      <alignment horizontal="center" vertical="center"/>
    </xf>
    <xf numFmtId="0" fontId="2" fillId="11" borderId="0" xfId="1" applyFont="1" applyFill="1" applyAlignment="1">
      <alignment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29" xfId="0"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0" fontId="5" fillId="3" borderId="49" xfId="0" applyFont="1" applyFill="1" applyBorder="1" applyAlignment="1">
      <alignment horizontal="center" vertical="center" wrapText="1"/>
    </xf>
    <xf numFmtId="166" fontId="5" fillId="3" borderId="46" xfId="0" applyNumberFormat="1" applyFont="1" applyFill="1" applyBorder="1" applyAlignment="1">
      <alignment horizontal="center" vertical="center" wrapText="1"/>
    </xf>
    <xf numFmtId="4" fontId="2" fillId="0" borderId="0" xfId="0" applyNumberFormat="1" applyFont="1"/>
    <xf numFmtId="0" fontId="2" fillId="0" borderId="0" xfId="0" applyFont="1" applyAlignment="1">
      <alignment wrapText="1"/>
    </xf>
    <xf numFmtId="4" fontId="2" fillId="0" borderId="1" xfId="0" applyNumberFormat="1" applyFont="1" applyBorder="1"/>
    <xf numFmtId="4" fontId="2" fillId="19" borderId="1" xfId="0" applyNumberFormat="1" applyFont="1" applyFill="1" applyBorder="1"/>
    <xf numFmtId="1" fontId="2"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17" borderId="4"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2"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7"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9" fillId="6" borderId="47" xfId="0" applyFont="1" applyFill="1" applyBorder="1" applyAlignment="1">
      <alignment horizontal="center" vertical="center"/>
    </xf>
    <xf numFmtId="0" fontId="2" fillId="10" borderId="11" xfId="0" applyFont="1" applyFill="1" applyBorder="1" applyAlignment="1" applyProtection="1">
      <alignment horizontal="center" vertical="center" wrapText="1"/>
      <protection locked="0"/>
    </xf>
    <xf numFmtId="0" fontId="2" fillId="10" borderId="12" xfId="0" applyFont="1" applyFill="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protection locked="0"/>
    </xf>
    <xf numFmtId="166" fontId="2" fillId="10" borderId="9" xfId="0" applyNumberFormat="1" applyFont="1" applyFill="1" applyBorder="1" applyAlignment="1" applyProtection="1">
      <alignment horizontal="center" vertical="center"/>
      <protection locked="0"/>
    </xf>
    <xf numFmtId="4" fontId="9" fillId="7" borderId="47" xfId="0" applyNumberFormat="1" applyFont="1" applyFill="1" applyBorder="1" applyAlignment="1">
      <alignment vertical="center"/>
    </xf>
    <xf numFmtId="4" fontId="2" fillId="0" borderId="3" xfId="0" applyNumberFormat="1" applyFont="1" applyBorder="1" applyAlignment="1">
      <alignment vertical="center"/>
    </xf>
    <xf numFmtId="165" fontId="2" fillId="2" borderId="3" xfId="0" applyNumberFormat="1" applyFont="1" applyFill="1" applyBorder="1" applyAlignment="1" applyProtection="1">
      <alignment horizontal="center" vertical="center"/>
      <protection locked="0"/>
    </xf>
    <xf numFmtId="4" fontId="2" fillId="7" borderId="3" xfId="0" applyNumberFormat="1" applyFont="1" applyFill="1" applyBorder="1" applyAlignment="1">
      <alignment vertical="center"/>
    </xf>
    <xf numFmtId="4" fontId="2" fillId="7" borderId="7" xfId="0" applyNumberFormat="1" applyFont="1" applyFill="1" applyBorder="1" applyAlignment="1">
      <alignment vertical="center"/>
    </xf>
    <xf numFmtId="4" fontId="2" fillId="10" borderId="12" xfId="0" applyNumberFormat="1" applyFont="1" applyFill="1" applyBorder="1" applyAlignment="1" applyProtection="1">
      <alignment vertical="center"/>
      <protection locked="0"/>
    </xf>
    <xf numFmtId="4" fontId="2" fillId="7" borderId="13" xfId="0" applyNumberFormat="1" applyFont="1" applyFill="1" applyBorder="1" applyAlignment="1">
      <alignment vertical="center"/>
    </xf>
    <xf numFmtId="4" fontId="2" fillId="10" borderId="14" xfId="0" applyNumberFormat="1" applyFont="1" applyFill="1" applyBorder="1" applyAlignment="1" applyProtection="1">
      <alignment vertical="center"/>
      <protection locked="0"/>
    </xf>
    <xf numFmtId="4" fontId="2" fillId="0" borderId="9" xfId="0" applyNumberFormat="1" applyFont="1" applyBorder="1" applyAlignment="1">
      <alignment vertical="center"/>
    </xf>
    <xf numFmtId="165" fontId="2" fillId="2" borderId="9" xfId="0" applyNumberFormat="1" applyFont="1" applyFill="1" applyBorder="1" applyAlignment="1" applyProtection="1">
      <alignment horizontal="center" vertical="center"/>
      <protection locked="0"/>
    </xf>
    <xf numFmtId="4" fontId="2" fillId="7" borderId="9" xfId="0" applyNumberFormat="1" applyFont="1" applyFill="1" applyBorder="1" applyAlignment="1">
      <alignment vertical="center"/>
    </xf>
    <xf numFmtId="4" fontId="2" fillId="7" borderId="10" xfId="0" applyNumberFormat="1" applyFont="1" applyFill="1" applyBorder="1" applyAlignment="1">
      <alignment vertical="center"/>
    </xf>
    <xf numFmtId="166" fontId="2" fillId="2" borderId="13" xfId="0" applyNumberFormat="1" applyFont="1" applyFill="1" applyBorder="1" applyAlignment="1" applyProtection="1">
      <alignment horizontal="center" vertical="center"/>
      <protection locked="0"/>
    </xf>
    <xf numFmtId="166" fontId="2" fillId="2" borderId="10" xfId="0" applyNumberFormat="1" applyFont="1" applyFill="1" applyBorder="1" applyAlignment="1" applyProtection="1">
      <alignment horizontal="center" vertical="center"/>
      <protection locked="0"/>
    </xf>
    <xf numFmtId="0" fontId="2" fillId="8" borderId="11" xfId="0" applyFont="1" applyFill="1" applyBorder="1" applyAlignment="1" applyProtection="1">
      <alignment vertical="center"/>
      <protection locked="0"/>
    </xf>
    <xf numFmtId="0" fontId="2" fillId="8" borderId="7" xfId="0" applyFont="1" applyFill="1" applyBorder="1" applyAlignment="1" applyProtection="1">
      <alignment vertical="center"/>
      <protection locked="0"/>
    </xf>
    <xf numFmtId="0" fontId="2" fillId="8" borderId="12" xfId="0" applyFont="1" applyFill="1" applyBorder="1" applyAlignment="1" applyProtection="1">
      <alignment vertical="center"/>
      <protection locked="0"/>
    </xf>
    <xf numFmtId="0" fontId="2" fillId="8" borderId="13"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2" fillId="12" borderId="31" xfId="0" applyFont="1" applyFill="1" applyBorder="1" applyAlignment="1" applyProtection="1">
      <alignment vertical="top" wrapText="1"/>
      <protection locked="0"/>
    </xf>
    <xf numFmtId="0" fontId="2" fillId="12" borderId="32" xfId="0" applyFont="1" applyFill="1" applyBorder="1" applyAlignment="1" applyProtection="1">
      <alignment vertical="top" wrapText="1"/>
      <protection locked="0"/>
    </xf>
    <xf numFmtId="0" fontId="2" fillId="12" borderId="33" xfId="0" applyFont="1" applyFill="1" applyBorder="1" applyAlignment="1" applyProtection="1">
      <alignment vertical="top" wrapText="1"/>
      <protection locked="0"/>
    </xf>
    <xf numFmtId="1" fontId="2" fillId="0" borderId="0" xfId="0" applyNumberFormat="1" applyFont="1"/>
    <xf numFmtId="166" fontId="2" fillId="14" borderId="51" xfId="0" applyNumberFormat="1" applyFont="1" applyFill="1" applyBorder="1" applyAlignment="1">
      <alignment horizontal="center" vertical="center"/>
    </xf>
    <xf numFmtId="1" fontId="2" fillId="14" borderId="37"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166" fontId="2" fillId="18" borderId="1" xfId="0" applyNumberFormat="1" applyFont="1" applyFill="1" applyBorder="1" applyAlignment="1">
      <alignment horizontal="center"/>
    </xf>
    <xf numFmtId="0" fontId="5" fillId="16" borderId="1" xfId="1" applyFont="1" applyFill="1" applyBorder="1" applyAlignment="1">
      <alignment horizontal="left" vertical="center" indent="1"/>
    </xf>
    <xf numFmtId="167" fontId="5" fillId="16" borderId="1" xfId="1" applyNumberFormat="1" applyFont="1" applyFill="1" applyBorder="1" applyAlignment="1">
      <alignment horizontal="left" vertical="center" indent="1"/>
    </xf>
    <xf numFmtId="0" fontId="5" fillId="16" borderId="1" xfId="0" applyFont="1" applyFill="1" applyBorder="1" applyAlignment="1">
      <alignment horizontal="left" vertical="center" indent="1"/>
    </xf>
    <xf numFmtId="168" fontId="2" fillId="11" borderId="1" xfId="1" applyNumberFormat="1" applyFont="1" applyFill="1" applyBorder="1" applyAlignment="1" applyProtection="1">
      <alignment horizontal="left" vertical="center"/>
      <protection locked="0"/>
    </xf>
    <xf numFmtId="0" fontId="2" fillId="10" borderId="1"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protection locked="0"/>
    </xf>
    <xf numFmtId="0" fontId="2" fillId="19" borderId="0" xfId="0" applyFont="1" applyFill="1"/>
    <xf numFmtId="0" fontId="2" fillId="0" borderId="0" xfId="0" applyFont="1" applyAlignment="1">
      <alignment vertical="center" wrapText="1"/>
    </xf>
    <xf numFmtId="4" fontId="2" fillId="0" borderId="0" xfId="0" applyNumberFormat="1" applyFont="1" applyAlignment="1">
      <alignment vertical="center"/>
    </xf>
    <xf numFmtId="4" fontId="16" fillId="5" borderId="3" xfId="0" applyNumberFormat="1" applyFont="1" applyFill="1" applyBorder="1" applyAlignment="1">
      <alignment horizontal="center" vertical="center" wrapText="1"/>
    </xf>
    <xf numFmtId="4" fontId="16" fillId="5" borderId="1" xfId="0" applyNumberFormat="1" applyFont="1" applyFill="1" applyBorder="1" applyAlignment="1">
      <alignment horizontal="center" vertical="center" wrapText="1"/>
    </xf>
    <xf numFmtId="4" fontId="16" fillId="5" borderId="9" xfId="0" applyNumberFormat="1" applyFont="1" applyFill="1" applyBorder="1" applyAlignment="1">
      <alignment horizontal="center" vertical="center" wrapText="1"/>
    </xf>
    <xf numFmtId="0" fontId="13" fillId="0" borderId="0" xfId="0" applyFont="1" applyAlignment="1" applyProtection="1">
      <alignment vertical="center"/>
      <protection locked="0"/>
    </xf>
    <xf numFmtId="0" fontId="1" fillId="20" borderId="1" xfId="0" applyFont="1" applyFill="1" applyBorder="1" applyAlignment="1">
      <alignment horizontal="center" vertical="center" wrapText="1"/>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5" fillId="15" borderId="0" xfId="0" applyNumberFormat="1" applyFont="1" applyFill="1" applyAlignment="1">
      <alignment horizontal="center" vertical="center"/>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5" fillId="0" borderId="0" xfId="0" quotePrefix="1" applyFont="1" applyAlignment="1">
      <alignment vertical="center"/>
    </xf>
    <xf numFmtId="0" fontId="2" fillId="0" borderId="0" xfId="0" quotePrefix="1" applyFont="1" applyAlignment="1">
      <alignment vertical="center"/>
    </xf>
    <xf numFmtId="0" fontId="19" fillId="0" borderId="0" xfId="0" quotePrefix="1" applyFont="1" applyAlignment="1">
      <alignment vertical="center"/>
    </xf>
    <xf numFmtId="0" fontId="16" fillId="0" borderId="0" xfId="1" applyFont="1" applyAlignment="1">
      <alignment horizontal="center" vertical="center"/>
    </xf>
    <xf numFmtId="0" fontId="2" fillId="10" borderId="37" xfId="0" applyFont="1" applyFill="1" applyBorder="1" applyAlignment="1" applyProtection="1">
      <alignment horizontal="center" vertical="center"/>
      <protection locked="0"/>
    </xf>
    <xf numFmtId="0" fontId="2" fillId="10" borderId="15" xfId="0" applyFont="1" applyFill="1" applyBorder="1" applyAlignment="1" applyProtection="1">
      <alignment horizontal="center" vertical="center"/>
      <protection locked="0"/>
    </xf>
    <xf numFmtId="4" fontId="2" fillId="2" borderId="51" xfId="0" applyNumberFormat="1" applyFont="1" applyFill="1" applyBorder="1" applyAlignment="1" applyProtection="1">
      <alignment horizontal="right" vertical="center"/>
      <protection locked="0"/>
    </xf>
    <xf numFmtId="4" fontId="2" fillId="2" borderId="60" xfId="0" applyNumberFormat="1" applyFont="1" applyFill="1" applyBorder="1" applyAlignment="1" applyProtection="1">
      <alignment horizontal="right" vertical="center"/>
      <protection locked="0"/>
    </xf>
    <xf numFmtId="1" fontId="2" fillId="0" borderId="1" xfId="0" applyNumberFormat="1" applyFont="1" applyBorder="1" applyAlignment="1">
      <alignment horizontal="center" vertical="center"/>
    </xf>
    <xf numFmtId="0" fontId="2" fillId="13" borderId="3" xfId="0" applyFont="1" applyFill="1" applyBorder="1" applyAlignment="1">
      <alignment horizontal="right" vertical="center"/>
    </xf>
    <xf numFmtId="0" fontId="2" fillId="13" borderId="1" xfId="0" applyFont="1" applyFill="1" applyBorder="1" applyAlignment="1">
      <alignment horizontal="right" vertical="center"/>
    </xf>
    <xf numFmtId="0" fontId="2" fillId="13" borderId="9" xfId="0" applyFont="1" applyFill="1" applyBorder="1" applyAlignment="1">
      <alignment horizontal="right" vertical="center"/>
    </xf>
    <xf numFmtId="1" fontId="2" fillId="0" borderId="3" xfId="0" applyNumberFormat="1" applyFont="1" applyBorder="1" applyAlignment="1">
      <alignment horizontal="center" vertical="center"/>
    </xf>
    <xf numFmtId="1" fontId="2" fillId="0" borderId="9" xfId="0" applyNumberFormat="1" applyFont="1" applyBorder="1" applyAlignment="1">
      <alignment horizontal="center" vertical="center"/>
    </xf>
    <xf numFmtId="0" fontId="2" fillId="9" borderId="1" xfId="0" applyFont="1" applyFill="1" applyBorder="1"/>
    <xf numFmtId="0" fontId="2" fillId="9" borderId="1" xfId="0" applyFont="1" applyFill="1" applyBorder="1" applyAlignment="1">
      <alignment horizontal="left"/>
    </xf>
    <xf numFmtId="167" fontId="2" fillId="9" borderId="1" xfId="0" applyNumberFormat="1" applyFont="1" applyFill="1" applyBorder="1" applyAlignment="1">
      <alignment horizontal="left"/>
    </xf>
    <xf numFmtId="0" fontId="2" fillId="0" borderId="0" xfId="0" applyFont="1" applyAlignment="1">
      <alignment horizontal="right"/>
    </xf>
    <xf numFmtId="0" fontId="5" fillId="0" borderId="0" xfId="0" applyFont="1" applyAlignment="1">
      <alignment horizontal="righ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 fontId="5" fillId="0" borderId="0" xfId="0" applyNumberFormat="1" applyFont="1" applyAlignment="1">
      <alignment horizontal="center" vertical="center"/>
    </xf>
    <xf numFmtId="0" fontId="8" fillId="0" borderId="1" xfId="0" applyFont="1" applyBorder="1" applyAlignment="1">
      <alignment vertical="center" wrapText="1"/>
    </xf>
    <xf numFmtId="0" fontId="5" fillId="0" borderId="0" xfId="1" applyFont="1" applyAlignment="1">
      <alignment horizontal="right" vertical="center" indent="1"/>
    </xf>
    <xf numFmtId="0" fontId="2" fillId="0" borderId="0" xfId="0" applyFont="1" applyAlignment="1">
      <alignment horizontal="right" indent="1"/>
    </xf>
    <xf numFmtId="166" fontId="2" fillId="10" borderId="3" xfId="0" applyNumberFormat="1"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wrapText="1"/>
      <protection locked="0"/>
    </xf>
    <xf numFmtId="0" fontId="2" fillId="10" borderId="30" xfId="0" applyFont="1" applyFill="1" applyBorder="1" applyAlignment="1" applyProtection="1">
      <alignment horizontal="center" vertical="center"/>
      <protection locked="0"/>
    </xf>
    <xf numFmtId="4" fontId="2" fillId="10" borderId="11" xfId="0" applyNumberFormat="1" applyFont="1" applyFill="1" applyBorder="1" applyAlignment="1" applyProtection="1">
      <alignment vertical="center"/>
      <protection locked="0"/>
    </xf>
    <xf numFmtId="49" fontId="2" fillId="10" borderId="3" xfId="0" applyNumberFormat="1" applyFont="1" applyFill="1" applyBorder="1" applyAlignment="1" applyProtection="1">
      <alignment horizontal="center" vertical="center"/>
      <protection locked="0"/>
    </xf>
    <xf numFmtId="49" fontId="2" fillId="10" borderId="1" xfId="0" applyNumberFormat="1" applyFont="1" applyFill="1" applyBorder="1" applyAlignment="1" applyProtection="1">
      <alignment horizontal="center" vertical="center"/>
      <protection locked="0"/>
    </xf>
    <xf numFmtId="49" fontId="2" fillId="10" borderId="9" xfId="0" applyNumberFormat="1" applyFont="1" applyFill="1" applyBorder="1" applyAlignment="1" applyProtection="1">
      <alignment horizontal="center" vertical="center"/>
      <protection locked="0"/>
    </xf>
    <xf numFmtId="4" fontId="7" fillId="5" borderId="3" xfId="0" applyNumberFormat="1" applyFont="1" applyFill="1" applyBorder="1" applyAlignment="1">
      <alignment horizontal="center" vertical="center" wrapText="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18" fillId="0" borderId="0" xfId="0" quotePrefix="1" applyFont="1" applyAlignment="1">
      <alignment horizontal="left" vertical="center" wrapText="1" indent="1"/>
    </xf>
    <xf numFmtId="0" fontId="18"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2" fillId="0" borderId="0" xfId="1" applyFont="1" applyAlignment="1">
      <alignment horizontal="left" vertical="center" wrapText="1"/>
    </xf>
    <xf numFmtId="0" fontId="5" fillId="0" borderId="0" xfId="1" applyFont="1" applyAlignment="1">
      <alignment horizontal="left" vertical="center"/>
    </xf>
    <xf numFmtId="0" fontId="2" fillId="11" borderId="16" xfId="1" applyFont="1" applyFill="1" applyBorder="1" applyAlignment="1" applyProtection="1">
      <alignment horizontal="left" vertical="center" wrapText="1" indent="1"/>
      <protection locked="0"/>
    </xf>
    <xf numFmtId="0" fontId="2" fillId="11" borderId="21" xfId="1" applyFont="1" applyFill="1" applyBorder="1" applyAlignment="1" applyProtection="1">
      <alignment horizontal="left" vertical="center" wrapText="1" indent="1"/>
      <protection locked="0"/>
    </xf>
    <xf numFmtId="0" fontId="2" fillId="11" borderId="17" xfId="1" applyFont="1" applyFill="1" applyBorder="1" applyAlignment="1" applyProtection="1">
      <alignment horizontal="left" vertical="center" wrapText="1" indent="1"/>
      <protection locked="0"/>
    </xf>
    <xf numFmtId="0" fontId="2" fillId="11" borderId="18" xfId="1" applyFont="1" applyFill="1" applyBorder="1" applyAlignment="1" applyProtection="1">
      <alignment horizontal="left" vertical="center" wrapText="1" indent="1"/>
      <protection locked="0"/>
    </xf>
    <xf numFmtId="0" fontId="2" fillId="11" borderId="22" xfId="1" applyFont="1" applyFill="1" applyBorder="1" applyAlignment="1" applyProtection="1">
      <alignment horizontal="left" vertical="center" wrapText="1" indent="1"/>
      <protection locked="0"/>
    </xf>
    <xf numFmtId="0" fontId="2" fillId="11" borderId="19" xfId="1" applyFont="1" applyFill="1" applyBorder="1" applyAlignment="1" applyProtection="1">
      <alignment horizontal="left" vertical="center" wrapText="1" indent="1"/>
      <protection locked="0"/>
    </xf>
    <xf numFmtId="0" fontId="5" fillId="16" borderId="16" xfId="1" applyFont="1" applyFill="1" applyBorder="1" applyAlignment="1">
      <alignment horizontal="left" vertical="center" wrapText="1" indent="1"/>
    </xf>
    <xf numFmtId="0" fontId="5" fillId="16" borderId="21" xfId="1" applyFont="1" applyFill="1" applyBorder="1" applyAlignment="1">
      <alignment horizontal="left" vertical="center" wrapText="1" indent="1"/>
    </xf>
    <xf numFmtId="0" fontId="5" fillId="16" borderId="17" xfId="1" applyFont="1" applyFill="1" applyBorder="1" applyAlignment="1">
      <alignment horizontal="left" vertical="center" wrapText="1" indent="1"/>
    </xf>
    <xf numFmtId="0" fontId="5" fillId="16" borderId="52" xfId="1" applyFont="1" applyFill="1" applyBorder="1" applyAlignment="1">
      <alignment horizontal="left" vertical="center" wrapText="1" indent="1"/>
    </xf>
    <xf numFmtId="0" fontId="5" fillId="16" borderId="0" xfId="1" applyFont="1" applyFill="1" applyAlignment="1">
      <alignment horizontal="left" vertical="center" wrapText="1" indent="1"/>
    </xf>
    <xf numFmtId="0" fontId="5" fillId="16" borderId="53" xfId="1" applyFont="1" applyFill="1" applyBorder="1" applyAlignment="1">
      <alignment horizontal="left" vertical="center" wrapText="1" indent="1"/>
    </xf>
    <xf numFmtId="0" fontId="5" fillId="16" borderId="18" xfId="1" applyFont="1" applyFill="1" applyBorder="1" applyAlignment="1">
      <alignment horizontal="left" vertical="center" wrapText="1" indent="1"/>
    </xf>
    <xf numFmtId="0" fontId="5" fillId="16" borderId="22" xfId="1" applyFont="1" applyFill="1" applyBorder="1" applyAlignment="1">
      <alignment horizontal="left" vertical="center" wrapText="1" indent="1"/>
    </xf>
    <xf numFmtId="0" fontId="5" fillId="16" borderId="19" xfId="1" applyFont="1" applyFill="1" applyBorder="1" applyAlignment="1">
      <alignment horizontal="left" vertical="center" wrapText="1" indent="1"/>
    </xf>
    <xf numFmtId="0" fontId="5" fillId="0" borderId="53" xfId="1" applyFont="1" applyBorder="1" applyAlignment="1">
      <alignment horizontal="left" vertical="center"/>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166" fontId="5" fillId="3" borderId="41" xfId="0" applyNumberFormat="1" applyFont="1" applyFill="1" applyBorder="1" applyAlignment="1">
      <alignment horizontal="center" vertical="center"/>
    </xf>
    <xf numFmtId="166" fontId="5" fillId="3" borderId="43"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166" fontId="5" fillId="3" borderId="42" xfId="0" applyNumberFormat="1"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17" borderId="42" xfId="0" applyFont="1" applyFill="1" applyBorder="1" applyAlignment="1">
      <alignment horizontal="center" vertical="center"/>
    </xf>
    <xf numFmtId="0" fontId="5" fillId="17" borderId="41" xfId="0" applyFont="1" applyFill="1" applyBorder="1" applyAlignment="1">
      <alignment horizontal="center" vertical="center"/>
    </xf>
    <xf numFmtId="0" fontId="5" fillId="17" borderId="43"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center" wrapText="1"/>
    </xf>
    <xf numFmtId="4" fontId="2" fillId="10" borderId="3" xfId="0" applyNumberFormat="1" applyFont="1" applyFill="1" applyBorder="1" applyAlignment="1" applyProtection="1">
      <alignment horizontal="center" vertical="center"/>
      <protection locked="0"/>
    </xf>
    <xf numFmtId="4" fontId="2" fillId="10" borderId="1"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horizontal="center" vertical="center"/>
      <protection locked="0"/>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11" fillId="0" borderId="0" xfId="0" applyFont="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5" fillId="8" borderId="58" xfId="0"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15" fillId="16" borderId="31"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16" borderId="31" xfId="0" applyFont="1" applyFill="1" applyBorder="1" applyAlignment="1">
      <alignment horizontal="center" vertical="center"/>
    </xf>
    <xf numFmtId="0" fontId="2" fillId="16" borderId="32" xfId="0" applyFont="1" applyFill="1" applyBorder="1" applyAlignment="1">
      <alignment horizontal="center" vertical="center"/>
    </xf>
    <xf numFmtId="0" fontId="2" fillId="16" borderId="40"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36" xfId="0" applyFont="1" applyBorder="1" applyAlignment="1">
      <alignment horizontal="center"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66" fontId="2" fillId="16" borderId="1" xfId="0" applyNumberFormat="1" applyFont="1" applyFill="1" applyBorder="1" applyAlignment="1">
      <alignment horizontal="center" vertical="center" wrapText="1"/>
    </xf>
    <xf numFmtId="166" fontId="2" fillId="16" borderId="9"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2" fillId="14" borderId="50" xfId="0" applyFont="1" applyFill="1" applyBorder="1" applyAlignment="1">
      <alignment horizontal="center" vertical="center" wrapText="1"/>
    </xf>
    <xf numFmtId="0" fontId="2" fillId="14" borderId="51" xfId="0" applyFont="1" applyFill="1" applyBorder="1" applyAlignment="1">
      <alignment horizontal="center" vertical="center" wrapText="1"/>
    </xf>
    <xf numFmtId="0" fontId="2" fillId="14" borderId="17" xfId="0" applyFont="1" applyFill="1" applyBorder="1" applyAlignment="1">
      <alignment horizontal="center" vertical="center"/>
    </xf>
    <xf numFmtId="0" fontId="2" fillId="14" borderId="30"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166" fontId="16" fillId="16" borderId="1" xfId="0" applyNumberFormat="1" applyFont="1" applyFill="1" applyBorder="1" applyAlignment="1">
      <alignment horizontal="center" vertical="center" wrapText="1"/>
    </xf>
    <xf numFmtId="166" fontId="16" fillId="16" borderId="9" xfId="0" applyNumberFormat="1" applyFont="1" applyFill="1" applyBorder="1" applyAlignment="1">
      <alignment horizontal="center" vertical="center" wrapText="1"/>
    </xf>
    <xf numFmtId="0" fontId="5" fillId="13" borderId="6" xfId="0" applyFont="1" applyFill="1" applyBorder="1" applyAlignment="1">
      <alignment horizontal="center" vertical="center"/>
    </xf>
    <xf numFmtId="0" fontId="5" fillId="13" borderId="23" xfId="0" applyFont="1" applyFill="1" applyBorder="1" applyAlignment="1">
      <alignment horizontal="center" vertical="center"/>
    </xf>
    <xf numFmtId="0" fontId="5" fillId="13" borderId="24" xfId="0" applyFont="1" applyFill="1" applyBorder="1" applyAlignment="1">
      <alignment horizontal="center" vertical="center"/>
    </xf>
    <xf numFmtId="0" fontId="5" fillId="13" borderId="25" xfId="0" applyFont="1" applyFill="1" applyBorder="1" applyAlignment="1">
      <alignment horizontal="center" vertical="center"/>
    </xf>
    <xf numFmtId="0" fontId="5" fillId="13" borderId="22" xfId="0" applyFont="1" applyFill="1" applyBorder="1" applyAlignment="1">
      <alignment horizontal="center" vertical="center"/>
    </xf>
    <xf numFmtId="0" fontId="5" fillId="13" borderId="26"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14" borderId="2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0" xfId="0" applyFont="1" applyFill="1" applyAlignment="1">
      <alignment horizontal="center" vertical="center"/>
    </xf>
    <xf numFmtId="0" fontId="5" fillId="13" borderId="1" xfId="0" applyFont="1" applyFill="1" applyBorder="1" applyAlignment="1">
      <alignment horizontal="center"/>
    </xf>
    <xf numFmtId="0" fontId="5" fillId="0" borderId="0" xfId="0" applyFont="1" applyAlignment="1">
      <alignment horizontal="center"/>
    </xf>
    <xf numFmtId="0" fontId="2" fillId="9" borderId="37" xfId="0" applyFont="1" applyFill="1" applyBorder="1" applyAlignment="1">
      <alignment horizontal="left"/>
    </xf>
    <xf numFmtId="0" fontId="2" fillId="9" borderId="38" xfId="0" applyFont="1" applyFill="1" applyBorder="1" applyAlignment="1">
      <alignment horizontal="left"/>
    </xf>
    <xf numFmtId="0" fontId="2" fillId="9" borderId="51" xfId="0" applyFont="1" applyFill="1" applyBorder="1" applyAlignment="1">
      <alignment horizontal="left"/>
    </xf>
  </cellXfs>
  <cellStyles count="2">
    <cellStyle name="Normal" xfId="0" builtinId="0"/>
    <cellStyle name="Normal 2" xfId="1" xr:uid="{00000000-0005-0000-0000-000001000000}"/>
  </cellStyles>
  <dxfs count="79">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font>
      <fill>
        <patternFill>
          <bgColor rgb="FFC1D400"/>
        </patternFill>
      </fill>
    </dxf>
    <dxf>
      <fill>
        <patternFill>
          <bgColor rgb="FFFFE575"/>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7C80"/>
      <color rgb="FFC6E0B4"/>
      <color rgb="FFFFE575"/>
      <color rgb="FFBCE200"/>
      <color rgb="FFC1D400"/>
      <color rgb="FFE7F1F9"/>
      <color rgb="FFFF3300"/>
      <color rgb="FFA7E200"/>
      <color rgb="FFFF898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28573</xdr:colOff>
      <xdr:row>0</xdr:row>
      <xdr:rowOff>76200</xdr:rowOff>
    </xdr:from>
    <xdr:to>
      <xdr:col>2</xdr:col>
      <xdr:colOff>590549</xdr:colOff>
      <xdr:row>5</xdr:row>
      <xdr:rowOff>185070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33398" y="76200"/>
          <a:ext cx="1695451" cy="1061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19</xdr:col>
      <xdr:colOff>489699</xdr:colOff>
      <xdr:row>26</xdr:row>
      <xdr:rowOff>351600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43</xdr:row>
      <xdr:rowOff>38100</xdr:rowOff>
    </xdr:from>
    <xdr:to>
      <xdr:col>2</xdr:col>
      <xdr:colOff>1238251</xdr:colOff>
      <xdr:row>49</xdr:row>
      <xdr:rowOff>70770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19100" y="209550"/>
          <a:ext cx="1695451" cy="106137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3"/>
  <sheetViews>
    <sheetView showGridLines="0" workbookViewId="0">
      <selection activeCell="B3" sqref="B3"/>
    </sheetView>
  </sheetViews>
  <sheetFormatPr baseColWidth="10" defaultColWidth="9.140625" defaultRowHeight="15" customHeight="1" x14ac:dyDescent="0.2"/>
  <cols>
    <col min="1" max="1" width="5.7109375" style="1" customWidth="1"/>
    <col min="2" max="2" width="85.7109375" style="1" customWidth="1"/>
    <col min="3" max="1001" width="10.7109375" style="1" customWidth="1"/>
    <col min="1002" max="16384" width="9.140625" style="1"/>
  </cols>
  <sheetData>
    <row r="1" spans="1:2" ht="15" customHeight="1" x14ac:dyDescent="0.2">
      <c r="A1" s="192" t="s">
        <v>188</v>
      </c>
    </row>
    <row r="3" spans="1:2" ht="39.950000000000003" customHeight="1" x14ac:dyDescent="0.2">
      <c r="B3" s="193" t="s">
        <v>164</v>
      </c>
    </row>
    <row r="5" spans="1:2" ht="27" x14ac:dyDescent="0.2">
      <c r="B5" s="194" t="s">
        <v>174</v>
      </c>
    </row>
    <row r="6" spans="1:2" ht="15" customHeight="1" x14ac:dyDescent="0.2">
      <c r="B6" s="235" t="s">
        <v>143</v>
      </c>
    </row>
    <row r="7" spans="1:2" ht="15" customHeight="1" x14ac:dyDescent="0.2">
      <c r="B7" s="235"/>
    </row>
    <row r="8" spans="1:2" ht="15" customHeight="1" x14ac:dyDescent="0.2">
      <c r="B8" s="235"/>
    </row>
    <row r="9" spans="1:2" ht="15" customHeight="1" x14ac:dyDescent="0.2">
      <c r="B9" s="235"/>
    </row>
    <row r="10" spans="1:2" ht="15" customHeight="1" x14ac:dyDescent="0.2">
      <c r="B10" s="195"/>
    </row>
    <row r="11" spans="1:2" ht="15" customHeight="1" x14ac:dyDescent="0.2">
      <c r="B11" s="196" t="s">
        <v>115</v>
      </c>
    </row>
    <row r="12" spans="1:2" ht="9.9499999999999993" customHeight="1" x14ac:dyDescent="0.2"/>
    <row r="13" spans="1:2" ht="15" customHeight="1" x14ac:dyDescent="0.2">
      <c r="B13" s="197" t="s">
        <v>123</v>
      </c>
    </row>
    <row r="14" spans="1:2" ht="15" customHeight="1" x14ac:dyDescent="0.2">
      <c r="B14" s="198" t="s">
        <v>173</v>
      </c>
    </row>
    <row r="15" spans="1:2" ht="15" customHeight="1" x14ac:dyDescent="0.2">
      <c r="B15" s="198" t="s">
        <v>124</v>
      </c>
    </row>
    <row r="16" spans="1:2" ht="15" customHeight="1" x14ac:dyDescent="0.2">
      <c r="B16" s="241" t="s">
        <v>128</v>
      </c>
    </row>
    <row r="17" spans="2:2" ht="15" customHeight="1" x14ac:dyDescent="0.2">
      <c r="B17" s="241"/>
    </row>
    <row r="18" spans="2:2" ht="15" customHeight="1" x14ac:dyDescent="0.2">
      <c r="B18" s="241"/>
    </row>
    <row r="19" spans="2:2" ht="9.9499999999999993" customHeight="1" x14ac:dyDescent="0.2">
      <c r="B19" s="241"/>
    </row>
    <row r="20" spans="2:2" ht="15" customHeight="1" x14ac:dyDescent="0.2">
      <c r="B20" s="241" t="s">
        <v>129</v>
      </c>
    </row>
    <row r="21" spans="2:2" ht="9.9499999999999993" customHeight="1" x14ac:dyDescent="0.2">
      <c r="B21" s="241"/>
    </row>
    <row r="22" spans="2:2" ht="15" customHeight="1" x14ac:dyDescent="0.2">
      <c r="B22" s="241"/>
    </row>
    <row r="23" spans="2:2" ht="15" customHeight="1" x14ac:dyDescent="0.2">
      <c r="B23" s="194"/>
    </row>
    <row r="24" spans="2:2" ht="15" customHeight="1" x14ac:dyDescent="0.2">
      <c r="B24" s="196" t="s">
        <v>144</v>
      </c>
    </row>
    <row r="25" spans="2:2" ht="9.9499999999999993" customHeight="1" x14ac:dyDescent="0.2"/>
    <row r="26" spans="2:2" ht="15" customHeight="1" x14ac:dyDescent="0.2">
      <c r="B26" s="200" t="s">
        <v>130</v>
      </c>
    </row>
    <row r="27" spans="2:2" ht="15" customHeight="1" x14ac:dyDescent="0.2">
      <c r="B27" s="237" t="s">
        <v>131</v>
      </c>
    </row>
    <row r="28" spans="2:2" ht="15" customHeight="1" x14ac:dyDescent="0.2">
      <c r="B28" s="237"/>
    </row>
    <row r="29" spans="2:2" ht="15" customHeight="1" x14ac:dyDescent="0.2">
      <c r="B29" s="237" t="s">
        <v>132</v>
      </c>
    </row>
    <row r="30" spans="2:2" ht="15" customHeight="1" x14ac:dyDescent="0.2">
      <c r="B30" s="237"/>
    </row>
    <row r="31" spans="2:2" ht="15" customHeight="1" x14ac:dyDescent="0.2">
      <c r="B31" s="237" t="s">
        <v>133</v>
      </c>
    </row>
    <row r="32" spans="2:2" ht="15" customHeight="1" x14ac:dyDescent="0.2">
      <c r="B32" s="237"/>
    </row>
    <row r="33" spans="2:2" ht="15" customHeight="1" x14ac:dyDescent="0.2">
      <c r="B33" s="237" t="s">
        <v>134</v>
      </c>
    </row>
    <row r="34" spans="2:2" ht="15" customHeight="1" x14ac:dyDescent="0.2">
      <c r="B34" s="237"/>
    </row>
    <row r="35" spans="2:2" ht="15" customHeight="1" x14ac:dyDescent="0.2">
      <c r="B35" s="237" t="s">
        <v>135</v>
      </c>
    </row>
    <row r="36" spans="2:2" ht="15" customHeight="1" x14ac:dyDescent="0.2">
      <c r="B36" s="237"/>
    </row>
    <row r="37" spans="2:2" ht="15" customHeight="1" x14ac:dyDescent="0.2">
      <c r="B37" s="237"/>
    </row>
    <row r="38" spans="2:2" ht="15" customHeight="1" x14ac:dyDescent="0.2">
      <c r="B38" s="237" t="s">
        <v>136</v>
      </c>
    </row>
    <row r="39" spans="2:2" ht="15" customHeight="1" x14ac:dyDescent="0.2">
      <c r="B39" s="237"/>
    </row>
    <row r="40" spans="2:2" ht="15" customHeight="1" x14ac:dyDescent="0.2">
      <c r="B40" s="237"/>
    </row>
    <row r="41" spans="2:2" ht="9.9499999999999993" customHeight="1" x14ac:dyDescent="0.2"/>
    <row r="42" spans="2:2" ht="15" customHeight="1" x14ac:dyDescent="0.2">
      <c r="B42" s="202" t="s">
        <v>137</v>
      </c>
    </row>
    <row r="43" spans="2:2" ht="15" customHeight="1" x14ac:dyDescent="0.2">
      <c r="B43" s="237" t="s">
        <v>138</v>
      </c>
    </row>
    <row r="44" spans="2:2" ht="15" customHeight="1" x14ac:dyDescent="0.2">
      <c r="B44" s="237"/>
    </row>
    <row r="45" spans="2:2" ht="15" customHeight="1" x14ac:dyDescent="0.2">
      <c r="B45" s="237"/>
    </row>
    <row r="46" spans="2:2" ht="15" customHeight="1" x14ac:dyDescent="0.2">
      <c r="B46" s="237"/>
    </row>
    <row r="47" spans="2:2" ht="15" customHeight="1" x14ac:dyDescent="0.2">
      <c r="B47" s="237" t="s">
        <v>139</v>
      </c>
    </row>
    <row r="48" spans="2:2" ht="15" customHeight="1" x14ac:dyDescent="0.2">
      <c r="B48" s="237"/>
    </row>
    <row r="49" spans="2:2" ht="15" customHeight="1" x14ac:dyDescent="0.2">
      <c r="B49" s="237"/>
    </row>
    <row r="50" spans="2:2" ht="15" customHeight="1" x14ac:dyDescent="0.2">
      <c r="B50" s="237"/>
    </row>
    <row r="51" spans="2:2" ht="9.9499999999999993" customHeight="1" x14ac:dyDescent="0.2">
      <c r="B51" s="203"/>
    </row>
    <row r="52" spans="2:2" ht="15" customHeight="1" x14ac:dyDescent="0.2">
      <c r="B52" s="204" t="s">
        <v>145</v>
      </c>
    </row>
    <row r="53" spans="2:2" ht="15" customHeight="1" x14ac:dyDescent="0.2">
      <c r="B53" s="238" t="s">
        <v>140</v>
      </c>
    </row>
    <row r="54" spans="2:2" ht="15" customHeight="1" x14ac:dyDescent="0.2">
      <c r="B54" s="238"/>
    </row>
    <row r="55" spans="2:2" ht="9.9499999999999993" customHeight="1" x14ac:dyDescent="0.2">
      <c r="B55" s="239" t="s">
        <v>141</v>
      </c>
    </row>
    <row r="56" spans="2:2" ht="15" customHeight="1" x14ac:dyDescent="0.2">
      <c r="B56" s="239"/>
    </row>
    <row r="57" spans="2:2" ht="15" customHeight="1" x14ac:dyDescent="0.2">
      <c r="B57" s="239"/>
    </row>
    <row r="58" spans="2:2" ht="15" customHeight="1" x14ac:dyDescent="0.2">
      <c r="B58" s="239" t="s">
        <v>142</v>
      </c>
    </row>
    <row r="59" spans="2:2" ht="15" customHeight="1" x14ac:dyDescent="0.2">
      <c r="B59" s="239"/>
    </row>
    <row r="60" spans="2:2" ht="15" customHeight="1" x14ac:dyDescent="0.2">
      <c r="B60" s="201" t="s">
        <v>146</v>
      </c>
    </row>
    <row r="61" spans="2:2" ht="15" customHeight="1" x14ac:dyDescent="0.2">
      <c r="B61" s="201" t="s">
        <v>147</v>
      </c>
    </row>
    <row r="62" spans="2:2" ht="15" customHeight="1" x14ac:dyDescent="0.2">
      <c r="B62" s="237" t="s">
        <v>148</v>
      </c>
    </row>
    <row r="63" spans="2:2" ht="15" customHeight="1" x14ac:dyDescent="0.2">
      <c r="B63" s="237"/>
    </row>
    <row r="64" spans="2:2" ht="15" customHeight="1" x14ac:dyDescent="0.2">
      <c r="B64" s="237"/>
    </row>
    <row r="65" spans="2:2" ht="9.9499999999999993" customHeight="1" x14ac:dyDescent="0.2"/>
    <row r="66" spans="2:2" ht="15" customHeight="1" x14ac:dyDescent="0.2">
      <c r="B66" s="202" t="s">
        <v>149</v>
      </c>
    </row>
    <row r="67" spans="2:2" ht="15" customHeight="1" x14ac:dyDescent="0.2">
      <c r="B67" s="201" t="s">
        <v>150</v>
      </c>
    </row>
    <row r="68" spans="2:2" ht="15" customHeight="1" x14ac:dyDescent="0.2">
      <c r="B68" s="237" t="s">
        <v>151</v>
      </c>
    </row>
    <row r="69" spans="2:2" ht="15" customHeight="1" x14ac:dyDescent="0.2">
      <c r="B69" s="237"/>
    </row>
    <row r="70" spans="2:2" ht="15" customHeight="1" x14ac:dyDescent="0.2">
      <c r="B70" s="237"/>
    </row>
    <row r="71" spans="2:2" ht="15" customHeight="1" x14ac:dyDescent="0.2">
      <c r="B71" s="237"/>
    </row>
    <row r="72" spans="2:2" ht="15" customHeight="1" x14ac:dyDescent="0.2">
      <c r="B72" s="237" t="s">
        <v>152</v>
      </c>
    </row>
    <row r="73" spans="2:2" ht="15" customHeight="1" x14ac:dyDescent="0.2">
      <c r="B73" s="237"/>
    </row>
    <row r="74" spans="2:2" ht="15" customHeight="1" x14ac:dyDescent="0.2">
      <c r="B74" s="240" t="s">
        <v>153</v>
      </c>
    </row>
    <row r="75" spans="2:2" ht="15" customHeight="1" x14ac:dyDescent="0.2">
      <c r="B75" s="240"/>
    </row>
    <row r="76" spans="2:2" ht="15" customHeight="1" x14ac:dyDescent="0.2">
      <c r="B76" s="237" t="s">
        <v>154</v>
      </c>
    </row>
    <row r="77" spans="2:2" ht="15" customHeight="1" x14ac:dyDescent="0.2">
      <c r="B77" s="237"/>
    </row>
    <row r="78" spans="2:2" ht="9.9499999999999993" customHeight="1" x14ac:dyDescent="0.2"/>
    <row r="79" spans="2:2" ht="15" customHeight="1" x14ac:dyDescent="0.2">
      <c r="B79" s="202" t="s">
        <v>155</v>
      </c>
    </row>
    <row r="80" spans="2:2" ht="15" customHeight="1" x14ac:dyDescent="0.2">
      <c r="B80" s="237" t="s">
        <v>156</v>
      </c>
    </row>
    <row r="81" spans="2:2" ht="15" customHeight="1" x14ac:dyDescent="0.2">
      <c r="B81" s="237"/>
    </row>
    <row r="82" spans="2:2" ht="15" customHeight="1" x14ac:dyDescent="0.2">
      <c r="B82" s="237"/>
    </row>
    <row r="83" spans="2:2" ht="15" customHeight="1" x14ac:dyDescent="0.2">
      <c r="B83" s="237"/>
    </row>
    <row r="84" spans="2:2" ht="15" customHeight="1" x14ac:dyDescent="0.2">
      <c r="B84" s="237"/>
    </row>
    <row r="85" spans="2:2" ht="15" customHeight="1" x14ac:dyDescent="0.2">
      <c r="B85" s="237" t="s">
        <v>157</v>
      </c>
    </row>
    <row r="86" spans="2:2" ht="15" customHeight="1" x14ac:dyDescent="0.2">
      <c r="B86" s="237"/>
    </row>
    <row r="87" spans="2:2" ht="9.9499999999999993" customHeight="1" x14ac:dyDescent="0.2"/>
    <row r="88" spans="2:2" ht="15" customHeight="1" x14ac:dyDescent="0.2">
      <c r="B88" s="202" t="s">
        <v>158</v>
      </c>
    </row>
    <row r="89" spans="2:2" ht="15" customHeight="1" x14ac:dyDescent="0.2">
      <c r="B89" s="237" t="s">
        <v>159</v>
      </c>
    </row>
    <row r="90" spans="2:2" ht="15" customHeight="1" x14ac:dyDescent="0.2">
      <c r="B90" s="237"/>
    </row>
    <row r="91" spans="2:2" ht="15" customHeight="1" x14ac:dyDescent="0.2">
      <c r="B91" s="199" t="s">
        <v>116</v>
      </c>
    </row>
    <row r="92" spans="2:2" ht="15" customHeight="1" x14ac:dyDescent="0.2">
      <c r="B92" s="199" t="s">
        <v>117</v>
      </c>
    </row>
    <row r="93" spans="2:2" ht="15" customHeight="1" x14ac:dyDescent="0.2">
      <c r="B93" s="241" t="s">
        <v>118</v>
      </c>
    </row>
    <row r="94" spans="2:2" ht="15" customHeight="1" x14ac:dyDescent="0.2">
      <c r="B94" s="241"/>
    </row>
    <row r="95" spans="2:2" ht="15" customHeight="1" x14ac:dyDescent="0.2">
      <c r="B95" s="241" t="s">
        <v>119</v>
      </c>
    </row>
    <row r="96" spans="2:2" ht="15" customHeight="1" x14ac:dyDescent="0.2">
      <c r="B96" s="241"/>
    </row>
    <row r="97" spans="2:2" ht="15" customHeight="1" x14ac:dyDescent="0.2">
      <c r="B97" s="241" t="s">
        <v>120</v>
      </c>
    </row>
    <row r="98" spans="2:2" ht="15" customHeight="1" x14ac:dyDescent="0.2">
      <c r="B98" s="241"/>
    </row>
    <row r="99" spans="2:2" ht="15" customHeight="1" x14ac:dyDescent="0.2">
      <c r="B99" s="241"/>
    </row>
    <row r="100" spans="2:2" ht="15" customHeight="1" x14ac:dyDescent="0.2">
      <c r="B100" s="241" t="s">
        <v>121</v>
      </c>
    </row>
    <row r="101" spans="2:2" ht="15" customHeight="1" x14ac:dyDescent="0.2">
      <c r="B101" s="241"/>
    </row>
    <row r="102" spans="2:2" ht="15" customHeight="1" x14ac:dyDescent="0.2">
      <c r="B102" s="241"/>
    </row>
    <row r="103" spans="2:2" ht="15" customHeight="1" x14ac:dyDescent="0.2">
      <c r="B103" s="241" t="s">
        <v>122</v>
      </c>
    </row>
    <row r="104" spans="2:2" ht="15" customHeight="1" x14ac:dyDescent="0.2">
      <c r="B104" s="241"/>
    </row>
    <row r="105" spans="2:2" ht="9.9499999999999993" customHeight="1" x14ac:dyDescent="0.2"/>
    <row r="106" spans="2:2" ht="15" customHeight="1" x14ac:dyDescent="0.2">
      <c r="B106" s="202" t="s">
        <v>160</v>
      </c>
    </row>
    <row r="107" spans="2:2" ht="15" customHeight="1" x14ac:dyDescent="0.2">
      <c r="B107" s="242" t="s">
        <v>161</v>
      </c>
    </row>
    <row r="108" spans="2:2" ht="15" customHeight="1" x14ac:dyDescent="0.2">
      <c r="B108" s="241"/>
    </row>
    <row r="109" spans="2:2" ht="15" customHeight="1" x14ac:dyDescent="0.2">
      <c r="B109" s="194"/>
    </row>
    <row r="110" spans="2:2" ht="15" customHeight="1" x14ac:dyDescent="0.2">
      <c r="B110" s="196" t="s">
        <v>162</v>
      </c>
    </row>
    <row r="111" spans="2:2" ht="9.9499999999999993" customHeight="1" x14ac:dyDescent="0.2"/>
    <row r="112" spans="2:2" ht="15" customHeight="1" x14ac:dyDescent="0.2">
      <c r="B112" s="235" t="s">
        <v>163</v>
      </c>
    </row>
    <row r="113" spans="2:2" ht="15" customHeight="1" x14ac:dyDescent="0.2">
      <c r="B113" s="235"/>
    </row>
    <row r="114" spans="2:2" ht="15" customHeight="1" x14ac:dyDescent="0.2">
      <c r="B114" s="235" t="s">
        <v>167</v>
      </c>
    </row>
    <row r="115" spans="2:2" ht="15" customHeight="1" x14ac:dyDescent="0.2">
      <c r="B115" s="235"/>
    </row>
    <row r="116" spans="2:2" ht="15" customHeight="1" x14ac:dyDescent="0.2">
      <c r="B116" s="235"/>
    </row>
    <row r="117" spans="2:2" ht="15" customHeight="1" x14ac:dyDescent="0.2">
      <c r="B117" s="194"/>
    </row>
    <row r="118" spans="2:2" ht="15" customHeight="1" x14ac:dyDescent="0.2">
      <c r="B118" s="196" t="s">
        <v>165</v>
      </c>
    </row>
    <row r="119" spans="2:2" ht="9.9499999999999993" customHeight="1" x14ac:dyDescent="0.2"/>
    <row r="120" spans="2:2" ht="15" customHeight="1" x14ac:dyDescent="0.2">
      <c r="B120" s="235" t="s">
        <v>166</v>
      </c>
    </row>
    <row r="121" spans="2:2" ht="15" customHeight="1" x14ac:dyDescent="0.2">
      <c r="B121" s="235"/>
    </row>
    <row r="122" spans="2:2" ht="15" customHeight="1" x14ac:dyDescent="0.2">
      <c r="B122" s="235"/>
    </row>
    <row r="123" spans="2:2" ht="15" customHeight="1" x14ac:dyDescent="0.2">
      <c r="B123" s="236" t="s">
        <v>168</v>
      </c>
    </row>
    <row r="124" spans="2:2" ht="15" customHeight="1" x14ac:dyDescent="0.2">
      <c r="B124" s="236"/>
    </row>
    <row r="125" spans="2:2" ht="15" customHeight="1" x14ac:dyDescent="0.2">
      <c r="B125" s="236"/>
    </row>
    <row r="126" spans="2:2" ht="15" customHeight="1" x14ac:dyDescent="0.2">
      <c r="B126" s="236" t="s">
        <v>169</v>
      </c>
    </row>
    <row r="127" spans="2:2" ht="15" customHeight="1" x14ac:dyDescent="0.2">
      <c r="B127" s="236"/>
    </row>
    <row r="128" spans="2:2" ht="15" customHeight="1" x14ac:dyDescent="0.2">
      <c r="B128" s="236"/>
    </row>
    <row r="129" spans="2:2" ht="15" customHeight="1" x14ac:dyDescent="0.2">
      <c r="B129" s="236" t="s">
        <v>170</v>
      </c>
    </row>
    <row r="130" spans="2:2" ht="15" customHeight="1" x14ac:dyDescent="0.2">
      <c r="B130" s="236"/>
    </row>
    <row r="131" spans="2:2" ht="15" customHeight="1" x14ac:dyDescent="0.2">
      <c r="B131" s="236" t="s">
        <v>171</v>
      </c>
    </row>
    <row r="132" spans="2:2" ht="15" customHeight="1" x14ac:dyDescent="0.2">
      <c r="B132" s="236"/>
    </row>
    <row r="133" spans="2:2" ht="15" customHeight="1" x14ac:dyDescent="0.2">
      <c r="B133" s="236"/>
    </row>
  </sheetData>
  <sheetProtection algorithmName="SHA-512" hashValue="CnC1VU9W0SrdRAjNM+gJ5P/Pnm2l1WGx08X+G1spLiGvH7+kyO6Pgax2dE6XDgljZM0MNDb8CB45VgnQavZpHw==" saltValue="U+kg0CoSHlIh9FDDJSyeIg==" spinCount="100000" sheet="1" objects="1" scenarios="1"/>
  <mergeCells count="35">
    <mergeCell ref="B6:B9"/>
    <mergeCell ref="B62:B64"/>
    <mergeCell ref="B55:B57"/>
    <mergeCell ref="B100:B102"/>
    <mergeCell ref="B103:B104"/>
    <mergeCell ref="B89:B90"/>
    <mergeCell ref="B33:B34"/>
    <mergeCell ref="B38:B40"/>
    <mergeCell ref="B35:B37"/>
    <mergeCell ref="B43:B46"/>
    <mergeCell ref="B47:B50"/>
    <mergeCell ref="B16:B19"/>
    <mergeCell ref="B20:B22"/>
    <mergeCell ref="B97:B99"/>
    <mergeCell ref="B126:B128"/>
    <mergeCell ref="B131:B133"/>
    <mergeCell ref="B53:B54"/>
    <mergeCell ref="B58:B59"/>
    <mergeCell ref="B68:B71"/>
    <mergeCell ref="B72:B73"/>
    <mergeCell ref="B74:B75"/>
    <mergeCell ref="B76:B77"/>
    <mergeCell ref="B80:B84"/>
    <mergeCell ref="B85:B86"/>
    <mergeCell ref="B129:B130"/>
    <mergeCell ref="B93:B94"/>
    <mergeCell ref="B95:B96"/>
    <mergeCell ref="B114:B116"/>
    <mergeCell ref="B107:B108"/>
    <mergeCell ref="B112:B113"/>
    <mergeCell ref="B120:B122"/>
    <mergeCell ref="B123:B125"/>
    <mergeCell ref="B27:B28"/>
    <mergeCell ref="B29:B30"/>
    <mergeCell ref="B31:B32"/>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51"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5"/>
  <sheetViews>
    <sheetView showGridLines="0" workbookViewId="0">
      <selection activeCell="C8" sqref="C8:I9"/>
    </sheetView>
  </sheetViews>
  <sheetFormatPr baseColWidth="10" defaultColWidth="11.42578125" defaultRowHeight="15" customHeight="1" x14ac:dyDescent="0.2"/>
  <cols>
    <col min="1" max="1" width="7.5703125" style="43" bestFit="1" customWidth="1"/>
    <col min="2" max="2" width="17" style="43" customWidth="1"/>
    <col min="3" max="3" width="15.28515625" style="43" bestFit="1" customWidth="1"/>
    <col min="4" max="4" width="6.7109375" style="43" customWidth="1"/>
    <col min="5" max="8" width="10.7109375" style="43" customWidth="1"/>
    <col min="9" max="9" width="35.7109375" style="43" customWidth="1"/>
    <col min="10" max="16384" width="11.42578125" style="43"/>
  </cols>
  <sheetData>
    <row r="1" spans="1:9" ht="15" customHeight="1" x14ac:dyDescent="0.2">
      <c r="A1" s="119"/>
    </row>
    <row r="8" spans="1:9" ht="15" customHeight="1" x14ac:dyDescent="0.2">
      <c r="B8" s="244" t="s">
        <v>172</v>
      </c>
      <c r="C8" s="245"/>
      <c r="D8" s="246"/>
      <c r="E8" s="246"/>
      <c r="F8" s="246"/>
      <c r="G8" s="246"/>
      <c r="H8" s="246"/>
      <c r="I8" s="247"/>
    </row>
    <row r="9" spans="1:9" ht="15" customHeight="1" x14ac:dyDescent="0.2">
      <c r="B9" s="244"/>
      <c r="C9" s="248"/>
      <c r="D9" s="249"/>
      <c r="E9" s="249"/>
      <c r="F9" s="249"/>
      <c r="G9" s="249"/>
      <c r="H9" s="249"/>
      <c r="I9" s="250"/>
    </row>
    <row r="10" spans="1:9" ht="15" customHeight="1" x14ac:dyDescent="0.2">
      <c r="B10" s="44"/>
    </row>
    <row r="11" spans="1:9" ht="15" customHeight="1" x14ac:dyDescent="0.2">
      <c r="B11" s="260" t="s">
        <v>30</v>
      </c>
      <c r="C11" s="251" t="str">
        <f>AUXILIAR!E3</f>
        <v>PROGRAMA DE APOYO A INVERSIONES PRODUCTIVAS Y TECNOLÓGICAS PARA PYMES.</v>
      </c>
      <c r="D11" s="252"/>
      <c r="E11" s="252"/>
      <c r="F11" s="252"/>
      <c r="G11" s="252"/>
      <c r="H11" s="252"/>
      <c r="I11" s="253"/>
    </row>
    <row r="12" spans="1:9" ht="15" customHeight="1" x14ac:dyDescent="0.2">
      <c r="B12" s="260"/>
      <c r="C12" s="254"/>
      <c r="D12" s="255"/>
      <c r="E12" s="255"/>
      <c r="F12" s="255"/>
      <c r="G12" s="255"/>
      <c r="H12" s="255"/>
      <c r="I12" s="256"/>
    </row>
    <row r="13" spans="1:9" ht="15" customHeight="1" x14ac:dyDescent="0.2">
      <c r="B13" s="260"/>
      <c r="C13" s="257"/>
      <c r="D13" s="258"/>
      <c r="E13" s="258"/>
      <c r="F13" s="258"/>
      <c r="G13" s="258"/>
      <c r="H13" s="258"/>
      <c r="I13" s="259"/>
    </row>
    <row r="14" spans="1:9" ht="15" customHeight="1" x14ac:dyDescent="0.2">
      <c r="B14" s="44"/>
    </row>
    <row r="15" spans="1:9" ht="15" customHeight="1" x14ac:dyDescent="0.2">
      <c r="B15" s="44" t="s">
        <v>31</v>
      </c>
      <c r="C15" s="180">
        <f>AUXILIAR!E5</f>
        <v>2023</v>
      </c>
      <c r="D15" s="45"/>
      <c r="G15" s="44"/>
      <c r="H15" s="225" t="s">
        <v>185</v>
      </c>
      <c r="I15" s="180" t="str">
        <f>AUXILIAR!H5</f>
        <v>nº 82, de 11 de abril de 2023</v>
      </c>
    </row>
    <row r="16" spans="1:9" ht="15" customHeight="1" x14ac:dyDescent="0.25">
      <c r="B16" s="44"/>
      <c r="H16" s="226"/>
    </row>
    <row r="17" spans="2:9" ht="15" customHeight="1" x14ac:dyDescent="0.2">
      <c r="B17" s="44" t="s">
        <v>32</v>
      </c>
      <c r="C17" s="181">
        <f>AUXILIAR!E7</f>
        <v>7</v>
      </c>
      <c r="D17" s="46"/>
      <c r="G17" s="46"/>
      <c r="H17" s="225" t="s">
        <v>186</v>
      </c>
      <c r="I17" s="181" t="str">
        <f>AUXILIAR!H7</f>
        <v>nº 107, de 11 de mayo de 2023</v>
      </c>
    </row>
    <row r="18" spans="2:9" ht="15" customHeight="1" x14ac:dyDescent="0.2">
      <c r="B18" s="44"/>
    </row>
    <row r="19" spans="2:9" ht="15" customHeight="1" x14ac:dyDescent="0.2">
      <c r="B19" s="44" t="s">
        <v>33</v>
      </c>
      <c r="C19" s="180" t="str">
        <f>AUXILIAR!E9</f>
        <v>IPRO</v>
      </c>
      <c r="D19" s="45"/>
      <c r="E19" s="45"/>
      <c r="F19" s="45"/>
      <c r="G19" s="45"/>
    </row>
    <row r="20" spans="2:9" ht="15" customHeight="1" x14ac:dyDescent="0.2">
      <c r="B20" s="44"/>
    </row>
    <row r="21" spans="2:9" ht="15" customHeight="1" x14ac:dyDescent="0.2">
      <c r="B21" s="44" t="s">
        <v>34</v>
      </c>
      <c r="C21" s="182" t="str">
        <f>CONCATENATE(C15,".",TEXT(C17,"00"),".",C19,".")</f>
        <v>2023.07.IPRO.</v>
      </c>
      <c r="D21" s="183"/>
      <c r="H21" s="47" t="str">
        <f>CONCATENATE(C15,",",TEXT(C17,"00"),",",C19,",",TEXT(D21,"0000"))</f>
        <v>2023,07,IPRO,0000</v>
      </c>
    </row>
    <row r="22" spans="2:9" ht="15" customHeight="1" x14ac:dyDescent="0.2">
      <c r="B22" s="44"/>
      <c r="C22" s="44"/>
      <c r="D22" s="44"/>
      <c r="E22" s="44"/>
      <c r="F22" s="44"/>
      <c r="H22" s="47"/>
    </row>
    <row r="23" spans="2:9" ht="15" customHeight="1" x14ac:dyDescent="0.2">
      <c r="F23" s="205" t="s">
        <v>100</v>
      </c>
      <c r="H23" s="48" t="s">
        <v>73</v>
      </c>
    </row>
    <row r="24" spans="2:9" ht="15" customHeight="1" x14ac:dyDescent="0.25">
      <c r="B24" s="9" t="s">
        <v>125</v>
      </c>
      <c r="C24" s="5"/>
      <c r="D24" s="5"/>
      <c r="F24" s="49"/>
      <c r="H24" s="179" t="str">
        <f>IF(F24="","",F24)</f>
        <v/>
      </c>
    </row>
    <row r="25" spans="2:9" ht="15" customHeight="1" x14ac:dyDescent="0.25">
      <c r="B25" s="5"/>
      <c r="C25" s="5"/>
      <c r="D25" s="5"/>
      <c r="F25" s="48"/>
      <c r="H25" s="48"/>
    </row>
    <row r="26" spans="2:9" ht="15" customHeight="1" x14ac:dyDescent="0.25">
      <c r="B26" s="9" t="s">
        <v>126</v>
      </c>
      <c r="C26" s="5"/>
      <c r="D26" s="5"/>
      <c r="F26" s="49"/>
      <c r="H26" s="179" t="str">
        <f>IF(F26="","",F26)</f>
        <v/>
      </c>
    </row>
    <row r="27" spans="2:9" ht="15" customHeight="1" x14ac:dyDescent="0.25">
      <c r="B27" s="5"/>
      <c r="C27" s="5"/>
      <c r="D27" s="5"/>
      <c r="F27" s="48"/>
      <c r="H27" s="48"/>
    </row>
    <row r="28" spans="2:9" ht="15" customHeight="1" x14ac:dyDescent="0.25">
      <c r="B28" s="9" t="s">
        <v>29</v>
      </c>
      <c r="C28" s="5"/>
      <c r="D28" s="5"/>
      <c r="F28" s="117" t="str">
        <f>IF(F26="","",AUXILIAR!L22)</f>
        <v/>
      </c>
      <c r="H28" s="179" t="str">
        <f>IF(F28="","",F28)</f>
        <v/>
      </c>
    </row>
    <row r="30" spans="2:9" ht="15" customHeight="1" x14ac:dyDescent="0.2">
      <c r="B30" s="243" t="s">
        <v>175</v>
      </c>
      <c r="C30" s="243"/>
      <c r="D30" s="243"/>
      <c r="E30" s="243"/>
      <c r="F30" s="243"/>
      <c r="G30" s="243"/>
      <c r="H30" s="243"/>
      <c r="I30" s="243"/>
    </row>
    <row r="31" spans="2:9" ht="15" customHeight="1" x14ac:dyDescent="0.2">
      <c r="B31" s="243"/>
      <c r="C31" s="243"/>
      <c r="D31" s="243"/>
      <c r="E31" s="243"/>
      <c r="F31" s="243"/>
      <c r="G31" s="243"/>
      <c r="H31" s="243"/>
      <c r="I31" s="243"/>
    </row>
    <row r="32" spans="2:9" ht="15" customHeight="1" x14ac:dyDescent="0.2">
      <c r="B32" s="243"/>
      <c r="C32" s="243"/>
      <c r="D32" s="243"/>
      <c r="E32" s="243"/>
      <c r="F32" s="243"/>
      <c r="G32" s="243"/>
      <c r="H32" s="243"/>
      <c r="I32" s="243"/>
    </row>
    <row r="34" spans="2:9" ht="15" customHeight="1" x14ac:dyDescent="0.2">
      <c r="B34" s="243" t="s">
        <v>127</v>
      </c>
      <c r="C34" s="243"/>
      <c r="D34" s="243"/>
      <c r="E34" s="243"/>
      <c r="F34" s="243"/>
      <c r="G34" s="243"/>
      <c r="H34" s="243"/>
      <c r="I34" s="243"/>
    </row>
    <row r="35" spans="2:9" ht="15" customHeight="1" x14ac:dyDescent="0.2">
      <c r="B35" s="243"/>
      <c r="C35" s="243"/>
      <c r="D35" s="243"/>
      <c r="E35" s="243"/>
      <c r="F35" s="243"/>
      <c r="G35" s="243"/>
      <c r="H35" s="243"/>
      <c r="I35" s="243"/>
    </row>
  </sheetData>
  <sheetProtection algorithmName="SHA-512" hashValue="nwBzUpVImGPZ1K3GZ5Sf984awJggjiK4kOO6/e8t5kjHseGT1Ss/ICOOfZILyk9S/E5AOs1lr5ntiiSb1m/o+w==" saltValue="uDcbbQGBZKxBdAHB2jGWWg==" spinCount="100000" sheet="1" objects="1" scenarios="1" selectLockedCells="1"/>
  <mergeCells count="6">
    <mergeCell ref="B34:I35"/>
    <mergeCell ref="B30:I32"/>
    <mergeCell ref="B8:B9"/>
    <mergeCell ref="C8:I9"/>
    <mergeCell ref="C11:I13"/>
    <mergeCell ref="B11:B13"/>
  </mergeCells>
  <conditionalFormatting sqref="H16">
    <cfRule type="expression" dxfId="78" priority="1">
      <formula>$B$1&lt;&gt;1</formula>
    </cfRule>
  </conditionalFormatting>
  <conditionalFormatting sqref="H23:H28 G21:G22">
    <cfRule type="expression" dxfId="77" priority="111" stopIfTrue="1">
      <formula>$A$1&lt;&gt;1</formula>
    </cfRule>
  </conditionalFormatting>
  <conditionalFormatting sqref="H24 H26 H28">
    <cfRule type="expression" dxfId="76" priority="106">
      <formula>$H24&lt;&gt;$F24</formula>
    </cfRule>
  </conditionalFormatting>
  <printOptions horizontalCentered="1"/>
  <pageMargins left="0.59055118110236227" right="0.59055118110236227" top="0.59055118110236227" bottom="0.59055118110236227" header="0.19685039370078741" footer="0.19685039370078741"/>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53"/>
  <sheetViews>
    <sheetView showGridLines="0" tabSelected="1" workbookViewId="0">
      <selection activeCell="U10" sqref="U10"/>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50" customWidth="1"/>
    <col min="12" max="12" width="6.7109375" style="4" customWidth="1"/>
    <col min="13" max="13" width="9.85546875" style="4" hidden="1" customWidth="1"/>
    <col min="14" max="14" width="17" style="4" bestFit="1" customWidth="1"/>
    <col min="15" max="15" width="15.7109375" style="56" customWidth="1"/>
    <col min="16" max="16" width="12.7109375" style="3" customWidth="1"/>
    <col min="17" max="17" width="35.7109375" style="1" customWidth="1"/>
    <col min="18" max="18" width="12" style="1" customWidth="1"/>
    <col min="19" max="19" width="35.7109375" style="1" customWidth="1"/>
    <col min="20" max="20" width="25.7109375" style="1" customWidth="1"/>
    <col min="21" max="21" width="11" style="4" bestFit="1" customWidth="1"/>
    <col min="22" max="24" width="12.7109375" style="1" customWidth="1"/>
    <col min="25" max="25" width="12.7109375" style="4" customWidth="1"/>
    <col min="26" max="26" width="12.7109375" style="1" customWidth="1"/>
    <col min="27" max="27" width="12.28515625" style="4" customWidth="1"/>
    <col min="28" max="28" width="14.5703125" style="1" bestFit="1" customWidth="1"/>
    <col min="29" max="30" width="12.7109375" style="1" customWidth="1"/>
    <col min="31" max="31" width="12.7109375" style="3" customWidth="1"/>
    <col min="32" max="35" width="15.7109375" style="1" customWidth="1"/>
    <col min="36" max="36" width="50.7109375" style="1" customWidth="1"/>
    <col min="37" max="1037" width="10.7109375" style="1" customWidth="1"/>
    <col min="1038" max="16384" width="9.140625" style="1"/>
  </cols>
  <sheetData>
    <row r="1" spans="2:36" ht="20.100000000000001" customHeight="1" x14ac:dyDescent="0.2">
      <c r="L1" s="272" t="s">
        <v>22</v>
      </c>
      <c r="M1" s="272"/>
      <c r="N1" s="272"/>
      <c r="O1" s="272"/>
      <c r="P1" s="272"/>
      <c r="Q1" s="272"/>
      <c r="R1" s="272"/>
      <c r="S1" s="272"/>
      <c r="T1" s="272"/>
      <c r="U1" s="272"/>
      <c r="V1" s="272"/>
      <c r="W1" s="272"/>
      <c r="X1" s="272"/>
      <c r="Y1" s="272"/>
      <c r="Z1" s="272"/>
      <c r="AA1" s="272"/>
      <c r="AB1" s="272"/>
      <c r="AC1" s="272"/>
      <c r="AD1" s="272"/>
      <c r="AE1" s="272"/>
      <c r="AF1" s="272"/>
      <c r="AG1" s="272"/>
      <c r="AH1" s="272"/>
      <c r="AI1" s="272"/>
      <c r="AJ1" s="272"/>
    </row>
    <row r="2" spans="2:36" ht="9.9499999999999993" customHeight="1" x14ac:dyDescent="0.2">
      <c r="L2" s="51"/>
      <c r="M2" s="51"/>
      <c r="N2" s="51"/>
      <c r="O2" s="51"/>
      <c r="P2" s="51"/>
      <c r="Q2" s="51"/>
      <c r="R2" s="51"/>
      <c r="S2" s="51"/>
      <c r="T2" s="51"/>
      <c r="U2" s="51"/>
      <c r="V2" s="51"/>
      <c r="W2" s="51"/>
      <c r="X2" s="51"/>
      <c r="Y2" s="51"/>
      <c r="Z2" s="51"/>
      <c r="AA2" s="51"/>
      <c r="AB2" s="51"/>
      <c r="AC2" s="51"/>
      <c r="AD2" s="51"/>
      <c r="AE2" s="51"/>
      <c r="AF2" s="51"/>
      <c r="AG2" s="51"/>
      <c r="AH2" s="51"/>
      <c r="AI2" s="51"/>
      <c r="AJ2" s="51"/>
    </row>
    <row r="3" spans="2:36" ht="20.100000000000001" customHeight="1" x14ac:dyDescent="0.2">
      <c r="L3" s="270" t="s">
        <v>25</v>
      </c>
      <c r="M3" s="270"/>
      <c r="N3" s="270"/>
      <c r="O3" s="271" t="str">
        <f>IF(EXPEDIENTE!D21="","",CONCATENATE(EXPEDIENTE!C15,".",TEXT(EXPEDIENTE!C17,"00"),".",EXPEDIENTE!C19,".",TEXT(EXPEDIENTE!D21,"0000")))</f>
        <v/>
      </c>
      <c r="P3" s="271"/>
      <c r="Q3" s="52"/>
      <c r="R3" s="52"/>
      <c r="S3" s="52"/>
      <c r="T3" s="52"/>
      <c r="U3" s="53"/>
      <c r="V3" s="52"/>
      <c r="W3" s="52"/>
      <c r="X3" s="52"/>
      <c r="Y3" s="52"/>
      <c r="Z3" s="52"/>
      <c r="AA3" s="52"/>
      <c r="AB3" s="52"/>
      <c r="AC3" s="52"/>
      <c r="AD3" s="52"/>
      <c r="AE3" s="52"/>
      <c r="AF3" s="52"/>
      <c r="AG3" s="52"/>
      <c r="AH3" s="52"/>
      <c r="AI3" s="52"/>
      <c r="AJ3" s="52"/>
    </row>
    <row r="4" spans="2:36" ht="9.9499999999999993" customHeight="1" thickBot="1" x14ac:dyDescent="0.25">
      <c r="L4" s="54"/>
      <c r="M4" s="54"/>
      <c r="N4" s="54"/>
      <c r="O4" s="54"/>
      <c r="P4" s="54"/>
      <c r="Q4" s="52"/>
      <c r="R4" s="52"/>
      <c r="S4" s="52"/>
      <c r="T4" s="52"/>
      <c r="U4" s="54"/>
      <c r="V4" s="52"/>
      <c r="W4" s="52"/>
      <c r="X4" s="52"/>
      <c r="Y4" s="52"/>
      <c r="Z4" s="52"/>
      <c r="AA4" s="52"/>
      <c r="AB4" s="52"/>
      <c r="AC4" s="52"/>
      <c r="AD4" s="52"/>
      <c r="AE4" s="52"/>
      <c r="AF4" s="52"/>
      <c r="AG4" s="52"/>
      <c r="AH4" s="52"/>
      <c r="AI4" s="52"/>
      <c r="AJ4" s="52"/>
    </row>
    <row r="5" spans="2:36" ht="20.100000000000001" customHeight="1" thickBot="1" x14ac:dyDescent="0.25">
      <c r="K5" s="261" t="s">
        <v>44</v>
      </c>
      <c r="L5" s="278" t="s">
        <v>0</v>
      </c>
      <c r="M5" s="276" t="s">
        <v>76</v>
      </c>
      <c r="N5" s="273" t="s">
        <v>79</v>
      </c>
      <c r="O5" s="274"/>
      <c r="P5" s="274"/>
      <c r="Q5" s="274"/>
      <c r="R5" s="274"/>
      <c r="S5" s="274"/>
      <c r="T5" s="274"/>
      <c r="U5" s="275"/>
      <c r="V5" s="263" t="s">
        <v>83</v>
      </c>
      <c r="W5" s="263"/>
      <c r="X5" s="263"/>
      <c r="Y5" s="263"/>
      <c r="Z5" s="263"/>
      <c r="AA5" s="263"/>
      <c r="AB5" s="263"/>
      <c r="AC5" s="264"/>
      <c r="AD5" s="269" t="s">
        <v>84</v>
      </c>
      <c r="AE5" s="263"/>
      <c r="AF5" s="265" t="s">
        <v>20</v>
      </c>
      <c r="AG5" s="267" t="s">
        <v>21</v>
      </c>
      <c r="AH5" s="267" t="s">
        <v>18</v>
      </c>
      <c r="AI5" s="280" t="s">
        <v>19</v>
      </c>
      <c r="AJ5" s="282" t="s">
        <v>47</v>
      </c>
    </row>
    <row r="6" spans="2:36" s="55" customFormat="1" ht="65.099999999999994" customHeight="1" thickBot="1" x14ac:dyDescent="0.25">
      <c r="B6" s="57" t="s">
        <v>101</v>
      </c>
      <c r="C6" s="57" t="s">
        <v>50</v>
      </c>
      <c r="D6" s="57" t="s">
        <v>80</v>
      </c>
      <c r="E6" s="57" t="s">
        <v>52</v>
      </c>
      <c r="F6" s="57" t="s">
        <v>82</v>
      </c>
      <c r="G6" s="57" t="s">
        <v>86</v>
      </c>
      <c r="H6" s="57" t="s">
        <v>53</v>
      </c>
      <c r="I6" s="57" t="s">
        <v>78</v>
      </c>
      <c r="J6" s="139" t="s">
        <v>98</v>
      </c>
      <c r="K6" s="262"/>
      <c r="L6" s="279"/>
      <c r="M6" s="277"/>
      <c r="N6" s="123" t="s">
        <v>75</v>
      </c>
      <c r="O6" s="124" t="s">
        <v>8</v>
      </c>
      <c r="P6" s="125" t="s">
        <v>16</v>
      </c>
      <c r="Q6" s="124" t="s">
        <v>1</v>
      </c>
      <c r="R6" s="124" t="s">
        <v>2</v>
      </c>
      <c r="S6" s="124" t="s">
        <v>3</v>
      </c>
      <c r="T6" s="124" t="s">
        <v>15</v>
      </c>
      <c r="U6" s="126" t="s">
        <v>9</v>
      </c>
      <c r="V6" s="120" t="s">
        <v>4</v>
      </c>
      <c r="W6" s="58" t="s">
        <v>10</v>
      </c>
      <c r="X6" s="59" t="s">
        <v>11</v>
      </c>
      <c r="Y6" s="60" t="s">
        <v>12</v>
      </c>
      <c r="Z6" s="58" t="s">
        <v>5</v>
      </c>
      <c r="AA6" s="58" t="s">
        <v>13</v>
      </c>
      <c r="AB6" s="61" t="s">
        <v>23</v>
      </c>
      <c r="AC6" s="121" t="s">
        <v>14</v>
      </c>
      <c r="AD6" s="122" t="s">
        <v>103</v>
      </c>
      <c r="AE6" s="127" t="s">
        <v>17</v>
      </c>
      <c r="AF6" s="266"/>
      <c r="AG6" s="268"/>
      <c r="AH6" s="268"/>
      <c r="AI6" s="281"/>
      <c r="AJ6" s="283"/>
    </row>
    <row r="7" spans="2:36" s="55" customFormat="1" ht="9.9499999999999993" customHeight="1" thickBot="1" x14ac:dyDescent="0.25">
      <c r="K7" s="62"/>
    </row>
    <row r="8" spans="2:36" ht="30" customHeight="1" x14ac:dyDescent="0.2">
      <c r="B8" s="1" t="str">
        <f>IF(COUNTBLANK(N8:AJ8)=20,"",IF(AND(M8&lt;&gt;"",OR(EXPEDIENTE!$F$24="",EXPEDIENTE!$F$26="")),0,""))</f>
        <v/>
      </c>
      <c r="C8" s="1" t="str">
        <f t="shared" ref="C8" si="0">IF(COUNTBLANK(N8:AJ8)=20,"",IF(AND(M8="",COUNTBLANK(N8:AJ8)&lt;&gt;20),1,""))</f>
        <v/>
      </c>
      <c r="D8" s="1" t="str">
        <f t="shared" ref="D8" si="1">IF(AND(M8=1,COUNTBLANK(O8:T8)&lt;&gt;0),2,"")</f>
        <v/>
      </c>
      <c r="E8" s="1" t="str">
        <f>IF(P8="","",IF(AND(M8=1,OR(P8&lt;EXPEDIENTE!$F$24,P8&gt;EXPEDIENTE!$F$26)),3,""))</f>
        <v/>
      </c>
      <c r="F8" s="1" t="str">
        <f>IF(AND(M8=1,C8="",D8="",E8="",OR(COUNTBLANK(V8:W8)&gt;0,COUNTBLANK(Y8:AC8)&gt;1)),4,"")</f>
        <v/>
      </c>
      <c r="G8" s="1" t="str">
        <f t="shared" ref="G8:G47" si="2">IF(AND(M8&lt;&gt;"",C8="",D8="",E8="",F8="",COUNTBLANK(AD8:AE8)&gt;0),5,"")</f>
        <v/>
      </c>
      <c r="H8" s="1" t="str">
        <f>IF(P8="","",IF(AE8="",6,IF(AND(M8=1,OR(AE8&lt;EXPEDIENTE!$F$24,AE8&gt;EXPEDIENTE!$F$28)),6,"")))</f>
        <v/>
      </c>
      <c r="I8" s="1" t="b">
        <f>IF(B8&lt;&gt;"",B8,IF(C8&lt;&gt;"",C8,IF(D8&lt;&gt;"",D8,IF(E8&lt;&gt;"",E8,IF(F8&lt;&gt;"",F8,IF(G8&lt;&gt;"",G8,IF(H8&lt;&gt;"",H8)))))))</f>
        <v>0</v>
      </c>
      <c r="J8" s="1">
        <f>IF(AE7&lt;EXPEDIENTE!$H$24,-1,IF(AE7&gt;EXPEDIENTE!$H$28,1,0))</f>
        <v>0</v>
      </c>
      <c r="K8" s="140" t="str">
        <f>IF(IFERROR(VLOOKUP(I8,AUXILIAR!$P$14:$Q$23,2,FALSE),"")="","",VLOOKUP(I8,AUXILIAR!$P$14:$Q$23,2,FALSE))</f>
        <v/>
      </c>
      <c r="L8" s="143">
        <v>1</v>
      </c>
      <c r="M8" s="104" t="str">
        <f>IF(N8="NUEVA FACTURA",1,IF(N8="SEGUNDO PAGO O POSTERIORES",2,""))</f>
        <v/>
      </c>
      <c r="N8" s="147"/>
      <c r="O8" s="231"/>
      <c r="P8" s="227"/>
      <c r="Q8" s="228"/>
      <c r="R8" s="68"/>
      <c r="S8" s="228"/>
      <c r="T8" s="228"/>
      <c r="U8" s="229"/>
      <c r="V8" s="230"/>
      <c r="W8" s="73"/>
      <c r="X8" s="152"/>
      <c r="Y8" s="153"/>
      <c r="Z8" s="154">
        <f>V8*Y8</f>
        <v>0</v>
      </c>
      <c r="AA8" s="153"/>
      <c r="AB8" s="154">
        <f>V8*AA8</f>
        <v>0</v>
      </c>
      <c r="AC8" s="155">
        <f>V8+AB8-Z8</f>
        <v>0</v>
      </c>
      <c r="AD8" s="208"/>
      <c r="AE8" s="163"/>
      <c r="AF8" s="165"/>
      <c r="AG8" s="92"/>
      <c r="AH8" s="92"/>
      <c r="AI8" s="166"/>
      <c r="AJ8" s="171"/>
    </row>
    <row r="9" spans="2:36" ht="30" customHeight="1" x14ac:dyDescent="0.2">
      <c r="B9" s="1" t="str">
        <f>IF(COUNTBLANK(N9:AJ9)=20,"",IF(AND(M9&lt;&gt;"",OR(EXPEDIENTE!$F$24="",EXPEDIENTE!$F$26="")),0,""))</f>
        <v/>
      </c>
      <c r="C9" s="1" t="str">
        <f t="shared" ref="C9:C47" si="3">IF(COUNTBLANK(N9:AJ9)=20,"",IF(AND(M9="",COUNTBLANK(N9:AJ9)&lt;&gt;20),1,""))</f>
        <v/>
      </c>
      <c r="D9" s="1" t="str">
        <f t="shared" ref="D9:D47" si="4">IF(AND(M9=1,COUNTBLANK(O9:T9)&lt;&gt;0),2,"")</f>
        <v/>
      </c>
      <c r="E9" s="1" t="str">
        <f>IF(P9="","",IF(AND(M9=1,OR(P9&lt;EXPEDIENTE!$F$24,P9&gt;EXPEDIENTE!$F$26)),3,""))</f>
        <v/>
      </c>
      <c r="F9" s="1" t="str">
        <f t="shared" ref="F9:F47" si="5">IF(AND(M9=1,C9="",D9="",E9="",OR(COUNTBLANK(V9:W9)&gt;0,COUNTBLANK(Y9:AC9)&gt;=1)),4,"")</f>
        <v/>
      </c>
      <c r="G9" s="1" t="str">
        <f t="shared" si="2"/>
        <v/>
      </c>
      <c r="H9" s="1" t="str">
        <f>IF(P9="","",IF(AE9="",6,IF(AND(M9=1,OR(AE9&lt;EXPEDIENTE!$F$24,AE9&gt;EXPEDIENTE!$F$28)),6,"")))</f>
        <v/>
      </c>
      <c r="I9" s="1" t="b">
        <f t="shared" ref="I9:I47" si="6">IF(B9&lt;&gt;"",B9,IF(C9&lt;&gt;"",C9,IF(D9&lt;&gt;"",D9,IF(E9&lt;&gt;"",E9,IF(F9&lt;&gt;"",F9,IF(G9&lt;&gt;"",G9,IF(H9&lt;&gt;"",H9)))))))</f>
        <v>0</v>
      </c>
      <c r="J9" s="1">
        <f>IF(AE8&lt;EXPEDIENTE!$H$24,-1,IF(AE8&gt;EXPEDIENTE!$H$28,1,0))</f>
        <v>0</v>
      </c>
      <c r="K9" s="141" t="str">
        <f>IF(IFERROR(VLOOKUP(I9,AUXILIAR!$P$14:$Q$23,2,FALSE),"")="","",VLOOKUP(I9,AUXILIAR!$P$14:$Q$23,2,FALSE))</f>
        <v/>
      </c>
      <c r="L9" s="144">
        <v>2</v>
      </c>
      <c r="M9" s="104" t="str">
        <f t="shared" ref="M9:M47" si="7">IF(N9="NUEVA FACTURA",1,IF(N9="SEGUNDO PAGO O POSTERIORES",2,""))</f>
        <v/>
      </c>
      <c r="N9" s="148"/>
      <c r="O9" s="232"/>
      <c r="P9" s="14"/>
      <c r="Q9" s="184"/>
      <c r="R9" s="15"/>
      <c r="S9" s="184"/>
      <c r="T9" s="184"/>
      <c r="U9" s="206"/>
      <c r="V9" s="156"/>
      <c r="W9" s="17"/>
      <c r="X9" s="63"/>
      <c r="Y9" s="2"/>
      <c r="Z9" s="64">
        <f t="shared" ref="Z9:Z47" si="8">V9*Y9</f>
        <v>0</v>
      </c>
      <c r="AA9" s="2"/>
      <c r="AB9" s="64">
        <f t="shared" ref="AB9" si="9">V9*AA9</f>
        <v>0</v>
      </c>
      <c r="AC9" s="157">
        <f t="shared" ref="AC9" si="10">V9+AB9-Z9</f>
        <v>0</v>
      </c>
      <c r="AD9" s="208"/>
      <c r="AE9" s="163"/>
      <c r="AF9" s="167"/>
      <c r="AG9" s="67"/>
      <c r="AH9" s="67"/>
      <c r="AI9" s="168"/>
      <c r="AJ9" s="172"/>
    </row>
    <row r="10" spans="2:36" ht="30" customHeight="1" x14ac:dyDescent="0.2">
      <c r="B10" s="1" t="str">
        <f>IF(COUNTBLANK(N10:AJ10)=20,"",IF(AND(M10&lt;&gt;"",OR(EXPEDIENTE!$F$24="",EXPEDIENTE!$F$26="")),0,""))</f>
        <v/>
      </c>
      <c r="C10" s="1" t="str">
        <f t="shared" si="3"/>
        <v/>
      </c>
      <c r="D10" s="1" t="str">
        <f t="shared" si="4"/>
        <v/>
      </c>
      <c r="E10" s="1" t="str">
        <f>IF(P10="","",IF(AND(M10=1,OR(P10&lt;EXPEDIENTE!$F$24,P10&gt;EXPEDIENTE!$F$26)),3,""))</f>
        <v/>
      </c>
      <c r="F10" s="1" t="str">
        <f t="shared" si="5"/>
        <v/>
      </c>
      <c r="G10" s="1" t="str">
        <f t="shared" si="2"/>
        <v/>
      </c>
      <c r="H10" s="1" t="str">
        <f>IF(P10="","",IF(AE10="",6,IF(AND(M10=1,OR(AE10&lt;EXPEDIENTE!$F$24,AE10&gt;EXPEDIENTE!$F$28)),6,"")))</f>
        <v/>
      </c>
      <c r="I10" s="1" t="b">
        <f t="shared" si="6"/>
        <v>0</v>
      </c>
      <c r="J10" s="1">
        <f>IF(AE9&lt;EXPEDIENTE!$H$24,-1,IF(AE9&gt;EXPEDIENTE!$H$28,1,0))</f>
        <v>0</v>
      </c>
      <c r="K10" s="141" t="str">
        <f>IF(IFERROR(VLOOKUP(I10,AUXILIAR!$P$14:$Q$23,2,FALSE),"")="","",VLOOKUP(I10,AUXILIAR!$P$14:$Q$23,2,FALSE))</f>
        <v/>
      </c>
      <c r="L10" s="144">
        <v>3</v>
      </c>
      <c r="M10" s="104" t="str">
        <f t="shared" si="7"/>
        <v/>
      </c>
      <c r="N10" s="148"/>
      <c r="O10" s="232"/>
      <c r="P10" s="14"/>
      <c r="Q10" s="184"/>
      <c r="R10" s="15"/>
      <c r="S10" s="184"/>
      <c r="T10" s="184"/>
      <c r="U10" s="206"/>
      <c r="V10" s="156"/>
      <c r="W10" s="17"/>
      <c r="X10" s="63"/>
      <c r="Y10" s="2"/>
      <c r="Z10" s="64">
        <f t="shared" si="8"/>
        <v>0</v>
      </c>
      <c r="AA10" s="2"/>
      <c r="AB10" s="64">
        <f t="shared" ref="AB10:AB47" si="11">V10*AA10</f>
        <v>0</v>
      </c>
      <c r="AC10" s="157">
        <f t="shared" ref="AC10:AC47" si="12">V10+AB10-Z10</f>
        <v>0</v>
      </c>
      <c r="AD10" s="208"/>
      <c r="AE10" s="163"/>
      <c r="AF10" s="167"/>
      <c r="AG10" s="67"/>
      <c r="AH10" s="67"/>
      <c r="AI10" s="168"/>
      <c r="AJ10" s="172"/>
    </row>
    <row r="11" spans="2:36" ht="30" customHeight="1" x14ac:dyDescent="0.2">
      <c r="B11" s="1" t="str">
        <f>IF(COUNTBLANK(N11:AJ11)=20,"",IF(AND(M11&lt;&gt;"",OR(EXPEDIENTE!$F$24="",EXPEDIENTE!$F$26="")),0,""))</f>
        <v/>
      </c>
      <c r="C11" s="1" t="str">
        <f t="shared" si="3"/>
        <v/>
      </c>
      <c r="D11" s="1" t="str">
        <f t="shared" si="4"/>
        <v/>
      </c>
      <c r="E11" s="1" t="str">
        <f>IF(P11="","",IF(AND(M11=1,OR(P11&lt;EXPEDIENTE!$F$24,P11&gt;EXPEDIENTE!$F$26)),3,""))</f>
        <v/>
      </c>
      <c r="F11" s="1" t="str">
        <f t="shared" si="5"/>
        <v/>
      </c>
      <c r="G11" s="1" t="str">
        <f t="shared" si="2"/>
        <v/>
      </c>
      <c r="H11" s="1" t="str">
        <f>IF(P11="","",IF(AE11="",6,IF(AND(M11=1,OR(AE11&lt;EXPEDIENTE!$F$24,AE11&gt;EXPEDIENTE!$F$28)),6,"")))</f>
        <v/>
      </c>
      <c r="I11" s="1" t="b">
        <f t="shared" si="6"/>
        <v>0</v>
      </c>
      <c r="J11" s="1">
        <f>IF(AE10&lt;EXPEDIENTE!$H$24,-1,IF(AE10&gt;EXPEDIENTE!$H$28,1,0))</f>
        <v>0</v>
      </c>
      <c r="K11" s="141" t="str">
        <f>IF(IFERROR(VLOOKUP(I11,AUXILIAR!$P$14:$Q$23,2,FALSE),"")="","",VLOOKUP(I11,AUXILIAR!$P$14:$Q$23,2,FALSE))</f>
        <v/>
      </c>
      <c r="L11" s="144">
        <v>4</v>
      </c>
      <c r="M11" s="104" t="str">
        <f t="shared" si="7"/>
        <v/>
      </c>
      <c r="N11" s="148"/>
      <c r="O11" s="232"/>
      <c r="P11" s="14"/>
      <c r="Q11" s="184"/>
      <c r="R11" s="15"/>
      <c r="S11" s="184"/>
      <c r="T11" s="184"/>
      <c r="U11" s="206"/>
      <c r="V11" s="156"/>
      <c r="W11" s="17"/>
      <c r="X11" s="63"/>
      <c r="Y11" s="2"/>
      <c r="Z11" s="64">
        <f t="shared" si="8"/>
        <v>0</v>
      </c>
      <c r="AA11" s="2"/>
      <c r="AB11" s="64">
        <f t="shared" si="11"/>
        <v>0</v>
      </c>
      <c r="AC11" s="157">
        <f t="shared" si="12"/>
        <v>0</v>
      </c>
      <c r="AD11" s="208"/>
      <c r="AE11" s="163"/>
      <c r="AF11" s="167"/>
      <c r="AG11" s="67"/>
      <c r="AH11" s="67"/>
      <c r="AI11" s="168"/>
      <c r="AJ11" s="172"/>
    </row>
    <row r="12" spans="2:36" ht="30" customHeight="1" x14ac:dyDescent="0.2">
      <c r="B12" s="1" t="str">
        <f>IF(COUNTBLANK(N12:AJ12)=20,"",IF(AND(M12&lt;&gt;"",OR(EXPEDIENTE!$F$24="",EXPEDIENTE!$F$26="")),0,""))</f>
        <v/>
      </c>
      <c r="C12" s="1" t="str">
        <f t="shared" si="3"/>
        <v/>
      </c>
      <c r="D12" s="1" t="str">
        <f t="shared" si="4"/>
        <v/>
      </c>
      <c r="E12" s="1" t="str">
        <f>IF(P12="","",IF(AND(M12=1,OR(P12&lt;EXPEDIENTE!$F$24,P12&gt;EXPEDIENTE!$F$26)),3,""))</f>
        <v/>
      </c>
      <c r="F12" s="1" t="str">
        <f t="shared" si="5"/>
        <v/>
      </c>
      <c r="G12" s="1" t="str">
        <f t="shared" si="2"/>
        <v/>
      </c>
      <c r="H12" s="1" t="str">
        <f>IF(P12="","",IF(AE12="",6,IF(AND(M12=1,OR(AE12&lt;EXPEDIENTE!$F$24,AE12&gt;EXPEDIENTE!$F$28)),6,"")))</f>
        <v/>
      </c>
      <c r="I12" s="1" t="b">
        <f t="shared" si="6"/>
        <v>0</v>
      </c>
      <c r="J12" s="1">
        <f>IF(AE11&lt;EXPEDIENTE!$H$24,-1,IF(AE11&gt;EXPEDIENTE!$H$28,1,0))</f>
        <v>0</v>
      </c>
      <c r="K12" s="141" t="str">
        <f>IF(IFERROR(VLOOKUP(I12,AUXILIAR!$P$14:$Q$23,2,FALSE),"")="","",VLOOKUP(I12,AUXILIAR!$P$14:$Q$23,2,FALSE))</f>
        <v/>
      </c>
      <c r="L12" s="144">
        <v>5</v>
      </c>
      <c r="M12" s="104" t="str">
        <f t="shared" si="7"/>
        <v/>
      </c>
      <c r="N12" s="148"/>
      <c r="O12" s="232"/>
      <c r="P12" s="14"/>
      <c r="Q12" s="184"/>
      <c r="R12" s="15"/>
      <c r="S12" s="184"/>
      <c r="T12" s="184"/>
      <c r="U12" s="206"/>
      <c r="V12" s="156"/>
      <c r="W12" s="17"/>
      <c r="X12" s="63"/>
      <c r="Y12" s="2"/>
      <c r="Z12" s="64">
        <f t="shared" si="8"/>
        <v>0</v>
      </c>
      <c r="AA12" s="2"/>
      <c r="AB12" s="64">
        <f t="shared" si="11"/>
        <v>0</v>
      </c>
      <c r="AC12" s="157">
        <f t="shared" si="12"/>
        <v>0</v>
      </c>
      <c r="AD12" s="208"/>
      <c r="AE12" s="163"/>
      <c r="AF12" s="167"/>
      <c r="AG12" s="67"/>
      <c r="AH12" s="67"/>
      <c r="AI12" s="168"/>
      <c r="AJ12" s="172"/>
    </row>
    <row r="13" spans="2:36" ht="30" customHeight="1" x14ac:dyDescent="0.2">
      <c r="B13" s="1" t="str">
        <f>IF(COUNTBLANK(N13:AJ13)=20,"",IF(AND(M13&lt;&gt;"",OR(EXPEDIENTE!$F$24="",EXPEDIENTE!$F$26="")),0,""))</f>
        <v/>
      </c>
      <c r="C13" s="1" t="str">
        <f t="shared" si="3"/>
        <v/>
      </c>
      <c r="D13" s="1" t="str">
        <f t="shared" si="4"/>
        <v/>
      </c>
      <c r="E13" s="1" t="str">
        <f>IF(P13="","",IF(AND(M13=1,OR(P13&lt;EXPEDIENTE!$F$24,P13&gt;EXPEDIENTE!$F$26)),3,""))</f>
        <v/>
      </c>
      <c r="F13" s="1" t="str">
        <f t="shared" si="5"/>
        <v/>
      </c>
      <c r="G13" s="1" t="str">
        <f t="shared" si="2"/>
        <v/>
      </c>
      <c r="H13" s="1" t="str">
        <f>IF(P13="","",IF(AE13="",6,IF(AND(M13=1,OR(AE13&lt;EXPEDIENTE!$F$24,AE13&gt;EXPEDIENTE!$F$28)),6,"")))</f>
        <v/>
      </c>
      <c r="I13" s="1" t="b">
        <f t="shared" si="6"/>
        <v>0</v>
      </c>
      <c r="J13" s="1">
        <f>IF(AE12&lt;EXPEDIENTE!$H$24,-1,IF(AE12&gt;EXPEDIENTE!$H$28,1,0))</f>
        <v>0</v>
      </c>
      <c r="K13" s="141" t="str">
        <f>IF(IFERROR(VLOOKUP(I13,AUXILIAR!$P$14:$Q$23,2,FALSE),"")="","",VLOOKUP(I13,AUXILIAR!$P$14:$Q$23,2,FALSE))</f>
        <v/>
      </c>
      <c r="L13" s="144">
        <v>6</v>
      </c>
      <c r="M13" s="104" t="str">
        <f t="shared" si="7"/>
        <v/>
      </c>
      <c r="N13" s="148"/>
      <c r="O13" s="232"/>
      <c r="P13" s="14"/>
      <c r="Q13" s="184"/>
      <c r="R13" s="15"/>
      <c r="S13" s="184"/>
      <c r="T13" s="184"/>
      <c r="U13" s="206"/>
      <c r="V13" s="156"/>
      <c r="W13" s="17"/>
      <c r="X13" s="63"/>
      <c r="Y13" s="2"/>
      <c r="Z13" s="64">
        <f t="shared" si="8"/>
        <v>0</v>
      </c>
      <c r="AA13" s="2"/>
      <c r="AB13" s="64">
        <f t="shared" si="11"/>
        <v>0</v>
      </c>
      <c r="AC13" s="157">
        <f t="shared" si="12"/>
        <v>0</v>
      </c>
      <c r="AD13" s="208"/>
      <c r="AE13" s="163"/>
      <c r="AF13" s="167"/>
      <c r="AG13" s="67"/>
      <c r="AH13" s="67"/>
      <c r="AI13" s="168"/>
      <c r="AJ13" s="172"/>
    </row>
    <row r="14" spans="2:36" ht="30" customHeight="1" x14ac:dyDescent="0.2">
      <c r="B14" s="1" t="str">
        <f>IF(COUNTBLANK(N14:AJ14)=20,"",IF(AND(M14&lt;&gt;"",OR(EXPEDIENTE!$F$24="",EXPEDIENTE!$F$26="")),0,""))</f>
        <v/>
      </c>
      <c r="C14" s="1" t="str">
        <f t="shared" si="3"/>
        <v/>
      </c>
      <c r="D14" s="1" t="str">
        <f t="shared" si="4"/>
        <v/>
      </c>
      <c r="E14" s="1" t="str">
        <f>IF(P14="","",IF(AND(M14=1,OR(P14&lt;EXPEDIENTE!$F$24,P14&gt;EXPEDIENTE!$F$26)),3,""))</f>
        <v/>
      </c>
      <c r="F14" s="1" t="str">
        <f t="shared" si="5"/>
        <v/>
      </c>
      <c r="G14" s="1" t="str">
        <f t="shared" si="2"/>
        <v/>
      </c>
      <c r="H14" s="1" t="str">
        <f>IF(P14="","",IF(AE14="",6,IF(AND(M14=1,OR(AE14&lt;EXPEDIENTE!$F$24,AE14&gt;EXPEDIENTE!$F$28)),6,"")))</f>
        <v/>
      </c>
      <c r="I14" s="1" t="b">
        <f t="shared" si="6"/>
        <v>0</v>
      </c>
      <c r="J14" s="1">
        <f>IF(AE13&lt;EXPEDIENTE!$H$24,-1,IF(AE13&gt;EXPEDIENTE!$H$28,1,0))</f>
        <v>0</v>
      </c>
      <c r="K14" s="141" t="str">
        <f>IF(IFERROR(VLOOKUP(I14,AUXILIAR!$P$14:$Q$23,2,FALSE),"")="","",VLOOKUP(I14,AUXILIAR!$P$14:$Q$23,2,FALSE))</f>
        <v/>
      </c>
      <c r="L14" s="144">
        <v>7</v>
      </c>
      <c r="M14" s="104" t="str">
        <f t="shared" si="7"/>
        <v/>
      </c>
      <c r="N14" s="148"/>
      <c r="O14" s="232"/>
      <c r="P14" s="14"/>
      <c r="Q14" s="184"/>
      <c r="R14" s="15"/>
      <c r="S14" s="184"/>
      <c r="T14" s="184"/>
      <c r="U14" s="206"/>
      <c r="V14" s="156"/>
      <c r="W14" s="17"/>
      <c r="X14" s="63"/>
      <c r="Y14" s="2"/>
      <c r="Z14" s="64">
        <f t="shared" si="8"/>
        <v>0</v>
      </c>
      <c r="AA14" s="2"/>
      <c r="AB14" s="64">
        <f t="shared" si="11"/>
        <v>0</v>
      </c>
      <c r="AC14" s="157">
        <f t="shared" si="12"/>
        <v>0</v>
      </c>
      <c r="AD14" s="208"/>
      <c r="AE14" s="163"/>
      <c r="AF14" s="167"/>
      <c r="AG14" s="67"/>
      <c r="AH14" s="67"/>
      <c r="AI14" s="168"/>
      <c r="AJ14" s="172"/>
    </row>
    <row r="15" spans="2:36" ht="30" customHeight="1" x14ac:dyDescent="0.2">
      <c r="B15" s="1" t="str">
        <f>IF(COUNTBLANK(N15:AJ15)=20,"",IF(AND(M15&lt;&gt;"",OR(EXPEDIENTE!$F$24="",EXPEDIENTE!$F$26="")),0,""))</f>
        <v/>
      </c>
      <c r="C15" s="1" t="str">
        <f t="shared" si="3"/>
        <v/>
      </c>
      <c r="D15" s="1" t="str">
        <f t="shared" si="4"/>
        <v/>
      </c>
      <c r="E15" s="1" t="str">
        <f>IF(P15="","",IF(AND(M15=1,OR(P15&lt;EXPEDIENTE!$F$24,P15&gt;EXPEDIENTE!$F$26)),3,""))</f>
        <v/>
      </c>
      <c r="F15" s="1" t="str">
        <f t="shared" si="5"/>
        <v/>
      </c>
      <c r="G15" s="1" t="str">
        <f t="shared" si="2"/>
        <v/>
      </c>
      <c r="H15" s="1" t="str">
        <f>IF(P15="","",IF(AE15="",6,IF(AND(M15=1,OR(AE15&lt;EXPEDIENTE!$F$24,AE15&gt;EXPEDIENTE!$F$28)),6,"")))</f>
        <v/>
      </c>
      <c r="I15" s="1" t="b">
        <f t="shared" si="6"/>
        <v>0</v>
      </c>
      <c r="J15" s="1">
        <f>IF(AE14&lt;EXPEDIENTE!$H$24,-1,IF(AE14&gt;EXPEDIENTE!$H$28,1,0))</f>
        <v>0</v>
      </c>
      <c r="K15" s="141" t="str">
        <f>IF(IFERROR(VLOOKUP(I15,AUXILIAR!$P$14:$Q$23,2,FALSE),"")="","",VLOOKUP(I15,AUXILIAR!$P$14:$Q$23,2,FALSE))</f>
        <v/>
      </c>
      <c r="L15" s="144">
        <v>8</v>
      </c>
      <c r="M15" s="104" t="str">
        <f t="shared" si="7"/>
        <v/>
      </c>
      <c r="N15" s="148"/>
      <c r="O15" s="232"/>
      <c r="P15" s="14"/>
      <c r="Q15" s="184"/>
      <c r="R15" s="15"/>
      <c r="S15" s="184"/>
      <c r="T15" s="184"/>
      <c r="U15" s="206"/>
      <c r="V15" s="156"/>
      <c r="W15" s="17"/>
      <c r="X15" s="63"/>
      <c r="Y15" s="2"/>
      <c r="Z15" s="64">
        <f t="shared" si="8"/>
        <v>0</v>
      </c>
      <c r="AA15" s="2"/>
      <c r="AB15" s="64">
        <f t="shared" si="11"/>
        <v>0</v>
      </c>
      <c r="AC15" s="157">
        <f t="shared" si="12"/>
        <v>0</v>
      </c>
      <c r="AD15" s="208"/>
      <c r="AE15" s="163"/>
      <c r="AF15" s="167"/>
      <c r="AG15" s="67"/>
      <c r="AH15" s="67"/>
      <c r="AI15" s="168"/>
      <c r="AJ15" s="172"/>
    </row>
    <row r="16" spans="2:36" ht="30" customHeight="1" x14ac:dyDescent="0.2">
      <c r="B16" s="1" t="str">
        <f>IF(COUNTBLANK(N16:AJ16)=20,"",IF(AND(M16&lt;&gt;"",OR(EXPEDIENTE!$F$24="",EXPEDIENTE!$F$26="")),0,""))</f>
        <v/>
      </c>
      <c r="C16" s="1" t="str">
        <f t="shared" si="3"/>
        <v/>
      </c>
      <c r="D16" s="1" t="str">
        <f t="shared" si="4"/>
        <v/>
      </c>
      <c r="E16" s="1" t="str">
        <f>IF(P16="","",IF(AND(M16=1,OR(P16&lt;EXPEDIENTE!$F$24,P16&gt;EXPEDIENTE!$F$26)),3,""))</f>
        <v/>
      </c>
      <c r="F16" s="1" t="str">
        <f t="shared" si="5"/>
        <v/>
      </c>
      <c r="G16" s="1" t="str">
        <f t="shared" si="2"/>
        <v/>
      </c>
      <c r="H16" s="1" t="str">
        <f>IF(P16="","",IF(AE16="",6,IF(AND(M16=1,OR(AE16&lt;EXPEDIENTE!$F$24,AE16&gt;EXPEDIENTE!$F$28)),6,"")))</f>
        <v/>
      </c>
      <c r="I16" s="1" t="b">
        <f t="shared" si="6"/>
        <v>0</v>
      </c>
      <c r="J16" s="1">
        <f>IF(AE15&lt;EXPEDIENTE!$H$24,-1,IF(AE15&gt;EXPEDIENTE!$H$28,1,0))</f>
        <v>0</v>
      </c>
      <c r="K16" s="141" t="str">
        <f>IF(IFERROR(VLOOKUP(I16,AUXILIAR!$P$14:$Q$23,2,FALSE),"")="","",VLOOKUP(I16,AUXILIAR!$P$14:$Q$23,2,FALSE))</f>
        <v/>
      </c>
      <c r="L16" s="144">
        <v>9</v>
      </c>
      <c r="M16" s="104" t="str">
        <f t="shared" si="7"/>
        <v/>
      </c>
      <c r="N16" s="148"/>
      <c r="O16" s="232"/>
      <c r="P16" s="14"/>
      <c r="Q16" s="184"/>
      <c r="R16" s="15"/>
      <c r="S16" s="184"/>
      <c r="T16" s="184"/>
      <c r="U16" s="206"/>
      <c r="V16" s="156"/>
      <c r="W16" s="17"/>
      <c r="X16" s="63"/>
      <c r="Y16" s="2"/>
      <c r="Z16" s="64">
        <f t="shared" si="8"/>
        <v>0</v>
      </c>
      <c r="AA16" s="2"/>
      <c r="AB16" s="64">
        <f t="shared" si="11"/>
        <v>0</v>
      </c>
      <c r="AC16" s="157">
        <f t="shared" si="12"/>
        <v>0</v>
      </c>
      <c r="AD16" s="208"/>
      <c r="AE16" s="163"/>
      <c r="AF16" s="167"/>
      <c r="AG16" s="67"/>
      <c r="AH16" s="67"/>
      <c r="AI16" s="168"/>
      <c r="AJ16" s="172"/>
    </row>
    <row r="17" spans="2:36" ht="30" customHeight="1" x14ac:dyDescent="0.2">
      <c r="B17" s="1" t="str">
        <f>IF(COUNTBLANK(N17:AJ17)=20,"",IF(AND(M17&lt;&gt;"",OR(EXPEDIENTE!$F$24="",EXPEDIENTE!$F$26="")),0,""))</f>
        <v/>
      </c>
      <c r="C17" s="1" t="str">
        <f t="shared" si="3"/>
        <v/>
      </c>
      <c r="D17" s="1" t="str">
        <f t="shared" si="4"/>
        <v/>
      </c>
      <c r="E17" s="1" t="str">
        <f>IF(P17="","",IF(AND(M17=1,OR(P17&lt;EXPEDIENTE!$F$24,P17&gt;EXPEDIENTE!$F$26)),3,""))</f>
        <v/>
      </c>
      <c r="F17" s="1" t="str">
        <f t="shared" si="5"/>
        <v/>
      </c>
      <c r="G17" s="1" t="str">
        <f t="shared" si="2"/>
        <v/>
      </c>
      <c r="H17" s="1" t="str">
        <f>IF(P17="","",IF(AE17="",6,IF(AND(M17=1,OR(AE17&lt;EXPEDIENTE!$F$24,AE17&gt;EXPEDIENTE!$F$28)),6,"")))</f>
        <v/>
      </c>
      <c r="I17" s="1" t="b">
        <f t="shared" si="6"/>
        <v>0</v>
      </c>
      <c r="J17" s="1">
        <f>IF(AE16&lt;EXPEDIENTE!$H$24,-1,IF(AE16&gt;EXPEDIENTE!$H$28,1,0))</f>
        <v>0</v>
      </c>
      <c r="K17" s="141" t="str">
        <f>IF(IFERROR(VLOOKUP(I17,AUXILIAR!$P$14:$Q$23,2,FALSE),"")="","",VLOOKUP(I17,AUXILIAR!$P$14:$Q$23,2,FALSE))</f>
        <v/>
      </c>
      <c r="L17" s="144">
        <v>10</v>
      </c>
      <c r="M17" s="104" t="str">
        <f t="shared" si="7"/>
        <v/>
      </c>
      <c r="N17" s="148"/>
      <c r="O17" s="232"/>
      <c r="P17" s="14"/>
      <c r="Q17" s="184"/>
      <c r="R17" s="15"/>
      <c r="S17" s="184"/>
      <c r="T17" s="184"/>
      <c r="U17" s="206"/>
      <c r="V17" s="156"/>
      <c r="W17" s="17"/>
      <c r="X17" s="63"/>
      <c r="Y17" s="2"/>
      <c r="Z17" s="64">
        <f t="shared" si="8"/>
        <v>0</v>
      </c>
      <c r="AA17" s="2"/>
      <c r="AB17" s="64">
        <f t="shared" si="11"/>
        <v>0</v>
      </c>
      <c r="AC17" s="157">
        <f t="shared" si="12"/>
        <v>0</v>
      </c>
      <c r="AD17" s="208"/>
      <c r="AE17" s="163"/>
      <c r="AF17" s="167"/>
      <c r="AG17" s="67"/>
      <c r="AH17" s="67"/>
      <c r="AI17" s="168"/>
      <c r="AJ17" s="172"/>
    </row>
    <row r="18" spans="2:36" ht="30" customHeight="1" x14ac:dyDescent="0.2">
      <c r="B18" s="1" t="str">
        <f>IF(COUNTBLANK(N18:AJ18)=20,"",IF(AND(M18&lt;&gt;"",OR(EXPEDIENTE!$F$24="",EXPEDIENTE!$F$26="")),0,""))</f>
        <v/>
      </c>
      <c r="C18" s="1" t="str">
        <f t="shared" si="3"/>
        <v/>
      </c>
      <c r="D18" s="1" t="str">
        <f t="shared" si="4"/>
        <v/>
      </c>
      <c r="E18" s="1" t="str">
        <f>IF(P18="","",IF(AND(M18=1,OR(P18&lt;EXPEDIENTE!$F$24,P18&gt;EXPEDIENTE!$F$26)),3,""))</f>
        <v/>
      </c>
      <c r="F18" s="1" t="str">
        <f t="shared" si="5"/>
        <v/>
      </c>
      <c r="G18" s="1" t="str">
        <f t="shared" si="2"/>
        <v/>
      </c>
      <c r="H18" s="1" t="str">
        <f>IF(P18="","",IF(AE18="",6,IF(AND(M18=1,OR(AE18&lt;EXPEDIENTE!$F$24,AE18&gt;EXPEDIENTE!$F$28)),6,"")))</f>
        <v/>
      </c>
      <c r="I18" s="1" t="b">
        <f t="shared" si="6"/>
        <v>0</v>
      </c>
      <c r="J18" s="1">
        <f>IF(AE17&lt;EXPEDIENTE!$H$24,-1,IF(AE17&gt;EXPEDIENTE!$H$28,1,0))</f>
        <v>0</v>
      </c>
      <c r="K18" s="141" t="str">
        <f>IF(IFERROR(VLOOKUP(I18,AUXILIAR!$P$14:$Q$23,2,FALSE),"")="","",VLOOKUP(I18,AUXILIAR!$P$14:$Q$23,2,FALSE))</f>
        <v/>
      </c>
      <c r="L18" s="144">
        <v>11</v>
      </c>
      <c r="M18" s="104" t="str">
        <f t="shared" si="7"/>
        <v/>
      </c>
      <c r="N18" s="148"/>
      <c r="O18" s="232"/>
      <c r="P18" s="14"/>
      <c r="Q18" s="184"/>
      <c r="R18" s="15"/>
      <c r="S18" s="184"/>
      <c r="T18" s="184"/>
      <c r="U18" s="206"/>
      <c r="V18" s="156"/>
      <c r="W18" s="17"/>
      <c r="X18" s="63"/>
      <c r="Y18" s="2"/>
      <c r="Z18" s="64">
        <f t="shared" si="8"/>
        <v>0</v>
      </c>
      <c r="AA18" s="2"/>
      <c r="AB18" s="64">
        <f t="shared" si="11"/>
        <v>0</v>
      </c>
      <c r="AC18" s="157">
        <f t="shared" si="12"/>
        <v>0</v>
      </c>
      <c r="AD18" s="208"/>
      <c r="AE18" s="163"/>
      <c r="AF18" s="167"/>
      <c r="AG18" s="67"/>
      <c r="AH18" s="67"/>
      <c r="AI18" s="168"/>
      <c r="AJ18" s="172"/>
    </row>
    <row r="19" spans="2:36" ht="30" customHeight="1" x14ac:dyDescent="0.2">
      <c r="B19" s="1" t="str">
        <f>IF(COUNTBLANK(N19:AJ19)=20,"",IF(AND(M19&lt;&gt;"",OR(EXPEDIENTE!$F$24="",EXPEDIENTE!$F$26="")),0,""))</f>
        <v/>
      </c>
      <c r="C19" s="1" t="str">
        <f t="shared" si="3"/>
        <v/>
      </c>
      <c r="D19" s="1" t="str">
        <f t="shared" si="4"/>
        <v/>
      </c>
      <c r="E19" s="1" t="str">
        <f>IF(P19="","",IF(AND(M19=1,OR(P19&lt;EXPEDIENTE!$F$24,P19&gt;EXPEDIENTE!$F$26)),3,""))</f>
        <v/>
      </c>
      <c r="F19" s="1" t="str">
        <f t="shared" si="5"/>
        <v/>
      </c>
      <c r="G19" s="1" t="str">
        <f t="shared" si="2"/>
        <v/>
      </c>
      <c r="H19" s="1" t="str">
        <f>IF(P19="","",IF(AE19="",6,IF(AND(M19=1,OR(AE19&lt;EXPEDIENTE!$F$24,AE19&gt;EXPEDIENTE!$F$28)),6,"")))</f>
        <v/>
      </c>
      <c r="I19" s="1" t="b">
        <f t="shared" si="6"/>
        <v>0</v>
      </c>
      <c r="J19" s="1">
        <f>IF(AE18&lt;EXPEDIENTE!$H$24,-1,IF(AE18&gt;EXPEDIENTE!$H$28,1,0))</f>
        <v>0</v>
      </c>
      <c r="K19" s="141" t="str">
        <f>IF(IFERROR(VLOOKUP(I19,AUXILIAR!$P$14:$Q$23,2,FALSE),"")="","",VLOOKUP(I19,AUXILIAR!$P$14:$Q$23,2,FALSE))</f>
        <v/>
      </c>
      <c r="L19" s="144">
        <v>12</v>
      </c>
      <c r="M19" s="104" t="str">
        <f t="shared" si="7"/>
        <v/>
      </c>
      <c r="N19" s="148"/>
      <c r="O19" s="232"/>
      <c r="P19" s="14"/>
      <c r="Q19" s="184"/>
      <c r="R19" s="15"/>
      <c r="S19" s="184"/>
      <c r="T19" s="184"/>
      <c r="U19" s="206"/>
      <c r="V19" s="156"/>
      <c r="W19" s="17"/>
      <c r="X19" s="63"/>
      <c r="Y19" s="2"/>
      <c r="Z19" s="64">
        <f t="shared" si="8"/>
        <v>0</v>
      </c>
      <c r="AA19" s="2"/>
      <c r="AB19" s="64">
        <f t="shared" si="11"/>
        <v>0</v>
      </c>
      <c r="AC19" s="157">
        <f t="shared" si="12"/>
        <v>0</v>
      </c>
      <c r="AD19" s="208"/>
      <c r="AE19" s="163"/>
      <c r="AF19" s="167"/>
      <c r="AG19" s="67"/>
      <c r="AH19" s="67"/>
      <c r="AI19" s="168"/>
      <c r="AJ19" s="172"/>
    </row>
    <row r="20" spans="2:36" ht="30" customHeight="1" x14ac:dyDescent="0.2">
      <c r="B20" s="1" t="str">
        <f>IF(COUNTBLANK(N20:AJ20)=20,"",IF(AND(M20&lt;&gt;"",OR(EXPEDIENTE!$F$24="",EXPEDIENTE!$F$26="")),0,""))</f>
        <v/>
      </c>
      <c r="C20" s="1" t="str">
        <f t="shared" si="3"/>
        <v/>
      </c>
      <c r="D20" s="1" t="str">
        <f t="shared" si="4"/>
        <v/>
      </c>
      <c r="E20" s="1" t="str">
        <f>IF(P20="","",IF(AND(M20=1,OR(P20&lt;EXPEDIENTE!$F$24,P20&gt;EXPEDIENTE!$F$26)),3,""))</f>
        <v/>
      </c>
      <c r="F20" s="1" t="str">
        <f t="shared" si="5"/>
        <v/>
      </c>
      <c r="G20" s="1" t="str">
        <f t="shared" si="2"/>
        <v/>
      </c>
      <c r="H20" s="1" t="str">
        <f>IF(P20="","",IF(AE20="",6,IF(AND(M20=1,OR(AE20&lt;EXPEDIENTE!$F$24,AE20&gt;EXPEDIENTE!$F$28)),6,"")))</f>
        <v/>
      </c>
      <c r="I20" s="1" t="b">
        <f t="shared" si="6"/>
        <v>0</v>
      </c>
      <c r="J20" s="1">
        <f>IF(AE19&lt;EXPEDIENTE!$H$24,-1,IF(AE19&gt;EXPEDIENTE!$H$28,1,0))</f>
        <v>0</v>
      </c>
      <c r="K20" s="141" t="str">
        <f>IF(IFERROR(VLOOKUP(I20,AUXILIAR!$P$14:$Q$23,2,FALSE),"")="","",VLOOKUP(I20,AUXILIAR!$P$14:$Q$23,2,FALSE))</f>
        <v/>
      </c>
      <c r="L20" s="144">
        <v>13</v>
      </c>
      <c r="M20" s="104" t="str">
        <f t="shared" si="7"/>
        <v/>
      </c>
      <c r="N20" s="148"/>
      <c r="O20" s="232"/>
      <c r="P20" s="14"/>
      <c r="Q20" s="184"/>
      <c r="R20" s="15"/>
      <c r="S20" s="184"/>
      <c r="T20" s="184"/>
      <c r="U20" s="206"/>
      <c r="V20" s="156"/>
      <c r="W20" s="17"/>
      <c r="X20" s="63"/>
      <c r="Y20" s="2"/>
      <c r="Z20" s="64">
        <f t="shared" si="8"/>
        <v>0</v>
      </c>
      <c r="AA20" s="2"/>
      <c r="AB20" s="64">
        <f t="shared" si="11"/>
        <v>0</v>
      </c>
      <c r="AC20" s="157">
        <f t="shared" si="12"/>
        <v>0</v>
      </c>
      <c r="AD20" s="208"/>
      <c r="AE20" s="163"/>
      <c r="AF20" s="167"/>
      <c r="AG20" s="67"/>
      <c r="AH20" s="67"/>
      <c r="AI20" s="168"/>
      <c r="AJ20" s="172"/>
    </row>
    <row r="21" spans="2:36" ht="30" customHeight="1" x14ac:dyDescent="0.2">
      <c r="B21" s="1" t="str">
        <f>IF(COUNTBLANK(N21:AJ21)=20,"",IF(AND(M21&lt;&gt;"",OR(EXPEDIENTE!$F$24="",EXPEDIENTE!$F$26="")),0,""))</f>
        <v/>
      </c>
      <c r="C21" s="1" t="str">
        <f t="shared" si="3"/>
        <v/>
      </c>
      <c r="D21" s="1" t="str">
        <f t="shared" si="4"/>
        <v/>
      </c>
      <c r="E21" s="1" t="str">
        <f>IF(P21="","",IF(AND(M21=1,OR(P21&lt;EXPEDIENTE!$F$24,P21&gt;EXPEDIENTE!$F$26)),3,""))</f>
        <v/>
      </c>
      <c r="F21" s="1" t="str">
        <f t="shared" si="5"/>
        <v/>
      </c>
      <c r="G21" s="1" t="str">
        <f t="shared" si="2"/>
        <v/>
      </c>
      <c r="H21" s="1" t="str">
        <f>IF(P21="","",IF(AE21="",6,IF(AND(M21=1,OR(AE21&lt;EXPEDIENTE!$F$24,AE21&gt;EXPEDIENTE!$F$28)),6,"")))</f>
        <v/>
      </c>
      <c r="I21" s="1" t="b">
        <f t="shared" si="6"/>
        <v>0</v>
      </c>
      <c r="J21" s="1">
        <f>IF(AE20&lt;EXPEDIENTE!$H$24,-1,IF(AE20&gt;EXPEDIENTE!$H$28,1,0))</f>
        <v>0</v>
      </c>
      <c r="K21" s="141" t="str">
        <f>IF(IFERROR(VLOOKUP(I21,AUXILIAR!$P$14:$Q$23,2,FALSE),"")="","",VLOOKUP(I21,AUXILIAR!$P$14:$Q$23,2,FALSE))</f>
        <v/>
      </c>
      <c r="L21" s="144">
        <v>14</v>
      </c>
      <c r="M21" s="104" t="str">
        <f t="shared" si="7"/>
        <v/>
      </c>
      <c r="N21" s="148"/>
      <c r="O21" s="232"/>
      <c r="P21" s="14"/>
      <c r="Q21" s="184"/>
      <c r="R21" s="15"/>
      <c r="S21" s="184"/>
      <c r="T21" s="184"/>
      <c r="U21" s="206"/>
      <c r="V21" s="156"/>
      <c r="W21" s="17"/>
      <c r="X21" s="63"/>
      <c r="Y21" s="2"/>
      <c r="Z21" s="64">
        <f t="shared" si="8"/>
        <v>0</v>
      </c>
      <c r="AA21" s="2"/>
      <c r="AB21" s="64">
        <f t="shared" si="11"/>
        <v>0</v>
      </c>
      <c r="AC21" s="157">
        <f t="shared" si="12"/>
        <v>0</v>
      </c>
      <c r="AD21" s="208"/>
      <c r="AE21" s="163"/>
      <c r="AF21" s="167"/>
      <c r="AG21" s="67"/>
      <c r="AH21" s="67"/>
      <c r="AI21" s="168"/>
      <c r="AJ21" s="172"/>
    </row>
    <row r="22" spans="2:36" ht="30" customHeight="1" x14ac:dyDescent="0.2">
      <c r="B22" s="1" t="str">
        <f>IF(COUNTBLANK(N22:AJ22)=20,"",IF(AND(M22&lt;&gt;"",OR(EXPEDIENTE!$F$24="",EXPEDIENTE!$F$26="")),0,""))</f>
        <v/>
      </c>
      <c r="C22" s="1" t="str">
        <f t="shared" si="3"/>
        <v/>
      </c>
      <c r="D22" s="1" t="str">
        <f t="shared" si="4"/>
        <v/>
      </c>
      <c r="E22" s="1" t="str">
        <f>IF(P22="","",IF(AND(M22=1,OR(P22&lt;EXPEDIENTE!$F$24,P22&gt;EXPEDIENTE!$F$26)),3,""))</f>
        <v/>
      </c>
      <c r="F22" s="1" t="str">
        <f t="shared" si="5"/>
        <v/>
      </c>
      <c r="G22" s="1" t="str">
        <f t="shared" si="2"/>
        <v/>
      </c>
      <c r="H22" s="1" t="str">
        <f>IF(P22="","",IF(AE22="",6,IF(AND(M22=1,OR(AE22&lt;EXPEDIENTE!$F$24,AE22&gt;EXPEDIENTE!$F$28)),6,"")))</f>
        <v/>
      </c>
      <c r="I22" s="1" t="b">
        <f t="shared" si="6"/>
        <v>0</v>
      </c>
      <c r="J22" s="1">
        <f>IF(AE21&lt;EXPEDIENTE!$H$24,-1,IF(AE21&gt;EXPEDIENTE!$H$28,1,0))</f>
        <v>0</v>
      </c>
      <c r="K22" s="141" t="str">
        <f>IF(IFERROR(VLOOKUP(I22,AUXILIAR!$P$14:$Q$23,2,FALSE),"")="","",VLOOKUP(I22,AUXILIAR!$P$14:$Q$23,2,FALSE))</f>
        <v/>
      </c>
      <c r="L22" s="144">
        <v>15</v>
      </c>
      <c r="M22" s="104" t="str">
        <f t="shared" si="7"/>
        <v/>
      </c>
      <c r="N22" s="148"/>
      <c r="O22" s="232"/>
      <c r="P22" s="14"/>
      <c r="Q22" s="184"/>
      <c r="R22" s="15"/>
      <c r="S22" s="184"/>
      <c r="T22" s="184"/>
      <c r="U22" s="206"/>
      <c r="V22" s="156"/>
      <c r="W22" s="17"/>
      <c r="X22" s="63"/>
      <c r="Y22" s="2"/>
      <c r="Z22" s="64">
        <f t="shared" si="8"/>
        <v>0</v>
      </c>
      <c r="AA22" s="2"/>
      <c r="AB22" s="64">
        <f t="shared" si="11"/>
        <v>0</v>
      </c>
      <c r="AC22" s="157">
        <f t="shared" si="12"/>
        <v>0</v>
      </c>
      <c r="AD22" s="208"/>
      <c r="AE22" s="163"/>
      <c r="AF22" s="167"/>
      <c r="AG22" s="67"/>
      <c r="AH22" s="67"/>
      <c r="AI22" s="168"/>
      <c r="AJ22" s="172"/>
    </row>
    <row r="23" spans="2:36" ht="30" customHeight="1" x14ac:dyDescent="0.2">
      <c r="B23" s="1" t="str">
        <f>IF(COUNTBLANK(N23:AJ23)=20,"",IF(AND(M23&lt;&gt;"",OR(EXPEDIENTE!$F$24="",EXPEDIENTE!$F$26="")),0,""))</f>
        <v/>
      </c>
      <c r="C23" s="1" t="str">
        <f t="shared" si="3"/>
        <v/>
      </c>
      <c r="D23" s="1" t="str">
        <f t="shared" si="4"/>
        <v/>
      </c>
      <c r="E23" s="1" t="str">
        <f>IF(P23="","",IF(AND(M23=1,OR(P23&lt;EXPEDIENTE!$F$24,P23&gt;EXPEDIENTE!$F$26)),3,""))</f>
        <v/>
      </c>
      <c r="F23" s="1" t="str">
        <f t="shared" si="5"/>
        <v/>
      </c>
      <c r="G23" s="1" t="str">
        <f t="shared" si="2"/>
        <v/>
      </c>
      <c r="H23" s="1" t="str">
        <f>IF(P23="","",IF(AE23="",6,IF(AND(M23=1,OR(AE23&lt;EXPEDIENTE!$F$24,AE23&gt;EXPEDIENTE!$F$28)),6,"")))</f>
        <v/>
      </c>
      <c r="I23" s="1" t="b">
        <f t="shared" si="6"/>
        <v>0</v>
      </c>
      <c r="J23" s="1">
        <f>IF(AE22&lt;EXPEDIENTE!$H$24,-1,IF(AE22&gt;EXPEDIENTE!$H$28,1,0))</f>
        <v>0</v>
      </c>
      <c r="K23" s="141" t="str">
        <f>IF(IFERROR(VLOOKUP(I23,AUXILIAR!$P$14:$Q$23,2,FALSE),"")="","",VLOOKUP(I23,AUXILIAR!$P$14:$Q$23,2,FALSE))</f>
        <v/>
      </c>
      <c r="L23" s="144">
        <v>16</v>
      </c>
      <c r="M23" s="104" t="str">
        <f t="shared" si="7"/>
        <v/>
      </c>
      <c r="N23" s="148"/>
      <c r="O23" s="232"/>
      <c r="P23" s="14"/>
      <c r="Q23" s="184"/>
      <c r="R23" s="15"/>
      <c r="S23" s="184"/>
      <c r="T23" s="184"/>
      <c r="U23" s="206"/>
      <c r="V23" s="156"/>
      <c r="W23" s="17"/>
      <c r="X23" s="63"/>
      <c r="Y23" s="2"/>
      <c r="Z23" s="64">
        <f t="shared" si="8"/>
        <v>0</v>
      </c>
      <c r="AA23" s="2"/>
      <c r="AB23" s="64">
        <f t="shared" si="11"/>
        <v>0</v>
      </c>
      <c r="AC23" s="157">
        <f t="shared" si="12"/>
        <v>0</v>
      </c>
      <c r="AD23" s="208"/>
      <c r="AE23" s="163"/>
      <c r="AF23" s="167"/>
      <c r="AG23" s="67"/>
      <c r="AH23" s="67"/>
      <c r="AI23" s="168"/>
      <c r="AJ23" s="172"/>
    </row>
    <row r="24" spans="2:36" ht="30" customHeight="1" x14ac:dyDescent="0.2">
      <c r="B24" s="1" t="str">
        <f>IF(COUNTBLANK(N24:AJ24)=20,"",IF(AND(M24&lt;&gt;"",OR(EXPEDIENTE!$F$24="",EXPEDIENTE!$F$26="")),0,""))</f>
        <v/>
      </c>
      <c r="C24" s="1" t="str">
        <f t="shared" si="3"/>
        <v/>
      </c>
      <c r="D24" s="1" t="str">
        <f t="shared" si="4"/>
        <v/>
      </c>
      <c r="E24" s="1" t="str">
        <f>IF(P24="","",IF(AND(M24=1,OR(P24&lt;EXPEDIENTE!$F$24,P24&gt;EXPEDIENTE!$F$26)),3,""))</f>
        <v/>
      </c>
      <c r="F24" s="1" t="str">
        <f t="shared" si="5"/>
        <v/>
      </c>
      <c r="G24" s="1" t="str">
        <f t="shared" si="2"/>
        <v/>
      </c>
      <c r="H24" s="1" t="str">
        <f>IF(P24="","",IF(AE24="",6,IF(AND(M24=1,OR(AE24&lt;EXPEDIENTE!$F$24,AE24&gt;EXPEDIENTE!$F$28)),6,"")))</f>
        <v/>
      </c>
      <c r="I24" s="1" t="b">
        <f t="shared" si="6"/>
        <v>0</v>
      </c>
      <c r="J24" s="1">
        <f>IF(AE23&lt;EXPEDIENTE!$H$24,-1,IF(AE23&gt;EXPEDIENTE!$H$28,1,0))</f>
        <v>0</v>
      </c>
      <c r="K24" s="141" t="str">
        <f>IF(IFERROR(VLOOKUP(I24,AUXILIAR!$P$14:$Q$23,2,FALSE),"")="","",VLOOKUP(I24,AUXILIAR!$P$14:$Q$23,2,FALSE))</f>
        <v/>
      </c>
      <c r="L24" s="144">
        <v>17</v>
      </c>
      <c r="M24" s="104" t="str">
        <f t="shared" si="7"/>
        <v/>
      </c>
      <c r="N24" s="148"/>
      <c r="O24" s="232"/>
      <c r="P24" s="14"/>
      <c r="Q24" s="184"/>
      <c r="R24" s="15"/>
      <c r="S24" s="184"/>
      <c r="T24" s="184"/>
      <c r="U24" s="206"/>
      <c r="V24" s="156"/>
      <c r="W24" s="17"/>
      <c r="X24" s="63"/>
      <c r="Y24" s="2"/>
      <c r="Z24" s="64">
        <f t="shared" si="8"/>
        <v>0</v>
      </c>
      <c r="AA24" s="2"/>
      <c r="AB24" s="64">
        <f t="shared" si="11"/>
        <v>0</v>
      </c>
      <c r="AC24" s="157">
        <f t="shared" si="12"/>
        <v>0</v>
      </c>
      <c r="AD24" s="208"/>
      <c r="AE24" s="163"/>
      <c r="AF24" s="167"/>
      <c r="AG24" s="67"/>
      <c r="AH24" s="67"/>
      <c r="AI24" s="168"/>
      <c r="AJ24" s="172"/>
    </row>
    <row r="25" spans="2:36" ht="30" customHeight="1" x14ac:dyDescent="0.2">
      <c r="B25" s="1" t="str">
        <f>IF(COUNTBLANK(N25:AJ25)=20,"",IF(AND(M25&lt;&gt;"",OR(EXPEDIENTE!$F$24="",EXPEDIENTE!$F$26="")),0,""))</f>
        <v/>
      </c>
      <c r="C25" s="1" t="str">
        <f t="shared" si="3"/>
        <v/>
      </c>
      <c r="D25" s="1" t="str">
        <f t="shared" si="4"/>
        <v/>
      </c>
      <c r="E25" s="1" t="str">
        <f>IF(P25="","",IF(AND(M25=1,OR(P25&lt;EXPEDIENTE!$F$24,P25&gt;EXPEDIENTE!$F$26)),3,""))</f>
        <v/>
      </c>
      <c r="F25" s="1" t="str">
        <f t="shared" si="5"/>
        <v/>
      </c>
      <c r="G25" s="1" t="str">
        <f t="shared" si="2"/>
        <v/>
      </c>
      <c r="H25" s="1" t="str">
        <f>IF(P25="","",IF(AE25="",6,IF(AND(M25=1,OR(AE25&lt;EXPEDIENTE!$F$24,AE25&gt;EXPEDIENTE!$F$28)),6,"")))</f>
        <v/>
      </c>
      <c r="I25" s="1" t="b">
        <f t="shared" si="6"/>
        <v>0</v>
      </c>
      <c r="J25" s="1">
        <f>IF(AE24&lt;EXPEDIENTE!$H$24,-1,IF(AE24&gt;EXPEDIENTE!$H$28,1,0))</f>
        <v>0</v>
      </c>
      <c r="K25" s="141" t="str">
        <f>IF(IFERROR(VLOOKUP(I25,AUXILIAR!$P$14:$Q$23,2,FALSE),"")="","",VLOOKUP(I25,AUXILIAR!$P$14:$Q$23,2,FALSE))</f>
        <v/>
      </c>
      <c r="L25" s="144">
        <v>18</v>
      </c>
      <c r="M25" s="104" t="str">
        <f t="shared" si="7"/>
        <v/>
      </c>
      <c r="N25" s="148"/>
      <c r="O25" s="232"/>
      <c r="P25" s="14"/>
      <c r="Q25" s="184"/>
      <c r="R25" s="15"/>
      <c r="S25" s="184"/>
      <c r="T25" s="184"/>
      <c r="U25" s="206"/>
      <c r="V25" s="156"/>
      <c r="W25" s="17"/>
      <c r="X25" s="63"/>
      <c r="Y25" s="2"/>
      <c r="Z25" s="64">
        <f t="shared" si="8"/>
        <v>0</v>
      </c>
      <c r="AA25" s="2"/>
      <c r="AB25" s="64">
        <f t="shared" si="11"/>
        <v>0</v>
      </c>
      <c r="AC25" s="157">
        <f t="shared" si="12"/>
        <v>0</v>
      </c>
      <c r="AD25" s="208"/>
      <c r="AE25" s="163"/>
      <c r="AF25" s="167"/>
      <c r="AG25" s="67"/>
      <c r="AH25" s="67"/>
      <c r="AI25" s="168"/>
      <c r="AJ25" s="172"/>
    </row>
    <row r="26" spans="2:36" ht="30" customHeight="1" x14ac:dyDescent="0.2">
      <c r="B26" s="1" t="str">
        <f>IF(COUNTBLANK(N26:AJ26)=20,"",IF(AND(M26&lt;&gt;"",OR(EXPEDIENTE!$F$24="",EXPEDIENTE!$F$26="")),0,""))</f>
        <v/>
      </c>
      <c r="C26" s="1" t="str">
        <f t="shared" si="3"/>
        <v/>
      </c>
      <c r="D26" s="1" t="str">
        <f t="shared" si="4"/>
        <v/>
      </c>
      <c r="E26" s="1" t="str">
        <f>IF(P26="","",IF(AND(M26=1,OR(P26&lt;EXPEDIENTE!$F$24,P26&gt;EXPEDIENTE!$F$26)),3,""))</f>
        <v/>
      </c>
      <c r="F26" s="1" t="str">
        <f t="shared" si="5"/>
        <v/>
      </c>
      <c r="G26" s="1" t="str">
        <f t="shared" si="2"/>
        <v/>
      </c>
      <c r="H26" s="1" t="str">
        <f>IF(P26="","",IF(AE26="",6,IF(AND(M26=1,OR(AE26&lt;EXPEDIENTE!$F$24,AE26&gt;EXPEDIENTE!$F$28)),6,"")))</f>
        <v/>
      </c>
      <c r="I26" s="1" t="b">
        <f t="shared" si="6"/>
        <v>0</v>
      </c>
      <c r="J26" s="1">
        <f>IF(AE25&lt;EXPEDIENTE!$H$24,-1,IF(AE25&gt;EXPEDIENTE!$H$28,1,0))</f>
        <v>0</v>
      </c>
      <c r="K26" s="141" t="str">
        <f>IF(IFERROR(VLOOKUP(I26,AUXILIAR!$P$14:$Q$23,2,FALSE),"")="","",VLOOKUP(I26,AUXILIAR!$P$14:$Q$23,2,FALSE))</f>
        <v/>
      </c>
      <c r="L26" s="144">
        <v>19</v>
      </c>
      <c r="M26" s="104" t="str">
        <f t="shared" si="7"/>
        <v/>
      </c>
      <c r="N26" s="148"/>
      <c r="O26" s="232"/>
      <c r="P26" s="14"/>
      <c r="Q26" s="184"/>
      <c r="R26" s="15"/>
      <c r="S26" s="184"/>
      <c r="T26" s="184"/>
      <c r="U26" s="206"/>
      <c r="V26" s="156"/>
      <c r="W26" s="17"/>
      <c r="X26" s="63"/>
      <c r="Y26" s="2"/>
      <c r="Z26" s="64">
        <f t="shared" si="8"/>
        <v>0</v>
      </c>
      <c r="AA26" s="2"/>
      <c r="AB26" s="64">
        <f t="shared" si="11"/>
        <v>0</v>
      </c>
      <c r="AC26" s="157">
        <f t="shared" si="12"/>
        <v>0</v>
      </c>
      <c r="AD26" s="208"/>
      <c r="AE26" s="163"/>
      <c r="AF26" s="167"/>
      <c r="AG26" s="67"/>
      <c r="AH26" s="67"/>
      <c r="AI26" s="168"/>
      <c r="AJ26" s="172"/>
    </row>
    <row r="27" spans="2:36" ht="30" customHeight="1" x14ac:dyDescent="0.2">
      <c r="B27" s="1" t="str">
        <f>IF(COUNTBLANK(N27:AJ27)=20,"",IF(AND(M27&lt;&gt;"",OR(EXPEDIENTE!$F$24="",EXPEDIENTE!$F$26="")),0,""))</f>
        <v/>
      </c>
      <c r="C27" s="1" t="str">
        <f t="shared" si="3"/>
        <v/>
      </c>
      <c r="D27" s="1" t="str">
        <f t="shared" si="4"/>
        <v/>
      </c>
      <c r="E27" s="1" t="str">
        <f>IF(P27="","",IF(AND(M27=1,OR(P27&lt;EXPEDIENTE!$F$24,P27&gt;EXPEDIENTE!$F$26)),3,""))</f>
        <v/>
      </c>
      <c r="F27" s="1" t="str">
        <f t="shared" si="5"/>
        <v/>
      </c>
      <c r="G27" s="1" t="str">
        <f t="shared" si="2"/>
        <v/>
      </c>
      <c r="H27" s="1" t="str">
        <f>IF(P27="","",IF(AE27="",6,IF(AND(M27=1,OR(AE27&lt;EXPEDIENTE!$F$24,AE27&gt;EXPEDIENTE!$F$28)),6,"")))</f>
        <v/>
      </c>
      <c r="I27" s="1" t="b">
        <f t="shared" si="6"/>
        <v>0</v>
      </c>
      <c r="J27" s="1">
        <f>IF(AE26&lt;EXPEDIENTE!$H$24,-1,IF(AE26&gt;EXPEDIENTE!$H$28,1,0))</f>
        <v>0</v>
      </c>
      <c r="K27" s="141" t="str">
        <f>IF(IFERROR(VLOOKUP(I27,AUXILIAR!$P$14:$Q$23,2,FALSE),"")="","",VLOOKUP(I27,AUXILIAR!$P$14:$Q$23,2,FALSE))</f>
        <v/>
      </c>
      <c r="L27" s="144">
        <v>20</v>
      </c>
      <c r="M27" s="104" t="str">
        <f t="shared" si="7"/>
        <v/>
      </c>
      <c r="N27" s="148"/>
      <c r="O27" s="232"/>
      <c r="P27" s="14"/>
      <c r="Q27" s="184"/>
      <c r="R27" s="15"/>
      <c r="S27" s="184"/>
      <c r="T27" s="184"/>
      <c r="U27" s="206"/>
      <c r="V27" s="156"/>
      <c r="W27" s="17"/>
      <c r="X27" s="63"/>
      <c r="Y27" s="2"/>
      <c r="Z27" s="64">
        <f t="shared" si="8"/>
        <v>0</v>
      </c>
      <c r="AA27" s="2"/>
      <c r="AB27" s="64">
        <f t="shared" si="11"/>
        <v>0</v>
      </c>
      <c r="AC27" s="157">
        <f t="shared" si="12"/>
        <v>0</v>
      </c>
      <c r="AD27" s="208"/>
      <c r="AE27" s="163"/>
      <c r="AF27" s="167"/>
      <c r="AG27" s="67"/>
      <c r="AH27" s="67"/>
      <c r="AI27" s="168"/>
      <c r="AJ27" s="172"/>
    </row>
    <row r="28" spans="2:36" ht="30" customHeight="1" x14ac:dyDescent="0.2">
      <c r="B28" s="1" t="str">
        <f>IF(COUNTBLANK(N28:AJ28)=20,"",IF(AND(M28&lt;&gt;"",OR(EXPEDIENTE!$F$24="",EXPEDIENTE!$F$26="")),0,""))</f>
        <v/>
      </c>
      <c r="C28" s="1" t="str">
        <f t="shared" si="3"/>
        <v/>
      </c>
      <c r="D28" s="1" t="str">
        <f t="shared" si="4"/>
        <v/>
      </c>
      <c r="E28" s="1" t="str">
        <f>IF(P28="","",IF(AND(M28=1,OR(P28&lt;EXPEDIENTE!$F$24,P28&gt;EXPEDIENTE!$F$26)),3,""))</f>
        <v/>
      </c>
      <c r="F28" s="1" t="str">
        <f t="shared" si="5"/>
        <v/>
      </c>
      <c r="G28" s="1" t="str">
        <f t="shared" si="2"/>
        <v/>
      </c>
      <c r="H28" s="1" t="str">
        <f>IF(P28="","",IF(AE28="",6,IF(AND(M28=1,OR(AE28&lt;EXPEDIENTE!$F$24,AE28&gt;EXPEDIENTE!$F$28)),6,"")))</f>
        <v/>
      </c>
      <c r="I28" s="1" t="b">
        <f t="shared" si="6"/>
        <v>0</v>
      </c>
      <c r="J28" s="1">
        <f>IF(AE27&lt;EXPEDIENTE!$H$24,-1,IF(AE27&gt;EXPEDIENTE!$H$28,1,0))</f>
        <v>0</v>
      </c>
      <c r="K28" s="141" t="str">
        <f>IF(IFERROR(VLOOKUP(I28,AUXILIAR!$P$14:$Q$23,2,FALSE),"")="","",VLOOKUP(I28,AUXILIAR!$P$14:$Q$23,2,FALSE))</f>
        <v/>
      </c>
      <c r="L28" s="144">
        <v>21</v>
      </c>
      <c r="M28" s="104" t="str">
        <f t="shared" si="7"/>
        <v/>
      </c>
      <c r="N28" s="148"/>
      <c r="O28" s="232"/>
      <c r="P28" s="14"/>
      <c r="Q28" s="184"/>
      <c r="R28" s="15"/>
      <c r="S28" s="184"/>
      <c r="T28" s="184"/>
      <c r="U28" s="206"/>
      <c r="V28" s="156"/>
      <c r="W28" s="17"/>
      <c r="X28" s="63"/>
      <c r="Y28" s="2"/>
      <c r="Z28" s="64">
        <f t="shared" si="8"/>
        <v>0</v>
      </c>
      <c r="AA28" s="2"/>
      <c r="AB28" s="64">
        <f t="shared" si="11"/>
        <v>0</v>
      </c>
      <c r="AC28" s="157">
        <f t="shared" si="12"/>
        <v>0</v>
      </c>
      <c r="AD28" s="208"/>
      <c r="AE28" s="163"/>
      <c r="AF28" s="167"/>
      <c r="AG28" s="67"/>
      <c r="AH28" s="67"/>
      <c r="AI28" s="168"/>
      <c r="AJ28" s="172"/>
    </row>
    <row r="29" spans="2:36" ht="30" customHeight="1" x14ac:dyDescent="0.2">
      <c r="B29" s="1" t="str">
        <f>IF(COUNTBLANK(N29:AJ29)=20,"",IF(AND(M29&lt;&gt;"",OR(EXPEDIENTE!$F$24="",EXPEDIENTE!$F$26="")),0,""))</f>
        <v/>
      </c>
      <c r="C29" s="1" t="str">
        <f t="shared" si="3"/>
        <v/>
      </c>
      <c r="D29" s="1" t="str">
        <f t="shared" si="4"/>
        <v/>
      </c>
      <c r="E29" s="1" t="str">
        <f>IF(P29="","",IF(AND(M29=1,OR(P29&lt;EXPEDIENTE!$F$24,P29&gt;EXPEDIENTE!$F$26)),3,""))</f>
        <v/>
      </c>
      <c r="F29" s="1" t="str">
        <f t="shared" si="5"/>
        <v/>
      </c>
      <c r="G29" s="1" t="str">
        <f t="shared" si="2"/>
        <v/>
      </c>
      <c r="H29" s="1" t="str">
        <f>IF(P29="","",IF(AE29="",6,IF(AND(M29=1,OR(AE29&lt;EXPEDIENTE!$F$24,AE29&gt;EXPEDIENTE!$F$28)),6,"")))</f>
        <v/>
      </c>
      <c r="I29" s="1" t="b">
        <f t="shared" si="6"/>
        <v>0</v>
      </c>
      <c r="J29" s="1">
        <f>IF(AE28&lt;EXPEDIENTE!$H$24,-1,IF(AE28&gt;EXPEDIENTE!$H$28,1,0))</f>
        <v>0</v>
      </c>
      <c r="K29" s="141" t="str">
        <f>IF(IFERROR(VLOOKUP(I29,AUXILIAR!$P$14:$Q$23,2,FALSE),"")="","",VLOOKUP(I29,AUXILIAR!$P$14:$Q$23,2,FALSE))</f>
        <v/>
      </c>
      <c r="L29" s="144">
        <v>22</v>
      </c>
      <c r="M29" s="104" t="str">
        <f t="shared" si="7"/>
        <v/>
      </c>
      <c r="N29" s="148"/>
      <c r="O29" s="232"/>
      <c r="P29" s="14"/>
      <c r="Q29" s="184"/>
      <c r="R29" s="15"/>
      <c r="S29" s="184"/>
      <c r="T29" s="184"/>
      <c r="U29" s="206"/>
      <c r="V29" s="156"/>
      <c r="W29" s="17"/>
      <c r="X29" s="63"/>
      <c r="Y29" s="2"/>
      <c r="Z29" s="64">
        <f t="shared" si="8"/>
        <v>0</v>
      </c>
      <c r="AA29" s="2"/>
      <c r="AB29" s="64">
        <f t="shared" si="11"/>
        <v>0</v>
      </c>
      <c r="AC29" s="157">
        <f t="shared" si="12"/>
        <v>0</v>
      </c>
      <c r="AD29" s="208"/>
      <c r="AE29" s="163"/>
      <c r="AF29" s="167"/>
      <c r="AG29" s="67"/>
      <c r="AH29" s="67"/>
      <c r="AI29" s="168"/>
      <c r="AJ29" s="172"/>
    </row>
    <row r="30" spans="2:36" ht="30" customHeight="1" x14ac:dyDescent="0.2">
      <c r="B30" s="1" t="str">
        <f>IF(COUNTBLANK(N30:AJ30)=20,"",IF(AND(M30&lt;&gt;"",OR(EXPEDIENTE!$F$24="",EXPEDIENTE!$F$26="")),0,""))</f>
        <v/>
      </c>
      <c r="C30" s="1" t="str">
        <f t="shared" si="3"/>
        <v/>
      </c>
      <c r="D30" s="1" t="str">
        <f t="shared" si="4"/>
        <v/>
      </c>
      <c r="E30" s="1" t="str">
        <f>IF(P30="","",IF(AND(M30=1,OR(P30&lt;EXPEDIENTE!$F$24,P30&gt;EXPEDIENTE!$F$26)),3,""))</f>
        <v/>
      </c>
      <c r="F30" s="1" t="str">
        <f t="shared" si="5"/>
        <v/>
      </c>
      <c r="G30" s="1" t="str">
        <f t="shared" si="2"/>
        <v/>
      </c>
      <c r="H30" s="1" t="str">
        <f>IF(P30="","",IF(AE30="",6,IF(AND(M30=1,OR(AE30&lt;EXPEDIENTE!$F$24,AE30&gt;EXPEDIENTE!$F$28)),6,"")))</f>
        <v/>
      </c>
      <c r="I30" s="1" t="b">
        <f t="shared" si="6"/>
        <v>0</v>
      </c>
      <c r="J30" s="1">
        <f>IF(AE29&lt;EXPEDIENTE!$H$24,-1,IF(AE29&gt;EXPEDIENTE!$H$28,1,0))</f>
        <v>0</v>
      </c>
      <c r="K30" s="141" t="str">
        <f>IF(IFERROR(VLOOKUP(I30,AUXILIAR!$P$14:$Q$23,2,FALSE),"")="","",VLOOKUP(I30,AUXILIAR!$P$14:$Q$23,2,FALSE))</f>
        <v/>
      </c>
      <c r="L30" s="144">
        <v>23</v>
      </c>
      <c r="M30" s="104" t="str">
        <f t="shared" si="7"/>
        <v/>
      </c>
      <c r="N30" s="148"/>
      <c r="O30" s="232"/>
      <c r="P30" s="14"/>
      <c r="Q30" s="184"/>
      <c r="R30" s="15"/>
      <c r="S30" s="184"/>
      <c r="T30" s="184"/>
      <c r="U30" s="206"/>
      <c r="V30" s="156"/>
      <c r="W30" s="17"/>
      <c r="X30" s="63"/>
      <c r="Y30" s="2"/>
      <c r="Z30" s="64">
        <f t="shared" si="8"/>
        <v>0</v>
      </c>
      <c r="AA30" s="2"/>
      <c r="AB30" s="64">
        <f t="shared" si="11"/>
        <v>0</v>
      </c>
      <c r="AC30" s="157">
        <f t="shared" si="12"/>
        <v>0</v>
      </c>
      <c r="AD30" s="208"/>
      <c r="AE30" s="163"/>
      <c r="AF30" s="167"/>
      <c r="AG30" s="67"/>
      <c r="AH30" s="67"/>
      <c r="AI30" s="168"/>
      <c r="AJ30" s="172"/>
    </row>
    <row r="31" spans="2:36" ht="30" customHeight="1" x14ac:dyDescent="0.2">
      <c r="B31" s="1" t="str">
        <f>IF(COUNTBLANK(N31:AJ31)=20,"",IF(AND(M31&lt;&gt;"",OR(EXPEDIENTE!$F$24="",EXPEDIENTE!$F$26="")),0,""))</f>
        <v/>
      </c>
      <c r="C31" s="1" t="str">
        <f t="shared" si="3"/>
        <v/>
      </c>
      <c r="D31" s="1" t="str">
        <f t="shared" si="4"/>
        <v/>
      </c>
      <c r="E31" s="1" t="str">
        <f>IF(P31="","",IF(AND(M31=1,OR(P31&lt;EXPEDIENTE!$F$24,P31&gt;EXPEDIENTE!$F$26)),3,""))</f>
        <v/>
      </c>
      <c r="F31" s="1" t="str">
        <f t="shared" si="5"/>
        <v/>
      </c>
      <c r="G31" s="1" t="str">
        <f t="shared" si="2"/>
        <v/>
      </c>
      <c r="H31" s="1" t="str">
        <f>IF(P31="","",IF(AE31="",6,IF(AND(M31=1,OR(AE31&lt;EXPEDIENTE!$F$24,AE31&gt;EXPEDIENTE!$F$28)),6,"")))</f>
        <v/>
      </c>
      <c r="I31" s="1" t="b">
        <f t="shared" si="6"/>
        <v>0</v>
      </c>
      <c r="J31" s="1">
        <f>IF(AE30&lt;EXPEDIENTE!$H$24,-1,IF(AE30&gt;EXPEDIENTE!$H$28,1,0))</f>
        <v>0</v>
      </c>
      <c r="K31" s="141" t="str">
        <f>IF(IFERROR(VLOOKUP(I31,AUXILIAR!$P$14:$Q$23,2,FALSE),"")="","",VLOOKUP(I31,AUXILIAR!$P$14:$Q$23,2,FALSE))</f>
        <v/>
      </c>
      <c r="L31" s="144">
        <v>24</v>
      </c>
      <c r="M31" s="104" t="str">
        <f t="shared" si="7"/>
        <v/>
      </c>
      <c r="N31" s="148"/>
      <c r="O31" s="232"/>
      <c r="P31" s="14"/>
      <c r="Q31" s="184"/>
      <c r="R31" s="15"/>
      <c r="S31" s="184"/>
      <c r="T31" s="184"/>
      <c r="U31" s="206"/>
      <c r="V31" s="156"/>
      <c r="W31" s="17"/>
      <c r="X31" s="63"/>
      <c r="Y31" s="2"/>
      <c r="Z31" s="64">
        <f t="shared" si="8"/>
        <v>0</v>
      </c>
      <c r="AA31" s="2"/>
      <c r="AB31" s="64">
        <f t="shared" si="11"/>
        <v>0</v>
      </c>
      <c r="AC31" s="157">
        <f t="shared" si="12"/>
        <v>0</v>
      </c>
      <c r="AD31" s="208"/>
      <c r="AE31" s="163"/>
      <c r="AF31" s="167"/>
      <c r="AG31" s="67"/>
      <c r="AH31" s="67"/>
      <c r="AI31" s="168"/>
      <c r="AJ31" s="172"/>
    </row>
    <row r="32" spans="2:36" ht="30" customHeight="1" x14ac:dyDescent="0.2">
      <c r="B32" s="1" t="str">
        <f>IF(COUNTBLANK(N32:AJ32)=20,"",IF(AND(M32&lt;&gt;"",OR(EXPEDIENTE!$F$24="",EXPEDIENTE!$F$26="")),0,""))</f>
        <v/>
      </c>
      <c r="C32" s="1" t="str">
        <f t="shared" si="3"/>
        <v/>
      </c>
      <c r="D32" s="1" t="str">
        <f t="shared" si="4"/>
        <v/>
      </c>
      <c r="E32" s="1" t="str">
        <f>IF(P32="","",IF(AND(M32=1,OR(P32&lt;EXPEDIENTE!$F$24,P32&gt;EXPEDIENTE!$F$26)),3,""))</f>
        <v/>
      </c>
      <c r="F32" s="1" t="str">
        <f t="shared" si="5"/>
        <v/>
      </c>
      <c r="G32" s="1" t="str">
        <f t="shared" si="2"/>
        <v/>
      </c>
      <c r="H32" s="1" t="str">
        <f>IF(P32="","",IF(AE32="",6,IF(AND(M32=1,OR(AE32&lt;EXPEDIENTE!$F$24,AE32&gt;EXPEDIENTE!$F$28)),6,"")))</f>
        <v/>
      </c>
      <c r="I32" s="1" t="b">
        <f t="shared" si="6"/>
        <v>0</v>
      </c>
      <c r="J32" s="1">
        <f>IF(AE31&lt;EXPEDIENTE!$H$24,-1,IF(AE31&gt;EXPEDIENTE!$H$28,1,0))</f>
        <v>0</v>
      </c>
      <c r="K32" s="141" t="str">
        <f>IF(IFERROR(VLOOKUP(I32,AUXILIAR!$P$14:$Q$23,2,FALSE),"")="","",VLOOKUP(I32,AUXILIAR!$P$14:$Q$23,2,FALSE))</f>
        <v/>
      </c>
      <c r="L32" s="144">
        <v>25</v>
      </c>
      <c r="M32" s="104" t="str">
        <f t="shared" si="7"/>
        <v/>
      </c>
      <c r="N32" s="148"/>
      <c r="O32" s="232"/>
      <c r="P32" s="14"/>
      <c r="Q32" s="184"/>
      <c r="R32" s="15"/>
      <c r="S32" s="184"/>
      <c r="T32" s="184"/>
      <c r="U32" s="206"/>
      <c r="V32" s="156"/>
      <c r="W32" s="17"/>
      <c r="X32" s="63"/>
      <c r="Y32" s="2"/>
      <c r="Z32" s="64">
        <f t="shared" si="8"/>
        <v>0</v>
      </c>
      <c r="AA32" s="2"/>
      <c r="AB32" s="64">
        <f t="shared" si="11"/>
        <v>0</v>
      </c>
      <c r="AC32" s="157">
        <f t="shared" si="12"/>
        <v>0</v>
      </c>
      <c r="AD32" s="208"/>
      <c r="AE32" s="163"/>
      <c r="AF32" s="167"/>
      <c r="AG32" s="67"/>
      <c r="AH32" s="67"/>
      <c r="AI32" s="168"/>
      <c r="AJ32" s="172"/>
    </row>
    <row r="33" spans="2:36" ht="30" customHeight="1" x14ac:dyDescent="0.2">
      <c r="B33" s="1" t="str">
        <f>IF(COUNTBLANK(N33:AJ33)=20,"",IF(AND(M33&lt;&gt;"",OR(EXPEDIENTE!$F$24="",EXPEDIENTE!$F$26="")),0,""))</f>
        <v/>
      </c>
      <c r="C33" s="1" t="str">
        <f t="shared" si="3"/>
        <v/>
      </c>
      <c r="D33" s="1" t="str">
        <f t="shared" si="4"/>
        <v/>
      </c>
      <c r="E33" s="1" t="str">
        <f>IF(P33="","",IF(AND(M33=1,OR(P33&lt;EXPEDIENTE!$F$24,P33&gt;EXPEDIENTE!$F$26)),3,""))</f>
        <v/>
      </c>
      <c r="F33" s="1" t="str">
        <f t="shared" si="5"/>
        <v/>
      </c>
      <c r="G33" s="1" t="str">
        <f t="shared" si="2"/>
        <v/>
      </c>
      <c r="H33" s="1" t="str">
        <f>IF(P33="","",IF(AE33="",6,IF(AND(M33=1,OR(AE33&lt;EXPEDIENTE!$F$24,AE33&gt;EXPEDIENTE!$F$28)),6,"")))</f>
        <v/>
      </c>
      <c r="I33" s="1" t="b">
        <f t="shared" si="6"/>
        <v>0</v>
      </c>
      <c r="J33" s="1">
        <f>IF(AE32&lt;EXPEDIENTE!$H$24,-1,IF(AE32&gt;EXPEDIENTE!$H$28,1,0))</f>
        <v>0</v>
      </c>
      <c r="K33" s="141" t="str">
        <f>IF(IFERROR(VLOOKUP(I33,AUXILIAR!$P$14:$Q$23,2,FALSE),"")="","",VLOOKUP(I33,AUXILIAR!$P$14:$Q$23,2,FALSE))</f>
        <v/>
      </c>
      <c r="L33" s="144">
        <v>26</v>
      </c>
      <c r="M33" s="104" t="str">
        <f t="shared" si="7"/>
        <v/>
      </c>
      <c r="N33" s="148"/>
      <c r="O33" s="232"/>
      <c r="P33" s="14"/>
      <c r="Q33" s="184"/>
      <c r="R33" s="15"/>
      <c r="S33" s="184"/>
      <c r="T33" s="184"/>
      <c r="U33" s="206"/>
      <c r="V33" s="156"/>
      <c r="W33" s="17"/>
      <c r="X33" s="63"/>
      <c r="Y33" s="2"/>
      <c r="Z33" s="64">
        <f t="shared" si="8"/>
        <v>0</v>
      </c>
      <c r="AA33" s="2"/>
      <c r="AB33" s="64">
        <f t="shared" si="11"/>
        <v>0</v>
      </c>
      <c r="AC33" s="157">
        <f t="shared" si="12"/>
        <v>0</v>
      </c>
      <c r="AD33" s="208"/>
      <c r="AE33" s="163"/>
      <c r="AF33" s="167"/>
      <c r="AG33" s="67"/>
      <c r="AH33" s="67"/>
      <c r="AI33" s="168"/>
      <c r="AJ33" s="172"/>
    </row>
    <row r="34" spans="2:36" ht="30" customHeight="1" x14ac:dyDescent="0.2">
      <c r="B34" s="1" t="str">
        <f>IF(COUNTBLANK(N34:AJ34)=20,"",IF(AND(M34&lt;&gt;"",OR(EXPEDIENTE!$F$24="",EXPEDIENTE!$F$26="")),0,""))</f>
        <v/>
      </c>
      <c r="C34" s="1" t="str">
        <f t="shared" si="3"/>
        <v/>
      </c>
      <c r="D34" s="1" t="str">
        <f t="shared" si="4"/>
        <v/>
      </c>
      <c r="E34" s="1" t="str">
        <f>IF(P34="","",IF(AND(M34=1,OR(P34&lt;EXPEDIENTE!$F$24,P34&gt;EXPEDIENTE!$F$26)),3,""))</f>
        <v/>
      </c>
      <c r="F34" s="1" t="str">
        <f t="shared" si="5"/>
        <v/>
      </c>
      <c r="G34" s="1" t="str">
        <f t="shared" si="2"/>
        <v/>
      </c>
      <c r="H34" s="1" t="str">
        <f>IF(P34="","",IF(AE34="",6,IF(AND(M34=1,OR(AE34&lt;EXPEDIENTE!$F$24,AE34&gt;EXPEDIENTE!$F$28)),6,"")))</f>
        <v/>
      </c>
      <c r="I34" s="1" t="b">
        <f t="shared" si="6"/>
        <v>0</v>
      </c>
      <c r="J34" s="1">
        <f>IF(AE33&lt;EXPEDIENTE!$H$24,-1,IF(AE33&gt;EXPEDIENTE!$H$28,1,0))</f>
        <v>0</v>
      </c>
      <c r="K34" s="141" t="str">
        <f>IF(IFERROR(VLOOKUP(I34,AUXILIAR!$P$14:$Q$23,2,FALSE),"")="","",VLOOKUP(I34,AUXILIAR!$P$14:$Q$23,2,FALSE))</f>
        <v/>
      </c>
      <c r="L34" s="144">
        <v>27</v>
      </c>
      <c r="M34" s="104" t="str">
        <f t="shared" si="7"/>
        <v/>
      </c>
      <c r="N34" s="148"/>
      <c r="O34" s="232"/>
      <c r="P34" s="14"/>
      <c r="Q34" s="184"/>
      <c r="R34" s="15"/>
      <c r="S34" s="184"/>
      <c r="T34" s="184"/>
      <c r="U34" s="206"/>
      <c r="V34" s="156"/>
      <c r="W34" s="17"/>
      <c r="X34" s="63"/>
      <c r="Y34" s="2"/>
      <c r="Z34" s="64">
        <f t="shared" si="8"/>
        <v>0</v>
      </c>
      <c r="AA34" s="2"/>
      <c r="AB34" s="64">
        <f t="shared" si="11"/>
        <v>0</v>
      </c>
      <c r="AC34" s="157">
        <f t="shared" si="12"/>
        <v>0</v>
      </c>
      <c r="AD34" s="208"/>
      <c r="AE34" s="163"/>
      <c r="AF34" s="167"/>
      <c r="AG34" s="67"/>
      <c r="AH34" s="67"/>
      <c r="AI34" s="168"/>
      <c r="AJ34" s="172"/>
    </row>
    <row r="35" spans="2:36" ht="30" customHeight="1" x14ac:dyDescent="0.2">
      <c r="B35" s="1" t="str">
        <f>IF(COUNTBLANK(N35:AJ35)=20,"",IF(AND(M35&lt;&gt;"",OR(EXPEDIENTE!$F$24="",EXPEDIENTE!$F$26="")),0,""))</f>
        <v/>
      </c>
      <c r="C35" s="1" t="str">
        <f t="shared" si="3"/>
        <v/>
      </c>
      <c r="D35" s="1" t="str">
        <f t="shared" si="4"/>
        <v/>
      </c>
      <c r="E35" s="1" t="str">
        <f>IF(P35="","",IF(AND(M35=1,OR(P35&lt;EXPEDIENTE!$F$24,P35&gt;EXPEDIENTE!$F$26)),3,""))</f>
        <v/>
      </c>
      <c r="F35" s="1" t="str">
        <f t="shared" si="5"/>
        <v/>
      </c>
      <c r="G35" s="1" t="str">
        <f t="shared" si="2"/>
        <v/>
      </c>
      <c r="H35" s="1" t="str">
        <f>IF(P35="","",IF(AE35="",6,IF(AND(M35=1,OR(AE35&lt;EXPEDIENTE!$F$24,AE35&gt;EXPEDIENTE!$F$28)),6,"")))</f>
        <v/>
      </c>
      <c r="I35" s="1" t="b">
        <f t="shared" si="6"/>
        <v>0</v>
      </c>
      <c r="J35" s="1">
        <f>IF(AE34&lt;EXPEDIENTE!$H$24,-1,IF(AE34&gt;EXPEDIENTE!$H$28,1,0))</f>
        <v>0</v>
      </c>
      <c r="K35" s="141" t="str">
        <f>IF(IFERROR(VLOOKUP(I35,AUXILIAR!$P$14:$Q$23,2,FALSE),"")="","",VLOOKUP(I35,AUXILIAR!$P$14:$Q$23,2,FALSE))</f>
        <v/>
      </c>
      <c r="L35" s="144">
        <v>28</v>
      </c>
      <c r="M35" s="104" t="str">
        <f t="shared" si="7"/>
        <v/>
      </c>
      <c r="N35" s="148"/>
      <c r="O35" s="232"/>
      <c r="P35" s="14"/>
      <c r="Q35" s="184"/>
      <c r="R35" s="15"/>
      <c r="S35" s="184"/>
      <c r="T35" s="184"/>
      <c r="U35" s="206"/>
      <c r="V35" s="156"/>
      <c r="W35" s="17"/>
      <c r="X35" s="63"/>
      <c r="Y35" s="2"/>
      <c r="Z35" s="64">
        <f t="shared" si="8"/>
        <v>0</v>
      </c>
      <c r="AA35" s="2"/>
      <c r="AB35" s="64">
        <f t="shared" si="11"/>
        <v>0</v>
      </c>
      <c r="AC35" s="157">
        <f t="shared" si="12"/>
        <v>0</v>
      </c>
      <c r="AD35" s="208"/>
      <c r="AE35" s="163"/>
      <c r="AF35" s="167"/>
      <c r="AG35" s="67"/>
      <c r="AH35" s="67"/>
      <c r="AI35" s="168"/>
      <c r="AJ35" s="172"/>
    </row>
    <row r="36" spans="2:36" ht="30" customHeight="1" x14ac:dyDescent="0.2">
      <c r="B36" s="1" t="str">
        <f>IF(COUNTBLANK(N36:AJ36)=20,"",IF(AND(M36&lt;&gt;"",OR(EXPEDIENTE!$F$24="",EXPEDIENTE!$F$26="")),0,""))</f>
        <v/>
      </c>
      <c r="C36" s="1" t="str">
        <f t="shared" si="3"/>
        <v/>
      </c>
      <c r="D36" s="1" t="str">
        <f t="shared" si="4"/>
        <v/>
      </c>
      <c r="E36" s="1" t="str">
        <f>IF(P36="","",IF(AND(M36=1,OR(P36&lt;EXPEDIENTE!$F$24,P36&gt;EXPEDIENTE!$F$26)),3,""))</f>
        <v/>
      </c>
      <c r="F36" s="1" t="str">
        <f t="shared" si="5"/>
        <v/>
      </c>
      <c r="G36" s="1" t="str">
        <f t="shared" si="2"/>
        <v/>
      </c>
      <c r="H36" s="1" t="str">
        <f>IF(P36="","",IF(AE36="",6,IF(AND(M36=1,OR(AE36&lt;EXPEDIENTE!$F$24,AE36&gt;EXPEDIENTE!$F$28)),6,"")))</f>
        <v/>
      </c>
      <c r="I36" s="1" t="b">
        <f t="shared" si="6"/>
        <v>0</v>
      </c>
      <c r="J36" s="1">
        <f>IF(AE35&lt;EXPEDIENTE!$H$24,-1,IF(AE35&gt;EXPEDIENTE!$H$28,1,0))</f>
        <v>0</v>
      </c>
      <c r="K36" s="141"/>
      <c r="L36" s="144">
        <v>29</v>
      </c>
      <c r="M36" s="104" t="str">
        <f t="shared" si="7"/>
        <v/>
      </c>
      <c r="N36" s="148"/>
      <c r="O36" s="232"/>
      <c r="P36" s="14"/>
      <c r="Q36" s="184"/>
      <c r="R36" s="15"/>
      <c r="S36" s="184"/>
      <c r="T36" s="184"/>
      <c r="U36" s="206"/>
      <c r="V36" s="156"/>
      <c r="W36" s="17"/>
      <c r="X36" s="63"/>
      <c r="Y36" s="2"/>
      <c r="Z36" s="64">
        <f t="shared" si="8"/>
        <v>0</v>
      </c>
      <c r="AA36" s="2"/>
      <c r="AB36" s="64">
        <f t="shared" si="11"/>
        <v>0</v>
      </c>
      <c r="AC36" s="157">
        <f t="shared" si="12"/>
        <v>0</v>
      </c>
      <c r="AD36" s="208"/>
      <c r="AE36" s="163"/>
      <c r="AF36" s="167"/>
      <c r="AG36" s="67"/>
      <c r="AH36" s="67"/>
      <c r="AI36" s="168"/>
      <c r="AJ36" s="172"/>
    </row>
    <row r="37" spans="2:36" ht="30" customHeight="1" x14ac:dyDescent="0.2">
      <c r="B37" s="1" t="str">
        <f>IF(COUNTBLANK(N37:AJ37)=20,"",IF(AND(M37&lt;&gt;"",OR(EXPEDIENTE!$F$24="",EXPEDIENTE!$F$26="")),0,""))</f>
        <v/>
      </c>
      <c r="C37" s="1" t="str">
        <f t="shared" si="3"/>
        <v/>
      </c>
      <c r="D37" s="1" t="str">
        <f t="shared" si="4"/>
        <v/>
      </c>
      <c r="E37" s="1" t="str">
        <f>IF(P37="","",IF(AND(M37=1,OR(P37&lt;EXPEDIENTE!$F$24,P37&gt;EXPEDIENTE!$F$26)),3,""))</f>
        <v/>
      </c>
      <c r="F37" s="1" t="str">
        <f t="shared" si="5"/>
        <v/>
      </c>
      <c r="G37" s="1" t="str">
        <f t="shared" si="2"/>
        <v/>
      </c>
      <c r="H37" s="1" t="str">
        <f>IF(P37="","",IF(AE37="",6,IF(AND(M37=1,OR(AE37&lt;EXPEDIENTE!$F$24,AE37&gt;EXPEDIENTE!$F$28)),6,"")))</f>
        <v/>
      </c>
      <c r="I37" s="1" t="b">
        <f t="shared" si="6"/>
        <v>0</v>
      </c>
      <c r="J37" s="1">
        <f>IF(AE36&lt;EXPEDIENTE!$H$24,-1,IF(AE36&gt;EXPEDIENTE!$H$28,1,0))</f>
        <v>0</v>
      </c>
      <c r="K37" s="141"/>
      <c r="L37" s="144">
        <v>30</v>
      </c>
      <c r="M37" s="104" t="str">
        <f t="shared" si="7"/>
        <v/>
      </c>
      <c r="N37" s="148"/>
      <c r="O37" s="232"/>
      <c r="P37" s="14"/>
      <c r="Q37" s="184"/>
      <c r="R37" s="15"/>
      <c r="S37" s="184"/>
      <c r="T37" s="184"/>
      <c r="U37" s="206"/>
      <c r="V37" s="156"/>
      <c r="W37" s="17"/>
      <c r="X37" s="63"/>
      <c r="Y37" s="2"/>
      <c r="Z37" s="64">
        <f t="shared" si="8"/>
        <v>0</v>
      </c>
      <c r="AA37" s="2"/>
      <c r="AB37" s="64">
        <f t="shared" si="11"/>
        <v>0</v>
      </c>
      <c r="AC37" s="157">
        <f t="shared" si="12"/>
        <v>0</v>
      </c>
      <c r="AD37" s="208"/>
      <c r="AE37" s="163"/>
      <c r="AF37" s="167"/>
      <c r="AG37" s="67"/>
      <c r="AH37" s="67"/>
      <c r="AI37" s="168"/>
      <c r="AJ37" s="172"/>
    </row>
    <row r="38" spans="2:36" ht="30" customHeight="1" x14ac:dyDescent="0.2">
      <c r="B38" s="1" t="str">
        <f>IF(COUNTBLANK(N38:AJ38)=20,"",IF(AND(M38&lt;&gt;"",OR(EXPEDIENTE!$F$24="",EXPEDIENTE!$F$26="")),0,""))</f>
        <v/>
      </c>
      <c r="C38" s="1" t="str">
        <f t="shared" si="3"/>
        <v/>
      </c>
      <c r="D38" s="1" t="str">
        <f t="shared" si="4"/>
        <v/>
      </c>
      <c r="E38" s="1" t="str">
        <f>IF(P38="","",IF(AND(M38=1,OR(P38&lt;EXPEDIENTE!$F$24,P38&gt;EXPEDIENTE!$F$26)),3,""))</f>
        <v/>
      </c>
      <c r="F38" s="1" t="str">
        <f t="shared" si="5"/>
        <v/>
      </c>
      <c r="G38" s="1" t="str">
        <f t="shared" si="2"/>
        <v/>
      </c>
      <c r="H38" s="1" t="str">
        <f>IF(P38="","",IF(AE38="",6,IF(AND(M38=1,OR(AE38&lt;EXPEDIENTE!$F$24,AE38&gt;EXPEDIENTE!$F$28)),6,"")))</f>
        <v/>
      </c>
      <c r="I38" s="1" t="b">
        <f t="shared" si="6"/>
        <v>0</v>
      </c>
      <c r="J38" s="1">
        <f>IF(AE37&lt;EXPEDIENTE!$H$24,-1,IF(AE37&gt;EXPEDIENTE!$H$28,1,0))</f>
        <v>0</v>
      </c>
      <c r="K38" s="141"/>
      <c r="L38" s="144">
        <v>31</v>
      </c>
      <c r="M38" s="104" t="str">
        <f t="shared" si="7"/>
        <v/>
      </c>
      <c r="N38" s="148"/>
      <c r="O38" s="232"/>
      <c r="P38" s="14"/>
      <c r="Q38" s="184"/>
      <c r="R38" s="15"/>
      <c r="S38" s="184"/>
      <c r="T38" s="184"/>
      <c r="U38" s="206"/>
      <c r="V38" s="156"/>
      <c r="W38" s="17"/>
      <c r="X38" s="63"/>
      <c r="Y38" s="2"/>
      <c r="Z38" s="64">
        <f t="shared" si="8"/>
        <v>0</v>
      </c>
      <c r="AA38" s="2"/>
      <c r="AB38" s="64">
        <f t="shared" si="11"/>
        <v>0</v>
      </c>
      <c r="AC38" s="157">
        <f t="shared" si="12"/>
        <v>0</v>
      </c>
      <c r="AD38" s="208"/>
      <c r="AE38" s="163"/>
      <c r="AF38" s="167"/>
      <c r="AG38" s="67"/>
      <c r="AH38" s="67"/>
      <c r="AI38" s="168"/>
      <c r="AJ38" s="172"/>
    </row>
    <row r="39" spans="2:36" ht="30" customHeight="1" x14ac:dyDescent="0.2">
      <c r="B39" s="1" t="str">
        <f>IF(COUNTBLANK(N39:AJ39)=20,"",IF(AND(M39&lt;&gt;"",OR(EXPEDIENTE!$F$24="",EXPEDIENTE!$F$26="")),0,""))</f>
        <v/>
      </c>
      <c r="C39" s="1" t="str">
        <f t="shared" si="3"/>
        <v/>
      </c>
      <c r="D39" s="1" t="str">
        <f t="shared" si="4"/>
        <v/>
      </c>
      <c r="E39" s="1" t="str">
        <f>IF(P39="","",IF(AND(M39=1,OR(P39&lt;EXPEDIENTE!$F$24,P39&gt;EXPEDIENTE!$F$26)),3,""))</f>
        <v/>
      </c>
      <c r="F39" s="1" t="str">
        <f t="shared" si="5"/>
        <v/>
      </c>
      <c r="G39" s="1" t="str">
        <f t="shared" si="2"/>
        <v/>
      </c>
      <c r="H39" s="1" t="str">
        <f>IF(P39="","",IF(AE39="",6,IF(AND(M39=1,OR(AE39&lt;EXPEDIENTE!$F$24,AE39&gt;EXPEDIENTE!$F$28)),6,"")))</f>
        <v/>
      </c>
      <c r="I39" s="1" t="b">
        <f t="shared" si="6"/>
        <v>0</v>
      </c>
      <c r="J39" s="1">
        <f>IF(AE38&lt;EXPEDIENTE!$H$24,-1,IF(AE38&gt;EXPEDIENTE!$H$28,1,0))</f>
        <v>0</v>
      </c>
      <c r="K39" s="141"/>
      <c r="L39" s="144">
        <v>32</v>
      </c>
      <c r="M39" s="104" t="str">
        <f t="shared" si="7"/>
        <v/>
      </c>
      <c r="N39" s="148"/>
      <c r="O39" s="232"/>
      <c r="P39" s="14"/>
      <c r="Q39" s="184"/>
      <c r="R39" s="15"/>
      <c r="S39" s="184"/>
      <c r="T39" s="184"/>
      <c r="U39" s="206"/>
      <c r="V39" s="156"/>
      <c r="W39" s="17"/>
      <c r="X39" s="63"/>
      <c r="Y39" s="2"/>
      <c r="Z39" s="64">
        <f t="shared" si="8"/>
        <v>0</v>
      </c>
      <c r="AA39" s="2"/>
      <c r="AB39" s="64">
        <f t="shared" si="11"/>
        <v>0</v>
      </c>
      <c r="AC39" s="157">
        <f t="shared" si="12"/>
        <v>0</v>
      </c>
      <c r="AD39" s="208"/>
      <c r="AE39" s="163"/>
      <c r="AF39" s="167"/>
      <c r="AG39" s="67"/>
      <c r="AH39" s="67"/>
      <c r="AI39" s="168"/>
      <c r="AJ39" s="172"/>
    </row>
    <row r="40" spans="2:36" ht="30" customHeight="1" x14ac:dyDescent="0.2">
      <c r="B40" s="1" t="str">
        <f>IF(COUNTBLANK(N40:AJ40)=20,"",IF(AND(M40&lt;&gt;"",OR(EXPEDIENTE!$F$24="",EXPEDIENTE!$F$26="")),0,""))</f>
        <v/>
      </c>
      <c r="C40" s="1" t="str">
        <f t="shared" si="3"/>
        <v/>
      </c>
      <c r="D40" s="1" t="str">
        <f t="shared" si="4"/>
        <v/>
      </c>
      <c r="E40" s="1" t="str">
        <f>IF(P40="","",IF(AND(M40=1,OR(P40&lt;EXPEDIENTE!$F$24,P40&gt;EXPEDIENTE!$F$26)),3,""))</f>
        <v/>
      </c>
      <c r="F40" s="1" t="str">
        <f t="shared" si="5"/>
        <v/>
      </c>
      <c r="G40" s="1" t="str">
        <f t="shared" si="2"/>
        <v/>
      </c>
      <c r="H40" s="1" t="str">
        <f>IF(P40="","",IF(AE40="",6,IF(AND(M40=1,OR(AE40&lt;EXPEDIENTE!$F$24,AE40&gt;EXPEDIENTE!$F$28)),6,"")))</f>
        <v/>
      </c>
      <c r="I40" s="1" t="b">
        <f t="shared" si="6"/>
        <v>0</v>
      </c>
      <c r="J40" s="1">
        <f>IF(AE39&lt;EXPEDIENTE!$H$24,-1,IF(AE39&gt;EXPEDIENTE!$H$28,1,0))</f>
        <v>0</v>
      </c>
      <c r="K40" s="141"/>
      <c r="L40" s="144">
        <v>33</v>
      </c>
      <c r="M40" s="104" t="str">
        <f t="shared" si="7"/>
        <v/>
      </c>
      <c r="N40" s="148"/>
      <c r="O40" s="232"/>
      <c r="P40" s="14"/>
      <c r="Q40" s="184"/>
      <c r="R40" s="15"/>
      <c r="S40" s="184"/>
      <c r="T40" s="184"/>
      <c r="U40" s="206"/>
      <c r="V40" s="156"/>
      <c r="W40" s="17"/>
      <c r="X40" s="63"/>
      <c r="Y40" s="2"/>
      <c r="Z40" s="64">
        <f t="shared" si="8"/>
        <v>0</v>
      </c>
      <c r="AA40" s="2"/>
      <c r="AB40" s="64">
        <f t="shared" si="11"/>
        <v>0</v>
      </c>
      <c r="AC40" s="157">
        <f t="shared" si="12"/>
        <v>0</v>
      </c>
      <c r="AD40" s="208"/>
      <c r="AE40" s="163"/>
      <c r="AF40" s="167"/>
      <c r="AG40" s="67"/>
      <c r="AH40" s="67"/>
      <c r="AI40" s="168"/>
      <c r="AJ40" s="172"/>
    </row>
    <row r="41" spans="2:36" ht="30" customHeight="1" x14ac:dyDescent="0.2">
      <c r="B41" s="1" t="str">
        <f>IF(COUNTBLANK(N41:AJ41)=20,"",IF(AND(M41&lt;&gt;"",OR(EXPEDIENTE!$F$24="",EXPEDIENTE!$F$26="")),0,""))</f>
        <v/>
      </c>
      <c r="C41" s="1" t="str">
        <f t="shared" si="3"/>
        <v/>
      </c>
      <c r="D41" s="1" t="str">
        <f t="shared" si="4"/>
        <v/>
      </c>
      <c r="E41" s="1" t="str">
        <f>IF(P41="","",IF(AND(M41=1,OR(P41&lt;EXPEDIENTE!$F$24,P41&gt;EXPEDIENTE!$F$26)),3,""))</f>
        <v/>
      </c>
      <c r="F41" s="1" t="str">
        <f t="shared" si="5"/>
        <v/>
      </c>
      <c r="G41" s="1" t="str">
        <f t="shared" si="2"/>
        <v/>
      </c>
      <c r="H41" s="1" t="str">
        <f>IF(P41="","",IF(AE41="",6,IF(AND(M41=1,OR(AE41&lt;EXPEDIENTE!$F$24,AE41&gt;EXPEDIENTE!$F$28)),6,"")))</f>
        <v/>
      </c>
      <c r="I41" s="1" t="b">
        <f t="shared" si="6"/>
        <v>0</v>
      </c>
      <c r="J41" s="1">
        <f>IF(AE40&lt;EXPEDIENTE!$H$24,-1,IF(AE40&gt;EXPEDIENTE!$H$28,1,0))</f>
        <v>0</v>
      </c>
      <c r="K41" s="141"/>
      <c r="L41" s="144">
        <v>34</v>
      </c>
      <c r="M41" s="104" t="str">
        <f t="shared" si="7"/>
        <v/>
      </c>
      <c r="N41" s="148"/>
      <c r="O41" s="232"/>
      <c r="P41" s="14"/>
      <c r="Q41" s="184"/>
      <c r="R41" s="15"/>
      <c r="S41" s="184"/>
      <c r="T41" s="184"/>
      <c r="U41" s="206"/>
      <c r="V41" s="156"/>
      <c r="W41" s="17"/>
      <c r="X41" s="63"/>
      <c r="Y41" s="2"/>
      <c r="Z41" s="64">
        <f t="shared" si="8"/>
        <v>0</v>
      </c>
      <c r="AA41" s="2"/>
      <c r="AB41" s="64">
        <f t="shared" si="11"/>
        <v>0</v>
      </c>
      <c r="AC41" s="157">
        <f t="shared" si="12"/>
        <v>0</v>
      </c>
      <c r="AD41" s="208"/>
      <c r="AE41" s="163"/>
      <c r="AF41" s="167"/>
      <c r="AG41" s="67"/>
      <c r="AH41" s="67"/>
      <c r="AI41" s="168"/>
      <c r="AJ41" s="172"/>
    </row>
    <row r="42" spans="2:36" ht="30" customHeight="1" x14ac:dyDescent="0.2">
      <c r="B42" s="1" t="str">
        <f>IF(COUNTBLANK(N42:AJ42)=20,"",IF(AND(M42&lt;&gt;"",OR(EXPEDIENTE!$F$24="",EXPEDIENTE!$F$26="")),0,""))</f>
        <v/>
      </c>
      <c r="C42" s="1" t="str">
        <f t="shared" si="3"/>
        <v/>
      </c>
      <c r="D42" s="1" t="str">
        <f t="shared" si="4"/>
        <v/>
      </c>
      <c r="E42" s="1" t="str">
        <f>IF(P42="","",IF(AND(M42=1,OR(P42&lt;EXPEDIENTE!$F$24,P42&gt;EXPEDIENTE!$F$26)),3,""))</f>
        <v/>
      </c>
      <c r="F42" s="1" t="str">
        <f t="shared" si="5"/>
        <v/>
      </c>
      <c r="G42" s="1" t="str">
        <f t="shared" si="2"/>
        <v/>
      </c>
      <c r="H42" s="1" t="str">
        <f>IF(P42="","",IF(AE42="",6,IF(AND(M42=1,OR(AE42&lt;EXPEDIENTE!$F$24,AE42&gt;EXPEDIENTE!$F$28)),6,"")))</f>
        <v/>
      </c>
      <c r="I42" s="1" t="b">
        <f t="shared" si="6"/>
        <v>0</v>
      </c>
      <c r="J42" s="1">
        <f>IF(AE41&lt;EXPEDIENTE!$H$24,-1,IF(AE41&gt;EXPEDIENTE!$H$28,1,0))</f>
        <v>0</v>
      </c>
      <c r="K42" s="141"/>
      <c r="L42" s="144">
        <v>35</v>
      </c>
      <c r="M42" s="104" t="str">
        <f t="shared" si="7"/>
        <v/>
      </c>
      <c r="N42" s="148"/>
      <c r="O42" s="232"/>
      <c r="P42" s="14"/>
      <c r="Q42" s="184"/>
      <c r="R42" s="15"/>
      <c r="S42" s="184"/>
      <c r="T42" s="184"/>
      <c r="U42" s="206"/>
      <c r="V42" s="156"/>
      <c r="W42" s="17"/>
      <c r="X42" s="63"/>
      <c r="Y42" s="2"/>
      <c r="Z42" s="64">
        <f t="shared" si="8"/>
        <v>0</v>
      </c>
      <c r="AA42" s="2"/>
      <c r="AB42" s="64">
        <f t="shared" si="11"/>
        <v>0</v>
      </c>
      <c r="AC42" s="157">
        <f t="shared" si="12"/>
        <v>0</v>
      </c>
      <c r="AD42" s="208"/>
      <c r="AE42" s="163"/>
      <c r="AF42" s="167"/>
      <c r="AG42" s="67"/>
      <c r="AH42" s="67"/>
      <c r="AI42" s="168"/>
      <c r="AJ42" s="172"/>
    </row>
    <row r="43" spans="2:36" ht="30" customHeight="1" x14ac:dyDescent="0.2">
      <c r="B43" s="1" t="str">
        <f>IF(COUNTBLANK(N43:AJ43)=20,"",IF(AND(M43&lt;&gt;"",OR(EXPEDIENTE!$F$24="",EXPEDIENTE!$F$26="")),0,""))</f>
        <v/>
      </c>
      <c r="C43" s="1" t="str">
        <f t="shared" si="3"/>
        <v/>
      </c>
      <c r="D43" s="1" t="str">
        <f t="shared" si="4"/>
        <v/>
      </c>
      <c r="E43" s="1" t="str">
        <f>IF(P43="","",IF(AND(M43=1,OR(P43&lt;EXPEDIENTE!$F$24,P43&gt;EXPEDIENTE!$F$26)),3,""))</f>
        <v/>
      </c>
      <c r="F43" s="1" t="str">
        <f t="shared" si="5"/>
        <v/>
      </c>
      <c r="G43" s="1" t="str">
        <f t="shared" si="2"/>
        <v/>
      </c>
      <c r="H43" s="1" t="str">
        <f>IF(P43="","",IF(AE43="",6,IF(AND(M43=1,OR(AE43&lt;EXPEDIENTE!$F$24,AE43&gt;EXPEDIENTE!$F$28)),6,"")))</f>
        <v/>
      </c>
      <c r="I43" s="1" t="b">
        <f t="shared" si="6"/>
        <v>0</v>
      </c>
      <c r="J43" s="1">
        <f>IF(AE42&lt;EXPEDIENTE!$H$24,-1,IF(AE42&gt;EXPEDIENTE!$H$28,1,0))</f>
        <v>0</v>
      </c>
      <c r="K43" s="141"/>
      <c r="L43" s="144">
        <v>36</v>
      </c>
      <c r="M43" s="104" t="str">
        <f t="shared" si="7"/>
        <v/>
      </c>
      <c r="N43" s="148"/>
      <c r="O43" s="232"/>
      <c r="P43" s="14"/>
      <c r="Q43" s="184"/>
      <c r="R43" s="15"/>
      <c r="S43" s="184"/>
      <c r="T43" s="184"/>
      <c r="U43" s="206"/>
      <c r="V43" s="156"/>
      <c r="W43" s="17"/>
      <c r="X43" s="63"/>
      <c r="Y43" s="2"/>
      <c r="Z43" s="64">
        <f t="shared" si="8"/>
        <v>0</v>
      </c>
      <c r="AA43" s="2"/>
      <c r="AB43" s="64">
        <f t="shared" si="11"/>
        <v>0</v>
      </c>
      <c r="AC43" s="157">
        <f t="shared" si="12"/>
        <v>0</v>
      </c>
      <c r="AD43" s="208"/>
      <c r="AE43" s="163"/>
      <c r="AF43" s="167"/>
      <c r="AG43" s="67"/>
      <c r="AH43" s="67"/>
      <c r="AI43" s="168"/>
      <c r="AJ43" s="172"/>
    </row>
    <row r="44" spans="2:36" ht="30" customHeight="1" x14ac:dyDescent="0.2">
      <c r="B44" s="1" t="str">
        <f>IF(COUNTBLANK(N44:AJ44)=20,"",IF(AND(M44&lt;&gt;"",OR(EXPEDIENTE!$F$24="",EXPEDIENTE!$F$26="")),0,""))</f>
        <v/>
      </c>
      <c r="C44" s="1" t="str">
        <f t="shared" si="3"/>
        <v/>
      </c>
      <c r="D44" s="1" t="str">
        <f t="shared" si="4"/>
        <v/>
      </c>
      <c r="E44" s="1" t="str">
        <f>IF(P44="","",IF(AND(M44=1,OR(P44&lt;EXPEDIENTE!$F$24,P44&gt;EXPEDIENTE!$F$26)),3,""))</f>
        <v/>
      </c>
      <c r="F44" s="1" t="str">
        <f t="shared" si="5"/>
        <v/>
      </c>
      <c r="G44" s="1" t="str">
        <f t="shared" si="2"/>
        <v/>
      </c>
      <c r="H44" s="1" t="str">
        <f>IF(P44="","",IF(AE44="",6,IF(AND(M44=1,OR(AE44&lt;EXPEDIENTE!$F$24,AE44&gt;EXPEDIENTE!$F$28)),6,"")))</f>
        <v/>
      </c>
      <c r="I44" s="1" t="b">
        <f t="shared" si="6"/>
        <v>0</v>
      </c>
      <c r="J44" s="1">
        <f>IF(AE43&lt;EXPEDIENTE!$H$24,-1,IF(AE43&gt;EXPEDIENTE!$H$28,1,0))</f>
        <v>0</v>
      </c>
      <c r="K44" s="141"/>
      <c r="L44" s="144">
        <v>37</v>
      </c>
      <c r="M44" s="104" t="str">
        <f t="shared" si="7"/>
        <v/>
      </c>
      <c r="N44" s="148"/>
      <c r="O44" s="232"/>
      <c r="P44" s="14"/>
      <c r="Q44" s="184"/>
      <c r="R44" s="15"/>
      <c r="S44" s="184"/>
      <c r="T44" s="184"/>
      <c r="U44" s="206"/>
      <c r="V44" s="156"/>
      <c r="W44" s="17"/>
      <c r="X44" s="63"/>
      <c r="Y44" s="2"/>
      <c r="Z44" s="64">
        <f t="shared" si="8"/>
        <v>0</v>
      </c>
      <c r="AA44" s="2"/>
      <c r="AB44" s="64">
        <f t="shared" si="11"/>
        <v>0</v>
      </c>
      <c r="AC44" s="157">
        <f t="shared" si="12"/>
        <v>0</v>
      </c>
      <c r="AD44" s="208"/>
      <c r="AE44" s="163"/>
      <c r="AF44" s="167"/>
      <c r="AG44" s="67"/>
      <c r="AH44" s="67"/>
      <c r="AI44" s="168"/>
      <c r="AJ44" s="172"/>
    </row>
    <row r="45" spans="2:36" ht="30" customHeight="1" x14ac:dyDescent="0.2">
      <c r="B45" s="1" t="str">
        <f>IF(COUNTBLANK(N45:AJ45)=20,"",IF(AND(M45&lt;&gt;"",OR(EXPEDIENTE!$F$24="",EXPEDIENTE!$F$26="")),0,""))</f>
        <v/>
      </c>
      <c r="C45" s="1" t="str">
        <f t="shared" si="3"/>
        <v/>
      </c>
      <c r="D45" s="1" t="str">
        <f t="shared" si="4"/>
        <v/>
      </c>
      <c r="E45" s="1" t="str">
        <f>IF(P45="","",IF(AND(M45=1,OR(P45&lt;EXPEDIENTE!$F$24,P45&gt;EXPEDIENTE!$F$26)),3,""))</f>
        <v/>
      </c>
      <c r="F45" s="1" t="str">
        <f t="shared" si="5"/>
        <v/>
      </c>
      <c r="G45" s="1" t="str">
        <f t="shared" si="2"/>
        <v/>
      </c>
      <c r="H45" s="1" t="str">
        <f>IF(P45="","",IF(AE45="",6,IF(AND(M45=1,OR(AE45&lt;EXPEDIENTE!$F$24,AE45&gt;EXPEDIENTE!$F$28)),6,"")))</f>
        <v/>
      </c>
      <c r="I45" s="1" t="b">
        <f t="shared" si="6"/>
        <v>0</v>
      </c>
      <c r="J45" s="1">
        <f>IF(AE44&lt;EXPEDIENTE!$H$24,-1,IF(AE44&gt;EXPEDIENTE!$H$28,1,0))</f>
        <v>0</v>
      </c>
      <c r="K45" s="141"/>
      <c r="L45" s="144">
        <v>38</v>
      </c>
      <c r="M45" s="104" t="str">
        <f t="shared" si="7"/>
        <v/>
      </c>
      <c r="N45" s="148"/>
      <c r="O45" s="232"/>
      <c r="P45" s="14"/>
      <c r="Q45" s="184"/>
      <c r="R45" s="15"/>
      <c r="S45" s="184"/>
      <c r="T45" s="184"/>
      <c r="U45" s="206"/>
      <c r="V45" s="156"/>
      <c r="W45" s="17"/>
      <c r="X45" s="63"/>
      <c r="Y45" s="2"/>
      <c r="Z45" s="64">
        <f t="shared" si="8"/>
        <v>0</v>
      </c>
      <c r="AA45" s="2"/>
      <c r="AB45" s="64">
        <f t="shared" si="11"/>
        <v>0</v>
      </c>
      <c r="AC45" s="157">
        <f t="shared" si="12"/>
        <v>0</v>
      </c>
      <c r="AD45" s="208"/>
      <c r="AE45" s="163"/>
      <c r="AF45" s="167"/>
      <c r="AG45" s="67"/>
      <c r="AH45" s="67"/>
      <c r="AI45" s="168"/>
      <c r="AJ45" s="172"/>
    </row>
    <row r="46" spans="2:36" ht="30" customHeight="1" x14ac:dyDescent="0.2">
      <c r="B46" s="1" t="str">
        <f>IF(COUNTBLANK(N46:AJ46)=20,"",IF(AND(M46&lt;&gt;"",OR(EXPEDIENTE!$F$24="",EXPEDIENTE!$F$26="")),0,""))</f>
        <v/>
      </c>
      <c r="C46" s="1" t="str">
        <f t="shared" si="3"/>
        <v/>
      </c>
      <c r="D46" s="1" t="str">
        <f t="shared" si="4"/>
        <v/>
      </c>
      <c r="E46" s="1" t="str">
        <f>IF(P46="","",IF(AND(M46=1,OR(P46&lt;EXPEDIENTE!$F$24,P46&gt;EXPEDIENTE!$F$26)),3,""))</f>
        <v/>
      </c>
      <c r="F46" s="1" t="str">
        <f t="shared" si="5"/>
        <v/>
      </c>
      <c r="G46" s="1" t="str">
        <f t="shared" si="2"/>
        <v/>
      </c>
      <c r="H46" s="1" t="str">
        <f>IF(P46="","",IF(AE46="",6,IF(AND(M46=1,OR(AE46&lt;EXPEDIENTE!$F$24,AE46&gt;EXPEDIENTE!$F$28)),6,"")))</f>
        <v/>
      </c>
      <c r="I46" s="1" t="b">
        <f t="shared" si="6"/>
        <v>0</v>
      </c>
      <c r="J46" s="1">
        <f>IF(AE45&lt;EXPEDIENTE!$H$24,-1,IF(AE45&gt;EXPEDIENTE!$H$28,1,0))</f>
        <v>0</v>
      </c>
      <c r="K46" s="141" t="str">
        <f>IF(IFERROR(VLOOKUP(I46,AUXILIAR!$P$14:$Q$23,2,FALSE),"")="","",VLOOKUP(I46,AUXILIAR!$P$14:$Q$23,2,FALSE))</f>
        <v/>
      </c>
      <c r="L46" s="144">
        <v>39</v>
      </c>
      <c r="M46" s="104" t="str">
        <f t="shared" si="7"/>
        <v/>
      </c>
      <c r="N46" s="148"/>
      <c r="O46" s="232"/>
      <c r="P46" s="14"/>
      <c r="Q46" s="184"/>
      <c r="R46" s="15"/>
      <c r="S46" s="184"/>
      <c r="T46" s="184"/>
      <c r="U46" s="206"/>
      <c r="V46" s="156"/>
      <c r="W46" s="17"/>
      <c r="X46" s="63"/>
      <c r="Y46" s="2"/>
      <c r="Z46" s="64">
        <f t="shared" si="8"/>
        <v>0</v>
      </c>
      <c r="AA46" s="2"/>
      <c r="AB46" s="64">
        <f t="shared" si="11"/>
        <v>0</v>
      </c>
      <c r="AC46" s="157">
        <f t="shared" si="12"/>
        <v>0</v>
      </c>
      <c r="AD46" s="208"/>
      <c r="AE46" s="163"/>
      <c r="AF46" s="167"/>
      <c r="AG46" s="67"/>
      <c r="AH46" s="67"/>
      <c r="AI46" s="168"/>
      <c r="AJ46" s="172"/>
    </row>
    <row r="47" spans="2:36" ht="30" customHeight="1" thickBot="1" x14ac:dyDescent="0.25">
      <c r="B47" s="1" t="str">
        <f>IF(COUNTBLANK(N47:AJ47)=20,"",IF(AND(M47&lt;&gt;"",OR(EXPEDIENTE!$F$24="",EXPEDIENTE!$F$26="")),0,""))</f>
        <v/>
      </c>
      <c r="C47" s="1" t="str">
        <f t="shared" si="3"/>
        <v/>
      </c>
      <c r="D47" s="1" t="str">
        <f t="shared" si="4"/>
        <v/>
      </c>
      <c r="E47" s="1" t="str">
        <f>IF(P47="","",IF(AND(M47=1,OR(P47&lt;EXPEDIENTE!$F$24,P47&gt;EXPEDIENTE!$F$26)),3,""))</f>
        <v/>
      </c>
      <c r="F47" s="1" t="str">
        <f t="shared" si="5"/>
        <v/>
      </c>
      <c r="G47" s="1" t="str">
        <f t="shared" si="2"/>
        <v/>
      </c>
      <c r="H47" s="1" t="str">
        <f>IF(P47="","",IF(AE47="",6,IF(AND(M47=1,OR(AE47&lt;EXPEDIENTE!$F$24,AE47&gt;EXPEDIENTE!$F$28)),6,"")))</f>
        <v/>
      </c>
      <c r="I47" s="1" t="b">
        <f t="shared" si="6"/>
        <v>0</v>
      </c>
      <c r="J47" s="1">
        <f>IF(AE46&lt;EXPEDIENTE!$H$24,-1,IF(AE46&gt;EXPEDIENTE!$H$28,1,0))</f>
        <v>0</v>
      </c>
      <c r="K47" s="142" t="str">
        <f>IF(IFERROR(VLOOKUP(I47,AUXILIAR!$P$14:$Q$23,2,FALSE),"")="","",VLOOKUP(I47,AUXILIAR!$P$14:$Q$23,2,FALSE))</f>
        <v/>
      </c>
      <c r="L47" s="145">
        <v>40</v>
      </c>
      <c r="M47" s="104" t="str">
        <f t="shared" si="7"/>
        <v/>
      </c>
      <c r="N47" s="149"/>
      <c r="O47" s="233"/>
      <c r="P47" s="150"/>
      <c r="Q47" s="185"/>
      <c r="R47" s="69"/>
      <c r="S47" s="185"/>
      <c r="T47" s="185"/>
      <c r="U47" s="207"/>
      <c r="V47" s="158"/>
      <c r="W47" s="79"/>
      <c r="X47" s="159"/>
      <c r="Y47" s="160"/>
      <c r="Z47" s="161">
        <f t="shared" si="8"/>
        <v>0</v>
      </c>
      <c r="AA47" s="160"/>
      <c r="AB47" s="161">
        <f t="shared" si="11"/>
        <v>0</v>
      </c>
      <c r="AC47" s="162">
        <f t="shared" si="12"/>
        <v>0</v>
      </c>
      <c r="AD47" s="209"/>
      <c r="AE47" s="164"/>
      <c r="AF47" s="169"/>
      <c r="AG47" s="93"/>
      <c r="AH47" s="93"/>
      <c r="AI47" s="170"/>
      <c r="AJ47" s="173"/>
    </row>
    <row r="48" spans="2:36" s="65" customFormat="1" ht="30" customHeight="1" x14ac:dyDescent="0.2">
      <c r="K48" s="62"/>
      <c r="T48" s="146" t="s">
        <v>6</v>
      </c>
      <c r="V48" s="151">
        <f>SUMIF($N$8:$N$47,"NUEVA FACTURA",V8:V47)</f>
        <v>0</v>
      </c>
      <c r="W48" s="151">
        <f>SUMIF($N$8:$N$47,"NUEVA FACTURA",W8:W47)</f>
        <v>0</v>
      </c>
      <c r="X48" s="151">
        <f>SUMIF($N$8:$N$47,"NUEVA FACTURA",X8:X47)</f>
        <v>0</v>
      </c>
      <c r="Y48" s="4"/>
      <c r="Z48" s="1"/>
      <c r="AA48" s="4"/>
      <c r="AB48" s="151">
        <f>SUMIF($N$8:$N$47,"NUEVA FACTURA",AB8:AB47)</f>
        <v>0</v>
      </c>
      <c r="AC48" s="151">
        <f>SUMIF($N$8:$N$47,"NUEVA FACTURA",AC8:AC47)</f>
        <v>0</v>
      </c>
      <c r="AD48" s="151">
        <f>SUM(AD8:AD47)</f>
        <v>0</v>
      </c>
      <c r="AE48" s="3"/>
      <c r="AF48" s="1"/>
      <c r="AG48" s="1"/>
      <c r="AH48" s="1"/>
      <c r="AI48" s="1"/>
      <c r="AJ48" s="1"/>
    </row>
    <row r="50" spans="21:21" ht="20.100000000000001" customHeight="1" x14ac:dyDescent="0.2">
      <c r="U50" s="66"/>
    </row>
    <row r="51" spans="21:21" ht="20.100000000000001" customHeight="1" x14ac:dyDescent="0.2">
      <c r="U51" s="66"/>
    </row>
    <row r="52" spans="21:21" ht="20.100000000000001" customHeight="1" x14ac:dyDescent="0.2">
      <c r="U52" s="66"/>
    </row>
    <row r="53" spans="21:21" ht="20.100000000000001" customHeight="1" x14ac:dyDescent="0.2">
      <c r="U53" s="66"/>
    </row>
  </sheetData>
  <sheetProtection algorithmName="SHA-512" hashValue="MvSfXd9Arm6ZR+IjsaUvHqWPZLZjOSZsdzzzGXdp+lrLUwoQ56mY0FRAPHDKSGfJNF/AlQ7ssoXSxHD9jriHYA==" saltValue="iI9GPvwza+FwEdERbtqTnQ==" spinCount="100000" sheet="1" selectLockedCells="1"/>
  <mergeCells count="14">
    <mergeCell ref="L3:N3"/>
    <mergeCell ref="O3:P3"/>
    <mergeCell ref="L1:AJ1"/>
    <mergeCell ref="N5:U5"/>
    <mergeCell ref="M5:M6"/>
    <mergeCell ref="L5:L6"/>
    <mergeCell ref="AI5:AI6"/>
    <mergeCell ref="AJ5:AJ6"/>
    <mergeCell ref="K5:K6"/>
    <mergeCell ref="V5:AC5"/>
    <mergeCell ref="AF5:AF6"/>
    <mergeCell ref="AG5:AG6"/>
    <mergeCell ref="AH5:AH6"/>
    <mergeCell ref="AD5:AE5"/>
  </mergeCells>
  <phoneticPr fontId="12" type="noConversion"/>
  <conditionalFormatting sqref="K8:K47">
    <cfRule type="expression" dxfId="75" priority="23">
      <formula>$K8&lt;&gt;""</formula>
    </cfRule>
  </conditionalFormatting>
  <conditionalFormatting sqref="O8:O47">
    <cfRule type="expression" dxfId="74" priority="25">
      <formula>AND($I8=2,$M8=1,$O8="")</formula>
    </cfRule>
  </conditionalFormatting>
  <conditionalFormatting sqref="O8:AC47">
    <cfRule type="expression" dxfId="73" priority="11" stopIfTrue="1">
      <formula>$M8=2</formula>
    </cfRule>
  </conditionalFormatting>
  <conditionalFormatting sqref="P8:P47">
    <cfRule type="expression" dxfId="72" priority="26" stopIfTrue="1">
      <formula>AND($I8=2,$M8=1,$P8="")</formula>
    </cfRule>
  </conditionalFormatting>
  <conditionalFormatting sqref="Q8:Q47">
    <cfRule type="expression" dxfId="70" priority="66">
      <formula>AND($I8=2,$M8=1,$Q8="")</formula>
    </cfRule>
  </conditionalFormatting>
  <conditionalFormatting sqref="R8:R47">
    <cfRule type="expression" dxfId="69" priority="19">
      <formula>AND($I8=2,$M8=1,$R8="")</formula>
    </cfRule>
  </conditionalFormatting>
  <conditionalFormatting sqref="S8:S21">
    <cfRule type="expression" dxfId="68" priority="6">
      <formula>AND($I8=2,$M8=1,$R8="")</formula>
    </cfRule>
  </conditionalFormatting>
  <conditionalFormatting sqref="S8:S47">
    <cfRule type="expression" dxfId="67" priority="89">
      <formula>AND($I8=2,$M8=1,$S8="")</formula>
    </cfRule>
  </conditionalFormatting>
  <conditionalFormatting sqref="T8:T47">
    <cfRule type="expression" dxfId="66" priority="65">
      <formula>AND($I8=2,$M8=1,$T8="")</formula>
    </cfRule>
  </conditionalFormatting>
  <conditionalFormatting sqref="U8:U47">
    <cfRule type="expression" dxfId="65" priority="81">
      <formula>AND($I8=2,$M8=1,$U8="")</formula>
    </cfRule>
  </conditionalFormatting>
  <conditionalFormatting sqref="V8:V47">
    <cfRule type="expression" dxfId="64" priority="92">
      <formula>AND($I8=4,$M8=1,$V8="")</formula>
    </cfRule>
  </conditionalFormatting>
  <conditionalFormatting sqref="W8:W47">
    <cfRule type="expression" dxfId="63" priority="83">
      <formula>AND($I8=4,$M8=1,$W8="")</formula>
    </cfRule>
  </conditionalFormatting>
  <conditionalFormatting sqref="AA8:AA47">
    <cfRule type="expression" dxfId="62" priority="94">
      <formula>AND($I8=4,$M8=1,$AA8="")</formula>
    </cfRule>
  </conditionalFormatting>
  <conditionalFormatting sqref="AD8:AD47">
    <cfRule type="expression" dxfId="61" priority="1">
      <formula>AND($I8=5,OR($M8=1,$M8=2),$AD8="")</formula>
    </cfRule>
  </conditionalFormatting>
  <conditionalFormatting sqref="AE8:AE47">
    <cfRule type="expression" dxfId="60" priority="2" stopIfTrue="1">
      <formula>AND($I8=5,$M8&lt;&gt;"",$AE8="")</formula>
    </cfRule>
  </conditionalFormatting>
  <pageMargins left="0.19685039370078741" right="0.19685039370078741" top="0.19685039370078741" bottom="0.19685039370078741" header="0.51181102362204722" footer="0.51181102362204722"/>
  <pageSetup paperSize="8" scale="48"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0" id="{9A72A38D-4D39-47E9-A2CF-9B4FA3D18C8E}">
            <xm:f>AND($P8&lt;&gt;"",OR($P8&lt;EXPEDIENTE!$F$24,$P8&gt;EXPEDIENTE!$F$26))</xm:f>
            <x14:dxf>
              <fill>
                <patternFill>
                  <bgColor rgb="FFFF0000"/>
                </patternFill>
              </fill>
            </x14:dxf>
          </x14:cfRule>
          <xm:sqref>P8:P47</xm:sqref>
        </x14:conditionalFormatting>
        <x14:conditionalFormatting xmlns:xm="http://schemas.microsoft.com/office/excel/2006/main">
          <x14:cfRule type="expression" priority="3" id="{DF5955A3-A191-4987-BCBE-8F493D8C8CED}">
            <xm:f>AND($AE8&lt;&gt;"",OR($AE8&lt;EXPEDIENTE!$F$24,$AE8&gt;EXPEDIENTE!$F$28))</xm:f>
            <x14:dxf>
              <fill>
                <patternFill>
                  <bgColor rgb="FFFF0000"/>
                </patternFill>
              </fill>
            </x14:dxf>
          </x14:cfRule>
          <xm:sqref>AE8:AE47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AUXILIAR!$N$14:$N$15</xm:f>
          </x14:formula1>
          <xm:sqref>N8:N47</xm:sqref>
        </x14:dataValidation>
        <x14:dataValidation type="list" allowBlank="1" showInputMessage="1" showErrorMessage="1" xr:uid="{00000000-0002-0000-0200-000001000000}">
          <x14:formula1>
            <xm:f>OFFSET(AUXILIAR!$H$14,0,,COUNTIF(Tipo_gasto,"&lt;&gt;X"))</xm:f>
          </x14:formula1>
          <xm:sqref>T8:T47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P89"/>
  <sheetViews>
    <sheetView showGridLines="0" workbookViewId="0"/>
  </sheetViews>
  <sheetFormatPr baseColWidth="10" defaultColWidth="11.42578125" defaultRowHeight="13.5" x14ac:dyDescent="0.25"/>
  <cols>
    <col min="1" max="1" width="5.7109375" style="5" customWidth="1"/>
    <col min="2" max="2" width="7.42578125" style="5" bestFit="1" customWidth="1"/>
    <col min="3" max="3" width="35.7109375" style="5" customWidth="1"/>
    <col min="4" max="6" width="13.7109375" style="5" customWidth="1"/>
    <col min="7" max="16384" width="11.42578125" style="5"/>
  </cols>
  <sheetData>
    <row r="2" spans="2:16" hidden="1" x14ac:dyDescent="0.25">
      <c r="H2" s="284" t="s">
        <v>90</v>
      </c>
      <c r="I2" s="284"/>
      <c r="J2" s="284"/>
      <c r="K2" s="284"/>
      <c r="L2" s="284" t="s">
        <v>91</v>
      </c>
      <c r="M2" s="284"/>
      <c r="N2" s="284"/>
      <c r="O2" s="284"/>
      <c r="P2" s="284"/>
    </row>
    <row r="3" spans="2:16" hidden="1" x14ac:dyDescent="0.25">
      <c r="C3" s="5" t="s">
        <v>87</v>
      </c>
      <c r="D3" s="5" t="s">
        <v>1</v>
      </c>
      <c r="E3" s="5" t="s">
        <v>77</v>
      </c>
      <c r="F3" s="5" t="s">
        <v>88</v>
      </c>
      <c r="G3" s="5" t="s">
        <v>77</v>
      </c>
      <c r="H3" s="5" t="s">
        <v>0</v>
      </c>
      <c r="I3" s="5" t="s">
        <v>1</v>
      </c>
      <c r="J3" s="5" t="s">
        <v>87</v>
      </c>
      <c r="K3" s="5" t="s">
        <v>77</v>
      </c>
      <c r="L3" s="5" t="s">
        <v>0</v>
      </c>
      <c r="M3" s="5" t="s">
        <v>1</v>
      </c>
      <c r="N3" s="5" t="s">
        <v>87</v>
      </c>
      <c r="O3" s="5" t="s">
        <v>77</v>
      </c>
      <c r="P3" s="5" t="s">
        <v>89</v>
      </c>
    </row>
    <row r="4" spans="2:16" hidden="1" x14ac:dyDescent="0.25">
      <c r="B4" s="5">
        <v>1</v>
      </c>
      <c r="C4" s="6">
        <f>'RELACIÓN DE FACTURAS'!R8</f>
        <v>0</v>
      </c>
      <c r="D4" s="6">
        <f>'RELACIÓN DE FACTURAS'!Q8</f>
        <v>0</v>
      </c>
      <c r="E4" s="130">
        <f>'RELACIÓN DE FACTURAS'!V8</f>
        <v>0</v>
      </c>
      <c r="F4" s="131" t="str">
        <f>IF(C4=0,"",IF(SUMIF($C$4:$C$43,C4,$E$4:$E$43)&gt;=15000,C4,""))</f>
        <v/>
      </c>
      <c r="G4" s="130" t="str">
        <f t="shared" ref="G4:G32" si="0">IF(SUMIF($C$4:$C$43,F4,$E$4:$E$43)&lt;15000,"",SUMIF($C$4:$C$43,F4,$E$4:$E$43))</f>
        <v/>
      </c>
      <c r="H4" s="132" t="str">
        <f t="shared" ref="H4:H32" si="1">IFERROR(_xlfn.RANK.EQ(G4,$G$4:$G$43),"")</f>
        <v/>
      </c>
      <c r="I4" s="130" t="str">
        <f t="shared" ref="I4:I32" si="2">IF(H4="","",D4)</f>
        <v/>
      </c>
      <c r="J4" s="130" t="str">
        <f t="shared" ref="J4:J32" si="3">IF(H4="","",C4)</f>
        <v/>
      </c>
      <c r="K4" s="130" t="str">
        <f t="shared" ref="K4:K6" si="4">IF(H4="","",G4)</f>
        <v/>
      </c>
      <c r="L4" s="132" t="str">
        <f t="shared" ref="L4:L32" si="5">IF(M4&lt;&gt;"",B4,"")</f>
        <v/>
      </c>
      <c r="M4" s="130" t="str">
        <f t="shared" ref="M4:M32" si="6">IF(IFERROR(VLOOKUP(B4,$H$4:$K$43,2,0),"")="","",VLOOKUP(B4,$H$4:$K$43,2,0))</f>
        <v/>
      </c>
      <c r="N4" s="130" t="str">
        <f t="shared" ref="N4:N32" si="7">IF(IFERROR(VLOOKUP(B4,$H$4:$K$43,3,0),"")="","",VLOOKUP(B4,$H$4:$K$43,3,0))</f>
        <v/>
      </c>
      <c r="O4" s="130" t="str">
        <f t="shared" ref="O4:O32" si="8">IF(IFERROR(VLOOKUP(B4,$H$4:$K$43,4,0),"")="","",VLOOKUP(B4,$H$4:$K$43,4,0))</f>
        <v/>
      </c>
      <c r="P4" s="132" t="str">
        <f t="shared" ref="P4:P32" si="9">IF(COUNTIF($C$4:$C$43,N4)=0,"",COUNTIF($C$4:$C$43,N4))</f>
        <v/>
      </c>
    </row>
    <row r="5" spans="2:16" hidden="1" x14ac:dyDescent="0.25">
      <c r="B5" s="5">
        <v>2</v>
      </c>
      <c r="C5" s="6">
        <f>'RELACIÓN DE FACTURAS'!R9</f>
        <v>0</v>
      </c>
      <c r="D5" s="6">
        <f>'RELACIÓN DE FACTURAS'!Q9</f>
        <v>0</v>
      </c>
      <c r="E5" s="130">
        <f>'RELACIÓN DE FACTURAS'!V9</f>
        <v>0</v>
      </c>
      <c r="F5" s="130" t="str">
        <f>IF(C5=0,"",IF(AND(COUNTIF($C$4:C5,C5)=1,SUMIF($C$4:$C$43,C5,$E$4:$E$43)&gt;=15000),C5,""))</f>
        <v/>
      </c>
      <c r="G5" s="130" t="str">
        <f t="shared" si="0"/>
        <v/>
      </c>
      <c r="H5" s="132" t="str">
        <f t="shared" si="1"/>
        <v/>
      </c>
      <c r="I5" s="130" t="str">
        <f t="shared" si="2"/>
        <v/>
      </c>
      <c r="J5" s="130" t="str">
        <f t="shared" si="3"/>
        <v/>
      </c>
      <c r="K5" s="130" t="str">
        <f t="shared" si="4"/>
        <v/>
      </c>
      <c r="L5" s="132" t="str">
        <f t="shared" si="5"/>
        <v/>
      </c>
      <c r="M5" s="130" t="str">
        <f t="shared" si="6"/>
        <v/>
      </c>
      <c r="N5" s="130" t="str">
        <f t="shared" si="7"/>
        <v/>
      </c>
      <c r="O5" s="130" t="str">
        <f t="shared" si="8"/>
        <v/>
      </c>
      <c r="P5" s="132" t="str">
        <f t="shared" si="9"/>
        <v/>
      </c>
    </row>
    <row r="6" spans="2:16" hidden="1" x14ac:dyDescent="0.25">
      <c r="B6" s="5">
        <v>3</v>
      </c>
      <c r="C6" s="6">
        <f>'RELACIÓN DE FACTURAS'!R10</f>
        <v>0</v>
      </c>
      <c r="D6" s="6">
        <f>'RELACIÓN DE FACTURAS'!Q10</f>
        <v>0</v>
      </c>
      <c r="E6" s="130">
        <f>'RELACIÓN DE FACTURAS'!V10</f>
        <v>0</v>
      </c>
      <c r="F6" s="130" t="str">
        <f>IF(C6=0,"",IF(AND(COUNTIF($C$4:C6,C6)=1,SUMIF($C$4:$C$43,C6,$E$4:$E$43)&gt;=15000),C6,""))</f>
        <v/>
      </c>
      <c r="G6" s="130" t="str">
        <f t="shared" si="0"/>
        <v/>
      </c>
      <c r="H6" s="132" t="str">
        <f t="shared" si="1"/>
        <v/>
      </c>
      <c r="I6" s="130" t="str">
        <f t="shared" si="2"/>
        <v/>
      </c>
      <c r="J6" s="130" t="str">
        <f t="shared" si="3"/>
        <v/>
      </c>
      <c r="K6" s="130" t="str">
        <f t="shared" si="4"/>
        <v/>
      </c>
      <c r="L6" s="132" t="str">
        <f t="shared" si="5"/>
        <v/>
      </c>
      <c r="M6" s="130" t="str">
        <f t="shared" si="6"/>
        <v/>
      </c>
      <c r="N6" s="130" t="str">
        <f t="shared" si="7"/>
        <v/>
      </c>
      <c r="O6" s="130" t="str">
        <f t="shared" si="8"/>
        <v/>
      </c>
      <c r="P6" s="132" t="str">
        <f t="shared" si="9"/>
        <v/>
      </c>
    </row>
    <row r="7" spans="2:16" hidden="1" x14ac:dyDescent="0.25">
      <c r="B7" s="5">
        <v>4</v>
      </c>
      <c r="C7" s="6">
        <f>'RELACIÓN DE FACTURAS'!R11</f>
        <v>0</v>
      </c>
      <c r="D7" s="6">
        <f>'RELACIÓN DE FACTURAS'!Q11</f>
        <v>0</v>
      </c>
      <c r="E7" s="130">
        <f>'RELACIÓN DE FACTURAS'!V11</f>
        <v>0</v>
      </c>
      <c r="F7" s="130" t="str">
        <f>IF(C7=0,"",IF(AND(COUNTIF($C$4:C7,C7)=1,SUMIF($C$4:$C$43,C7,$E$4:$E$43)&gt;=15000),C7,""))</f>
        <v/>
      </c>
      <c r="G7" s="130" t="str">
        <f t="shared" si="0"/>
        <v/>
      </c>
      <c r="H7" s="132" t="str">
        <f t="shared" si="1"/>
        <v/>
      </c>
      <c r="I7" s="130" t="str">
        <f t="shared" si="2"/>
        <v/>
      </c>
      <c r="J7" s="130" t="str">
        <f t="shared" si="3"/>
        <v/>
      </c>
      <c r="K7" s="130" t="str">
        <f>IF(H7="","",G7)</f>
        <v/>
      </c>
      <c r="L7" s="132" t="str">
        <f t="shared" si="5"/>
        <v/>
      </c>
      <c r="M7" s="130" t="str">
        <f t="shared" si="6"/>
        <v/>
      </c>
      <c r="N7" s="130" t="str">
        <f t="shared" si="7"/>
        <v/>
      </c>
      <c r="O7" s="130" t="str">
        <f t="shared" si="8"/>
        <v/>
      </c>
      <c r="P7" s="132" t="str">
        <f t="shared" si="9"/>
        <v/>
      </c>
    </row>
    <row r="8" spans="2:16" hidden="1" x14ac:dyDescent="0.25">
      <c r="B8" s="5">
        <v>5</v>
      </c>
      <c r="C8" s="6">
        <f>'RELACIÓN DE FACTURAS'!R12</f>
        <v>0</v>
      </c>
      <c r="D8" s="6">
        <f>'RELACIÓN DE FACTURAS'!Q12</f>
        <v>0</v>
      </c>
      <c r="E8" s="130">
        <f>'RELACIÓN DE FACTURAS'!V12</f>
        <v>0</v>
      </c>
      <c r="F8" s="130" t="str">
        <f>IF(C8=0,"",IF(AND(COUNTIF($C$4:C8,C8)=1,SUMIF($C$4:$C$43,C8,$E$4:$E$43)&gt;=15000),C8,""))</f>
        <v/>
      </c>
      <c r="G8" s="130" t="str">
        <f t="shared" si="0"/>
        <v/>
      </c>
      <c r="H8" s="132" t="str">
        <f t="shared" si="1"/>
        <v/>
      </c>
      <c r="I8" s="130" t="str">
        <f t="shared" si="2"/>
        <v/>
      </c>
      <c r="J8" s="130" t="str">
        <f t="shared" si="3"/>
        <v/>
      </c>
      <c r="K8" s="130" t="str">
        <f t="shared" ref="K8:K32" si="10">IF(H8="","",G8)</f>
        <v/>
      </c>
      <c r="L8" s="132" t="str">
        <f t="shared" si="5"/>
        <v/>
      </c>
      <c r="M8" s="130" t="str">
        <f t="shared" si="6"/>
        <v/>
      </c>
      <c r="N8" s="130" t="str">
        <f t="shared" si="7"/>
        <v/>
      </c>
      <c r="O8" s="130" t="str">
        <f t="shared" si="8"/>
        <v/>
      </c>
      <c r="P8" s="132" t="str">
        <f t="shared" si="9"/>
        <v/>
      </c>
    </row>
    <row r="9" spans="2:16" hidden="1" x14ac:dyDescent="0.25">
      <c r="B9" s="5">
        <v>6</v>
      </c>
      <c r="C9" s="6">
        <f>'RELACIÓN DE FACTURAS'!R13</f>
        <v>0</v>
      </c>
      <c r="D9" s="6">
        <f>'RELACIÓN DE FACTURAS'!Q13</f>
        <v>0</v>
      </c>
      <c r="E9" s="130">
        <f>'RELACIÓN DE FACTURAS'!V13</f>
        <v>0</v>
      </c>
      <c r="F9" s="130" t="str">
        <f>IF(C9=0,"",IF(AND(COUNTIF($C$4:C9,C9)=1,SUMIF($C$4:$C$43,C9,$E$4:$E$43)&gt;=15000),C9,""))</f>
        <v/>
      </c>
      <c r="G9" s="130" t="str">
        <f t="shared" si="0"/>
        <v/>
      </c>
      <c r="H9" s="132" t="str">
        <f t="shared" si="1"/>
        <v/>
      </c>
      <c r="I9" s="130" t="str">
        <f t="shared" si="2"/>
        <v/>
      </c>
      <c r="J9" s="130" t="str">
        <f t="shared" si="3"/>
        <v/>
      </c>
      <c r="K9" s="130" t="str">
        <f t="shared" si="10"/>
        <v/>
      </c>
      <c r="L9" s="132" t="str">
        <f t="shared" si="5"/>
        <v/>
      </c>
      <c r="M9" s="130" t="str">
        <f t="shared" si="6"/>
        <v/>
      </c>
      <c r="N9" s="130" t="str">
        <f t="shared" si="7"/>
        <v/>
      </c>
      <c r="O9" s="130" t="str">
        <f t="shared" si="8"/>
        <v/>
      </c>
      <c r="P9" s="132" t="str">
        <f t="shared" si="9"/>
        <v/>
      </c>
    </row>
    <row r="10" spans="2:16" hidden="1" x14ac:dyDescent="0.25">
      <c r="B10" s="5">
        <v>7</v>
      </c>
      <c r="C10" s="6">
        <f>'RELACIÓN DE FACTURAS'!R14</f>
        <v>0</v>
      </c>
      <c r="D10" s="6">
        <f>'RELACIÓN DE FACTURAS'!Q14</f>
        <v>0</v>
      </c>
      <c r="E10" s="130">
        <f>'RELACIÓN DE FACTURAS'!V14</f>
        <v>0</v>
      </c>
      <c r="F10" s="130" t="str">
        <f>IF(C10=0,"",IF(AND(COUNTIF($C$4:C10,C10)=1,SUMIF($C$4:$C$43,C10,$E$4:$E$43)&gt;=15000),C10,""))</f>
        <v/>
      </c>
      <c r="G10" s="130" t="str">
        <f t="shared" si="0"/>
        <v/>
      </c>
      <c r="H10" s="132" t="str">
        <f t="shared" si="1"/>
        <v/>
      </c>
      <c r="I10" s="130" t="str">
        <f t="shared" si="2"/>
        <v/>
      </c>
      <c r="J10" s="130" t="str">
        <f t="shared" si="3"/>
        <v/>
      </c>
      <c r="K10" s="130" t="str">
        <f t="shared" si="10"/>
        <v/>
      </c>
      <c r="L10" s="132" t="str">
        <f t="shared" si="5"/>
        <v/>
      </c>
      <c r="M10" s="130" t="str">
        <f t="shared" si="6"/>
        <v/>
      </c>
      <c r="N10" s="130" t="str">
        <f t="shared" si="7"/>
        <v/>
      </c>
      <c r="O10" s="130" t="str">
        <f t="shared" si="8"/>
        <v/>
      </c>
      <c r="P10" s="132" t="str">
        <f t="shared" si="9"/>
        <v/>
      </c>
    </row>
    <row r="11" spans="2:16" hidden="1" x14ac:dyDescent="0.25">
      <c r="B11" s="5">
        <v>8</v>
      </c>
      <c r="C11" s="6">
        <f>'RELACIÓN DE FACTURAS'!R15</f>
        <v>0</v>
      </c>
      <c r="D11" s="6">
        <f>'RELACIÓN DE FACTURAS'!Q15</f>
        <v>0</v>
      </c>
      <c r="E11" s="130">
        <f>'RELACIÓN DE FACTURAS'!V15</f>
        <v>0</v>
      </c>
      <c r="F11" s="130" t="str">
        <f>IF(C11=0,"",IF(AND(COUNTIF($C$4:C11,C11)=1,SUMIF($C$4:$C$43,C11,$E$4:$E$43)&gt;=15000),C11,""))</f>
        <v/>
      </c>
      <c r="G11" s="130" t="str">
        <f t="shared" si="0"/>
        <v/>
      </c>
      <c r="H11" s="132" t="str">
        <f t="shared" si="1"/>
        <v/>
      </c>
      <c r="I11" s="130" t="str">
        <f t="shared" si="2"/>
        <v/>
      </c>
      <c r="J11" s="130" t="str">
        <f t="shared" si="3"/>
        <v/>
      </c>
      <c r="K11" s="130" t="str">
        <f t="shared" si="10"/>
        <v/>
      </c>
      <c r="L11" s="132" t="str">
        <f t="shared" si="5"/>
        <v/>
      </c>
      <c r="M11" s="130" t="str">
        <f t="shared" si="6"/>
        <v/>
      </c>
      <c r="N11" s="130" t="str">
        <f t="shared" si="7"/>
        <v/>
      </c>
      <c r="O11" s="130" t="str">
        <f t="shared" si="8"/>
        <v/>
      </c>
      <c r="P11" s="132" t="str">
        <f t="shared" si="9"/>
        <v/>
      </c>
    </row>
    <row r="12" spans="2:16" hidden="1" x14ac:dyDescent="0.25">
      <c r="B12" s="5">
        <v>9</v>
      </c>
      <c r="C12" s="6">
        <f>'RELACIÓN DE FACTURAS'!R16</f>
        <v>0</v>
      </c>
      <c r="D12" s="6">
        <f>'RELACIÓN DE FACTURAS'!Q16</f>
        <v>0</v>
      </c>
      <c r="E12" s="130">
        <f>'RELACIÓN DE FACTURAS'!V16</f>
        <v>0</v>
      </c>
      <c r="F12" s="130" t="str">
        <f>IF(C12=0,"",IF(AND(COUNTIF($C$4:C12,C12)=1,SUMIF($C$4:$C$43,C12,$E$4:$E$43)&gt;=15000),C12,""))</f>
        <v/>
      </c>
      <c r="G12" s="130" t="str">
        <f t="shared" si="0"/>
        <v/>
      </c>
      <c r="H12" s="132" t="str">
        <f t="shared" si="1"/>
        <v/>
      </c>
      <c r="I12" s="130" t="str">
        <f t="shared" si="2"/>
        <v/>
      </c>
      <c r="J12" s="130" t="str">
        <f t="shared" si="3"/>
        <v/>
      </c>
      <c r="K12" s="130" t="str">
        <f t="shared" si="10"/>
        <v/>
      </c>
      <c r="L12" s="132" t="str">
        <f t="shared" si="5"/>
        <v/>
      </c>
      <c r="M12" s="130" t="str">
        <f t="shared" si="6"/>
        <v/>
      </c>
      <c r="N12" s="130" t="str">
        <f t="shared" si="7"/>
        <v/>
      </c>
      <c r="O12" s="130" t="str">
        <f t="shared" si="8"/>
        <v/>
      </c>
      <c r="P12" s="132" t="str">
        <f t="shared" si="9"/>
        <v/>
      </c>
    </row>
    <row r="13" spans="2:16" hidden="1" x14ac:dyDescent="0.25">
      <c r="B13" s="5">
        <v>10</v>
      </c>
      <c r="C13" s="6">
        <f>'RELACIÓN DE FACTURAS'!R17</f>
        <v>0</v>
      </c>
      <c r="D13" s="6">
        <f>'RELACIÓN DE FACTURAS'!Q17</f>
        <v>0</v>
      </c>
      <c r="E13" s="130">
        <f>'RELACIÓN DE FACTURAS'!V17</f>
        <v>0</v>
      </c>
      <c r="F13" s="130" t="str">
        <f>IF(C13=0,"",IF(AND(COUNTIF($C$4:C13,C13)=1,SUMIF($C$4:$C$43,C13,$E$4:$E$43)&gt;=15000),C13,""))</f>
        <v/>
      </c>
      <c r="G13" s="130" t="str">
        <f t="shared" si="0"/>
        <v/>
      </c>
      <c r="H13" s="132" t="str">
        <f t="shared" si="1"/>
        <v/>
      </c>
      <c r="I13" s="130" t="str">
        <f t="shared" si="2"/>
        <v/>
      </c>
      <c r="J13" s="130" t="str">
        <f t="shared" si="3"/>
        <v/>
      </c>
      <c r="K13" s="130" t="str">
        <f t="shared" si="10"/>
        <v/>
      </c>
      <c r="L13" s="132" t="str">
        <f t="shared" si="5"/>
        <v/>
      </c>
      <c r="M13" s="130" t="str">
        <f t="shared" si="6"/>
        <v/>
      </c>
      <c r="N13" s="130" t="str">
        <f t="shared" si="7"/>
        <v/>
      </c>
      <c r="O13" s="130" t="str">
        <f t="shared" si="8"/>
        <v/>
      </c>
      <c r="P13" s="132" t="str">
        <f t="shared" si="9"/>
        <v/>
      </c>
    </row>
    <row r="14" spans="2:16" hidden="1" x14ac:dyDescent="0.25">
      <c r="B14" s="5">
        <v>11</v>
      </c>
      <c r="C14" s="6">
        <f>'RELACIÓN DE FACTURAS'!R18</f>
        <v>0</v>
      </c>
      <c r="D14" s="6">
        <f>'RELACIÓN DE FACTURAS'!Q18</f>
        <v>0</v>
      </c>
      <c r="E14" s="130">
        <f>'RELACIÓN DE FACTURAS'!V18</f>
        <v>0</v>
      </c>
      <c r="F14" s="130" t="str">
        <f>IF(C14=0,"",IF(AND(COUNTIF($C$4:C14,C14)=1,SUMIF($C$4:$C$43,C14,$E$4:$E$43)&gt;=15000),C14,""))</f>
        <v/>
      </c>
      <c r="G14" s="130" t="str">
        <f t="shared" si="0"/>
        <v/>
      </c>
      <c r="H14" s="132" t="str">
        <f t="shared" si="1"/>
        <v/>
      </c>
      <c r="I14" s="130" t="str">
        <f t="shared" si="2"/>
        <v/>
      </c>
      <c r="J14" s="130" t="str">
        <f t="shared" si="3"/>
        <v/>
      </c>
      <c r="K14" s="130" t="str">
        <f t="shared" si="10"/>
        <v/>
      </c>
      <c r="L14" s="132" t="str">
        <f t="shared" si="5"/>
        <v/>
      </c>
      <c r="M14" s="130" t="str">
        <f t="shared" si="6"/>
        <v/>
      </c>
      <c r="N14" s="130" t="str">
        <f t="shared" si="7"/>
        <v/>
      </c>
      <c r="O14" s="130" t="str">
        <f t="shared" si="8"/>
        <v/>
      </c>
      <c r="P14" s="132" t="str">
        <f t="shared" si="9"/>
        <v/>
      </c>
    </row>
    <row r="15" spans="2:16" hidden="1" x14ac:dyDescent="0.25">
      <c r="B15" s="5">
        <v>12</v>
      </c>
      <c r="C15" s="6">
        <f>'RELACIÓN DE FACTURAS'!R19</f>
        <v>0</v>
      </c>
      <c r="D15" s="6">
        <f>'RELACIÓN DE FACTURAS'!Q19</f>
        <v>0</v>
      </c>
      <c r="E15" s="130">
        <f>'RELACIÓN DE FACTURAS'!V19</f>
        <v>0</v>
      </c>
      <c r="F15" s="130" t="str">
        <f>IF(C15=0,"",IF(AND(COUNTIF($C$4:C15,C15)=1,SUMIF($C$4:$C$43,C15,$E$4:$E$43)&gt;=15000),C15,""))</f>
        <v/>
      </c>
      <c r="G15" s="130" t="str">
        <f t="shared" si="0"/>
        <v/>
      </c>
      <c r="H15" s="132" t="str">
        <f t="shared" si="1"/>
        <v/>
      </c>
      <c r="I15" s="130" t="str">
        <f t="shared" si="2"/>
        <v/>
      </c>
      <c r="J15" s="130" t="str">
        <f t="shared" si="3"/>
        <v/>
      </c>
      <c r="K15" s="130" t="str">
        <f t="shared" si="10"/>
        <v/>
      </c>
      <c r="L15" s="132" t="str">
        <f t="shared" si="5"/>
        <v/>
      </c>
      <c r="M15" s="130" t="str">
        <f t="shared" si="6"/>
        <v/>
      </c>
      <c r="N15" s="130" t="str">
        <f t="shared" si="7"/>
        <v/>
      </c>
      <c r="O15" s="130" t="str">
        <f t="shared" si="8"/>
        <v/>
      </c>
      <c r="P15" s="132" t="str">
        <f t="shared" si="9"/>
        <v/>
      </c>
    </row>
    <row r="16" spans="2:16" hidden="1" x14ac:dyDescent="0.25">
      <c r="B16" s="5">
        <v>13</v>
      </c>
      <c r="C16" s="6">
        <f>'RELACIÓN DE FACTURAS'!R20</f>
        <v>0</v>
      </c>
      <c r="D16" s="6">
        <f>'RELACIÓN DE FACTURAS'!Q20</f>
        <v>0</v>
      </c>
      <c r="E16" s="130">
        <f>'RELACIÓN DE FACTURAS'!V20</f>
        <v>0</v>
      </c>
      <c r="F16" s="130" t="str">
        <f>IF(C16=0,"",IF(AND(COUNTIF($C$4:C16,C16)=1,SUMIF($C$4:$C$43,C16,$E$4:$E$43)&gt;=15000),C16,""))</f>
        <v/>
      </c>
      <c r="G16" s="130" t="str">
        <f t="shared" si="0"/>
        <v/>
      </c>
      <c r="H16" s="132" t="str">
        <f t="shared" si="1"/>
        <v/>
      </c>
      <c r="I16" s="130" t="str">
        <f t="shared" si="2"/>
        <v/>
      </c>
      <c r="J16" s="130" t="str">
        <f t="shared" si="3"/>
        <v/>
      </c>
      <c r="K16" s="130" t="str">
        <f t="shared" si="10"/>
        <v/>
      </c>
      <c r="L16" s="132" t="str">
        <f t="shared" si="5"/>
        <v/>
      </c>
      <c r="M16" s="130" t="str">
        <f t="shared" si="6"/>
        <v/>
      </c>
      <c r="N16" s="130" t="str">
        <f t="shared" si="7"/>
        <v/>
      </c>
      <c r="O16" s="130" t="str">
        <f t="shared" si="8"/>
        <v/>
      </c>
      <c r="P16" s="132" t="str">
        <f t="shared" si="9"/>
        <v/>
      </c>
    </row>
    <row r="17" spans="2:16" hidden="1" x14ac:dyDescent="0.25">
      <c r="B17" s="5">
        <v>14</v>
      </c>
      <c r="C17" s="6">
        <f>'RELACIÓN DE FACTURAS'!R21</f>
        <v>0</v>
      </c>
      <c r="D17" s="6">
        <f>'RELACIÓN DE FACTURAS'!Q21</f>
        <v>0</v>
      </c>
      <c r="E17" s="130">
        <f>'RELACIÓN DE FACTURAS'!V21</f>
        <v>0</v>
      </c>
      <c r="F17" s="130" t="str">
        <f>IF(C17=0,"",IF(AND(COUNTIF($C$4:C17,C17)=1,SUMIF($C$4:$C$43,C17,$E$4:$E$43)&gt;=15000),C17,""))</f>
        <v/>
      </c>
      <c r="G17" s="130" t="str">
        <f t="shared" si="0"/>
        <v/>
      </c>
      <c r="H17" s="132" t="str">
        <f t="shared" si="1"/>
        <v/>
      </c>
      <c r="I17" s="130" t="str">
        <f t="shared" si="2"/>
        <v/>
      </c>
      <c r="J17" s="130" t="str">
        <f t="shared" si="3"/>
        <v/>
      </c>
      <c r="K17" s="130" t="str">
        <f t="shared" si="10"/>
        <v/>
      </c>
      <c r="L17" s="132" t="str">
        <f t="shared" si="5"/>
        <v/>
      </c>
      <c r="M17" s="130" t="str">
        <f t="shared" si="6"/>
        <v/>
      </c>
      <c r="N17" s="130" t="str">
        <f t="shared" si="7"/>
        <v/>
      </c>
      <c r="O17" s="130" t="str">
        <f t="shared" si="8"/>
        <v/>
      </c>
      <c r="P17" s="132" t="str">
        <f t="shared" si="9"/>
        <v/>
      </c>
    </row>
    <row r="18" spans="2:16" hidden="1" x14ac:dyDescent="0.25">
      <c r="B18" s="5">
        <v>15</v>
      </c>
      <c r="C18" s="6">
        <f>'RELACIÓN DE FACTURAS'!R22</f>
        <v>0</v>
      </c>
      <c r="D18" s="6">
        <f>'RELACIÓN DE FACTURAS'!Q22</f>
        <v>0</v>
      </c>
      <c r="E18" s="130">
        <f>'RELACIÓN DE FACTURAS'!V22</f>
        <v>0</v>
      </c>
      <c r="F18" s="130" t="str">
        <f>IF(C18=0,"",IF(AND(COUNTIF($C$4:C18,C18)=1,SUMIF($C$4:$C$43,C18,$E$4:$E$43)&gt;=15000),C18,""))</f>
        <v/>
      </c>
      <c r="G18" s="130" t="str">
        <f t="shared" si="0"/>
        <v/>
      </c>
      <c r="H18" s="132" t="str">
        <f t="shared" si="1"/>
        <v/>
      </c>
      <c r="I18" s="130" t="str">
        <f t="shared" si="2"/>
        <v/>
      </c>
      <c r="J18" s="130" t="str">
        <f t="shared" si="3"/>
        <v/>
      </c>
      <c r="K18" s="130" t="str">
        <f t="shared" si="10"/>
        <v/>
      </c>
      <c r="L18" s="132" t="str">
        <f t="shared" si="5"/>
        <v/>
      </c>
      <c r="M18" s="130" t="str">
        <f t="shared" si="6"/>
        <v/>
      </c>
      <c r="N18" s="130" t="str">
        <f t="shared" si="7"/>
        <v/>
      </c>
      <c r="O18" s="130" t="str">
        <f t="shared" si="8"/>
        <v/>
      </c>
      <c r="P18" s="132" t="str">
        <f t="shared" si="9"/>
        <v/>
      </c>
    </row>
    <row r="19" spans="2:16" hidden="1" x14ac:dyDescent="0.25">
      <c r="B19" s="5">
        <v>16</v>
      </c>
      <c r="C19" s="6">
        <f>'RELACIÓN DE FACTURAS'!R23</f>
        <v>0</v>
      </c>
      <c r="D19" s="6">
        <f>'RELACIÓN DE FACTURAS'!Q23</f>
        <v>0</v>
      </c>
      <c r="E19" s="130">
        <f>'RELACIÓN DE FACTURAS'!V23</f>
        <v>0</v>
      </c>
      <c r="F19" s="130" t="str">
        <f>IF(C19=0,"",IF(AND(COUNTIF($C$4:C19,C19)=1,SUMIF($C$4:$C$43,C19,$E$4:$E$43)&gt;=15000),C19,""))</f>
        <v/>
      </c>
      <c r="G19" s="130" t="str">
        <f t="shared" si="0"/>
        <v/>
      </c>
      <c r="H19" s="132" t="str">
        <f t="shared" si="1"/>
        <v/>
      </c>
      <c r="I19" s="130" t="str">
        <f t="shared" si="2"/>
        <v/>
      </c>
      <c r="J19" s="130" t="str">
        <f t="shared" si="3"/>
        <v/>
      </c>
      <c r="K19" s="130" t="str">
        <f t="shared" si="10"/>
        <v/>
      </c>
      <c r="L19" s="132" t="str">
        <f t="shared" si="5"/>
        <v/>
      </c>
      <c r="M19" s="130" t="str">
        <f t="shared" si="6"/>
        <v/>
      </c>
      <c r="N19" s="130" t="str">
        <f t="shared" si="7"/>
        <v/>
      </c>
      <c r="O19" s="130" t="str">
        <f t="shared" si="8"/>
        <v/>
      </c>
      <c r="P19" s="132" t="str">
        <f t="shared" si="9"/>
        <v/>
      </c>
    </row>
    <row r="20" spans="2:16" hidden="1" x14ac:dyDescent="0.25">
      <c r="B20" s="5">
        <v>17</v>
      </c>
      <c r="C20" s="6">
        <f>'RELACIÓN DE FACTURAS'!R24</f>
        <v>0</v>
      </c>
      <c r="D20" s="6">
        <f>'RELACIÓN DE FACTURAS'!Q24</f>
        <v>0</v>
      </c>
      <c r="E20" s="130">
        <f>'RELACIÓN DE FACTURAS'!V24</f>
        <v>0</v>
      </c>
      <c r="F20" s="130" t="str">
        <f>IF(C20=0,"",IF(AND(COUNTIF($C$4:C20,C20)=1,SUMIF($C$4:$C$43,C20,$E$4:$E$43)&gt;=15000),C20,""))</f>
        <v/>
      </c>
      <c r="G20" s="130" t="str">
        <f t="shared" si="0"/>
        <v/>
      </c>
      <c r="H20" s="132" t="str">
        <f t="shared" si="1"/>
        <v/>
      </c>
      <c r="I20" s="130" t="str">
        <f t="shared" si="2"/>
        <v/>
      </c>
      <c r="J20" s="130" t="str">
        <f t="shared" si="3"/>
        <v/>
      </c>
      <c r="K20" s="130" t="str">
        <f t="shared" si="10"/>
        <v/>
      </c>
      <c r="L20" s="132" t="str">
        <f t="shared" si="5"/>
        <v/>
      </c>
      <c r="M20" s="130" t="str">
        <f t="shared" si="6"/>
        <v/>
      </c>
      <c r="N20" s="130" t="str">
        <f t="shared" si="7"/>
        <v/>
      </c>
      <c r="O20" s="130" t="str">
        <f t="shared" si="8"/>
        <v/>
      </c>
      <c r="P20" s="132" t="str">
        <f t="shared" si="9"/>
        <v/>
      </c>
    </row>
    <row r="21" spans="2:16" hidden="1" x14ac:dyDescent="0.25">
      <c r="B21" s="5">
        <v>18</v>
      </c>
      <c r="C21" s="6">
        <f>'RELACIÓN DE FACTURAS'!R25</f>
        <v>0</v>
      </c>
      <c r="D21" s="6">
        <f>'RELACIÓN DE FACTURAS'!Q25</f>
        <v>0</v>
      </c>
      <c r="E21" s="130">
        <f>'RELACIÓN DE FACTURAS'!V25</f>
        <v>0</v>
      </c>
      <c r="F21" s="130" t="str">
        <f>IF(C21=0,"",IF(AND(COUNTIF($C$4:C21,C21)=1,SUMIF($C$4:$C$43,C21,$E$4:$E$43)&gt;=15000),C21,""))</f>
        <v/>
      </c>
      <c r="G21" s="130" t="str">
        <f t="shared" si="0"/>
        <v/>
      </c>
      <c r="H21" s="132" t="str">
        <f t="shared" si="1"/>
        <v/>
      </c>
      <c r="I21" s="130" t="str">
        <f t="shared" si="2"/>
        <v/>
      </c>
      <c r="J21" s="130" t="str">
        <f t="shared" si="3"/>
        <v/>
      </c>
      <c r="K21" s="130" t="str">
        <f t="shared" si="10"/>
        <v/>
      </c>
      <c r="L21" s="132" t="str">
        <f t="shared" si="5"/>
        <v/>
      </c>
      <c r="M21" s="130" t="str">
        <f t="shared" si="6"/>
        <v/>
      </c>
      <c r="N21" s="130" t="str">
        <f t="shared" si="7"/>
        <v/>
      </c>
      <c r="O21" s="130" t="str">
        <f t="shared" si="8"/>
        <v/>
      </c>
      <c r="P21" s="132" t="str">
        <f t="shared" si="9"/>
        <v/>
      </c>
    </row>
    <row r="22" spans="2:16" hidden="1" x14ac:dyDescent="0.25">
      <c r="B22" s="5">
        <v>19</v>
      </c>
      <c r="C22" s="6">
        <f>'RELACIÓN DE FACTURAS'!R26</f>
        <v>0</v>
      </c>
      <c r="D22" s="6">
        <f>'RELACIÓN DE FACTURAS'!Q26</f>
        <v>0</v>
      </c>
      <c r="E22" s="130">
        <f>'RELACIÓN DE FACTURAS'!V26</f>
        <v>0</v>
      </c>
      <c r="F22" s="130" t="str">
        <f>IF(C22=0,"",IF(AND(COUNTIF($C$4:C22,C22)=1,SUMIF($C$4:$C$43,C22,$E$4:$E$43)&gt;=15000),C22,""))</f>
        <v/>
      </c>
      <c r="G22" s="130" t="str">
        <f t="shared" si="0"/>
        <v/>
      </c>
      <c r="H22" s="132" t="str">
        <f t="shared" si="1"/>
        <v/>
      </c>
      <c r="I22" s="130" t="str">
        <f t="shared" si="2"/>
        <v/>
      </c>
      <c r="J22" s="130" t="str">
        <f t="shared" si="3"/>
        <v/>
      </c>
      <c r="K22" s="130" t="str">
        <f t="shared" si="10"/>
        <v/>
      </c>
      <c r="L22" s="132" t="str">
        <f t="shared" si="5"/>
        <v/>
      </c>
      <c r="M22" s="130" t="str">
        <f t="shared" si="6"/>
        <v/>
      </c>
      <c r="N22" s="130" t="str">
        <f t="shared" si="7"/>
        <v/>
      </c>
      <c r="O22" s="130" t="str">
        <f t="shared" si="8"/>
        <v/>
      </c>
      <c r="P22" s="132" t="str">
        <f t="shared" si="9"/>
        <v/>
      </c>
    </row>
    <row r="23" spans="2:16" hidden="1" x14ac:dyDescent="0.25">
      <c r="B23" s="5">
        <v>20</v>
      </c>
      <c r="C23" s="6">
        <f>'RELACIÓN DE FACTURAS'!R27</f>
        <v>0</v>
      </c>
      <c r="D23" s="6">
        <f>'RELACIÓN DE FACTURAS'!Q27</f>
        <v>0</v>
      </c>
      <c r="E23" s="130">
        <f>'RELACIÓN DE FACTURAS'!V27</f>
        <v>0</v>
      </c>
      <c r="F23" s="130" t="str">
        <f>IF(C23=0,"",IF(AND(COUNTIF($C$4:C23,C23)=1,SUMIF($C$4:$C$43,C23,$E$4:$E$43)&gt;=15000),C23,""))</f>
        <v/>
      </c>
      <c r="G23" s="130" t="str">
        <f t="shared" si="0"/>
        <v/>
      </c>
      <c r="H23" s="132" t="str">
        <f t="shared" si="1"/>
        <v/>
      </c>
      <c r="I23" s="130" t="str">
        <f t="shared" si="2"/>
        <v/>
      </c>
      <c r="J23" s="130" t="str">
        <f t="shared" si="3"/>
        <v/>
      </c>
      <c r="K23" s="130" t="str">
        <f t="shared" si="10"/>
        <v/>
      </c>
      <c r="L23" s="132" t="str">
        <f t="shared" si="5"/>
        <v/>
      </c>
      <c r="M23" s="130" t="str">
        <f t="shared" si="6"/>
        <v/>
      </c>
      <c r="N23" s="130" t="str">
        <f t="shared" si="7"/>
        <v/>
      </c>
      <c r="O23" s="130" t="str">
        <f t="shared" si="8"/>
        <v/>
      </c>
      <c r="P23" s="132" t="str">
        <f t="shared" si="9"/>
        <v/>
      </c>
    </row>
    <row r="24" spans="2:16" hidden="1" x14ac:dyDescent="0.25">
      <c r="B24" s="5">
        <v>21</v>
      </c>
      <c r="C24" s="6">
        <f>'RELACIÓN DE FACTURAS'!R28</f>
        <v>0</v>
      </c>
      <c r="D24" s="6">
        <f>'RELACIÓN DE FACTURAS'!Q28</f>
        <v>0</v>
      </c>
      <c r="E24" s="130">
        <f>'RELACIÓN DE FACTURAS'!V28</f>
        <v>0</v>
      </c>
      <c r="F24" s="130" t="str">
        <f>IF(C24=0,"",IF(AND(COUNTIF($C$4:C24,C24)=1,SUMIF($C$4:$C$43,C24,$E$4:$E$43)&gt;=15000),C24,""))</f>
        <v/>
      </c>
      <c r="G24" s="130" t="str">
        <f t="shared" si="0"/>
        <v/>
      </c>
      <c r="H24" s="132" t="str">
        <f t="shared" si="1"/>
        <v/>
      </c>
      <c r="I24" s="130" t="str">
        <f t="shared" si="2"/>
        <v/>
      </c>
      <c r="J24" s="130" t="str">
        <f t="shared" si="3"/>
        <v/>
      </c>
      <c r="K24" s="130" t="str">
        <f t="shared" si="10"/>
        <v/>
      </c>
      <c r="L24" s="132" t="str">
        <f t="shared" si="5"/>
        <v/>
      </c>
      <c r="M24" s="130" t="str">
        <f t="shared" si="6"/>
        <v/>
      </c>
      <c r="N24" s="130" t="str">
        <f t="shared" si="7"/>
        <v/>
      </c>
      <c r="O24" s="130" t="str">
        <f t="shared" si="8"/>
        <v/>
      </c>
      <c r="P24" s="132" t="str">
        <f t="shared" si="9"/>
        <v/>
      </c>
    </row>
    <row r="25" spans="2:16" hidden="1" x14ac:dyDescent="0.25">
      <c r="B25" s="5">
        <v>22</v>
      </c>
      <c r="C25" s="6">
        <f>'RELACIÓN DE FACTURAS'!R29</f>
        <v>0</v>
      </c>
      <c r="D25" s="6">
        <f>'RELACIÓN DE FACTURAS'!Q29</f>
        <v>0</v>
      </c>
      <c r="E25" s="130">
        <f>'RELACIÓN DE FACTURAS'!V29</f>
        <v>0</v>
      </c>
      <c r="F25" s="130" t="str">
        <f>IF(C25=0,"",IF(AND(COUNTIF($C$4:C25,C25)=1,SUMIF($C$4:$C$43,C25,$E$4:$E$43)&gt;=15000),C25,""))</f>
        <v/>
      </c>
      <c r="G25" s="130" t="str">
        <f t="shared" si="0"/>
        <v/>
      </c>
      <c r="H25" s="132" t="str">
        <f t="shared" si="1"/>
        <v/>
      </c>
      <c r="I25" s="130" t="str">
        <f t="shared" si="2"/>
        <v/>
      </c>
      <c r="J25" s="130" t="str">
        <f t="shared" si="3"/>
        <v/>
      </c>
      <c r="K25" s="130" t="str">
        <f t="shared" si="10"/>
        <v/>
      </c>
      <c r="L25" s="132" t="str">
        <f t="shared" si="5"/>
        <v/>
      </c>
      <c r="M25" s="130" t="str">
        <f t="shared" si="6"/>
        <v/>
      </c>
      <c r="N25" s="130" t="str">
        <f t="shared" si="7"/>
        <v/>
      </c>
      <c r="O25" s="130" t="str">
        <f t="shared" si="8"/>
        <v/>
      </c>
      <c r="P25" s="132" t="str">
        <f t="shared" si="9"/>
        <v/>
      </c>
    </row>
    <row r="26" spans="2:16" hidden="1" x14ac:dyDescent="0.25">
      <c r="B26" s="5">
        <v>23</v>
      </c>
      <c r="C26" s="6">
        <f>'RELACIÓN DE FACTURAS'!R30</f>
        <v>0</v>
      </c>
      <c r="D26" s="6">
        <f>'RELACIÓN DE FACTURAS'!Q30</f>
        <v>0</v>
      </c>
      <c r="E26" s="130">
        <f>'RELACIÓN DE FACTURAS'!V30</f>
        <v>0</v>
      </c>
      <c r="F26" s="130" t="str">
        <f>IF(C26=0,"",IF(AND(COUNTIF($C$4:C26,C26)=1,SUMIF($C$4:$C$43,C26,$E$4:$E$43)&gt;=15000),C26,""))</f>
        <v/>
      </c>
      <c r="G26" s="130" t="str">
        <f t="shared" si="0"/>
        <v/>
      </c>
      <c r="H26" s="132" t="str">
        <f t="shared" si="1"/>
        <v/>
      </c>
      <c r="I26" s="130" t="str">
        <f t="shared" si="2"/>
        <v/>
      </c>
      <c r="J26" s="130" t="str">
        <f t="shared" si="3"/>
        <v/>
      </c>
      <c r="K26" s="130" t="str">
        <f t="shared" si="10"/>
        <v/>
      </c>
      <c r="L26" s="132" t="str">
        <f t="shared" si="5"/>
        <v/>
      </c>
      <c r="M26" s="130" t="str">
        <f t="shared" si="6"/>
        <v/>
      </c>
      <c r="N26" s="130" t="str">
        <f t="shared" si="7"/>
        <v/>
      </c>
      <c r="O26" s="130" t="str">
        <f t="shared" si="8"/>
        <v/>
      </c>
      <c r="P26" s="132" t="str">
        <f t="shared" si="9"/>
        <v/>
      </c>
    </row>
    <row r="27" spans="2:16" hidden="1" x14ac:dyDescent="0.25">
      <c r="B27" s="5">
        <v>24</v>
      </c>
      <c r="C27" s="6">
        <f>'RELACIÓN DE FACTURAS'!R31</f>
        <v>0</v>
      </c>
      <c r="D27" s="6">
        <f>'RELACIÓN DE FACTURAS'!Q31</f>
        <v>0</v>
      </c>
      <c r="E27" s="130">
        <f>'RELACIÓN DE FACTURAS'!V31</f>
        <v>0</v>
      </c>
      <c r="F27" s="130" t="str">
        <f>IF(C27=0,"",IF(AND(COUNTIF($C$4:C27,C27)=1,SUMIF($C$4:$C$43,C27,$E$4:$E$43)&gt;=15000),C27,""))</f>
        <v/>
      </c>
      <c r="G27" s="130" t="str">
        <f t="shared" si="0"/>
        <v/>
      </c>
      <c r="H27" s="132" t="str">
        <f t="shared" si="1"/>
        <v/>
      </c>
      <c r="I27" s="130" t="str">
        <f t="shared" si="2"/>
        <v/>
      </c>
      <c r="J27" s="130" t="str">
        <f t="shared" si="3"/>
        <v/>
      </c>
      <c r="K27" s="130" t="str">
        <f t="shared" si="10"/>
        <v/>
      </c>
      <c r="L27" s="132" t="str">
        <f t="shared" si="5"/>
        <v/>
      </c>
      <c r="M27" s="130" t="str">
        <f t="shared" si="6"/>
        <v/>
      </c>
      <c r="N27" s="130" t="str">
        <f t="shared" si="7"/>
        <v/>
      </c>
      <c r="O27" s="130" t="str">
        <f t="shared" si="8"/>
        <v/>
      </c>
      <c r="P27" s="132" t="str">
        <f t="shared" si="9"/>
        <v/>
      </c>
    </row>
    <row r="28" spans="2:16" hidden="1" x14ac:dyDescent="0.25">
      <c r="B28" s="5">
        <v>25</v>
      </c>
      <c r="C28" s="6">
        <f>'RELACIÓN DE FACTURAS'!R32</f>
        <v>0</v>
      </c>
      <c r="D28" s="6">
        <f>'RELACIÓN DE FACTURAS'!Q32</f>
        <v>0</v>
      </c>
      <c r="E28" s="130">
        <f>'RELACIÓN DE FACTURAS'!V32</f>
        <v>0</v>
      </c>
      <c r="F28" s="130" t="str">
        <f>IF(C28=0,"",IF(AND(COUNTIF($C$4:C28,C28)=1,SUMIF($C$4:$C$43,C28,$E$4:$E$43)&gt;=15000),C28,""))</f>
        <v/>
      </c>
      <c r="G28" s="130" t="str">
        <f t="shared" si="0"/>
        <v/>
      </c>
      <c r="H28" s="132" t="str">
        <f t="shared" si="1"/>
        <v/>
      </c>
      <c r="I28" s="130" t="str">
        <f t="shared" si="2"/>
        <v/>
      </c>
      <c r="J28" s="130" t="str">
        <f t="shared" si="3"/>
        <v/>
      </c>
      <c r="K28" s="130" t="str">
        <f t="shared" si="10"/>
        <v/>
      </c>
      <c r="L28" s="132" t="str">
        <f t="shared" si="5"/>
        <v/>
      </c>
      <c r="M28" s="130" t="str">
        <f t="shared" si="6"/>
        <v/>
      </c>
      <c r="N28" s="130" t="str">
        <f t="shared" si="7"/>
        <v/>
      </c>
      <c r="O28" s="130" t="str">
        <f t="shared" si="8"/>
        <v/>
      </c>
      <c r="P28" s="132" t="str">
        <f t="shared" si="9"/>
        <v/>
      </c>
    </row>
    <row r="29" spans="2:16" hidden="1" x14ac:dyDescent="0.25">
      <c r="B29" s="5">
        <v>26</v>
      </c>
      <c r="C29" s="6">
        <f>'RELACIÓN DE FACTURAS'!R33</f>
        <v>0</v>
      </c>
      <c r="D29" s="6">
        <f>'RELACIÓN DE FACTURAS'!Q33</f>
        <v>0</v>
      </c>
      <c r="E29" s="130">
        <f>'RELACIÓN DE FACTURAS'!V33</f>
        <v>0</v>
      </c>
      <c r="F29" s="130" t="str">
        <f>IF(C29=0,"",IF(AND(COUNTIF($C$4:C29,C29)=1,SUMIF($C$4:$C$43,C29,$E$4:$E$43)&gt;=15000),C29,""))</f>
        <v/>
      </c>
      <c r="G29" s="130" t="str">
        <f t="shared" si="0"/>
        <v/>
      </c>
      <c r="H29" s="132" t="str">
        <f t="shared" si="1"/>
        <v/>
      </c>
      <c r="I29" s="130" t="str">
        <f t="shared" si="2"/>
        <v/>
      </c>
      <c r="J29" s="130" t="str">
        <f t="shared" si="3"/>
        <v/>
      </c>
      <c r="K29" s="130" t="str">
        <f t="shared" si="10"/>
        <v/>
      </c>
      <c r="L29" s="132" t="str">
        <f t="shared" si="5"/>
        <v/>
      </c>
      <c r="M29" s="130" t="str">
        <f t="shared" si="6"/>
        <v/>
      </c>
      <c r="N29" s="130" t="str">
        <f t="shared" si="7"/>
        <v/>
      </c>
      <c r="O29" s="130" t="str">
        <f t="shared" si="8"/>
        <v/>
      </c>
      <c r="P29" s="132" t="str">
        <f t="shared" si="9"/>
        <v/>
      </c>
    </row>
    <row r="30" spans="2:16" hidden="1" x14ac:dyDescent="0.25">
      <c r="B30" s="5">
        <v>27</v>
      </c>
      <c r="C30" s="6">
        <f>'RELACIÓN DE FACTURAS'!R34</f>
        <v>0</v>
      </c>
      <c r="D30" s="6">
        <f>'RELACIÓN DE FACTURAS'!Q34</f>
        <v>0</v>
      </c>
      <c r="E30" s="130">
        <f>'RELACIÓN DE FACTURAS'!V34</f>
        <v>0</v>
      </c>
      <c r="F30" s="130" t="str">
        <f>IF(C30=0,"",IF(AND(COUNTIF($C$4:C30,C30)=1,SUMIF($C$4:$C$43,C30,$E$4:$E$43)&gt;=15000),C30,""))</f>
        <v/>
      </c>
      <c r="G30" s="130" t="str">
        <f t="shared" si="0"/>
        <v/>
      </c>
      <c r="H30" s="132" t="str">
        <f t="shared" si="1"/>
        <v/>
      </c>
      <c r="I30" s="130" t="str">
        <f t="shared" si="2"/>
        <v/>
      </c>
      <c r="J30" s="130" t="str">
        <f t="shared" si="3"/>
        <v/>
      </c>
      <c r="K30" s="130" t="str">
        <f t="shared" si="10"/>
        <v/>
      </c>
      <c r="L30" s="132" t="str">
        <f t="shared" si="5"/>
        <v/>
      </c>
      <c r="M30" s="130" t="str">
        <f t="shared" si="6"/>
        <v/>
      </c>
      <c r="N30" s="130" t="str">
        <f t="shared" si="7"/>
        <v/>
      </c>
      <c r="O30" s="130" t="str">
        <f t="shared" si="8"/>
        <v/>
      </c>
      <c r="P30" s="132" t="str">
        <f t="shared" si="9"/>
        <v/>
      </c>
    </row>
    <row r="31" spans="2:16" hidden="1" x14ac:dyDescent="0.25">
      <c r="B31" s="5">
        <v>28</v>
      </c>
      <c r="C31" s="6">
        <f>'RELACIÓN DE FACTURAS'!R35</f>
        <v>0</v>
      </c>
      <c r="D31" s="6">
        <f>'RELACIÓN DE FACTURAS'!Q35</f>
        <v>0</v>
      </c>
      <c r="E31" s="130">
        <f>'RELACIÓN DE FACTURAS'!V35</f>
        <v>0</v>
      </c>
      <c r="F31" s="130" t="str">
        <f>IF(C31=0,"",IF(AND(COUNTIF($C$4:C31,C31)=1,SUMIF($C$4:$C$43,C31,$E$4:$E$43)&gt;=15000),C31,""))</f>
        <v/>
      </c>
      <c r="G31" s="130" t="str">
        <f t="shared" si="0"/>
        <v/>
      </c>
      <c r="H31" s="132" t="str">
        <f t="shared" si="1"/>
        <v/>
      </c>
      <c r="I31" s="130" t="str">
        <f t="shared" si="2"/>
        <v/>
      </c>
      <c r="J31" s="130" t="str">
        <f t="shared" si="3"/>
        <v/>
      </c>
      <c r="K31" s="130" t="str">
        <f t="shared" si="10"/>
        <v/>
      </c>
      <c r="L31" s="132" t="str">
        <f t="shared" si="5"/>
        <v/>
      </c>
      <c r="M31" s="130" t="str">
        <f t="shared" si="6"/>
        <v/>
      </c>
      <c r="N31" s="130" t="str">
        <f t="shared" si="7"/>
        <v/>
      </c>
      <c r="O31" s="130" t="str">
        <f t="shared" si="8"/>
        <v/>
      </c>
      <c r="P31" s="132" t="str">
        <f t="shared" si="9"/>
        <v/>
      </c>
    </row>
    <row r="32" spans="2:16" hidden="1" x14ac:dyDescent="0.25">
      <c r="B32" s="5">
        <v>29</v>
      </c>
      <c r="C32" s="6">
        <f>'RELACIÓN DE FACTURAS'!R46</f>
        <v>0</v>
      </c>
      <c r="D32" s="6">
        <f>'RELACIÓN DE FACTURAS'!Q46</f>
        <v>0</v>
      </c>
      <c r="E32" s="130">
        <f>'RELACIÓN DE FACTURAS'!V36</f>
        <v>0</v>
      </c>
      <c r="F32" s="130" t="str">
        <f>IF(C32=0,"",IF(AND(COUNTIF($C$4:C32,C32)=1,SUMIF($C$4:$C$43,C32,$E$4:$E$43)&gt;=15000),C32,""))</f>
        <v/>
      </c>
      <c r="G32" s="130" t="str">
        <f t="shared" si="0"/>
        <v/>
      </c>
      <c r="H32" s="132" t="str">
        <f t="shared" si="1"/>
        <v/>
      </c>
      <c r="I32" s="130" t="str">
        <f t="shared" si="2"/>
        <v/>
      </c>
      <c r="J32" s="130" t="str">
        <f t="shared" si="3"/>
        <v/>
      </c>
      <c r="K32" s="130" t="str">
        <f t="shared" si="10"/>
        <v/>
      </c>
      <c r="L32" s="132" t="str">
        <f t="shared" si="5"/>
        <v/>
      </c>
      <c r="M32" s="130" t="str">
        <f t="shared" si="6"/>
        <v/>
      </c>
      <c r="N32" s="130" t="str">
        <f t="shared" si="7"/>
        <v/>
      </c>
      <c r="O32" s="130" t="str">
        <f t="shared" si="8"/>
        <v/>
      </c>
      <c r="P32" s="132" t="str">
        <f t="shared" si="9"/>
        <v/>
      </c>
    </row>
    <row r="33" spans="2:16" hidden="1" x14ac:dyDescent="0.25">
      <c r="B33" s="5">
        <v>30</v>
      </c>
      <c r="C33" s="6">
        <f>'RELACIÓN DE FACTURAS'!R47</f>
        <v>0</v>
      </c>
      <c r="D33" s="6">
        <f>'RELACIÓN DE FACTURAS'!Q47</f>
        <v>0</v>
      </c>
      <c r="E33" s="130">
        <f>'RELACIÓN DE FACTURAS'!V37</f>
        <v>0</v>
      </c>
      <c r="F33" s="130" t="str">
        <f>IF(C33=0,"",IF(AND(COUNTIF($C$4:C33,C33)=1,SUMIF($C$4:$C$43,C33,$E$4:$E$43)&gt;=15000),C33,""))</f>
        <v/>
      </c>
      <c r="G33" s="130" t="str">
        <f t="shared" ref="G33:G43" si="11">IF(SUMIF($C$4:$C$43,F33,$E$4:$E$43)&lt;15000,"",SUMIF($C$4:$C$43,F33,$E$4:$E$43))</f>
        <v/>
      </c>
      <c r="H33" s="132" t="str">
        <f t="shared" ref="H33:H43" si="12">IFERROR(_xlfn.RANK.EQ(G33,$G$4:$G$43),"")</f>
        <v/>
      </c>
      <c r="I33" s="130" t="str">
        <f t="shared" ref="I33:I43" si="13">IF(H33="","",D33)</f>
        <v/>
      </c>
      <c r="J33" s="130" t="str">
        <f t="shared" ref="J33:J43" si="14">IF(H33="","",C33)</f>
        <v/>
      </c>
      <c r="K33" s="130" t="str">
        <f t="shared" ref="K33:K43" si="15">IF(H33="","",G33)</f>
        <v/>
      </c>
      <c r="L33" s="132" t="str">
        <f t="shared" ref="L33:L43" si="16">IF(M33&lt;&gt;"",B33,"")</f>
        <v/>
      </c>
      <c r="M33" s="130" t="str">
        <f t="shared" ref="M33:M43" si="17">IF(IFERROR(VLOOKUP(B33,$H$4:$K$43,2,0),"")="","",VLOOKUP(B33,$H$4:$K$43,2,0))</f>
        <v/>
      </c>
      <c r="N33" s="130" t="str">
        <f t="shared" ref="N33:N43" si="18">IF(IFERROR(VLOOKUP(B33,$H$4:$K$43,3,0),"")="","",VLOOKUP(B33,$H$4:$K$43,3,0))</f>
        <v/>
      </c>
      <c r="O33" s="130" t="str">
        <f t="shared" ref="O33:O43" si="19">IF(IFERROR(VLOOKUP(B33,$H$4:$K$43,4,0),"")="","",VLOOKUP(B33,$H$4:$K$43,4,0))</f>
        <v/>
      </c>
      <c r="P33" s="132" t="str">
        <f t="shared" ref="P33:P43" si="20">IF(COUNTIF($C$4:$C$43,N33)=0,"",COUNTIF($C$4:$C$43,N33))</f>
        <v/>
      </c>
    </row>
    <row r="34" spans="2:16" hidden="1" x14ac:dyDescent="0.25">
      <c r="B34" s="5">
        <v>31</v>
      </c>
      <c r="C34" s="6">
        <f>'RELACIÓN DE FACTURAS'!R48</f>
        <v>0</v>
      </c>
      <c r="D34" s="6">
        <f>'RELACIÓN DE FACTURAS'!Q48</f>
        <v>0</v>
      </c>
      <c r="E34" s="130">
        <f>'RELACIÓN DE FACTURAS'!V38</f>
        <v>0</v>
      </c>
      <c r="F34" s="130" t="str">
        <f>IF(C34=0,"",IF(AND(COUNTIF($C$4:C34,C34)=1,SUMIF($C$4:$C$43,C34,$E$4:$E$43)&gt;=15000),C34,""))</f>
        <v/>
      </c>
      <c r="G34" s="130" t="str">
        <f t="shared" si="11"/>
        <v/>
      </c>
      <c r="H34" s="132" t="str">
        <f t="shared" si="12"/>
        <v/>
      </c>
      <c r="I34" s="130" t="str">
        <f t="shared" si="13"/>
        <v/>
      </c>
      <c r="J34" s="130" t="str">
        <f t="shared" si="14"/>
        <v/>
      </c>
      <c r="K34" s="130" t="str">
        <f t="shared" si="15"/>
        <v/>
      </c>
      <c r="L34" s="132" t="str">
        <f t="shared" si="16"/>
        <v/>
      </c>
      <c r="M34" s="130" t="str">
        <f t="shared" si="17"/>
        <v/>
      </c>
      <c r="N34" s="130" t="str">
        <f t="shared" si="18"/>
        <v/>
      </c>
      <c r="O34" s="130" t="str">
        <f t="shared" si="19"/>
        <v/>
      </c>
      <c r="P34" s="132" t="str">
        <f t="shared" si="20"/>
        <v/>
      </c>
    </row>
    <row r="35" spans="2:16" hidden="1" x14ac:dyDescent="0.25">
      <c r="B35" s="5">
        <v>32</v>
      </c>
      <c r="C35" s="6">
        <f>'RELACIÓN DE FACTURAS'!R49</f>
        <v>0</v>
      </c>
      <c r="D35" s="6">
        <f>'RELACIÓN DE FACTURAS'!Q49</f>
        <v>0</v>
      </c>
      <c r="E35" s="130">
        <f>'RELACIÓN DE FACTURAS'!V39</f>
        <v>0</v>
      </c>
      <c r="F35" s="130" t="str">
        <f>IF(C35=0,"",IF(AND(COUNTIF($C$4:C35,C35)=1,SUMIF($C$4:$C$43,C35,$E$4:$E$43)&gt;=15000),C35,""))</f>
        <v/>
      </c>
      <c r="G35" s="130" t="str">
        <f t="shared" si="11"/>
        <v/>
      </c>
      <c r="H35" s="132" t="str">
        <f t="shared" si="12"/>
        <v/>
      </c>
      <c r="I35" s="130" t="str">
        <f t="shared" si="13"/>
        <v/>
      </c>
      <c r="J35" s="130" t="str">
        <f t="shared" si="14"/>
        <v/>
      </c>
      <c r="K35" s="130" t="str">
        <f t="shared" si="15"/>
        <v/>
      </c>
      <c r="L35" s="132" t="str">
        <f t="shared" si="16"/>
        <v/>
      </c>
      <c r="M35" s="130" t="str">
        <f t="shared" si="17"/>
        <v/>
      </c>
      <c r="N35" s="130" t="str">
        <f t="shared" si="18"/>
        <v/>
      </c>
      <c r="O35" s="130" t="str">
        <f t="shared" si="19"/>
        <v/>
      </c>
      <c r="P35" s="132" t="str">
        <f t="shared" si="20"/>
        <v/>
      </c>
    </row>
    <row r="36" spans="2:16" hidden="1" x14ac:dyDescent="0.25">
      <c r="B36" s="5">
        <v>33</v>
      </c>
      <c r="C36" s="6">
        <f>'RELACIÓN DE FACTURAS'!R50</f>
        <v>0</v>
      </c>
      <c r="D36" s="6">
        <f>'RELACIÓN DE FACTURAS'!Q50</f>
        <v>0</v>
      </c>
      <c r="E36" s="130">
        <f>'RELACIÓN DE FACTURAS'!V40</f>
        <v>0</v>
      </c>
      <c r="F36" s="130" t="str">
        <f>IF(C36=0,"",IF(AND(COUNTIF($C$4:C36,C36)=1,SUMIF($C$4:$C$43,C36,$E$4:$E$43)&gt;=15000),C36,""))</f>
        <v/>
      </c>
      <c r="G36" s="130" t="str">
        <f t="shared" si="11"/>
        <v/>
      </c>
      <c r="H36" s="132" t="str">
        <f t="shared" si="12"/>
        <v/>
      </c>
      <c r="I36" s="130" t="str">
        <f t="shared" si="13"/>
        <v/>
      </c>
      <c r="J36" s="130" t="str">
        <f t="shared" si="14"/>
        <v/>
      </c>
      <c r="K36" s="130" t="str">
        <f t="shared" si="15"/>
        <v/>
      </c>
      <c r="L36" s="132" t="str">
        <f t="shared" si="16"/>
        <v/>
      </c>
      <c r="M36" s="130" t="str">
        <f t="shared" si="17"/>
        <v/>
      </c>
      <c r="N36" s="130" t="str">
        <f t="shared" si="18"/>
        <v/>
      </c>
      <c r="O36" s="130" t="str">
        <f t="shared" si="19"/>
        <v/>
      </c>
      <c r="P36" s="132" t="str">
        <f t="shared" si="20"/>
        <v/>
      </c>
    </row>
    <row r="37" spans="2:16" hidden="1" x14ac:dyDescent="0.25">
      <c r="B37" s="5">
        <v>34</v>
      </c>
      <c r="C37" s="6">
        <f>'RELACIÓN DE FACTURAS'!R51</f>
        <v>0</v>
      </c>
      <c r="D37" s="6">
        <f>'RELACIÓN DE FACTURAS'!Q51</f>
        <v>0</v>
      </c>
      <c r="E37" s="130">
        <f>'RELACIÓN DE FACTURAS'!V41</f>
        <v>0</v>
      </c>
      <c r="F37" s="130" t="str">
        <f>IF(C37=0,"",IF(AND(COUNTIF($C$4:C37,C37)=1,SUMIF($C$4:$C$43,C37,$E$4:$E$43)&gt;=15000),C37,""))</f>
        <v/>
      </c>
      <c r="G37" s="130" t="str">
        <f t="shared" si="11"/>
        <v/>
      </c>
      <c r="H37" s="132" t="str">
        <f t="shared" si="12"/>
        <v/>
      </c>
      <c r="I37" s="130" t="str">
        <f t="shared" si="13"/>
        <v/>
      </c>
      <c r="J37" s="130" t="str">
        <f t="shared" si="14"/>
        <v/>
      </c>
      <c r="K37" s="130" t="str">
        <f t="shared" si="15"/>
        <v/>
      </c>
      <c r="L37" s="132" t="str">
        <f t="shared" si="16"/>
        <v/>
      </c>
      <c r="M37" s="130" t="str">
        <f t="shared" si="17"/>
        <v/>
      </c>
      <c r="N37" s="130" t="str">
        <f t="shared" si="18"/>
        <v/>
      </c>
      <c r="O37" s="130" t="str">
        <f t="shared" si="19"/>
        <v/>
      </c>
      <c r="P37" s="132" t="str">
        <f t="shared" si="20"/>
        <v/>
      </c>
    </row>
    <row r="38" spans="2:16" hidden="1" x14ac:dyDescent="0.25">
      <c r="B38" s="5">
        <v>35</v>
      </c>
      <c r="C38" s="6">
        <f>'RELACIÓN DE FACTURAS'!R52</f>
        <v>0</v>
      </c>
      <c r="D38" s="6">
        <f>'RELACIÓN DE FACTURAS'!Q52</f>
        <v>0</v>
      </c>
      <c r="E38" s="130">
        <f>'RELACIÓN DE FACTURAS'!V42</f>
        <v>0</v>
      </c>
      <c r="F38" s="130" t="str">
        <f>IF(C38=0,"",IF(AND(COUNTIF($C$4:C38,C38)=1,SUMIF($C$4:$C$43,C38,$E$4:$E$43)&gt;=15000),C38,""))</f>
        <v/>
      </c>
      <c r="G38" s="130" t="str">
        <f t="shared" si="11"/>
        <v/>
      </c>
      <c r="H38" s="132" t="str">
        <f t="shared" si="12"/>
        <v/>
      </c>
      <c r="I38" s="130" t="str">
        <f t="shared" si="13"/>
        <v/>
      </c>
      <c r="J38" s="130" t="str">
        <f t="shared" si="14"/>
        <v/>
      </c>
      <c r="K38" s="130" t="str">
        <f t="shared" si="15"/>
        <v/>
      </c>
      <c r="L38" s="132" t="str">
        <f t="shared" si="16"/>
        <v/>
      </c>
      <c r="M38" s="130" t="str">
        <f t="shared" si="17"/>
        <v/>
      </c>
      <c r="N38" s="130" t="str">
        <f t="shared" si="18"/>
        <v/>
      </c>
      <c r="O38" s="130" t="str">
        <f t="shared" si="19"/>
        <v/>
      </c>
      <c r="P38" s="132" t="str">
        <f t="shared" si="20"/>
        <v/>
      </c>
    </row>
    <row r="39" spans="2:16" hidden="1" x14ac:dyDescent="0.25">
      <c r="B39" s="5">
        <v>36</v>
      </c>
      <c r="C39" s="6">
        <f>'RELACIÓN DE FACTURAS'!R53</f>
        <v>0</v>
      </c>
      <c r="D39" s="6">
        <f>'RELACIÓN DE FACTURAS'!Q53</f>
        <v>0</v>
      </c>
      <c r="E39" s="130">
        <f>'RELACIÓN DE FACTURAS'!V43</f>
        <v>0</v>
      </c>
      <c r="F39" s="130" t="str">
        <f>IF(C39=0,"",IF(AND(COUNTIF($C$4:C39,C39)=1,SUMIF($C$4:$C$43,C39,$E$4:$E$43)&gt;=15000),C39,""))</f>
        <v/>
      </c>
      <c r="G39" s="130" t="str">
        <f t="shared" si="11"/>
        <v/>
      </c>
      <c r="H39" s="132" t="str">
        <f t="shared" si="12"/>
        <v/>
      </c>
      <c r="I39" s="130" t="str">
        <f t="shared" si="13"/>
        <v/>
      </c>
      <c r="J39" s="130" t="str">
        <f t="shared" si="14"/>
        <v/>
      </c>
      <c r="K39" s="130" t="str">
        <f t="shared" si="15"/>
        <v/>
      </c>
      <c r="L39" s="132" t="str">
        <f t="shared" si="16"/>
        <v/>
      </c>
      <c r="M39" s="130" t="str">
        <f t="shared" si="17"/>
        <v/>
      </c>
      <c r="N39" s="130" t="str">
        <f t="shared" si="18"/>
        <v/>
      </c>
      <c r="O39" s="130" t="str">
        <f t="shared" si="19"/>
        <v/>
      </c>
      <c r="P39" s="132" t="str">
        <f t="shared" si="20"/>
        <v/>
      </c>
    </row>
    <row r="40" spans="2:16" hidden="1" x14ac:dyDescent="0.25">
      <c r="B40" s="5">
        <v>37</v>
      </c>
      <c r="C40" s="6">
        <f>'RELACIÓN DE FACTURAS'!R54</f>
        <v>0</v>
      </c>
      <c r="D40" s="6">
        <f>'RELACIÓN DE FACTURAS'!Q54</f>
        <v>0</v>
      </c>
      <c r="E40" s="130">
        <f>'RELACIÓN DE FACTURAS'!V44</f>
        <v>0</v>
      </c>
      <c r="F40" s="130" t="str">
        <f>IF(C40=0,"",IF(AND(COUNTIF($C$4:C40,C40)=1,SUMIF($C$4:$C$43,C40,$E$4:$E$43)&gt;=15000),C40,""))</f>
        <v/>
      </c>
      <c r="G40" s="130" t="str">
        <f t="shared" si="11"/>
        <v/>
      </c>
      <c r="H40" s="132" t="str">
        <f t="shared" si="12"/>
        <v/>
      </c>
      <c r="I40" s="130" t="str">
        <f t="shared" si="13"/>
        <v/>
      </c>
      <c r="J40" s="130" t="str">
        <f t="shared" si="14"/>
        <v/>
      </c>
      <c r="K40" s="130" t="str">
        <f t="shared" si="15"/>
        <v/>
      </c>
      <c r="L40" s="132" t="str">
        <f t="shared" si="16"/>
        <v/>
      </c>
      <c r="M40" s="130" t="str">
        <f t="shared" si="17"/>
        <v/>
      </c>
      <c r="N40" s="130" t="str">
        <f t="shared" si="18"/>
        <v/>
      </c>
      <c r="O40" s="130" t="str">
        <f t="shared" si="19"/>
        <v/>
      </c>
      <c r="P40" s="132" t="str">
        <f t="shared" si="20"/>
        <v/>
      </c>
    </row>
    <row r="41" spans="2:16" hidden="1" x14ac:dyDescent="0.25">
      <c r="B41" s="5">
        <v>38</v>
      </c>
      <c r="C41" s="6">
        <f>'RELACIÓN DE FACTURAS'!R55</f>
        <v>0</v>
      </c>
      <c r="D41" s="6">
        <f>'RELACIÓN DE FACTURAS'!Q55</f>
        <v>0</v>
      </c>
      <c r="E41" s="130">
        <f>'RELACIÓN DE FACTURAS'!V45</f>
        <v>0</v>
      </c>
      <c r="F41" s="130" t="str">
        <f>IF(C41=0,"",IF(AND(COUNTIF($C$4:C41,C41)=1,SUMIF($C$4:$C$43,C41,$E$4:$E$43)&gt;=15000),C41,""))</f>
        <v/>
      </c>
      <c r="G41" s="130" t="str">
        <f t="shared" si="11"/>
        <v/>
      </c>
      <c r="H41" s="132" t="str">
        <f t="shared" si="12"/>
        <v/>
      </c>
      <c r="I41" s="130" t="str">
        <f t="shared" si="13"/>
        <v/>
      </c>
      <c r="J41" s="130" t="str">
        <f t="shared" si="14"/>
        <v/>
      </c>
      <c r="K41" s="130" t="str">
        <f t="shared" si="15"/>
        <v/>
      </c>
      <c r="L41" s="132" t="str">
        <f t="shared" si="16"/>
        <v/>
      </c>
      <c r="M41" s="130" t="str">
        <f t="shared" si="17"/>
        <v/>
      </c>
      <c r="N41" s="130" t="str">
        <f t="shared" si="18"/>
        <v/>
      </c>
      <c r="O41" s="130" t="str">
        <f t="shared" si="19"/>
        <v/>
      </c>
      <c r="P41" s="132" t="str">
        <f t="shared" si="20"/>
        <v/>
      </c>
    </row>
    <row r="42" spans="2:16" hidden="1" x14ac:dyDescent="0.25">
      <c r="B42" s="5">
        <v>39</v>
      </c>
      <c r="C42" s="6">
        <f>'RELACIÓN DE FACTURAS'!R56</f>
        <v>0</v>
      </c>
      <c r="D42" s="6">
        <f>'RELACIÓN DE FACTURAS'!Q56</f>
        <v>0</v>
      </c>
      <c r="E42" s="130">
        <f>'RELACIÓN DE FACTURAS'!V46</f>
        <v>0</v>
      </c>
      <c r="F42" s="130" t="str">
        <f>IF(C42=0,"",IF(AND(COUNTIF($C$4:C42,C42)=1,SUMIF($C$4:$C$43,C42,$E$4:$E$43)&gt;=15000),C42,""))</f>
        <v/>
      </c>
      <c r="G42" s="130" t="str">
        <f t="shared" si="11"/>
        <v/>
      </c>
      <c r="H42" s="132" t="str">
        <f t="shared" si="12"/>
        <v/>
      </c>
      <c r="I42" s="130" t="str">
        <f t="shared" si="13"/>
        <v/>
      </c>
      <c r="J42" s="130" t="str">
        <f t="shared" si="14"/>
        <v/>
      </c>
      <c r="K42" s="130" t="str">
        <f t="shared" si="15"/>
        <v/>
      </c>
      <c r="L42" s="132" t="str">
        <f t="shared" si="16"/>
        <v/>
      </c>
      <c r="M42" s="130" t="str">
        <f t="shared" si="17"/>
        <v/>
      </c>
      <c r="N42" s="130" t="str">
        <f t="shared" si="18"/>
        <v/>
      </c>
      <c r="O42" s="130" t="str">
        <f t="shared" si="19"/>
        <v/>
      </c>
      <c r="P42" s="132" t="str">
        <f t="shared" si="20"/>
        <v/>
      </c>
    </row>
    <row r="43" spans="2:16" hidden="1" x14ac:dyDescent="0.25">
      <c r="B43" s="5">
        <v>40</v>
      </c>
      <c r="C43" s="6">
        <f>'RELACIÓN DE FACTURAS'!R57</f>
        <v>0</v>
      </c>
      <c r="D43" s="6">
        <f>'RELACIÓN DE FACTURAS'!Q57</f>
        <v>0</v>
      </c>
      <c r="E43" s="130">
        <f>'RELACIÓN DE FACTURAS'!V47</f>
        <v>0</v>
      </c>
      <c r="F43" s="130" t="str">
        <f>IF(C43=0,"",IF(AND(COUNTIF($C$4:C43,C43)=1,SUMIF($C$4:$C$43,C43,$E$4:$E$43)&gt;=15000),C43,""))</f>
        <v/>
      </c>
      <c r="G43" s="130" t="str">
        <f t="shared" si="11"/>
        <v/>
      </c>
      <c r="H43" s="132" t="str">
        <f t="shared" si="12"/>
        <v/>
      </c>
      <c r="I43" s="130" t="str">
        <f t="shared" si="13"/>
        <v/>
      </c>
      <c r="J43" s="130" t="str">
        <f t="shared" si="14"/>
        <v/>
      </c>
      <c r="K43" s="130" t="str">
        <f t="shared" si="15"/>
        <v/>
      </c>
      <c r="L43" s="132" t="str">
        <f t="shared" si="16"/>
        <v/>
      </c>
      <c r="M43" s="130" t="str">
        <f t="shared" si="17"/>
        <v/>
      </c>
      <c r="N43" s="130" t="str">
        <f t="shared" si="18"/>
        <v/>
      </c>
      <c r="O43" s="130" t="str">
        <f t="shared" si="19"/>
        <v/>
      </c>
      <c r="P43" s="132" t="str">
        <f t="shared" si="20"/>
        <v/>
      </c>
    </row>
    <row r="44" spans="2:16" x14ac:dyDescent="0.25">
      <c r="E44" s="128"/>
      <c r="F44" s="128"/>
      <c r="G44" s="128"/>
      <c r="H44" s="174"/>
      <c r="I44" s="128"/>
      <c r="J44" s="128"/>
      <c r="K44" s="128"/>
      <c r="L44" s="174"/>
      <c r="M44" s="128"/>
      <c r="N44" s="128"/>
      <c r="O44" s="128"/>
      <c r="P44" s="174"/>
    </row>
    <row r="45" spans="2:16" x14ac:dyDescent="0.25">
      <c r="E45" s="128"/>
      <c r="F45" s="128"/>
      <c r="G45" s="128"/>
      <c r="H45" s="174"/>
      <c r="I45" s="128"/>
      <c r="J45" s="128"/>
      <c r="K45" s="128"/>
      <c r="L45" s="174"/>
      <c r="M45" s="128"/>
      <c r="N45" s="128"/>
      <c r="O45" s="128"/>
      <c r="P45" s="174"/>
    </row>
    <row r="46" spans="2:16" x14ac:dyDescent="0.25">
      <c r="E46" s="128"/>
      <c r="F46" s="128"/>
      <c r="G46" s="128"/>
      <c r="H46" s="174"/>
      <c r="I46" s="128"/>
      <c r="J46" s="128"/>
      <c r="K46" s="128"/>
      <c r="L46" s="174"/>
      <c r="M46" s="128"/>
      <c r="N46" s="128"/>
      <c r="O46" s="128"/>
      <c r="P46" s="174"/>
    </row>
    <row r="47" spans="2:16" x14ac:dyDescent="0.25">
      <c r="E47" s="128"/>
      <c r="F47" s="128"/>
      <c r="G47" s="128"/>
      <c r="H47" s="174"/>
      <c r="I47" s="128"/>
      <c r="J47" s="128"/>
      <c r="K47" s="128"/>
      <c r="L47" s="174"/>
      <c r="M47" s="128"/>
      <c r="N47" s="128"/>
      <c r="O47" s="128"/>
      <c r="P47" s="174"/>
    </row>
    <row r="48" spans="2:16" x14ac:dyDescent="0.25">
      <c r="E48" s="128"/>
      <c r="F48" s="128"/>
      <c r="G48" s="128"/>
      <c r="H48" s="174"/>
      <c r="I48" s="128"/>
      <c r="J48" s="128"/>
      <c r="K48" s="128"/>
      <c r="L48" s="174"/>
      <c r="M48" s="128"/>
      <c r="N48" s="128"/>
      <c r="O48" s="128"/>
      <c r="P48" s="174"/>
    </row>
    <row r="49" spans="1:16" x14ac:dyDescent="0.25">
      <c r="E49" s="128"/>
      <c r="F49" s="128"/>
      <c r="G49" s="128"/>
      <c r="H49" s="174"/>
      <c r="I49" s="128"/>
      <c r="J49" s="128"/>
      <c r="K49" s="128"/>
      <c r="L49" s="174"/>
      <c r="M49" s="128"/>
      <c r="N49" s="128"/>
      <c r="O49" s="128"/>
      <c r="P49" s="174"/>
    </row>
    <row r="50" spans="1:16" x14ac:dyDescent="0.25">
      <c r="E50" s="128"/>
      <c r="F50" s="128"/>
      <c r="G50" s="128"/>
      <c r="H50" s="174"/>
      <c r="I50" s="128"/>
      <c r="J50" s="128"/>
      <c r="K50" s="128"/>
      <c r="L50" s="174"/>
      <c r="M50" s="128"/>
      <c r="N50" s="128"/>
      <c r="O50" s="128"/>
      <c r="P50" s="174"/>
    </row>
    <row r="51" spans="1:16" ht="13.5" customHeight="1" x14ac:dyDescent="0.25">
      <c r="B51" s="285" t="s">
        <v>106</v>
      </c>
      <c r="C51" s="285"/>
      <c r="D51" s="285"/>
      <c r="E51" s="285"/>
      <c r="F51" s="285"/>
      <c r="G51" s="129"/>
      <c r="H51" s="129"/>
      <c r="I51" s="129"/>
      <c r="J51" s="129"/>
      <c r="K51" s="129"/>
      <c r="L51" s="129"/>
      <c r="M51" s="129"/>
      <c r="N51" s="129"/>
      <c r="O51" s="129"/>
      <c r="P51" s="129"/>
    </row>
    <row r="52" spans="1:16" x14ac:dyDescent="0.25">
      <c r="A52" s="129"/>
      <c r="B52" s="285"/>
      <c r="C52" s="285"/>
      <c r="D52" s="285"/>
      <c r="E52" s="285"/>
      <c r="F52" s="285"/>
      <c r="G52" s="129"/>
      <c r="H52" s="129"/>
      <c r="I52" s="129"/>
      <c r="J52" s="129"/>
      <c r="K52" s="129"/>
      <c r="L52" s="129"/>
      <c r="M52" s="129"/>
      <c r="N52" s="129"/>
      <c r="O52" s="129"/>
      <c r="P52" s="129"/>
    </row>
    <row r="53" spans="1:16" x14ac:dyDescent="0.25">
      <c r="A53" s="129"/>
      <c r="B53" s="285"/>
      <c r="C53" s="285"/>
      <c r="D53" s="285"/>
      <c r="E53" s="285"/>
      <c r="F53" s="285"/>
      <c r="G53" s="129"/>
      <c r="H53" s="129"/>
      <c r="I53" s="129"/>
      <c r="J53" s="129"/>
      <c r="K53" s="129"/>
      <c r="L53" s="129"/>
      <c r="M53" s="129"/>
      <c r="N53" s="129"/>
      <c r="O53" s="129"/>
      <c r="P53" s="129"/>
    </row>
    <row r="54" spans="1:16" x14ac:dyDescent="0.25">
      <c r="A54" s="129"/>
      <c r="B54" s="285"/>
      <c r="C54" s="285"/>
      <c r="D54" s="285"/>
      <c r="E54" s="285"/>
      <c r="F54" s="285"/>
      <c r="G54" s="129"/>
      <c r="H54" s="129"/>
      <c r="I54" s="129"/>
      <c r="J54" s="129"/>
      <c r="K54" s="129"/>
      <c r="L54" s="129"/>
      <c r="M54" s="129"/>
      <c r="N54" s="129"/>
      <c r="O54" s="129"/>
      <c r="P54" s="129"/>
    </row>
    <row r="55" spans="1:16" x14ac:dyDescent="0.25">
      <c r="B55" s="285"/>
      <c r="C55" s="285"/>
      <c r="D55" s="285"/>
      <c r="E55" s="285"/>
      <c r="F55" s="285"/>
      <c r="G55" s="129"/>
      <c r="H55" s="129"/>
    </row>
    <row r="56" spans="1:16" ht="14.25" thickBot="1" x14ac:dyDescent="0.3"/>
    <row r="57" spans="1:16" s="55" customFormat="1" ht="64.5" thickBot="1" x14ac:dyDescent="0.25">
      <c r="B57" s="135" t="s">
        <v>0</v>
      </c>
      <c r="C57" s="136" t="s">
        <v>1</v>
      </c>
      <c r="D57" s="137" t="s">
        <v>92</v>
      </c>
      <c r="E57" s="137" t="s">
        <v>104</v>
      </c>
      <c r="F57" s="138" t="s">
        <v>105</v>
      </c>
    </row>
    <row r="58" spans="1:16" ht="9.9499999999999993" customHeight="1" x14ac:dyDescent="0.25">
      <c r="H58" s="55"/>
    </row>
    <row r="59" spans="1:16" ht="20.100000000000001" customHeight="1" x14ac:dyDescent="0.25">
      <c r="B59" s="4" t="str">
        <f t="shared" ref="B59:B87" si="21">IF(L4="","",L4)</f>
        <v/>
      </c>
      <c r="C59" s="1" t="str">
        <f t="shared" ref="C59:F59" si="22">IF(M4="","",M4)</f>
        <v/>
      </c>
      <c r="D59" s="187" t="str">
        <f t="shared" si="22"/>
        <v/>
      </c>
      <c r="E59" s="188" t="str">
        <f t="shared" si="22"/>
        <v/>
      </c>
      <c r="F59" s="4" t="str">
        <f t="shared" si="22"/>
        <v/>
      </c>
      <c r="H59" s="55"/>
      <c r="J59" s="12"/>
    </row>
    <row r="60" spans="1:16" ht="20.100000000000001" customHeight="1" x14ac:dyDescent="0.25">
      <c r="B60" s="4" t="str">
        <f t="shared" si="21"/>
        <v/>
      </c>
      <c r="C60" s="1" t="str">
        <f t="shared" ref="C60:C87" si="23">IF(M5="","",M5)</f>
        <v/>
      </c>
      <c r="D60" s="1" t="str">
        <f t="shared" ref="D60:D87" si="24">IF(N5="","",N5)</f>
        <v/>
      </c>
      <c r="E60" s="188" t="str">
        <f t="shared" ref="E60:E87" si="25">IF(O5="","",O5)</f>
        <v/>
      </c>
      <c r="F60" s="4" t="str">
        <f t="shared" ref="F60:F87" si="26">IF(P5="","",P5)</f>
        <v/>
      </c>
      <c r="H60" s="55"/>
    </row>
    <row r="61" spans="1:16" ht="20.100000000000001" customHeight="1" x14ac:dyDescent="0.25">
      <c r="B61" s="4" t="str">
        <f t="shared" si="21"/>
        <v/>
      </c>
      <c r="C61" s="1" t="str">
        <f t="shared" si="23"/>
        <v/>
      </c>
      <c r="D61" s="1" t="str">
        <f t="shared" si="24"/>
        <v/>
      </c>
      <c r="E61" s="188" t="str">
        <f t="shared" si="25"/>
        <v/>
      </c>
      <c r="F61" s="4" t="str">
        <f t="shared" si="26"/>
        <v/>
      </c>
      <c r="H61" s="55"/>
    </row>
    <row r="62" spans="1:16" ht="20.100000000000001" customHeight="1" x14ac:dyDescent="0.25">
      <c r="B62" s="4" t="str">
        <f t="shared" si="21"/>
        <v/>
      </c>
      <c r="C62" s="1" t="str">
        <f t="shared" si="23"/>
        <v/>
      </c>
      <c r="D62" s="1" t="str">
        <f t="shared" si="24"/>
        <v/>
      </c>
      <c r="E62" s="188" t="str">
        <f t="shared" si="25"/>
        <v/>
      </c>
      <c r="F62" s="4" t="str">
        <f t="shared" si="26"/>
        <v/>
      </c>
      <c r="H62" s="55"/>
    </row>
    <row r="63" spans="1:16" ht="20.100000000000001" customHeight="1" x14ac:dyDescent="0.25">
      <c r="B63" s="4" t="str">
        <f t="shared" si="21"/>
        <v/>
      </c>
      <c r="C63" s="1" t="str">
        <f t="shared" si="23"/>
        <v/>
      </c>
      <c r="D63" s="1" t="str">
        <f t="shared" si="24"/>
        <v/>
      </c>
      <c r="E63" s="188" t="str">
        <f t="shared" si="25"/>
        <v/>
      </c>
      <c r="F63" s="4" t="str">
        <f t="shared" si="26"/>
        <v/>
      </c>
      <c r="H63" s="55"/>
    </row>
    <row r="64" spans="1:16" ht="20.100000000000001" customHeight="1" x14ac:dyDescent="0.25">
      <c r="B64" s="4" t="str">
        <f t="shared" si="21"/>
        <v/>
      </c>
      <c r="C64" s="1" t="str">
        <f t="shared" si="23"/>
        <v/>
      </c>
      <c r="D64" s="1" t="str">
        <f t="shared" si="24"/>
        <v/>
      </c>
      <c r="E64" s="188" t="str">
        <f t="shared" si="25"/>
        <v/>
      </c>
      <c r="F64" s="4" t="str">
        <f t="shared" si="26"/>
        <v/>
      </c>
      <c r="H64" s="55"/>
    </row>
    <row r="65" spans="2:8" ht="20.100000000000001" customHeight="1" x14ac:dyDescent="0.25">
      <c r="B65" s="4" t="str">
        <f t="shared" si="21"/>
        <v/>
      </c>
      <c r="C65" s="1" t="str">
        <f t="shared" si="23"/>
        <v/>
      </c>
      <c r="D65" s="1" t="str">
        <f t="shared" si="24"/>
        <v/>
      </c>
      <c r="E65" s="188" t="str">
        <f t="shared" si="25"/>
        <v/>
      </c>
      <c r="F65" s="4" t="str">
        <f t="shared" si="26"/>
        <v/>
      </c>
      <c r="H65" s="55"/>
    </row>
    <row r="66" spans="2:8" ht="20.100000000000001" customHeight="1" x14ac:dyDescent="0.25">
      <c r="B66" s="4" t="str">
        <f t="shared" si="21"/>
        <v/>
      </c>
      <c r="C66" s="1" t="str">
        <f t="shared" si="23"/>
        <v/>
      </c>
      <c r="D66" s="1" t="str">
        <f t="shared" si="24"/>
        <v/>
      </c>
      <c r="E66" s="188" t="str">
        <f t="shared" si="25"/>
        <v/>
      </c>
      <c r="F66" s="4" t="str">
        <f t="shared" si="26"/>
        <v/>
      </c>
      <c r="H66" s="55"/>
    </row>
    <row r="67" spans="2:8" ht="20.100000000000001" customHeight="1" x14ac:dyDescent="0.25">
      <c r="B67" s="4" t="str">
        <f t="shared" si="21"/>
        <v/>
      </c>
      <c r="C67" s="1" t="str">
        <f t="shared" si="23"/>
        <v/>
      </c>
      <c r="D67" s="1" t="str">
        <f t="shared" si="24"/>
        <v/>
      </c>
      <c r="E67" s="188" t="str">
        <f t="shared" si="25"/>
        <v/>
      </c>
      <c r="F67" s="4" t="str">
        <f t="shared" si="26"/>
        <v/>
      </c>
      <c r="H67" s="55"/>
    </row>
    <row r="68" spans="2:8" ht="20.100000000000001" customHeight="1" x14ac:dyDescent="0.25">
      <c r="B68" s="4" t="str">
        <f t="shared" si="21"/>
        <v/>
      </c>
      <c r="C68" s="1" t="str">
        <f t="shared" si="23"/>
        <v/>
      </c>
      <c r="D68" s="1" t="str">
        <f t="shared" si="24"/>
        <v/>
      </c>
      <c r="E68" s="188" t="str">
        <f t="shared" si="25"/>
        <v/>
      </c>
      <c r="F68" s="4" t="str">
        <f t="shared" si="26"/>
        <v/>
      </c>
      <c r="H68" s="55"/>
    </row>
    <row r="69" spans="2:8" ht="20.100000000000001" customHeight="1" x14ac:dyDescent="0.25">
      <c r="B69" s="4" t="str">
        <f t="shared" si="21"/>
        <v/>
      </c>
      <c r="C69" s="1" t="str">
        <f t="shared" si="23"/>
        <v/>
      </c>
      <c r="D69" s="1" t="str">
        <f t="shared" si="24"/>
        <v/>
      </c>
      <c r="E69" s="188" t="str">
        <f t="shared" si="25"/>
        <v/>
      </c>
      <c r="F69" s="4" t="str">
        <f t="shared" si="26"/>
        <v/>
      </c>
      <c r="H69" s="55"/>
    </row>
    <row r="70" spans="2:8" ht="20.100000000000001" customHeight="1" x14ac:dyDescent="0.25">
      <c r="B70" s="4" t="str">
        <f t="shared" si="21"/>
        <v/>
      </c>
      <c r="C70" s="1" t="str">
        <f t="shared" si="23"/>
        <v/>
      </c>
      <c r="D70" s="1" t="str">
        <f t="shared" si="24"/>
        <v/>
      </c>
      <c r="E70" s="188" t="str">
        <f t="shared" si="25"/>
        <v/>
      </c>
      <c r="F70" s="4" t="str">
        <f t="shared" si="26"/>
        <v/>
      </c>
      <c r="H70" s="55"/>
    </row>
    <row r="71" spans="2:8" ht="20.100000000000001" customHeight="1" x14ac:dyDescent="0.25">
      <c r="B71" s="4" t="str">
        <f t="shared" si="21"/>
        <v/>
      </c>
      <c r="C71" s="1" t="str">
        <f t="shared" si="23"/>
        <v/>
      </c>
      <c r="D71" s="1" t="str">
        <f t="shared" si="24"/>
        <v/>
      </c>
      <c r="E71" s="188" t="str">
        <f t="shared" si="25"/>
        <v/>
      </c>
      <c r="F71" s="4" t="str">
        <f t="shared" si="26"/>
        <v/>
      </c>
      <c r="H71" s="55"/>
    </row>
    <row r="72" spans="2:8" ht="20.100000000000001" customHeight="1" x14ac:dyDescent="0.25">
      <c r="B72" s="4" t="str">
        <f t="shared" si="21"/>
        <v/>
      </c>
      <c r="C72" s="1" t="str">
        <f t="shared" si="23"/>
        <v/>
      </c>
      <c r="D72" s="1" t="str">
        <f t="shared" si="24"/>
        <v/>
      </c>
      <c r="E72" s="188" t="str">
        <f t="shared" si="25"/>
        <v/>
      </c>
      <c r="F72" s="4" t="str">
        <f t="shared" si="26"/>
        <v/>
      </c>
      <c r="H72" s="55"/>
    </row>
    <row r="73" spans="2:8" ht="20.100000000000001" customHeight="1" x14ac:dyDescent="0.25">
      <c r="B73" s="4" t="str">
        <f t="shared" si="21"/>
        <v/>
      </c>
      <c r="C73" s="1" t="str">
        <f t="shared" si="23"/>
        <v/>
      </c>
      <c r="D73" s="1" t="str">
        <f t="shared" si="24"/>
        <v/>
      </c>
      <c r="E73" s="188" t="str">
        <f t="shared" si="25"/>
        <v/>
      </c>
      <c r="F73" s="4" t="str">
        <f t="shared" si="26"/>
        <v/>
      </c>
      <c r="H73" s="55"/>
    </row>
    <row r="74" spans="2:8" ht="20.100000000000001" customHeight="1" x14ac:dyDescent="0.25">
      <c r="B74" s="4" t="str">
        <f t="shared" si="21"/>
        <v/>
      </c>
      <c r="C74" s="1" t="str">
        <f t="shared" si="23"/>
        <v/>
      </c>
      <c r="D74" s="1" t="str">
        <f t="shared" si="24"/>
        <v/>
      </c>
      <c r="E74" s="188" t="str">
        <f t="shared" si="25"/>
        <v/>
      </c>
      <c r="F74" s="4" t="str">
        <f t="shared" si="26"/>
        <v/>
      </c>
      <c r="H74" s="55"/>
    </row>
    <row r="75" spans="2:8" ht="20.100000000000001" customHeight="1" x14ac:dyDescent="0.25">
      <c r="B75" s="4" t="str">
        <f t="shared" si="21"/>
        <v/>
      </c>
      <c r="C75" s="1" t="str">
        <f t="shared" si="23"/>
        <v/>
      </c>
      <c r="D75" s="1" t="str">
        <f t="shared" si="24"/>
        <v/>
      </c>
      <c r="E75" s="188" t="str">
        <f t="shared" si="25"/>
        <v/>
      </c>
      <c r="F75" s="4" t="str">
        <f t="shared" si="26"/>
        <v/>
      </c>
      <c r="H75" s="55"/>
    </row>
    <row r="76" spans="2:8" ht="20.100000000000001" customHeight="1" x14ac:dyDescent="0.25">
      <c r="B76" s="4" t="str">
        <f t="shared" si="21"/>
        <v/>
      </c>
      <c r="C76" s="1" t="str">
        <f t="shared" si="23"/>
        <v/>
      </c>
      <c r="D76" s="1" t="str">
        <f t="shared" si="24"/>
        <v/>
      </c>
      <c r="E76" s="188" t="str">
        <f t="shared" si="25"/>
        <v/>
      </c>
      <c r="F76" s="4" t="str">
        <f t="shared" si="26"/>
        <v/>
      </c>
      <c r="H76" s="55"/>
    </row>
    <row r="77" spans="2:8" ht="20.100000000000001" customHeight="1" x14ac:dyDescent="0.25">
      <c r="B77" s="4" t="str">
        <f t="shared" si="21"/>
        <v/>
      </c>
      <c r="C77" s="1" t="str">
        <f t="shared" si="23"/>
        <v/>
      </c>
      <c r="D77" s="1" t="str">
        <f t="shared" si="24"/>
        <v/>
      </c>
      <c r="E77" s="188" t="str">
        <f t="shared" si="25"/>
        <v/>
      </c>
      <c r="F77" s="4" t="str">
        <f t="shared" si="26"/>
        <v/>
      </c>
      <c r="H77" s="55"/>
    </row>
    <row r="78" spans="2:8" ht="20.100000000000001" customHeight="1" x14ac:dyDescent="0.25">
      <c r="B78" s="4" t="str">
        <f t="shared" si="21"/>
        <v/>
      </c>
      <c r="C78" s="1" t="str">
        <f t="shared" si="23"/>
        <v/>
      </c>
      <c r="D78" s="1" t="str">
        <f t="shared" si="24"/>
        <v/>
      </c>
      <c r="E78" s="188" t="str">
        <f t="shared" si="25"/>
        <v/>
      </c>
      <c r="F78" s="4" t="str">
        <f t="shared" si="26"/>
        <v/>
      </c>
      <c r="H78" s="55"/>
    </row>
    <row r="79" spans="2:8" ht="20.100000000000001" customHeight="1" x14ac:dyDescent="0.25">
      <c r="B79" s="4" t="str">
        <f t="shared" si="21"/>
        <v/>
      </c>
      <c r="C79" s="1" t="str">
        <f t="shared" si="23"/>
        <v/>
      </c>
      <c r="D79" s="1" t="str">
        <f t="shared" si="24"/>
        <v/>
      </c>
      <c r="E79" s="188" t="str">
        <f t="shared" si="25"/>
        <v/>
      </c>
      <c r="F79" s="4" t="str">
        <f t="shared" si="26"/>
        <v/>
      </c>
      <c r="H79" s="55"/>
    </row>
    <row r="80" spans="2:8" ht="20.100000000000001" customHeight="1" x14ac:dyDescent="0.25">
      <c r="B80" s="4" t="str">
        <f t="shared" si="21"/>
        <v/>
      </c>
      <c r="C80" s="1" t="str">
        <f t="shared" si="23"/>
        <v/>
      </c>
      <c r="D80" s="1" t="str">
        <f t="shared" si="24"/>
        <v/>
      </c>
      <c r="E80" s="188" t="str">
        <f t="shared" si="25"/>
        <v/>
      </c>
      <c r="F80" s="4" t="str">
        <f t="shared" si="26"/>
        <v/>
      </c>
      <c r="H80" s="55"/>
    </row>
    <row r="81" spans="2:8" ht="20.100000000000001" customHeight="1" x14ac:dyDescent="0.25">
      <c r="B81" s="4" t="str">
        <f t="shared" si="21"/>
        <v/>
      </c>
      <c r="C81" s="1" t="str">
        <f t="shared" si="23"/>
        <v/>
      </c>
      <c r="D81" s="1" t="str">
        <f t="shared" si="24"/>
        <v/>
      </c>
      <c r="E81" s="188" t="str">
        <f t="shared" si="25"/>
        <v/>
      </c>
      <c r="F81" s="4" t="str">
        <f t="shared" si="26"/>
        <v/>
      </c>
      <c r="H81" s="55"/>
    </row>
    <row r="82" spans="2:8" ht="20.100000000000001" customHeight="1" x14ac:dyDescent="0.25">
      <c r="B82" s="4" t="str">
        <f t="shared" si="21"/>
        <v/>
      </c>
      <c r="C82" s="1" t="str">
        <f t="shared" si="23"/>
        <v/>
      </c>
      <c r="D82" s="1" t="str">
        <f t="shared" si="24"/>
        <v/>
      </c>
      <c r="E82" s="188" t="str">
        <f t="shared" si="25"/>
        <v/>
      </c>
      <c r="F82" s="4" t="str">
        <f t="shared" si="26"/>
        <v/>
      </c>
      <c r="H82" s="55"/>
    </row>
    <row r="83" spans="2:8" ht="20.100000000000001" customHeight="1" x14ac:dyDescent="0.25">
      <c r="B83" s="4" t="str">
        <f t="shared" si="21"/>
        <v/>
      </c>
      <c r="C83" s="1" t="str">
        <f t="shared" si="23"/>
        <v/>
      </c>
      <c r="D83" s="1" t="str">
        <f t="shared" si="24"/>
        <v/>
      </c>
      <c r="E83" s="188" t="str">
        <f t="shared" si="25"/>
        <v/>
      </c>
      <c r="F83" s="4" t="str">
        <f t="shared" si="26"/>
        <v/>
      </c>
      <c r="H83" s="55"/>
    </row>
    <row r="84" spans="2:8" ht="20.100000000000001" customHeight="1" x14ac:dyDescent="0.25">
      <c r="B84" s="4" t="str">
        <f t="shared" si="21"/>
        <v/>
      </c>
      <c r="C84" s="1" t="str">
        <f t="shared" si="23"/>
        <v/>
      </c>
      <c r="D84" s="1" t="str">
        <f t="shared" si="24"/>
        <v/>
      </c>
      <c r="E84" s="188" t="str">
        <f t="shared" si="25"/>
        <v/>
      </c>
      <c r="F84" s="4" t="str">
        <f t="shared" si="26"/>
        <v/>
      </c>
      <c r="H84" s="55"/>
    </row>
    <row r="85" spans="2:8" ht="20.100000000000001" customHeight="1" x14ac:dyDescent="0.25">
      <c r="B85" s="4" t="str">
        <f t="shared" si="21"/>
        <v/>
      </c>
      <c r="C85" s="1" t="str">
        <f t="shared" si="23"/>
        <v/>
      </c>
      <c r="D85" s="1" t="str">
        <f t="shared" si="24"/>
        <v/>
      </c>
      <c r="E85" s="188" t="str">
        <f t="shared" si="25"/>
        <v/>
      </c>
      <c r="F85" s="4" t="str">
        <f t="shared" si="26"/>
        <v/>
      </c>
      <c r="H85" s="55"/>
    </row>
    <row r="86" spans="2:8" ht="20.100000000000001" customHeight="1" x14ac:dyDescent="0.25">
      <c r="B86" s="4" t="str">
        <f t="shared" si="21"/>
        <v/>
      </c>
      <c r="C86" s="1" t="str">
        <f t="shared" si="23"/>
        <v/>
      </c>
      <c r="D86" s="1" t="str">
        <f t="shared" si="24"/>
        <v/>
      </c>
      <c r="E86" s="188" t="str">
        <f t="shared" si="25"/>
        <v/>
      </c>
      <c r="F86" s="4" t="str">
        <f t="shared" si="26"/>
        <v/>
      </c>
      <c r="H86" s="55"/>
    </row>
    <row r="87" spans="2:8" ht="20.100000000000001" customHeight="1" x14ac:dyDescent="0.25">
      <c r="B87" s="4" t="str">
        <f t="shared" si="21"/>
        <v/>
      </c>
      <c r="C87" s="1" t="str">
        <f t="shared" si="23"/>
        <v/>
      </c>
      <c r="D87" s="1" t="str">
        <f t="shared" si="24"/>
        <v/>
      </c>
      <c r="E87" s="188" t="str">
        <f t="shared" si="25"/>
        <v/>
      </c>
      <c r="F87" s="4" t="str">
        <f t="shared" si="26"/>
        <v/>
      </c>
      <c r="H87" s="55"/>
    </row>
    <row r="88" spans="2:8" ht="20.100000000000001" customHeight="1" x14ac:dyDescent="0.25">
      <c r="B88" s="4" t="str">
        <f t="shared" ref="B88" si="27">IF(L43="","",L43)</f>
        <v/>
      </c>
      <c r="C88" s="1" t="str">
        <f t="shared" ref="C88" si="28">IF(M43="","",M43)</f>
        <v/>
      </c>
      <c r="D88" s="1" t="str">
        <f t="shared" ref="D88" si="29">IF(N43="","",N43)</f>
        <v/>
      </c>
      <c r="E88" s="188" t="str">
        <f t="shared" ref="E88" si="30">IF(O43="","",O43)</f>
        <v/>
      </c>
      <c r="F88" s="4" t="str">
        <f t="shared" ref="F88" si="31">IF(P43="","",P43)</f>
        <v/>
      </c>
      <c r="H88" s="55"/>
    </row>
    <row r="89" spans="2:8" s="186" customFormat="1" x14ac:dyDescent="0.25"/>
  </sheetData>
  <sheetProtection algorithmName="SHA-512" hashValue="vKj40x4wRx6YoJZuqQdl92TZ+nTb2NqrzswzHPbdJHPI8mJ7JRyQf+aKGrf2jKBHP4X09TkmLA164tMJFzN/WQ==" saltValue="8VzayKTX0+MWLx3Ud0j1Og==" spinCount="100000" sheet="1" objects="1" scenarios="1" selectLockedCells="1" selectUnlockedCells="1"/>
  <mergeCells count="3">
    <mergeCell ref="H2:K2"/>
    <mergeCell ref="L2:P2"/>
    <mergeCell ref="B51:F55"/>
  </mergeCells>
  <conditionalFormatting sqref="B59:F88">
    <cfRule type="expression" dxfId="58" priority="2">
      <formula>$B59&lt;&gt;""</formula>
    </cfRule>
  </conditionalFormatting>
  <conditionalFormatting sqref="J59">
    <cfRule type="expression" dxfId="57" priority="1">
      <formula>$B59&lt;&gt;""</formula>
    </cfRule>
  </conditionalFormatting>
  <printOptions horizontalCentered="1"/>
  <pageMargins left="0.59055118110236227" right="0.59055118110236227" top="0.59055118110236227" bottom="0.59055118110236227" header="0.19685039370078741" footer="0.19685039370078741"/>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47"/>
  <sheetViews>
    <sheetView showGridLines="0" workbookViewId="0">
      <selection activeCell="C8" sqref="C8:C10"/>
    </sheetView>
  </sheetViews>
  <sheetFormatPr baseColWidth="10" defaultColWidth="9.140625" defaultRowHeight="30" customHeight="1" x14ac:dyDescent="0.2"/>
  <cols>
    <col min="1" max="1" width="5.7109375" style="81" customWidth="1"/>
    <col min="2" max="2" width="6.7109375" style="83" customWidth="1"/>
    <col min="3" max="3" width="15.7109375" style="81" customWidth="1"/>
    <col min="4" max="4" width="15" style="86" bestFit="1" customWidth="1"/>
    <col min="5" max="5" width="14.7109375" style="86" customWidth="1"/>
    <col min="6" max="6" width="35.7109375" style="81" customWidth="1"/>
    <col min="7" max="7" width="12" style="81" customWidth="1"/>
    <col min="8" max="8" width="15.7109375" style="81" customWidth="1"/>
    <col min="9" max="9" width="12.7109375" style="85" customWidth="1"/>
    <col min="10" max="10" width="14.7109375" style="86" customWidth="1"/>
    <col min="11" max="13" width="15.7109375" style="81" customWidth="1"/>
    <col min="14" max="14" width="70.7109375" style="81" customWidth="1"/>
    <col min="15" max="963" width="11.42578125" style="81" customWidth="1"/>
    <col min="964" max="16384" width="9.140625" style="81"/>
  </cols>
  <sheetData>
    <row r="1" spans="2:14" ht="20.100000000000001" customHeight="1" x14ac:dyDescent="0.2">
      <c r="B1" s="272" t="s">
        <v>109</v>
      </c>
      <c r="C1" s="272"/>
      <c r="D1" s="272"/>
      <c r="E1" s="272"/>
      <c r="F1" s="272"/>
      <c r="G1" s="272"/>
      <c r="H1" s="272"/>
      <c r="I1" s="272"/>
      <c r="J1" s="272"/>
      <c r="K1" s="272"/>
      <c r="L1" s="272"/>
      <c r="M1" s="272"/>
      <c r="N1" s="272"/>
    </row>
    <row r="2" spans="2:14" ht="9.9499999999999993" customHeight="1" x14ac:dyDescent="0.2">
      <c r="B2" s="65"/>
      <c r="C2" s="65"/>
      <c r="D2" s="65"/>
      <c r="E2" s="65"/>
      <c r="F2" s="65"/>
      <c r="G2" s="65"/>
      <c r="H2" s="65"/>
      <c r="I2" s="80"/>
      <c r="J2" s="65"/>
      <c r="K2" s="65"/>
      <c r="L2" s="65"/>
      <c r="M2" s="65"/>
      <c r="N2" s="65"/>
    </row>
    <row r="3" spans="2:14" ht="20.100000000000001" customHeight="1" x14ac:dyDescent="0.2">
      <c r="B3" s="82" t="s">
        <v>25</v>
      </c>
      <c r="D3" s="298" t="str">
        <f>IF('RELACIÓN DE FACTURAS'!O3="","",'RELACIÓN DE FACTURAS'!O3)</f>
        <v/>
      </c>
      <c r="E3" s="298"/>
      <c r="F3" s="84"/>
      <c r="G3" s="84"/>
      <c r="H3" s="84"/>
      <c r="J3" s="84"/>
      <c r="K3" s="84"/>
      <c r="L3" s="84"/>
      <c r="M3" s="84"/>
      <c r="N3" s="84"/>
    </row>
    <row r="4" spans="2:14" ht="9.9499999999999993" customHeight="1" thickBot="1" x14ac:dyDescent="0.25"/>
    <row r="5" spans="2:14" s="87" customFormat="1" ht="30" customHeight="1" x14ac:dyDescent="0.2">
      <c r="B5" s="296" t="s">
        <v>0</v>
      </c>
      <c r="C5" s="267" t="s">
        <v>8</v>
      </c>
      <c r="D5" s="267" t="s">
        <v>28</v>
      </c>
      <c r="E5" s="295" t="s">
        <v>112</v>
      </c>
      <c r="F5" s="295"/>
      <c r="G5" s="295"/>
      <c r="H5" s="295"/>
      <c r="I5" s="295"/>
      <c r="J5" s="295"/>
      <c r="K5" s="267" t="s">
        <v>114</v>
      </c>
      <c r="L5" s="299" t="s">
        <v>110</v>
      </c>
      <c r="M5" s="300"/>
      <c r="N5" s="280" t="s">
        <v>72</v>
      </c>
    </row>
    <row r="6" spans="2:14" s="87" customFormat="1" ht="60" customHeight="1" thickBot="1" x14ac:dyDescent="0.25">
      <c r="B6" s="297"/>
      <c r="C6" s="268"/>
      <c r="D6" s="268"/>
      <c r="E6" s="268" t="s">
        <v>26</v>
      </c>
      <c r="F6" s="268"/>
      <c r="G6" s="88" t="s">
        <v>27</v>
      </c>
      <c r="H6" s="88" t="s">
        <v>111</v>
      </c>
      <c r="I6" s="89" t="s">
        <v>16</v>
      </c>
      <c r="J6" s="90" t="s">
        <v>113</v>
      </c>
      <c r="K6" s="268"/>
      <c r="L6" s="301"/>
      <c r="M6" s="302"/>
      <c r="N6" s="281"/>
    </row>
    <row r="7" spans="2:14" s="91" customFormat="1" ht="9.9499999999999993" customHeight="1" thickBot="1" x14ac:dyDescent="0.25">
      <c r="I7" s="55"/>
    </row>
    <row r="8" spans="2:14" s="1" customFormat="1" ht="30" customHeight="1" x14ac:dyDescent="0.2">
      <c r="B8" s="289">
        <v>1</v>
      </c>
      <c r="C8" s="292"/>
      <c r="D8" s="286"/>
      <c r="E8" s="234" t="s">
        <v>107</v>
      </c>
      <c r="F8" s="70"/>
      <c r="G8" s="68"/>
      <c r="H8" s="71"/>
      <c r="I8" s="72"/>
      <c r="J8" s="73"/>
      <c r="K8" s="92"/>
      <c r="L8" s="303" t="str">
        <f>IF(AND(J8="",J9="",J10=""),"",IF(AND(J8&lt;&gt;"",OR(J9="",J10="")),"APORTAR DOS OFERTAS ALTERNATIVAS O INFORME JUSTIFICATIVO",IF(D8&lt;=MIN(J8:J10),"","INSERTAR INFORME JUSTIFICATIVO")))</f>
        <v/>
      </c>
      <c r="M8" s="306"/>
      <c r="N8" s="94"/>
    </row>
    <row r="9" spans="2:14" s="1" customFormat="1" ht="30" customHeight="1" x14ac:dyDescent="0.2">
      <c r="B9" s="290"/>
      <c r="C9" s="293"/>
      <c r="D9" s="287"/>
      <c r="E9" s="190" t="s">
        <v>108</v>
      </c>
      <c r="F9" s="74"/>
      <c r="G9" s="15"/>
      <c r="H9" s="16"/>
      <c r="I9" s="75"/>
      <c r="J9" s="17"/>
      <c r="K9" s="67"/>
      <c r="L9" s="304"/>
      <c r="M9" s="307"/>
      <c r="N9" s="95"/>
    </row>
    <row r="10" spans="2:14" s="1" customFormat="1" ht="30" customHeight="1" thickBot="1" x14ac:dyDescent="0.25">
      <c r="B10" s="291"/>
      <c r="C10" s="294"/>
      <c r="D10" s="288"/>
      <c r="E10" s="191" t="s">
        <v>108</v>
      </c>
      <c r="F10" s="76"/>
      <c r="G10" s="69"/>
      <c r="H10" s="77"/>
      <c r="I10" s="78"/>
      <c r="J10" s="79"/>
      <c r="K10" s="93"/>
      <c r="L10" s="305"/>
      <c r="M10" s="308"/>
      <c r="N10" s="96"/>
    </row>
    <row r="11" spans="2:14" s="1" customFormat="1" ht="9.9499999999999993" customHeight="1" thickBot="1" x14ac:dyDescent="0.25"/>
    <row r="12" spans="2:14" s="1" customFormat="1" ht="30" customHeight="1" x14ac:dyDescent="0.2">
      <c r="B12" s="289">
        <v>2</v>
      </c>
      <c r="C12" s="292"/>
      <c r="D12" s="286"/>
      <c r="E12" s="234" t="s">
        <v>107</v>
      </c>
      <c r="F12" s="70"/>
      <c r="G12" s="68"/>
      <c r="H12" s="71"/>
      <c r="I12" s="72"/>
      <c r="J12" s="73"/>
      <c r="K12" s="92"/>
      <c r="L12" s="303" t="str">
        <f>IF(AND(J12="",J13="",J14=""),"",IF(AND(J12&lt;&gt;"",OR(J13="",J14="")),"APORTAR DOS OFERTAS ALTERNATIVAS O INFORME JUSTIFICATIVO",IF(D12&lt;=MIN(J12:J14),"","INSERTAR INFORME JUSTIFICATIVO")))</f>
        <v/>
      </c>
      <c r="M12" s="306"/>
      <c r="N12" s="97"/>
    </row>
    <row r="13" spans="2:14" s="1" customFormat="1" ht="30" customHeight="1" x14ac:dyDescent="0.2">
      <c r="B13" s="290"/>
      <c r="C13" s="293"/>
      <c r="D13" s="287"/>
      <c r="E13" s="190" t="s">
        <v>108</v>
      </c>
      <c r="F13" s="74"/>
      <c r="G13" s="15"/>
      <c r="H13" s="16"/>
      <c r="I13" s="75"/>
      <c r="J13" s="17"/>
      <c r="K13" s="67"/>
      <c r="L13" s="304"/>
      <c r="M13" s="307"/>
      <c r="N13" s="98"/>
    </row>
    <row r="14" spans="2:14" s="1" customFormat="1" ht="30" customHeight="1" thickBot="1" x14ac:dyDescent="0.25">
      <c r="B14" s="291"/>
      <c r="C14" s="294"/>
      <c r="D14" s="288"/>
      <c r="E14" s="191" t="s">
        <v>108</v>
      </c>
      <c r="F14" s="76"/>
      <c r="G14" s="69"/>
      <c r="H14" s="77"/>
      <c r="I14" s="78"/>
      <c r="J14" s="79"/>
      <c r="K14" s="93"/>
      <c r="L14" s="305"/>
      <c r="M14" s="308"/>
      <c r="N14" s="99"/>
    </row>
    <row r="15" spans="2:14" s="1" customFormat="1" ht="9.9499999999999993" customHeight="1" thickBot="1" x14ac:dyDescent="0.25"/>
    <row r="16" spans="2:14" s="1" customFormat="1" ht="30" customHeight="1" x14ac:dyDescent="0.2">
      <c r="B16" s="289">
        <v>3</v>
      </c>
      <c r="C16" s="292"/>
      <c r="D16" s="286"/>
      <c r="E16" s="234" t="s">
        <v>107</v>
      </c>
      <c r="F16" s="70"/>
      <c r="G16" s="68"/>
      <c r="H16" s="71"/>
      <c r="I16" s="72"/>
      <c r="J16" s="73"/>
      <c r="K16" s="92"/>
      <c r="L16" s="303" t="str">
        <f>IF(AND(J16="",J17="",J18=""),"",IF(AND(J16&lt;&gt;"",OR(J17="",J18="")),"APORTAR DOS OFERTAS ALTERNATIVAS O INFORME JUSTIFICATIVO",IF(D16&lt;=MIN(J16:J18),"","INSERTAR INFORME JUSTIFICATIVO")))</f>
        <v/>
      </c>
      <c r="M16" s="306"/>
      <c r="N16" s="97"/>
    </row>
    <row r="17" spans="2:14" s="1" customFormat="1" ht="30" customHeight="1" x14ac:dyDescent="0.2">
      <c r="B17" s="290"/>
      <c r="C17" s="293"/>
      <c r="D17" s="287"/>
      <c r="E17" s="190" t="s">
        <v>108</v>
      </c>
      <c r="F17" s="74"/>
      <c r="G17" s="15"/>
      <c r="H17" s="16"/>
      <c r="I17" s="75"/>
      <c r="J17" s="17"/>
      <c r="K17" s="67"/>
      <c r="L17" s="304"/>
      <c r="M17" s="307"/>
      <c r="N17" s="98"/>
    </row>
    <row r="18" spans="2:14" s="1" customFormat="1" ht="30" customHeight="1" thickBot="1" x14ac:dyDescent="0.25">
      <c r="B18" s="291"/>
      <c r="C18" s="294"/>
      <c r="D18" s="288"/>
      <c r="E18" s="191" t="s">
        <v>108</v>
      </c>
      <c r="F18" s="76"/>
      <c r="G18" s="69"/>
      <c r="H18" s="77"/>
      <c r="I18" s="78"/>
      <c r="J18" s="79"/>
      <c r="K18" s="93"/>
      <c r="L18" s="305"/>
      <c r="M18" s="308"/>
      <c r="N18" s="99"/>
    </row>
    <row r="19" spans="2:14" s="1" customFormat="1" ht="9.9499999999999993" customHeight="1" thickBot="1" x14ac:dyDescent="0.25"/>
    <row r="20" spans="2:14" s="1" customFormat="1" ht="30" customHeight="1" x14ac:dyDescent="0.2">
      <c r="B20" s="289">
        <v>4</v>
      </c>
      <c r="C20" s="292"/>
      <c r="D20" s="286"/>
      <c r="E20" s="189" t="s">
        <v>107</v>
      </c>
      <c r="F20" s="70"/>
      <c r="G20" s="68"/>
      <c r="H20" s="71"/>
      <c r="I20" s="72"/>
      <c r="J20" s="73"/>
      <c r="K20" s="92"/>
      <c r="L20" s="303" t="str">
        <f>IF(AND(J20="",J21="",J22=""),"",IF(AND(J20&lt;&gt;"",OR(J21="",J22="")),"APORTAR DOS OFERTAS ALTERNATIVAS O INFORME JUSTIFICATIVO",IF(D20&lt;=MIN(J20:J22),"","INSERTAR INFORME JUSTIFICATIVO")))</f>
        <v/>
      </c>
      <c r="M20" s="306"/>
      <c r="N20" s="97"/>
    </row>
    <row r="21" spans="2:14" s="1" customFormat="1" ht="30" customHeight="1" x14ac:dyDescent="0.2">
      <c r="B21" s="290"/>
      <c r="C21" s="293"/>
      <c r="D21" s="287"/>
      <c r="E21" s="190" t="s">
        <v>108</v>
      </c>
      <c r="F21" s="74"/>
      <c r="G21" s="15"/>
      <c r="H21" s="16"/>
      <c r="I21" s="75"/>
      <c r="J21" s="17"/>
      <c r="K21" s="67"/>
      <c r="L21" s="304"/>
      <c r="M21" s="307"/>
      <c r="N21" s="98"/>
    </row>
    <row r="22" spans="2:14" s="1" customFormat="1" ht="30" customHeight="1" thickBot="1" x14ac:dyDescent="0.25">
      <c r="B22" s="291"/>
      <c r="C22" s="294"/>
      <c r="D22" s="288"/>
      <c r="E22" s="191" t="s">
        <v>108</v>
      </c>
      <c r="F22" s="76"/>
      <c r="G22" s="69"/>
      <c r="H22" s="77"/>
      <c r="I22" s="78"/>
      <c r="J22" s="79"/>
      <c r="K22" s="93"/>
      <c r="L22" s="305"/>
      <c r="M22" s="308"/>
      <c r="N22" s="99"/>
    </row>
    <row r="23" spans="2:14" s="1" customFormat="1" ht="9.9499999999999993" customHeight="1" thickBot="1" x14ac:dyDescent="0.25"/>
    <row r="24" spans="2:14" s="1" customFormat="1" ht="30" customHeight="1" x14ac:dyDescent="0.2">
      <c r="B24" s="289">
        <v>5</v>
      </c>
      <c r="C24" s="292"/>
      <c r="D24" s="286"/>
      <c r="E24" s="234" t="s">
        <v>107</v>
      </c>
      <c r="F24" s="70"/>
      <c r="G24" s="68"/>
      <c r="H24" s="71"/>
      <c r="I24" s="72"/>
      <c r="J24" s="73"/>
      <c r="K24" s="92"/>
      <c r="L24" s="303" t="str">
        <f>IF(AND(J24="",J25="",J26=""),"",IF(AND(J24&lt;&gt;"",OR(J25="",J26="")),"APORTAR DOS OFERTAS ALTERNATIVAS O INFORME JUSTIFICATIVO",IF(D24&lt;=MIN(J24:J26),"","INSERTAR INFORME JUSTIFICATIVO")))</f>
        <v/>
      </c>
      <c r="M24" s="306"/>
      <c r="N24" s="97"/>
    </row>
    <row r="25" spans="2:14" s="1" customFormat="1" ht="30" customHeight="1" x14ac:dyDescent="0.2">
      <c r="B25" s="290"/>
      <c r="C25" s="293"/>
      <c r="D25" s="287"/>
      <c r="E25" s="190" t="s">
        <v>108</v>
      </c>
      <c r="F25" s="74"/>
      <c r="G25" s="15"/>
      <c r="H25" s="16"/>
      <c r="I25" s="75"/>
      <c r="J25" s="17"/>
      <c r="K25" s="67"/>
      <c r="L25" s="304"/>
      <c r="M25" s="307"/>
      <c r="N25" s="98"/>
    </row>
    <row r="26" spans="2:14" s="1" customFormat="1" ht="30" customHeight="1" thickBot="1" x14ac:dyDescent="0.25">
      <c r="B26" s="291"/>
      <c r="C26" s="294"/>
      <c r="D26" s="288"/>
      <c r="E26" s="191" t="s">
        <v>108</v>
      </c>
      <c r="F26" s="76"/>
      <c r="G26" s="69"/>
      <c r="H26" s="77"/>
      <c r="I26" s="78"/>
      <c r="J26" s="79"/>
      <c r="K26" s="93"/>
      <c r="L26" s="305"/>
      <c r="M26" s="308"/>
      <c r="N26" s="99"/>
    </row>
    <row r="27" spans="2:14" s="1" customFormat="1" ht="9.9499999999999993" customHeight="1" thickBot="1" x14ac:dyDescent="0.25"/>
    <row r="28" spans="2:14" s="1" customFormat="1" ht="30" customHeight="1" x14ac:dyDescent="0.2">
      <c r="B28" s="289">
        <v>6</v>
      </c>
      <c r="C28" s="292"/>
      <c r="D28" s="286"/>
      <c r="E28" s="234" t="s">
        <v>107</v>
      </c>
      <c r="F28" s="70"/>
      <c r="G28" s="68"/>
      <c r="H28" s="71"/>
      <c r="I28" s="72"/>
      <c r="J28" s="73"/>
      <c r="K28" s="92"/>
      <c r="L28" s="303" t="str">
        <f>IF(AND(J28="",J29="",J30=""),"",IF(AND(J28&lt;&gt;"",OR(J29="",J30="")),"APORTAR DOS OFERTAS ALTERNATIVAS O INFORME JUSTIFICATIVO",IF(D28&lt;=MIN(J28:J30),"","INSERTAR INFORME JUSTIFICATIVO")))</f>
        <v/>
      </c>
      <c r="M28" s="306"/>
      <c r="N28" s="97"/>
    </row>
    <row r="29" spans="2:14" s="1" customFormat="1" ht="30" customHeight="1" x14ac:dyDescent="0.2">
      <c r="B29" s="290"/>
      <c r="C29" s="293"/>
      <c r="D29" s="287"/>
      <c r="E29" s="190" t="s">
        <v>108</v>
      </c>
      <c r="F29" s="74"/>
      <c r="G29" s="15"/>
      <c r="H29" s="16"/>
      <c r="I29" s="75"/>
      <c r="J29" s="17"/>
      <c r="K29" s="67"/>
      <c r="L29" s="304"/>
      <c r="M29" s="307"/>
      <c r="N29" s="98"/>
    </row>
    <row r="30" spans="2:14" s="1" customFormat="1" ht="30" customHeight="1" thickBot="1" x14ac:dyDescent="0.25">
      <c r="B30" s="291"/>
      <c r="C30" s="294"/>
      <c r="D30" s="288"/>
      <c r="E30" s="191" t="s">
        <v>108</v>
      </c>
      <c r="F30" s="76"/>
      <c r="G30" s="69"/>
      <c r="H30" s="77"/>
      <c r="I30" s="78"/>
      <c r="J30" s="79"/>
      <c r="K30" s="93"/>
      <c r="L30" s="305"/>
      <c r="M30" s="308"/>
      <c r="N30" s="99"/>
    </row>
    <row r="31" spans="2:14" s="1" customFormat="1" ht="9.9499999999999993" customHeight="1" thickBot="1" x14ac:dyDescent="0.25"/>
    <row r="32" spans="2:14" s="1" customFormat="1" ht="30" customHeight="1" x14ac:dyDescent="0.2">
      <c r="B32" s="289">
        <v>7</v>
      </c>
      <c r="C32" s="292"/>
      <c r="D32" s="286"/>
      <c r="E32" s="234" t="s">
        <v>107</v>
      </c>
      <c r="F32" s="70"/>
      <c r="G32" s="68"/>
      <c r="H32" s="71"/>
      <c r="I32" s="72"/>
      <c r="J32" s="73"/>
      <c r="K32" s="92"/>
      <c r="L32" s="303" t="str">
        <f>IF(AND(J32="",J33="",J34=""),"",IF(AND(J32&lt;&gt;"",OR(J33="",J34="")),"APORTAR DOS OFERTAS ALTERNATIVAS O INFORME JUSTIFICATIVO",IF(D32&lt;=MIN(J32:J34),"","INSERTAR INFORME JUSTIFICATIVO")))</f>
        <v/>
      </c>
      <c r="M32" s="306"/>
      <c r="N32" s="97"/>
    </row>
    <row r="33" spans="2:14" s="1" customFormat="1" ht="30" customHeight="1" x14ac:dyDescent="0.2">
      <c r="B33" s="290"/>
      <c r="C33" s="293"/>
      <c r="D33" s="287"/>
      <c r="E33" s="190" t="s">
        <v>108</v>
      </c>
      <c r="F33" s="74"/>
      <c r="G33" s="15"/>
      <c r="H33" s="16"/>
      <c r="I33" s="75"/>
      <c r="J33" s="17"/>
      <c r="K33" s="67"/>
      <c r="L33" s="304"/>
      <c r="M33" s="307"/>
      <c r="N33" s="98"/>
    </row>
    <row r="34" spans="2:14" s="1" customFormat="1" ht="30" customHeight="1" thickBot="1" x14ac:dyDescent="0.25">
      <c r="B34" s="291"/>
      <c r="C34" s="294"/>
      <c r="D34" s="288"/>
      <c r="E34" s="191" t="s">
        <v>108</v>
      </c>
      <c r="F34" s="76"/>
      <c r="G34" s="69"/>
      <c r="H34" s="77"/>
      <c r="I34" s="78"/>
      <c r="J34" s="79"/>
      <c r="K34" s="93"/>
      <c r="L34" s="305"/>
      <c r="M34" s="308"/>
      <c r="N34" s="99"/>
    </row>
    <row r="35" spans="2:14" s="1" customFormat="1" ht="9.9499999999999993" customHeight="1" thickBot="1" x14ac:dyDescent="0.25"/>
    <row r="36" spans="2:14" s="1" customFormat="1" ht="30" customHeight="1" x14ac:dyDescent="0.2">
      <c r="B36" s="289">
        <v>8</v>
      </c>
      <c r="C36" s="292"/>
      <c r="D36" s="286"/>
      <c r="E36" s="189" t="s">
        <v>107</v>
      </c>
      <c r="F36" s="70"/>
      <c r="G36" s="68"/>
      <c r="H36" s="71"/>
      <c r="I36" s="72"/>
      <c r="J36" s="73"/>
      <c r="K36" s="92"/>
      <c r="L36" s="303" t="str">
        <f>IF(AND(J36="",J37="",J38=""),"",IF(AND(J36&lt;&gt;"",OR(J37="",J38="")),"APORTAR DOS OFERTAS ALTERNATIVAS O INFORME JUSTIFICATIVO",IF(D36&lt;=MIN(J36:J38),"","INSERTAR INFORME JUSTIFICATIVO")))</f>
        <v/>
      </c>
      <c r="M36" s="306"/>
      <c r="N36" s="97"/>
    </row>
    <row r="37" spans="2:14" s="1" customFormat="1" ht="30" customHeight="1" x14ac:dyDescent="0.2">
      <c r="B37" s="290"/>
      <c r="C37" s="293"/>
      <c r="D37" s="287"/>
      <c r="E37" s="190" t="s">
        <v>108</v>
      </c>
      <c r="F37" s="74"/>
      <c r="G37" s="15"/>
      <c r="H37" s="16"/>
      <c r="I37" s="75"/>
      <c r="J37" s="17"/>
      <c r="K37" s="67"/>
      <c r="L37" s="304"/>
      <c r="M37" s="307"/>
      <c r="N37" s="98"/>
    </row>
    <row r="38" spans="2:14" s="1" customFormat="1" ht="30" customHeight="1" thickBot="1" x14ac:dyDescent="0.25">
      <c r="B38" s="291"/>
      <c r="C38" s="294"/>
      <c r="D38" s="288"/>
      <c r="E38" s="191" t="s">
        <v>108</v>
      </c>
      <c r="F38" s="76"/>
      <c r="G38" s="69"/>
      <c r="H38" s="77"/>
      <c r="I38" s="78"/>
      <c r="J38" s="79"/>
      <c r="K38" s="93"/>
      <c r="L38" s="305"/>
      <c r="M38" s="308"/>
      <c r="N38" s="99"/>
    </row>
    <row r="39" spans="2:14" s="1" customFormat="1" ht="9.9499999999999993" customHeight="1" thickBot="1" x14ac:dyDescent="0.25"/>
    <row r="40" spans="2:14" s="1" customFormat="1" ht="30" customHeight="1" x14ac:dyDescent="0.2">
      <c r="B40" s="289">
        <v>9</v>
      </c>
      <c r="C40" s="292"/>
      <c r="D40" s="286"/>
      <c r="E40" s="234" t="s">
        <v>107</v>
      </c>
      <c r="F40" s="70"/>
      <c r="G40" s="68"/>
      <c r="H40" s="71"/>
      <c r="I40" s="72"/>
      <c r="J40" s="73"/>
      <c r="K40" s="92"/>
      <c r="L40" s="303" t="str">
        <f>IF(AND(J40="",J41="",J42=""),"",IF(AND(J40&lt;&gt;"",OR(J41="",J42="")),"APORTAR DOS OFERTAS ALTERNATIVAS O INFORME JUSTIFICATIVO",IF(D40&lt;=MIN(J40:J42),"","INSERTAR INFORME JUSTIFICATIVO")))</f>
        <v/>
      </c>
      <c r="M40" s="306"/>
      <c r="N40" s="97"/>
    </row>
    <row r="41" spans="2:14" s="1" customFormat="1" ht="30" customHeight="1" x14ac:dyDescent="0.2">
      <c r="B41" s="290"/>
      <c r="C41" s="293"/>
      <c r="D41" s="287"/>
      <c r="E41" s="190" t="s">
        <v>108</v>
      </c>
      <c r="F41" s="74"/>
      <c r="G41" s="15"/>
      <c r="H41" s="16"/>
      <c r="I41" s="75"/>
      <c r="J41" s="17"/>
      <c r="K41" s="67"/>
      <c r="L41" s="304"/>
      <c r="M41" s="307"/>
      <c r="N41" s="98"/>
    </row>
    <row r="42" spans="2:14" s="1" customFormat="1" ht="30" customHeight="1" thickBot="1" x14ac:dyDescent="0.25">
      <c r="B42" s="291"/>
      <c r="C42" s="294"/>
      <c r="D42" s="288"/>
      <c r="E42" s="191" t="s">
        <v>108</v>
      </c>
      <c r="F42" s="76"/>
      <c r="G42" s="69"/>
      <c r="H42" s="77"/>
      <c r="I42" s="78"/>
      <c r="J42" s="79"/>
      <c r="K42" s="93"/>
      <c r="L42" s="305"/>
      <c r="M42" s="308"/>
      <c r="N42" s="99"/>
    </row>
    <row r="43" spans="2:14" s="1" customFormat="1" ht="9.9499999999999993" customHeight="1" thickBot="1" x14ac:dyDescent="0.25"/>
    <row r="44" spans="2:14" s="1" customFormat="1" ht="30" customHeight="1" x14ac:dyDescent="0.2">
      <c r="B44" s="289">
        <v>10</v>
      </c>
      <c r="C44" s="292"/>
      <c r="D44" s="286"/>
      <c r="E44" s="234" t="s">
        <v>107</v>
      </c>
      <c r="F44" s="70"/>
      <c r="G44" s="68"/>
      <c r="H44" s="71"/>
      <c r="I44" s="72"/>
      <c r="J44" s="73"/>
      <c r="K44" s="92"/>
      <c r="L44" s="303" t="str">
        <f>IF(AND(J44="",J45="",J46=""),"",IF(AND(J44&lt;&gt;"",OR(J45="",J46="")),"APORTAR DOS OFERTAS ALTERNATIVAS O INFORME JUSTIFICATIVO",IF(D44&lt;=MIN(J44:J46),"","INSERTAR INFORME JUSTIFICATIVO")))</f>
        <v/>
      </c>
      <c r="M44" s="306"/>
      <c r="N44" s="97"/>
    </row>
    <row r="45" spans="2:14" s="1" customFormat="1" ht="30" customHeight="1" x14ac:dyDescent="0.2">
      <c r="B45" s="290"/>
      <c r="C45" s="293"/>
      <c r="D45" s="287"/>
      <c r="E45" s="190" t="s">
        <v>108</v>
      </c>
      <c r="F45" s="74"/>
      <c r="G45" s="15"/>
      <c r="H45" s="16"/>
      <c r="I45" s="75"/>
      <c r="J45" s="17"/>
      <c r="K45" s="67"/>
      <c r="L45" s="304"/>
      <c r="M45" s="307"/>
      <c r="N45" s="98"/>
    </row>
    <row r="46" spans="2:14" s="1" customFormat="1" ht="30" customHeight="1" thickBot="1" x14ac:dyDescent="0.25">
      <c r="B46" s="291"/>
      <c r="C46" s="294"/>
      <c r="D46" s="288"/>
      <c r="E46" s="191" t="s">
        <v>108</v>
      </c>
      <c r="F46" s="76"/>
      <c r="G46" s="69"/>
      <c r="H46" s="77"/>
      <c r="I46" s="78"/>
      <c r="J46" s="79"/>
      <c r="K46" s="93"/>
      <c r="L46" s="305"/>
      <c r="M46" s="308"/>
      <c r="N46" s="99"/>
    </row>
    <row r="47" spans="2:14" s="1" customFormat="1" ht="9.9499999999999993" customHeight="1" x14ac:dyDescent="0.2"/>
  </sheetData>
  <sheetProtection algorithmName="SHA-512" hashValue="RwjKPj6jVvknM7M9NxYGfyufmxUotSwX2QXV/3jdJqGA+Du50GhgRZoMG/y8Lb/zlB5ThFAF0KcB2TzRr2aSEg==" saltValue="huV1kGLcRkiE1luCKXTOaQ==" spinCount="100000" sheet="1" selectLockedCells="1"/>
  <mergeCells count="60">
    <mergeCell ref="L36:L38"/>
    <mergeCell ref="M36:M38"/>
    <mergeCell ref="L40:L42"/>
    <mergeCell ref="M40:M42"/>
    <mergeCell ref="L44:L46"/>
    <mergeCell ref="M44:M46"/>
    <mergeCell ref="L24:L26"/>
    <mergeCell ref="M24:M26"/>
    <mergeCell ref="L28:L30"/>
    <mergeCell ref="M28:M30"/>
    <mergeCell ref="L32:L34"/>
    <mergeCell ref="M32:M34"/>
    <mergeCell ref="M12:M14"/>
    <mergeCell ref="L16:L18"/>
    <mergeCell ref="M16:M18"/>
    <mergeCell ref="L20:L22"/>
    <mergeCell ref="M20:M22"/>
    <mergeCell ref="L12:L14"/>
    <mergeCell ref="D3:E3"/>
    <mergeCell ref="D5:D6"/>
    <mergeCell ref="L5:M6"/>
    <mergeCell ref="L8:L10"/>
    <mergeCell ref="M8:M10"/>
    <mergeCell ref="B20:B22"/>
    <mergeCell ref="C20:C22"/>
    <mergeCell ref="B24:B26"/>
    <mergeCell ref="C24:C26"/>
    <mergeCell ref="D20:D22"/>
    <mergeCell ref="D24:D26"/>
    <mergeCell ref="D28:D30"/>
    <mergeCell ref="D32:D34"/>
    <mergeCell ref="B44:B46"/>
    <mergeCell ref="C44:C46"/>
    <mergeCell ref="B36:B38"/>
    <mergeCell ref="C36:C38"/>
    <mergeCell ref="B40:B42"/>
    <mergeCell ref="C40:C42"/>
    <mergeCell ref="D36:D38"/>
    <mergeCell ref="D40:D42"/>
    <mergeCell ref="D44:D46"/>
    <mergeCell ref="B28:B30"/>
    <mergeCell ref="C28:C30"/>
    <mergeCell ref="B32:B34"/>
    <mergeCell ref="C32:C34"/>
    <mergeCell ref="B1:N1"/>
    <mergeCell ref="N5:N6"/>
    <mergeCell ref="D12:D14"/>
    <mergeCell ref="D16:D18"/>
    <mergeCell ref="E6:F6"/>
    <mergeCell ref="K5:K6"/>
    <mergeCell ref="B12:B14"/>
    <mergeCell ref="C12:C14"/>
    <mergeCell ref="B16:B18"/>
    <mergeCell ref="C16:C18"/>
    <mergeCell ref="B8:B10"/>
    <mergeCell ref="C8:C10"/>
    <mergeCell ref="E5:J5"/>
    <mergeCell ref="D8:D10"/>
    <mergeCell ref="B5:B6"/>
    <mergeCell ref="C5:C6"/>
  </mergeCells>
  <phoneticPr fontId="12" type="noConversion"/>
  <conditionalFormatting sqref="L8:L10">
    <cfRule type="cellIs" dxfId="56" priority="35" operator="notEqual">
      <formula>""</formula>
    </cfRule>
  </conditionalFormatting>
  <conditionalFormatting sqref="L12:L14">
    <cfRule type="cellIs" dxfId="55" priority="33" operator="notEqual">
      <formula>""</formula>
    </cfRule>
  </conditionalFormatting>
  <conditionalFormatting sqref="L16:L18">
    <cfRule type="cellIs" dxfId="54" priority="15" operator="notEqual">
      <formula>""</formula>
    </cfRule>
  </conditionalFormatting>
  <conditionalFormatting sqref="L20:L22">
    <cfRule type="cellIs" dxfId="53" priority="13" operator="notEqual">
      <formula>""</formula>
    </cfRule>
  </conditionalFormatting>
  <conditionalFormatting sqref="L24:L26">
    <cfRule type="cellIs" dxfId="52" priority="11" operator="notEqual">
      <formula>""</formula>
    </cfRule>
  </conditionalFormatting>
  <conditionalFormatting sqref="L28:L30">
    <cfRule type="cellIs" dxfId="51" priority="9" operator="notEqual">
      <formula>""</formula>
    </cfRule>
  </conditionalFormatting>
  <conditionalFormatting sqref="L32:L34">
    <cfRule type="cellIs" dxfId="50" priority="7" operator="notEqual">
      <formula>""</formula>
    </cfRule>
  </conditionalFormatting>
  <conditionalFormatting sqref="L36:L38">
    <cfRule type="cellIs" dxfId="49" priority="5" operator="notEqual">
      <formula>""</formula>
    </cfRule>
  </conditionalFormatting>
  <conditionalFormatting sqref="L40:L42">
    <cfRule type="cellIs" dxfId="48" priority="3" operator="notEqual">
      <formula>""</formula>
    </cfRule>
  </conditionalFormatting>
  <conditionalFormatting sqref="L44:L46">
    <cfRule type="cellIs" dxfId="47" priority="1" operator="notEqual">
      <formula>""</formula>
    </cfRule>
  </conditionalFormatting>
  <conditionalFormatting sqref="M8">
    <cfRule type="cellIs" dxfId="46" priority="54" operator="equal">
      <formula>"INSERTAR INFORME JUSTIFICATIVO"</formula>
    </cfRule>
  </conditionalFormatting>
  <conditionalFormatting sqref="M12">
    <cfRule type="cellIs" dxfId="45" priority="34" operator="equal">
      <formula>"INSERTAR INFORME JUSTIFICATIVO"</formula>
    </cfRule>
  </conditionalFormatting>
  <conditionalFormatting sqref="M16">
    <cfRule type="cellIs" dxfId="44" priority="16" operator="equal">
      <formula>"INSERTAR INFORME JUSTIFICATIVO"</formula>
    </cfRule>
  </conditionalFormatting>
  <conditionalFormatting sqref="M20">
    <cfRule type="cellIs" dxfId="43" priority="14" operator="equal">
      <formula>"INSERTAR INFORME JUSTIFICATIVO"</formula>
    </cfRule>
  </conditionalFormatting>
  <conditionalFormatting sqref="M24">
    <cfRule type="cellIs" dxfId="42" priority="12" operator="equal">
      <formula>"INSERTAR INFORME JUSTIFICATIVO"</formula>
    </cfRule>
  </conditionalFormatting>
  <conditionalFormatting sqref="M28">
    <cfRule type="cellIs" dxfId="41" priority="10" operator="equal">
      <formula>"INSERTAR INFORME JUSTIFICATIVO"</formula>
    </cfRule>
  </conditionalFormatting>
  <conditionalFormatting sqref="M32">
    <cfRule type="cellIs" dxfId="40" priority="8" operator="equal">
      <formula>"INSERTAR INFORME JUSTIFICATIVO"</formula>
    </cfRule>
  </conditionalFormatting>
  <conditionalFormatting sqref="M36">
    <cfRule type="cellIs" dxfId="39" priority="6" operator="equal">
      <formula>"INSERTAR INFORME JUSTIFICATIVO"</formula>
    </cfRule>
  </conditionalFormatting>
  <conditionalFormatting sqref="M40">
    <cfRule type="cellIs" dxfId="38" priority="4" operator="equal">
      <formula>"INSERTAR INFORME JUSTIFICATIVO"</formula>
    </cfRule>
  </conditionalFormatting>
  <conditionalFormatting sqref="M44">
    <cfRule type="cellIs" dxfId="37" priority="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50" firstPageNumber="0" orientation="landscape"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Z47"/>
  <sheetViews>
    <sheetView showGridLines="0" zoomScaleNormal="100" workbookViewId="0"/>
  </sheetViews>
  <sheetFormatPr baseColWidth="10" defaultColWidth="11.42578125" defaultRowHeight="13.5" x14ac:dyDescent="0.2"/>
  <cols>
    <col min="1" max="1" width="1.7109375" style="1" customWidth="1"/>
    <col min="2" max="2" width="5.7109375" style="1" hidden="1" customWidth="1"/>
    <col min="3" max="3" width="5.7109375" style="4" hidden="1" customWidth="1"/>
    <col min="4" max="5" width="15.7109375" style="1" customWidth="1"/>
    <col min="6" max="6" width="30.7109375" style="1" customWidth="1"/>
    <col min="7" max="8" width="10.7109375" style="4" customWidth="1"/>
    <col min="9" max="9" width="11.42578125" style="4"/>
    <col min="10" max="10" width="10.7109375" style="4" hidden="1" customWidth="1"/>
    <col min="11" max="12" width="10.7109375" style="4" customWidth="1"/>
    <col min="13" max="13" width="11.42578125" style="4"/>
    <col min="14" max="15" width="10.7109375" style="4" hidden="1" customWidth="1"/>
    <col min="16" max="16" width="11.42578125" style="4"/>
    <col min="17" max="17" width="11.42578125" style="3"/>
    <col min="18" max="18" width="9.7109375" style="3" customWidth="1"/>
    <col min="19" max="19" width="11.42578125" style="3"/>
    <col min="20" max="20" width="11.42578125" style="4"/>
    <col min="21" max="22" width="12.7109375" style="4" customWidth="1"/>
    <col min="23" max="24" width="11.42578125" style="4"/>
    <col min="25" max="25" width="85.140625" style="1" customWidth="1"/>
    <col min="26" max="26" width="11.5703125" customWidth="1"/>
    <col min="27" max="16384" width="11.42578125" style="1"/>
  </cols>
  <sheetData>
    <row r="1" spans="2:25" x14ac:dyDescent="0.2">
      <c r="C1" s="4" t="str">
        <f>IF(EXPEDIENTE!A1=0,"",EXPEDIENTE!A1)</f>
        <v/>
      </c>
    </row>
    <row r="2" spans="2:25" ht="14.25" thickBot="1" x14ac:dyDescent="0.25"/>
    <row r="3" spans="2:25" ht="13.5" customHeight="1" x14ac:dyDescent="0.2">
      <c r="D3" s="342" t="s">
        <v>65</v>
      </c>
      <c r="E3" s="343"/>
      <c r="F3" s="344"/>
      <c r="G3" s="350" t="s">
        <v>70</v>
      </c>
      <c r="H3" s="351"/>
      <c r="I3" s="352"/>
      <c r="J3" s="353" t="s">
        <v>68</v>
      </c>
      <c r="K3" s="350" t="s">
        <v>71</v>
      </c>
      <c r="L3" s="351"/>
      <c r="M3" s="352"/>
      <c r="N3" s="331" t="s">
        <v>69</v>
      </c>
      <c r="O3" s="334" t="s">
        <v>99</v>
      </c>
      <c r="P3" s="324" t="s">
        <v>61</v>
      </c>
      <c r="Q3" s="337" t="s">
        <v>176</v>
      </c>
      <c r="R3" s="338"/>
      <c r="S3" s="338"/>
      <c r="T3" s="339"/>
      <c r="U3" s="318" t="s">
        <v>64</v>
      </c>
      <c r="V3" s="319"/>
      <c r="W3" s="309" t="s">
        <v>63</v>
      </c>
      <c r="X3" s="312" t="s">
        <v>58</v>
      </c>
      <c r="Y3" s="315" t="s">
        <v>57</v>
      </c>
    </row>
    <row r="4" spans="2:25" ht="13.5" customHeight="1" x14ac:dyDescent="0.2">
      <c r="D4" s="345"/>
      <c r="E4" s="346"/>
      <c r="F4" s="347"/>
      <c r="G4" s="113" t="s">
        <v>66</v>
      </c>
      <c r="H4" s="115" t="s">
        <v>67</v>
      </c>
      <c r="I4" s="348" t="s">
        <v>55</v>
      </c>
      <c r="J4" s="354"/>
      <c r="K4" s="113" t="s">
        <v>66</v>
      </c>
      <c r="L4" s="115" t="s">
        <v>67</v>
      </c>
      <c r="M4" s="348" t="s">
        <v>56</v>
      </c>
      <c r="N4" s="332"/>
      <c r="O4" s="335"/>
      <c r="P4" s="325"/>
      <c r="Q4" s="327" t="s">
        <v>179</v>
      </c>
      <c r="R4" s="340" t="s">
        <v>177</v>
      </c>
      <c r="S4" s="327" t="s">
        <v>178</v>
      </c>
      <c r="T4" s="329" t="s">
        <v>62</v>
      </c>
      <c r="U4" s="320" t="s">
        <v>59</v>
      </c>
      <c r="V4" s="322" t="s">
        <v>60</v>
      </c>
      <c r="W4" s="310"/>
      <c r="X4" s="313"/>
      <c r="Y4" s="316"/>
    </row>
    <row r="5" spans="2:25" s="4" customFormat="1" ht="27.75" thickBot="1" x14ac:dyDescent="0.25">
      <c r="D5" s="19" t="s">
        <v>54</v>
      </c>
      <c r="E5" s="20" t="s">
        <v>51</v>
      </c>
      <c r="F5" s="21" t="s">
        <v>1</v>
      </c>
      <c r="G5" s="114" t="s">
        <v>52</v>
      </c>
      <c r="H5" s="116" t="s">
        <v>52</v>
      </c>
      <c r="I5" s="349"/>
      <c r="J5" s="355"/>
      <c r="K5" s="114" t="s">
        <v>53</v>
      </c>
      <c r="L5" s="116" t="s">
        <v>53</v>
      </c>
      <c r="M5" s="349"/>
      <c r="N5" s="333"/>
      <c r="O5" s="336"/>
      <c r="P5" s="326"/>
      <c r="Q5" s="328"/>
      <c r="R5" s="341"/>
      <c r="S5" s="328"/>
      <c r="T5" s="330"/>
      <c r="U5" s="321"/>
      <c r="V5" s="323"/>
      <c r="W5" s="311"/>
      <c r="X5" s="314"/>
      <c r="Y5" s="317"/>
    </row>
    <row r="6" spans="2:25" ht="39.950000000000003" customHeight="1" x14ac:dyDescent="0.2">
      <c r="B6" s="1">
        <f>IF(Y6&lt;&gt;"",1,0)</f>
        <v>0</v>
      </c>
      <c r="C6" s="4">
        <v>1</v>
      </c>
      <c r="D6" s="22" t="str">
        <f>IF('RELACIÓN DE FACTURAS'!N8="","",'RELACIÓN DE FACTURAS'!N8)</f>
        <v/>
      </c>
      <c r="E6" s="211" t="str">
        <f>IF('RELACIÓN DE FACTURAS'!O8="","",'RELACIÓN DE FACTURAS'!O8)</f>
        <v/>
      </c>
      <c r="F6" s="23" t="str">
        <f>IF('RELACIÓN DE FACTURAS'!Q8="","",'RELACIÓN DE FACTURAS'!Q8)</f>
        <v/>
      </c>
      <c r="G6" s="106" t="str">
        <f>IF(D6="","",IF(AND(D6="NUEVA FACTURA",'RELACIÓN DE FACTURAS'!P8=""),"",IF(AND(D6="NUEVA FACTURA",'RELACIÓN DE FACTURAS'!P8&lt;&gt;""),'RELACIÓN DE FACTURAS'!P8,IF(D6="SEGUNDO PAGO O POSTERIORES",G5,""))))</f>
        <v/>
      </c>
      <c r="H6" s="31"/>
      <c r="I6" s="28" t="str">
        <f>IF(D6="","",IF(J6="","REVISAR",IF(OR(J6&lt;EXPEDIENTE!$F$24,J6&gt;EXPEDIENTE!$F$26),"SI","NO")))</f>
        <v/>
      </c>
      <c r="J6" s="109" t="str">
        <f t="shared" ref="J6:J33" si="0">IF(D6="","",IF(H6&lt;&gt;"",H6,G6))</f>
        <v/>
      </c>
      <c r="K6" s="112" t="str">
        <f>IF(D6="","",IF('RELACIÓN DE FACTURAS'!AE8="","",'RELACIÓN DE FACTURAS'!AE8))</f>
        <v/>
      </c>
      <c r="L6" s="31"/>
      <c r="M6" s="28" t="str">
        <f>IF(D6="","",IF(N6="","REVISAR",IF(OR(N6&lt;EXPEDIENTE!$F$24,N6&gt;EXPEDIENTE!$F$28),"SI","NO")))</f>
        <v/>
      </c>
      <c r="N6" s="175" t="str">
        <f t="shared" ref="N6:N33" si="1">IF(D6="","",IF(L6&lt;&gt;"",L6,K6))</f>
        <v/>
      </c>
      <c r="O6" s="176">
        <f>IF(N6&lt;EXPEDIENTE!$H$24,-1,IF(N6&gt;EXPEDIENTE!$H$28,1,0))</f>
        <v>0</v>
      </c>
      <c r="P6" s="118" t="str">
        <f t="shared" ref="P6:P33" si="2">IF(D6="","",IF(OR(J6="",N6=""),"PDTE",IF(N6-J6&gt;30,"SI","NO")))</f>
        <v/>
      </c>
      <c r="Q6" s="31"/>
      <c r="R6" s="214"/>
      <c r="S6" s="31" t="str">
        <f>IF(OR(Q6="",R6=""),"",IF(P6="SI",DATE(YEAR(Q6),MONTH(Q6),DAY(Q6)+R6),""))</f>
        <v/>
      </c>
      <c r="T6" s="28" t="str">
        <f>IF(D6="","",IF(AND(P6="NO",Q6="",S6=""),"NO",IF(OR(Q6="",R6="",S6=""),"PDTE",IF(S6&lt;N6,"SI","NO"))))</f>
        <v/>
      </c>
      <c r="U6" s="36" t="str">
        <f>IF('RELACIÓN DE FACTURAS'!W8="","",'RELACIÓN DE FACTURAS'!W8)</f>
        <v/>
      </c>
      <c r="V6" s="100" t="str">
        <f>IF('RELACIÓN DE FACTURAS'!X8="","",'RELACIÓN DE FACTURAS'!X8)</f>
        <v/>
      </c>
      <c r="W6" s="33"/>
      <c r="X6" s="103" t="str">
        <f t="shared" ref="X6:X33" si="3">IF(D6="","",IF(AND(I6="NO",M6="NO",T6="NO",W6="NO"),"OK","NO OK"))</f>
        <v/>
      </c>
      <c r="Y6" s="40"/>
    </row>
    <row r="7" spans="2:25" ht="39.950000000000003" customHeight="1" x14ac:dyDescent="0.2">
      <c r="B7" s="1">
        <f>IF(Y7&lt;&gt;"",MAX($B$6:B6)+1,0)</f>
        <v>0</v>
      </c>
      <c r="C7" s="4">
        <v>2</v>
      </c>
      <c r="D7" s="24" t="str">
        <f>IF('RELACIÓN DE FACTURAS'!N9="","",'RELACIÓN DE FACTURAS'!N9)</f>
        <v/>
      </c>
      <c r="E7" s="212" t="str">
        <f>IF(D7="SEGUNDO PAGO O POSTERIORES",E6,IF('RELACIÓN DE FACTURAS'!O9="","",'RELACIÓN DE FACTURAS'!O9))</f>
        <v/>
      </c>
      <c r="F7" s="25" t="str">
        <f>IF(D7="SEGUNDO PAGO O POSTERIORES",F6,IF('RELACIÓN DE FACTURAS'!Q9="","",'RELACIÓN DE FACTURAS'!Q9))</f>
        <v/>
      </c>
      <c r="G7" s="107" t="str">
        <f>IF(D7="","",IF(AND(D7="NUEVA FACTURA",'RELACIÓN DE FACTURAS'!P9=""),"",IF(AND(D7="NUEVA FACTURA",'RELACIÓN DE FACTURAS'!P9&lt;&gt;""),'RELACIÓN DE FACTURAS'!P9,IF(D7="SEGUNDO PAGO O POSTERIORES",G6,""))))</f>
        <v/>
      </c>
      <c r="H7" s="18"/>
      <c r="I7" s="29" t="str">
        <f>IF(D7="","",IF(J7="","REVISAR",IF(OR(J7&lt;EXPEDIENTE!$F$24,J7&gt;EXPEDIENTE!$F$26),"SI","NO")))</f>
        <v/>
      </c>
      <c r="J7" s="110" t="str">
        <f t="shared" si="0"/>
        <v/>
      </c>
      <c r="K7" s="107" t="str">
        <f>IF(D7="","",IF('RELACIÓN DE FACTURAS'!AE9="","",'RELACIÓN DE FACTURAS'!AE9))</f>
        <v/>
      </c>
      <c r="L7" s="18"/>
      <c r="M7" s="29" t="str">
        <f>IF(D7="","",IF(N7="","REVISAR",IF(OR(N7&lt;EXPEDIENTE!$F$24,N7&gt;EXPEDIENTE!$F$28),"SI","NO")))</f>
        <v/>
      </c>
      <c r="N7" s="175" t="str">
        <f t="shared" si="1"/>
        <v/>
      </c>
      <c r="O7" s="176">
        <f>IF(N7&lt;EXPEDIENTE!$H$24,-1,IF(N7&gt;EXPEDIENTE!$H$28,1,0))</f>
        <v>0</v>
      </c>
      <c r="P7" s="177" t="str">
        <f t="shared" si="2"/>
        <v/>
      </c>
      <c r="Q7" s="18"/>
      <c r="R7" s="210"/>
      <c r="S7" s="18" t="str">
        <f>IF(OR(Q7="",R7=""),"",IF(P7="SI",DATE(YEAR(Q7),MONTH(Q7),DAY(Q7)+R7),""))</f>
        <v/>
      </c>
      <c r="T7" s="29" t="str">
        <f t="shared" ref="T7:T33" si="4">IF(D7="","",IF(AND(P7="NO",Q7="",S7=""),"NO",IF(OR(Q7="",R7="",S7=""),"PDTE",IF(S7&lt;N7,"SI","NO"))))</f>
        <v/>
      </c>
      <c r="U7" s="37" t="str">
        <f>IF('RELACIÓN DE FACTURAS'!W9="","",'RELACIÓN DE FACTURAS'!W9)</f>
        <v/>
      </c>
      <c r="V7" s="101" t="str">
        <f>IF('RELACIÓN DE FACTURAS'!X9="","",'RELACIÓN DE FACTURAS'!X9)</f>
        <v/>
      </c>
      <c r="W7" s="34"/>
      <c r="X7" s="104" t="str">
        <f t="shared" si="3"/>
        <v/>
      </c>
      <c r="Y7" s="41"/>
    </row>
    <row r="8" spans="2:25" ht="39.950000000000003" customHeight="1" x14ac:dyDescent="0.2">
      <c r="B8" s="1">
        <f>IF(Y8&lt;&gt;"",MAX($B$6:B7)+1,0)</f>
        <v>0</v>
      </c>
      <c r="C8" s="4">
        <v>3</v>
      </c>
      <c r="D8" s="24" t="str">
        <f>IF('RELACIÓN DE FACTURAS'!N10="","",'RELACIÓN DE FACTURAS'!N10)</f>
        <v/>
      </c>
      <c r="E8" s="212" t="str">
        <f>IF(D8="SEGUNDO PAGO O POSTERIORES",E7,IF('RELACIÓN DE FACTURAS'!O10="","",'RELACIÓN DE FACTURAS'!O10))</f>
        <v/>
      </c>
      <c r="F8" s="25" t="str">
        <f>IF(D8="SEGUNDO PAGO O POSTERIORES",F7,IF('RELACIÓN DE FACTURAS'!Q10="","",'RELACIÓN DE FACTURAS'!Q10))</f>
        <v/>
      </c>
      <c r="G8" s="107" t="str">
        <f>IF(D8="","",IF(AND(D8="NUEVA FACTURA",'RELACIÓN DE FACTURAS'!P10=""),"",IF(AND(D8="NUEVA FACTURA",'RELACIÓN DE FACTURAS'!P10&lt;&gt;""),'RELACIÓN DE FACTURAS'!P10,IF(D8="SEGUNDO PAGO O POSTERIORES",G7,""))))</f>
        <v/>
      </c>
      <c r="H8" s="18"/>
      <c r="I8" s="29" t="str">
        <f>IF(D8="","",IF(J8="","REVISAR",IF(OR(J8&lt;EXPEDIENTE!$F$24,J8&gt;EXPEDIENTE!$F$26),"SI","NO")))</f>
        <v/>
      </c>
      <c r="J8" s="110" t="str">
        <f t="shared" si="0"/>
        <v/>
      </c>
      <c r="K8" s="107" t="str">
        <f>IF(D8="","",IF('RELACIÓN DE FACTURAS'!AE10="","",'RELACIÓN DE FACTURAS'!AE10))</f>
        <v/>
      </c>
      <c r="L8" s="18"/>
      <c r="M8" s="29" t="str">
        <f>IF(D8="","",IF(N8="","REVISAR",IF(OR(N8&lt;EXPEDIENTE!$F$24,N8&gt;EXPEDIENTE!$F$28),"SI","NO")))</f>
        <v/>
      </c>
      <c r="N8" s="175" t="str">
        <f t="shared" si="1"/>
        <v/>
      </c>
      <c r="O8" s="176">
        <f>IF(N8&lt;EXPEDIENTE!$H$24,-1,IF(N8&gt;EXPEDIENTE!$H$28,1,0))</f>
        <v>0</v>
      </c>
      <c r="P8" s="177" t="str">
        <f t="shared" si="2"/>
        <v/>
      </c>
      <c r="Q8" s="18"/>
      <c r="R8" s="210"/>
      <c r="S8" s="18" t="str">
        <f t="shared" ref="S8:S33" si="5">IF(OR(Q8="",R8=""),"",IF(P8="SI",DATE(YEAR(Q8),MONTH(Q8),DAY(Q8)+R8),""))</f>
        <v/>
      </c>
      <c r="T8" s="29" t="str">
        <f t="shared" si="4"/>
        <v/>
      </c>
      <c r="U8" s="37" t="str">
        <f>IF('RELACIÓN DE FACTURAS'!W10="","",'RELACIÓN DE FACTURAS'!W10)</f>
        <v/>
      </c>
      <c r="V8" s="101" t="str">
        <f>IF('RELACIÓN DE FACTURAS'!X10="","",'RELACIÓN DE FACTURAS'!X10)</f>
        <v/>
      </c>
      <c r="W8" s="34"/>
      <c r="X8" s="104" t="str">
        <f t="shared" si="3"/>
        <v/>
      </c>
      <c r="Y8" s="41"/>
    </row>
    <row r="9" spans="2:25" ht="39.950000000000003" customHeight="1" x14ac:dyDescent="0.2">
      <c r="B9" s="1">
        <f>IF(Y9&lt;&gt;"",MAX($B$6:B8)+1,0)</f>
        <v>0</v>
      </c>
      <c r="C9" s="4">
        <v>4</v>
      </c>
      <c r="D9" s="24" t="str">
        <f>IF('RELACIÓN DE FACTURAS'!N11="","",'RELACIÓN DE FACTURAS'!N11)</f>
        <v/>
      </c>
      <c r="E9" s="212" t="str">
        <f>IF(D9="SEGUNDO PAGO O POSTERIORES",E8,IF('RELACIÓN DE FACTURAS'!O11="","",'RELACIÓN DE FACTURAS'!O11))</f>
        <v/>
      </c>
      <c r="F9" s="25" t="str">
        <f>IF(D9="SEGUNDO PAGO O POSTERIORES",F8,IF('RELACIÓN DE FACTURAS'!Q11="","",'RELACIÓN DE FACTURAS'!Q11))</f>
        <v/>
      </c>
      <c r="G9" s="107" t="str">
        <f>IF(D9="","",IF(AND(D9="NUEVA FACTURA",'RELACIÓN DE FACTURAS'!P11=""),"",IF(AND(D9="NUEVA FACTURA",'RELACIÓN DE FACTURAS'!P11&lt;&gt;""),'RELACIÓN DE FACTURAS'!P11,IF(D9="SEGUNDO PAGO O POSTERIORES",G8,""))))</f>
        <v/>
      </c>
      <c r="H9" s="18"/>
      <c r="I9" s="29" t="str">
        <f>IF(D9="","",IF(J9="","REVISAR",IF(OR(J9&lt;EXPEDIENTE!$F$24,J9&gt;EXPEDIENTE!$F$26),"SI","NO")))</f>
        <v/>
      </c>
      <c r="J9" s="110" t="str">
        <f t="shared" si="0"/>
        <v/>
      </c>
      <c r="K9" s="107" t="str">
        <f>IF(D9="","",IF('RELACIÓN DE FACTURAS'!AE11="","",'RELACIÓN DE FACTURAS'!AE11))</f>
        <v/>
      </c>
      <c r="L9" s="18"/>
      <c r="M9" s="29" t="str">
        <f>IF(D9="","",IF(N9="","REVISAR",IF(OR(N9&lt;EXPEDIENTE!$F$24,N9&gt;EXPEDIENTE!$F$28),"SI","NO")))</f>
        <v/>
      </c>
      <c r="N9" s="175" t="str">
        <f t="shared" si="1"/>
        <v/>
      </c>
      <c r="O9" s="176">
        <f>IF(N9&lt;EXPEDIENTE!$H$24,-1,IF(N9&gt;EXPEDIENTE!$H$28,1,0))</f>
        <v>0</v>
      </c>
      <c r="P9" s="177" t="str">
        <f t="shared" si="2"/>
        <v/>
      </c>
      <c r="Q9" s="18"/>
      <c r="R9" s="210"/>
      <c r="S9" s="18" t="str">
        <f t="shared" si="5"/>
        <v/>
      </c>
      <c r="T9" s="29" t="str">
        <f t="shared" si="4"/>
        <v/>
      </c>
      <c r="U9" s="37" t="str">
        <f>IF('RELACIÓN DE FACTURAS'!W11="","",'RELACIÓN DE FACTURAS'!W11)</f>
        <v/>
      </c>
      <c r="V9" s="101" t="str">
        <f>IF('RELACIÓN DE FACTURAS'!X11="","",'RELACIÓN DE FACTURAS'!X11)</f>
        <v/>
      </c>
      <c r="W9" s="34"/>
      <c r="X9" s="104" t="str">
        <f t="shared" si="3"/>
        <v/>
      </c>
      <c r="Y9" s="41"/>
    </row>
    <row r="10" spans="2:25" ht="39.950000000000003" customHeight="1" x14ac:dyDescent="0.2">
      <c r="B10" s="1">
        <f>IF(Y10&lt;&gt;"",MAX($B$6:B9)+1,0)</f>
        <v>0</v>
      </c>
      <c r="C10" s="4">
        <v>5</v>
      </c>
      <c r="D10" s="24" t="str">
        <f>IF('RELACIÓN DE FACTURAS'!N12="","",'RELACIÓN DE FACTURAS'!N12)</f>
        <v/>
      </c>
      <c r="E10" s="212" t="str">
        <f>IF(D10="SEGUNDO PAGO O POSTERIORES",E9,IF('RELACIÓN DE FACTURAS'!O12="","",'RELACIÓN DE FACTURAS'!O12))</f>
        <v/>
      </c>
      <c r="F10" s="25" t="str">
        <f>IF(D10="SEGUNDO PAGO O POSTERIORES",F9,IF('RELACIÓN DE FACTURAS'!Q12="","",'RELACIÓN DE FACTURAS'!Q12))</f>
        <v/>
      </c>
      <c r="G10" s="107" t="str">
        <f>IF(D10="","",IF(AND(D10="NUEVA FACTURA",'RELACIÓN DE FACTURAS'!P12=""),"",IF(AND(D10="NUEVA FACTURA",'RELACIÓN DE FACTURAS'!P12&lt;&gt;""),'RELACIÓN DE FACTURAS'!P12,IF(D10="SEGUNDO PAGO O POSTERIORES",G9,""))))</f>
        <v/>
      </c>
      <c r="H10" s="18"/>
      <c r="I10" s="29" t="str">
        <f>IF(D10="","",IF(J10="","REVISAR",IF(OR(J10&lt;EXPEDIENTE!$F$24,J10&gt;EXPEDIENTE!$F$26),"SI","NO")))</f>
        <v/>
      </c>
      <c r="J10" s="110" t="str">
        <f t="shared" si="0"/>
        <v/>
      </c>
      <c r="K10" s="107" t="str">
        <f>IF(D10="","",IF('RELACIÓN DE FACTURAS'!AE12="","",'RELACIÓN DE FACTURAS'!AE12))</f>
        <v/>
      </c>
      <c r="L10" s="18"/>
      <c r="M10" s="29" t="str">
        <f>IF(D10="","",IF(N10="","REVISAR",IF(OR(N10&lt;EXPEDIENTE!$F$24,N10&gt;EXPEDIENTE!$F$28),"SI","NO")))</f>
        <v/>
      </c>
      <c r="N10" s="175" t="str">
        <f t="shared" si="1"/>
        <v/>
      </c>
      <c r="O10" s="176">
        <f>IF(N10&lt;EXPEDIENTE!$H$24,-1,IF(N10&gt;EXPEDIENTE!$H$28,1,0))</f>
        <v>0</v>
      </c>
      <c r="P10" s="177" t="str">
        <f t="shared" si="2"/>
        <v/>
      </c>
      <c r="Q10" s="18"/>
      <c r="R10" s="210"/>
      <c r="S10" s="18" t="str">
        <f t="shared" si="5"/>
        <v/>
      </c>
      <c r="T10" s="29" t="str">
        <f t="shared" si="4"/>
        <v/>
      </c>
      <c r="U10" s="37" t="str">
        <f>IF('RELACIÓN DE FACTURAS'!W12="","",'RELACIÓN DE FACTURAS'!W12)</f>
        <v/>
      </c>
      <c r="V10" s="101"/>
      <c r="W10" s="34"/>
      <c r="X10" s="104" t="str">
        <f t="shared" si="3"/>
        <v/>
      </c>
      <c r="Y10" s="41"/>
    </row>
    <row r="11" spans="2:25" ht="39.950000000000003" customHeight="1" x14ac:dyDescent="0.2">
      <c r="B11" s="1">
        <f>IF(Y11&lt;&gt;"",MAX($B$6:B10)+1,0)</f>
        <v>0</v>
      </c>
      <c r="C11" s="4">
        <v>6</v>
      </c>
      <c r="D11" s="24" t="str">
        <f>IF('RELACIÓN DE FACTURAS'!N13="","",'RELACIÓN DE FACTURAS'!N13)</f>
        <v/>
      </c>
      <c r="E11" s="212" t="str">
        <f>IF(D11="SEGUNDO PAGO O POSTERIORES",E10,IF('RELACIÓN DE FACTURAS'!O13="","",'RELACIÓN DE FACTURAS'!O13))</f>
        <v/>
      </c>
      <c r="F11" s="25" t="str">
        <f>IF(D11="SEGUNDO PAGO O POSTERIORES",F10,IF('RELACIÓN DE FACTURAS'!Q13="","",'RELACIÓN DE FACTURAS'!Q13))</f>
        <v/>
      </c>
      <c r="G11" s="107" t="str">
        <f>IF(D11="","",IF(AND(D11="NUEVA FACTURA",'RELACIÓN DE FACTURAS'!P13=""),"",IF(AND(D11="NUEVA FACTURA",'RELACIÓN DE FACTURAS'!P13&lt;&gt;""),'RELACIÓN DE FACTURAS'!P13,IF(D11="SEGUNDO PAGO O POSTERIORES",G10,""))))</f>
        <v/>
      </c>
      <c r="H11" s="18"/>
      <c r="I11" s="29" t="str">
        <f>IF(D11="","",IF(J11="","REVISAR",IF(OR(J11&lt;EXPEDIENTE!$F$24,J11&gt;EXPEDIENTE!$F$26),"SI","NO")))</f>
        <v/>
      </c>
      <c r="J11" s="110" t="str">
        <f t="shared" si="0"/>
        <v/>
      </c>
      <c r="K11" s="107" t="str">
        <f>IF(D11="","",IF('RELACIÓN DE FACTURAS'!AE13="","",'RELACIÓN DE FACTURAS'!AE13))</f>
        <v/>
      </c>
      <c r="L11" s="18"/>
      <c r="M11" s="29" t="str">
        <f>IF(D11="","",IF(N11="","REVISAR",IF(OR(N11&lt;EXPEDIENTE!$F$24,N11&gt;EXPEDIENTE!$F$28),"SI","NO")))</f>
        <v/>
      </c>
      <c r="N11" s="175" t="str">
        <f t="shared" si="1"/>
        <v/>
      </c>
      <c r="O11" s="176">
        <f>IF(N11&lt;EXPEDIENTE!$H$24,-1,IF(N11&gt;EXPEDIENTE!$H$28,1,0))</f>
        <v>0</v>
      </c>
      <c r="P11" s="177" t="str">
        <f t="shared" si="2"/>
        <v/>
      </c>
      <c r="Q11" s="18"/>
      <c r="R11" s="210"/>
      <c r="S11" s="18" t="str">
        <f t="shared" si="5"/>
        <v/>
      </c>
      <c r="T11" s="29" t="str">
        <f t="shared" si="4"/>
        <v/>
      </c>
      <c r="U11" s="37" t="str">
        <f>IF('RELACIÓN DE FACTURAS'!W13="","",'RELACIÓN DE FACTURAS'!W13)</f>
        <v/>
      </c>
      <c r="V11" s="101" t="str">
        <f>IF('RELACIÓN DE FACTURAS'!X13="","",'RELACIÓN DE FACTURAS'!X13)</f>
        <v/>
      </c>
      <c r="W11" s="34"/>
      <c r="X11" s="104" t="str">
        <f t="shared" si="3"/>
        <v/>
      </c>
      <c r="Y11" s="41"/>
    </row>
    <row r="12" spans="2:25" ht="39.950000000000003" customHeight="1" x14ac:dyDescent="0.2">
      <c r="B12" s="1">
        <f>IF(Y12&lt;&gt;"",MAX($B$6:B11)+1,0)</f>
        <v>0</v>
      </c>
      <c r="C12" s="4">
        <v>7</v>
      </c>
      <c r="D12" s="24" t="str">
        <f>IF('RELACIÓN DE FACTURAS'!N14="","",'RELACIÓN DE FACTURAS'!N14)</f>
        <v/>
      </c>
      <c r="E12" s="212" t="str">
        <f>IF(D12="SEGUNDO PAGO O POSTERIORES",E11,IF('RELACIÓN DE FACTURAS'!O14="","",'RELACIÓN DE FACTURAS'!O14))</f>
        <v/>
      </c>
      <c r="F12" s="25" t="str">
        <f>IF(D12="SEGUNDO PAGO O POSTERIORES",F11,IF('RELACIÓN DE FACTURAS'!Q14="","",'RELACIÓN DE FACTURAS'!Q14))</f>
        <v/>
      </c>
      <c r="G12" s="107" t="str">
        <f>IF(D12="","",IF(AND(D12="NUEVA FACTURA",'RELACIÓN DE FACTURAS'!P14=""),"",IF(AND(D12="NUEVA FACTURA",'RELACIÓN DE FACTURAS'!P14&lt;&gt;""),'RELACIÓN DE FACTURAS'!P14,IF(D12="SEGUNDO PAGO O POSTERIORES",G11,""))))</f>
        <v/>
      </c>
      <c r="H12" s="18"/>
      <c r="I12" s="29" t="str">
        <f>IF(D12="","",IF(J12="","REVISAR",IF(OR(J12&lt;EXPEDIENTE!$F$24,J12&gt;EXPEDIENTE!$F$26),"SI","NO")))</f>
        <v/>
      </c>
      <c r="J12" s="110" t="str">
        <f t="shared" si="0"/>
        <v/>
      </c>
      <c r="K12" s="107" t="str">
        <f>IF(D12="","",IF('RELACIÓN DE FACTURAS'!AE14="","",'RELACIÓN DE FACTURAS'!AE14))</f>
        <v/>
      </c>
      <c r="L12" s="18"/>
      <c r="M12" s="29" t="str">
        <f>IF(D12="","",IF(N12="","REVISAR",IF(OR(N12&lt;EXPEDIENTE!$F$24,N12&gt;EXPEDIENTE!$F$28),"SI","NO")))</f>
        <v/>
      </c>
      <c r="N12" s="175" t="str">
        <f t="shared" si="1"/>
        <v/>
      </c>
      <c r="O12" s="176">
        <f>IF(N12&lt;EXPEDIENTE!$H$24,-1,IF(N12&gt;EXPEDIENTE!$H$28,1,0))</f>
        <v>0</v>
      </c>
      <c r="P12" s="177" t="str">
        <f t="shared" si="2"/>
        <v/>
      </c>
      <c r="Q12" s="18"/>
      <c r="R12" s="210"/>
      <c r="S12" s="18" t="str">
        <f t="shared" si="5"/>
        <v/>
      </c>
      <c r="T12" s="29" t="str">
        <f t="shared" si="4"/>
        <v/>
      </c>
      <c r="U12" s="37" t="str">
        <f>IF('RELACIÓN DE FACTURAS'!W14="","",'RELACIÓN DE FACTURAS'!W14)</f>
        <v/>
      </c>
      <c r="V12" s="101" t="str">
        <f>IF('RELACIÓN DE FACTURAS'!X14="","",'RELACIÓN DE FACTURAS'!X14)</f>
        <v/>
      </c>
      <c r="W12" s="34"/>
      <c r="X12" s="104" t="str">
        <f t="shared" si="3"/>
        <v/>
      </c>
      <c r="Y12" s="41"/>
    </row>
    <row r="13" spans="2:25" ht="39.950000000000003" customHeight="1" x14ac:dyDescent="0.2">
      <c r="B13" s="1">
        <f>IF(Y13&lt;&gt;"",MAX($B$6:B12)+1,0)</f>
        <v>0</v>
      </c>
      <c r="C13" s="4">
        <v>8</v>
      </c>
      <c r="D13" s="24" t="str">
        <f>IF('RELACIÓN DE FACTURAS'!N15="","",'RELACIÓN DE FACTURAS'!N15)</f>
        <v/>
      </c>
      <c r="E13" s="212" t="str">
        <f>IF(D13="SEGUNDO PAGO O POSTERIORES",E12,IF('RELACIÓN DE FACTURAS'!O15="","",'RELACIÓN DE FACTURAS'!O15))</f>
        <v/>
      </c>
      <c r="F13" s="25" t="str">
        <f>IF(D13="SEGUNDO PAGO O POSTERIORES",F12,IF('RELACIÓN DE FACTURAS'!Q15="","",'RELACIÓN DE FACTURAS'!Q15))</f>
        <v/>
      </c>
      <c r="G13" s="107" t="str">
        <f>IF(D13="","",IF(AND(D13="NUEVA FACTURA",'RELACIÓN DE FACTURAS'!P15=""),"",IF(AND(D13="NUEVA FACTURA",'RELACIÓN DE FACTURAS'!P15&lt;&gt;""),'RELACIÓN DE FACTURAS'!P15,IF(D13="SEGUNDO PAGO O POSTERIORES",G12,""))))</f>
        <v/>
      </c>
      <c r="H13" s="18"/>
      <c r="I13" s="29" t="str">
        <f>IF(D13="","",IF(J13="","REVISAR",IF(OR(J13&lt;EXPEDIENTE!$F$24,J13&gt;EXPEDIENTE!$F$26),"SI","NO")))</f>
        <v/>
      </c>
      <c r="J13" s="110" t="str">
        <f t="shared" si="0"/>
        <v/>
      </c>
      <c r="K13" s="107" t="str">
        <f>IF(D13="","",IF('RELACIÓN DE FACTURAS'!AE15="","",'RELACIÓN DE FACTURAS'!AE15))</f>
        <v/>
      </c>
      <c r="L13" s="18"/>
      <c r="M13" s="29" t="str">
        <f>IF(D13="","",IF(N13="","REVISAR",IF(OR(N13&lt;EXPEDIENTE!$F$24,N13&gt;EXPEDIENTE!$F$28),"SI","NO")))</f>
        <v/>
      </c>
      <c r="N13" s="175" t="str">
        <f t="shared" si="1"/>
        <v/>
      </c>
      <c r="O13" s="176">
        <f>IF(N13&lt;EXPEDIENTE!$H$24,-1,IF(N13&gt;EXPEDIENTE!$H$28,1,0))</f>
        <v>0</v>
      </c>
      <c r="P13" s="177" t="str">
        <f t="shared" si="2"/>
        <v/>
      </c>
      <c r="Q13" s="18"/>
      <c r="R13" s="210"/>
      <c r="S13" s="18" t="str">
        <f t="shared" si="5"/>
        <v/>
      </c>
      <c r="T13" s="29" t="str">
        <f t="shared" si="4"/>
        <v/>
      </c>
      <c r="U13" s="37" t="str">
        <f>IF('RELACIÓN DE FACTURAS'!W15="","",'RELACIÓN DE FACTURAS'!W15)</f>
        <v/>
      </c>
      <c r="V13" s="101" t="str">
        <f>IF('RELACIÓN DE FACTURAS'!X15="","",'RELACIÓN DE FACTURAS'!X15)</f>
        <v/>
      </c>
      <c r="W13" s="34"/>
      <c r="X13" s="104" t="str">
        <f t="shared" si="3"/>
        <v/>
      </c>
      <c r="Y13" s="41"/>
    </row>
    <row r="14" spans="2:25" ht="39.950000000000003" customHeight="1" x14ac:dyDescent="0.2">
      <c r="B14" s="1">
        <f>IF(Y14&lt;&gt;"",MAX($B$6:B13)+1,0)</f>
        <v>0</v>
      </c>
      <c r="C14" s="4">
        <v>9</v>
      </c>
      <c r="D14" s="24" t="str">
        <f>IF('RELACIÓN DE FACTURAS'!N16="","",'RELACIÓN DE FACTURAS'!N16)</f>
        <v/>
      </c>
      <c r="E14" s="212" t="str">
        <f>IF(D14="SEGUNDO PAGO O POSTERIORES",E13,IF('RELACIÓN DE FACTURAS'!O16="","",'RELACIÓN DE FACTURAS'!O16))</f>
        <v/>
      </c>
      <c r="F14" s="25" t="str">
        <f>IF(D14="SEGUNDO PAGO O POSTERIORES",F13,IF('RELACIÓN DE FACTURAS'!Q16="","",'RELACIÓN DE FACTURAS'!Q16))</f>
        <v/>
      </c>
      <c r="G14" s="107" t="str">
        <f>IF(D14="","",IF(AND(D14="NUEVA FACTURA",'RELACIÓN DE FACTURAS'!P16=""),"",IF(AND(D14="NUEVA FACTURA",'RELACIÓN DE FACTURAS'!P16&lt;&gt;""),'RELACIÓN DE FACTURAS'!P16,IF(D14="SEGUNDO PAGO O POSTERIORES",G13,""))))</f>
        <v/>
      </c>
      <c r="H14" s="18"/>
      <c r="I14" s="29" t="str">
        <f>IF(D14="","",IF(J14="","REVISAR",IF(OR(J14&lt;EXPEDIENTE!$F$24,J14&gt;EXPEDIENTE!$F$26),"SI","NO")))</f>
        <v/>
      </c>
      <c r="J14" s="110" t="str">
        <f t="shared" si="0"/>
        <v/>
      </c>
      <c r="K14" s="107" t="str">
        <f>IF(D14="","",IF('RELACIÓN DE FACTURAS'!AE16="","",'RELACIÓN DE FACTURAS'!AE16))</f>
        <v/>
      </c>
      <c r="L14" s="18"/>
      <c r="M14" s="29" t="str">
        <f>IF(D14="","",IF(N14="","REVISAR",IF(OR(N14&lt;EXPEDIENTE!$F$24,N14&gt;EXPEDIENTE!$F$28),"SI","NO")))</f>
        <v/>
      </c>
      <c r="N14" s="175" t="str">
        <f t="shared" si="1"/>
        <v/>
      </c>
      <c r="O14" s="176">
        <f>IF(N14&lt;EXPEDIENTE!$H$24,-1,IF(N14&gt;EXPEDIENTE!$H$28,1,0))</f>
        <v>0</v>
      </c>
      <c r="P14" s="177" t="str">
        <f t="shared" si="2"/>
        <v/>
      </c>
      <c r="Q14" s="18"/>
      <c r="R14" s="210"/>
      <c r="S14" s="18" t="str">
        <f t="shared" si="5"/>
        <v/>
      </c>
      <c r="T14" s="29" t="str">
        <f t="shared" si="4"/>
        <v/>
      </c>
      <c r="U14" s="37" t="str">
        <f>IF('RELACIÓN DE FACTURAS'!W16="","",'RELACIÓN DE FACTURAS'!W16)</f>
        <v/>
      </c>
      <c r="V14" s="101" t="str">
        <f>IF('RELACIÓN DE FACTURAS'!X16="","",'RELACIÓN DE FACTURAS'!X16)</f>
        <v/>
      </c>
      <c r="W14" s="34"/>
      <c r="X14" s="104" t="str">
        <f t="shared" si="3"/>
        <v/>
      </c>
      <c r="Y14" s="41"/>
    </row>
    <row r="15" spans="2:25" ht="39.950000000000003" customHeight="1" x14ac:dyDescent="0.2">
      <c r="B15" s="1">
        <f>IF(Y15&lt;&gt;"",MAX($B$6:B14)+1,0)</f>
        <v>0</v>
      </c>
      <c r="C15" s="4">
        <v>10</v>
      </c>
      <c r="D15" s="24" t="str">
        <f>IF('RELACIÓN DE FACTURAS'!N17="","",'RELACIÓN DE FACTURAS'!N17)</f>
        <v/>
      </c>
      <c r="E15" s="212" t="str">
        <f>IF(D15="SEGUNDO PAGO O POSTERIORES",E14,IF('RELACIÓN DE FACTURAS'!O17="","",'RELACIÓN DE FACTURAS'!O17))</f>
        <v/>
      </c>
      <c r="F15" s="25" t="str">
        <f>IF(D15="SEGUNDO PAGO O POSTERIORES",F14,IF('RELACIÓN DE FACTURAS'!Q17="","",'RELACIÓN DE FACTURAS'!Q17))</f>
        <v/>
      </c>
      <c r="G15" s="107" t="str">
        <f>IF(D15="","",IF(AND(D15="NUEVA FACTURA",'RELACIÓN DE FACTURAS'!P17=""),"",IF(AND(D15="NUEVA FACTURA",'RELACIÓN DE FACTURAS'!P17&lt;&gt;""),'RELACIÓN DE FACTURAS'!P17,IF(D15="SEGUNDO PAGO O POSTERIORES",G14,""))))</f>
        <v/>
      </c>
      <c r="H15" s="18"/>
      <c r="I15" s="29" t="str">
        <f>IF(D15="","",IF(J15="","REVISAR",IF(OR(J15&lt;EXPEDIENTE!$F$24,J15&gt;EXPEDIENTE!$F$26),"SI","NO")))</f>
        <v/>
      </c>
      <c r="J15" s="110" t="str">
        <f t="shared" si="0"/>
        <v/>
      </c>
      <c r="K15" s="107" t="str">
        <f>IF(D15="","",IF('RELACIÓN DE FACTURAS'!AE17="","",'RELACIÓN DE FACTURAS'!AE17))</f>
        <v/>
      </c>
      <c r="L15" s="18"/>
      <c r="M15" s="29" t="str">
        <f>IF(D15="","",IF(N15="","REVISAR",IF(OR(N15&lt;EXPEDIENTE!$F$24,N15&gt;EXPEDIENTE!$F$28),"SI","NO")))</f>
        <v/>
      </c>
      <c r="N15" s="175" t="str">
        <f t="shared" si="1"/>
        <v/>
      </c>
      <c r="O15" s="176">
        <f>IF(N15&lt;EXPEDIENTE!$H$24,-1,IF(N15&gt;EXPEDIENTE!$H$28,1,0))</f>
        <v>0</v>
      </c>
      <c r="P15" s="177" t="str">
        <f t="shared" si="2"/>
        <v/>
      </c>
      <c r="Q15" s="18"/>
      <c r="R15" s="210"/>
      <c r="S15" s="18" t="str">
        <f t="shared" si="5"/>
        <v/>
      </c>
      <c r="T15" s="29" t="str">
        <f t="shared" si="4"/>
        <v/>
      </c>
      <c r="U15" s="37" t="str">
        <f>IF('RELACIÓN DE FACTURAS'!W17="","",'RELACIÓN DE FACTURAS'!W17)</f>
        <v/>
      </c>
      <c r="V15" s="101" t="str">
        <f>IF('RELACIÓN DE FACTURAS'!X17="","",'RELACIÓN DE FACTURAS'!X17)</f>
        <v/>
      </c>
      <c r="W15" s="34"/>
      <c r="X15" s="104" t="str">
        <f t="shared" si="3"/>
        <v/>
      </c>
      <c r="Y15" s="41"/>
    </row>
    <row r="16" spans="2:25" ht="39.950000000000003" customHeight="1" x14ac:dyDescent="0.2">
      <c r="B16" s="1">
        <f>IF(Y16&lt;&gt;"",MAX($B$6:B15)+1,0)</f>
        <v>0</v>
      </c>
      <c r="C16" s="4">
        <v>11</v>
      </c>
      <c r="D16" s="24" t="str">
        <f>IF('RELACIÓN DE FACTURAS'!N18="","",'RELACIÓN DE FACTURAS'!N18)</f>
        <v/>
      </c>
      <c r="E16" s="212" t="str">
        <f>IF(D16="SEGUNDO PAGO O POSTERIORES",E15,IF('RELACIÓN DE FACTURAS'!O18="","",'RELACIÓN DE FACTURAS'!O18))</f>
        <v/>
      </c>
      <c r="F16" s="25" t="str">
        <f>IF(D16="SEGUNDO PAGO O POSTERIORES",F15,IF('RELACIÓN DE FACTURAS'!Q18="","",'RELACIÓN DE FACTURAS'!Q18))</f>
        <v/>
      </c>
      <c r="G16" s="107" t="str">
        <f>IF(D16="","",IF(AND(D16="NUEVA FACTURA",'RELACIÓN DE FACTURAS'!P18=""),"",IF(AND(D16="NUEVA FACTURA",'RELACIÓN DE FACTURAS'!P18&lt;&gt;""),'RELACIÓN DE FACTURAS'!P18,IF(D16="SEGUNDO PAGO O POSTERIORES",G15,""))))</f>
        <v/>
      </c>
      <c r="H16" s="18"/>
      <c r="I16" s="29" t="str">
        <f>IF(D16="","",IF(J16="","REVISAR",IF(OR(J16&lt;EXPEDIENTE!$F$24,J16&gt;EXPEDIENTE!$F$26),"SI","NO")))</f>
        <v/>
      </c>
      <c r="J16" s="110" t="str">
        <f t="shared" si="0"/>
        <v/>
      </c>
      <c r="K16" s="107" t="str">
        <f>IF(D16="","",IF('RELACIÓN DE FACTURAS'!AE18="","",'RELACIÓN DE FACTURAS'!AE18))</f>
        <v/>
      </c>
      <c r="L16" s="18"/>
      <c r="M16" s="29" t="str">
        <f>IF(D16="","",IF(N16="","REVISAR",IF(OR(N16&lt;EXPEDIENTE!$F$24,N16&gt;EXPEDIENTE!$F$28),"SI","NO")))</f>
        <v/>
      </c>
      <c r="N16" s="175" t="str">
        <f t="shared" si="1"/>
        <v/>
      </c>
      <c r="O16" s="176">
        <f>IF(N16&lt;EXPEDIENTE!$H$24,-1,IF(N16&gt;EXPEDIENTE!$H$28,1,0))</f>
        <v>0</v>
      </c>
      <c r="P16" s="177" t="str">
        <f t="shared" si="2"/>
        <v/>
      </c>
      <c r="Q16" s="18"/>
      <c r="R16" s="210"/>
      <c r="S16" s="18" t="str">
        <f t="shared" si="5"/>
        <v/>
      </c>
      <c r="T16" s="29" t="str">
        <f t="shared" si="4"/>
        <v/>
      </c>
      <c r="U16" s="37" t="str">
        <f>IF('RELACIÓN DE FACTURAS'!W18="","",'RELACIÓN DE FACTURAS'!W18)</f>
        <v/>
      </c>
      <c r="V16" s="101" t="str">
        <f>IF('RELACIÓN DE FACTURAS'!X18="","",'RELACIÓN DE FACTURAS'!X18)</f>
        <v/>
      </c>
      <c r="W16" s="34"/>
      <c r="X16" s="104" t="str">
        <f t="shared" si="3"/>
        <v/>
      </c>
      <c r="Y16" s="41"/>
    </row>
    <row r="17" spans="2:25" ht="39.950000000000003" customHeight="1" x14ac:dyDescent="0.2">
      <c r="B17" s="1">
        <f>IF(Y17&lt;&gt;"",MAX($B$6:B16)+1,0)</f>
        <v>0</v>
      </c>
      <c r="C17" s="4">
        <v>12</v>
      </c>
      <c r="D17" s="24" t="str">
        <f>IF('RELACIÓN DE FACTURAS'!N19="","",'RELACIÓN DE FACTURAS'!N19)</f>
        <v/>
      </c>
      <c r="E17" s="212" t="str">
        <f>IF(D17="SEGUNDO PAGO O POSTERIORES",E16,IF('RELACIÓN DE FACTURAS'!O19="","",'RELACIÓN DE FACTURAS'!O19))</f>
        <v/>
      </c>
      <c r="F17" s="25" t="str">
        <f>IF(D17="SEGUNDO PAGO O POSTERIORES",F16,IF('RELACIÓN DE FACTURAS'!Q19="","",'RELACIÓN DE FACTURAS'!Q19))</f>
        <v/>
      </c>
      <c r="G17" s="107" t="str">
        <f>IF(D17="","",IF(AND(D17="NUEVA FACTURA",'RELACIÓN DE FACTURAS'!P19=""),"",IF(AND(D17="NUEVA FACTURA",'RELACIÓN DE FACTURAS'!P19&lt;&gt;""),'RELACIÓN DE FACTURAS'!P19,IF(D17="SEGUNDO PAGO O POSTERIORES",G16,""))))</f>
        <v/>
      </c>
      <c r="H17" s="18"/>
      <c r="I17" s="29" t="str">
        <f>IF(D17="","",IF(J17="","REVISAR",IF(OR(J17&lt;EXPEDIENTE!$F$24,J17&gt;EXPEDIENTE!$F$26),"SI","NO")))</f>
        <v/>
      </c>
      <c r="J17" s="110" t="str">
        <f t="shared" si="0"/>
        <v/>
      </c>
      <c r="K17" s="107" t="str">
        <f>IF(D17="","",IF('RELACIÓN DE FACTURAS'!AE19="","",'RELACIÓN DE FACTURAS'!AE19))</f>
        <v/>
      </c>
      <c r="L17" s="18"/>
      <c r="M17" s="29" t="str">
        <f>IF(D17="","",IF(N17="","REVISAR",IF(OR(N17&lt;EXPEDIENTE!$F$24,N17&gt;EXPEDIENTE!$F$28),"SI","NO")))</f>
        <v/>
      </c>
      <c r="N17" s="175" t="str">
        <f t="shared" si="1"/>
        <v/>
      </c>
      <c r="O17" s="176">
        <f>IF(N17&lt;EXPEDIENTE!$H$24,-1,IF(N17&gt;EXPEDIENTE!$H$28,1,0))</f>
        <v>0</v>
      </c>
      <c r="P17" s="177" t="str">
        <f t="shared" si="2"/>
        <v/>
      </c>
      <c r="Q17" s="18"/>
      <c r="R17" s="210"/>
      <c r="S17" s="18" t="str">
        <f t="shared" si="5"/>
        <v/>
      </c>
      <c r="T17" s="29" t="str">
        <f t="shared" si="4"/>
        <v/>
      </c>
      <c r="U17" s="37" t="str">
        <f>IF('RELACIÓN DE FACTURAS'!W19="","",'RELACIÓN DE FACTURAS'!W19)</f>
        <v/>
      </c>
      <c r="V17" s="101" t="str">
        <f>IF('RELACIÓN DE FACTURAS'!X19="","",'RELACIÓN DE FACTURAS'!X19)</f>
        <v/>
      </c>
      <c r="W17" s="34"/>
      <c r="X17" s="104" t="str">
        <f t="shared" si="3"/>
        <v/>
      </c>
      <c r="Y17" s="41"/>
    </row>
    <row r="18" spans="2:25" ht="39.950000000000003" customHeight="1" x14ac:dyDescent="0.2">
      <c r="B18" s="1">
        <f>IF(Y18&lt;&gt;"",MAX($B$6:B17)+1,0)</f>
        <v>0</v>
      </c>
      <c r="C18" s="4">
        <v>13</v>
      </c>
      <c r="D18" s="24" t="str">
        <f>IF('RELACIÓN DE FACTURAS'!N20="","",'RELACIÓN DE FACTURAS'!N20)</f>
        <v/>
      </c>
      <c r="E18" s="212" t="str">
        <f>IF(D18="SEGUNDO PAGO O POSTERIORES",E17,IF('RELACIÓN DE FACTURAS'!O20="","",'RELACIÓN DE FACTURAS'!O20))</f>
        <v/>
      </c>
      <c r="F18" s="25" t="str">
        <f>IF(D18="SEGUNDO PAGO O POSTERIORES",F17,IF('RELACIÓN DE FACTURAS'!Q20="","",'RELACIÓN DE FACTURAS'!Q20))</f>
        <v/>
      </c>
      <c r="G18" s="107" t="str">
        <f>IF(D18="","",IF(AND(D18="NUEVA FACTURA",'RELACIÓN DE FACTURAS'!P20=""),"",IF(AND(D18="NUEVA FACTURA",'RELACIÓN DE FACTURAS'!P20&lt;&gt;""),'RELACIÓN DE FACTURAS'!P20,IF(D18="SEGUNDO PAGO O POSTERIORES",G17,""))))</f>
        <v/>
      </c>
      <c r="H18" s="18"/>
      <c r="I18" s="29" t="str">
        <f>IF(D18="","",IF(J18="","REVISAR",IF(OR(J18&lt;EXPEDIENTE!$F$24,J18&gt;EXPEDIENTE!$F$26),"SI","NO")))</f>
        <v/>
      </c>
      <c r="J18" s="110" t="str">
        <f t="shared" si="0"/>
        <v/>
      </c>
      <c r="K18" s="107" t="str">
        <f>IF(D18="","",IF('RELACIÓN DE FACTURAS'!AE20="","",'RELACIÓN DE FACTURAS'!AE20))</f>
        <v/>
      </c>
      <c r="L18" s="18"/>
      <c r="M18" s="29" t="str">
        <f>IF(D18="","",IF(N18="","REVISAR",IF(OR(N18&lt;EXPEDIENTE!$F$24,N18&gt;EXPEDIENTE!$F$28),"SI","NO")))</f>
        <v/>
      </c>
      <c r="N18" s="175" t="str">
        <f t="shared" si="1"/>
        <v/>
      </c>
      <c r="O18" s="176">
        <f>IF(N18&lt;EXPEDIENTE!$H$24,-1,IF(N18&gt;EXPEDIENTE!$H$28,1,0))</f>
        <v>0</v>
      </c>
      <c r="P18" s="177" t="str">
        <f t="shared" si="2"/>
        <v/>
      </c>
      <c r="Q18" s="18"/>
      <c r="R18" s="210"/>
      <c r="S18" s="18" t="str">
        <f t="shared" si="5"/>
        <v/>
      </c>
      <c r="T18" s="29" t="str">
        <f t="shared" si="4"/>
        <v/>
      </c>
      <c r="U18" s="37" t="str">
        <f>IF('RELACIÓN DE FACTURAS'!W20="","",'RELACIÓN DE FACTURAS'!W20)</f>
        <v/>
      </c>
      <c r="V18" s="101" t="str">
        <f>IF('RELACIÓN DE FACTURAS'!X20="","",'RELACIÓN DE FACTURAS'!X20)</f>
        <v/>
      </c>
      <c r="W18" s="34"/>
      <c r="X18" s="104" t="str">
        <f t="shared" si="3"/>
        <v/>
      </c>
      <c r="Y18" s="41"/>
    </row>
    <row r="19" spans="2:25" ht="39.950000000000003" customHeight="1" x14ac:dyDescent="0.2">
      <c r="B19" s="1">
        <f>IF(Y19&lt;&gt;"",MAX($B$6:B18)+1,0)</f>
        <v>0</v>
      </c>
      <c r="C19" s="4">
        <v>14</v>
      </c>
      <c r="D19" s="24" t="str">
        <f>IF('RELACIÓN DE FACTURAS'!N21="","",'RELACIÓN DE FACTURAS'!N21)</f>
        <v/>
      </c>
      <c r="E19" s="212" t="str">
        <f>IF(D19="SEGUNDO PAGO O POSTERIORES",E18,IF('RELACIÓN DE FACTURAS'!O21="","",'RELACIÓN DE FACTURAS'!O21))</f>
        <v/>
      </c>
      <c r="F19" s="25" t="str">
        <f>IF(D19="SEGUNDO PAGO O POSTERIORES",F18,IF('RELACIÓN DE FACTURAS'!Q21="","",'RELACIÓN DE FACTURAS'!Q21))</f>
        <v/>
      </c>
      <c r="G19" s="107" t="str">
        <f>IF(D19="","",IF(AND(D19="NUEVA FACTURA",'RELACIÓN DE FACTURAS'!P21=""),"",IF(AND(D19="NUEVA FACTURA",'RELACIÓN DE FACTURAS'!P21&lt;&gt;""),'RELACIÓN DE FACTURAS'!P21,IF(D19="SEGUNDO PAGO O POSTERIORES",G18,""))))</f>
        <v/>
      </c>
      <c r="H19" s="18"/>
      <c r="I19" s="29" t="str">
        <f>IF(D19="","",IF(J19="","REVISAR",IF(OR(J19&lt;EXPEDIENTE!$F$24,J19&gt;EXPEDIENTE!$F$26),"SI","NO")))</f>
        <v/>
      </c>
      <c r="J19" s="110" t="str">
        <f t="shared" si="0"/>
        <v/>
      </c>
      <c r="K19" s="107" t="str">
        <f>IF(D19="","",IF('RELACIÓN DE FACTURAS'!AE21="","",'RELACIÓN DE FACTURAS'!AE21))</f>
        <v/>
      </c>
      <c r="L19" s="18"/>
      <c r="M19" s="29" t="str">
        <f>IF(D19="","",IF(N19="","REVISAR",IF(OR(N19&lt;EXPEDIENTE!$F$24,N19&gt;EXPEDIENTE!$F$28),"SI","NO")))</f>
        <v/>
      </c>
      <c r="N19" s="175" t="str">
        <f t="shared" si="1"/>
        <v/>
      </c>
      <c r="O19" s="176">
        <f>IF(N19&lt;EXPEDIENTE!$H$24,-1,IF(N19&gt;EXPEDIENTE!$H$28,1,0))</f>
        <v>0</v>
      </c>
      <c r="P19" s="177" t="str">
        <f t="shared" si="2"/>
        <v/>
      </c>
      <c r="Q19" s="18"/>
      <c r="R19" s="210"/>
      <c r="S19" s="18" t="str">
        <f t="shared" si="5"/>
        <v/>
      </c>
      <c r="T19" s="29" t="str">
        <f t="shared" si="4"/>
        <v/>
      </c>
      <c r="U19" s="37" t="str">
        <f>IF('RELACIÓN DE FACTURAS'!W21="","",'RELACIÓN DE FACTURAS'!W21)</f>
        <v/>
      </c>
      <c r="V19" s="101" t="str">
        <f>IF('RELACIÓN DE FACTURAS'!X21="","",'RELACIÓN DE FACTURAS'!X21)</f>
        <v/>
      </c>
      <c r="W19" s="34"/>
      <c r="X19" s="104" t="str">
        <f t="shared" si="3"/>
        <v/>
      </c>
      <c r="Y19" s="41"/>
    </row>
    <row r="20" spans="2:25" ht="39.950000000000003" customHeight="1" x14ac:dyDescent="0.2">
      <c r="B20" s="1">
        <f>IF(Y20&lt;&gt;"",MAX($B$6:B19)+1,0)</f>
        <v>0</v>
      </c>
      <c r="C20" s="4">
        <v>15</v>
      </c>
      <c r="D20" s="24" t="str">
        <f>IF('RELACIÓN DE FACTURAS'!N22="","",'RELACIÓN DE FACTURAS'!N22)</f>
        <v/>
      </c>
      <c r="E20" s="212" t="str">
        <f>IF(D20="SEGUNDO PAGO O POSTERIORES",E19,IF('RELACIÓN DE FACTURAS'!O22="","",'RELACIÓN DE FACTURAS'!O22))</f>
        <v/>
      </c>
      <c r="F20" s="25" t="str">
        <f>IF(D20="SEGUNDO PAGO O POSTERIORES",F19,IF('RELACIÓN DE FACTURAS'!Q22="","",'RELACIÓN DE FACTURAS'!Q22))</f>
        <v/>
      </c>
      <c r="G20" s="107" t="str">
        <f>IF(D20="","",IF(AND(D20="NUEVA FACTURA",'RELACIÓN DE FACTURAS'!P22=""),"",IF(AND(D20="NUEVA FACTURA",'RELACIÓN DE FACTURAS'!P22&lt;&gt;""),'RELACIÓN DE FACTURAS'!P22,IF(D20="SEGUNDO PAGO O POSTERIORES",G19,""))))</f>
        <v/>
      </c>
      <c r="H20" s="18"/>
      <c r="I20" s="29" t="str">
        <f>IF(D20="","",IF(J20="","REVISAR",IF(OR(J20&lt;EXPEDIENTE!$F$24,J20&gt;EXPEDIENTE!$F$26),"SI","NO")))</f>
        <v/>
      </c>
      <c r="J20" s="110" t="str">
        <f t="shared" si="0"/>
        <v/>
      </c>
      <c r="K20" s="107" t="str">
        <f>IF(D20="","",IF('RELACIÓN DE FACTURAS'!AE22="","",'RELACIÓN DE FACTURAS'!AE22))</f>
        <v/>
      </c>
      <c r="L20" s="18"/>
      <c r="M20" s="29" t="str">
        <f>IF(D20="","",IF(N20="","REVISAR",IF(OR(N20&lt;EXPEDIENTE!$F$24,N20&gt;EXPEDIENTE!$F$28),"SI","NO")))</f>
        <v/>
      </c>
      <c r="N20" s="175" t="str">
        <f t="shared" si="1"/>
        <v/>
      </c>
      <c r="O20" s="176">
        <f>IF(N20&lt;EXPEDIENTE!$H$24,-1,IF(N20&gt;EXPEDIENTE!$H$28,1,0))</f>
        <v>0</v>
      </c>
      <c r="P20" s="177" t="str">
        <f t="shared" si="2"/>
        <v/>
      </c>
      <c r="Q20" s="18"/>
      <c r="R20" s="210"/>
      <c r="S20" s="18" t="str">
        <f t="shared" si="5"/>
        <v/>
      </c>
      <c r="T20" s="29" t="str">
        <f t="shared" si="4"/>
        <v/>
      </c>
      <c r="U20" s="37" t="str">
        <f>IF('RELACIÓN DE FACTURAS'!W22="","",'RELACIÓN DE FACTURAS'!W22)</f>
        <v/>
      </c>
      <c r="V20" s="101" t="str">
        <f>IF('RELACIÓN DE FACTURAS'!X22="","",'RELACIÓN DE FACTURAS'!X22)</f>
        <v/>
      </c>
      <c r="W20" s="34"/>
      <c r="X20" s="104" t="str">
        <f t="shared" si="3"/>
        <v/>
      </c>
      <c r="Y20" s="41"/>
    </row>
    <row r="21" spans="2:25" ht="39.950000000000003" customHeight="1" x14ac:dyDescent="0.2">
      <c r="B21" s="1">
        <f>IF(Y21&lt;&gt;"",MAX($B$6:B20)+1,0)</f>
        <v>0</v>
      </c>
      <c r="C21" s="4">
        <v>16</v>
      </c>
      <c r="D21" s="24" t="str">
        <f>IF('RELACIÓN DE FACTURAS'!N23="","",'RELACIÓN DE FACTURAS'!N23)</f>
        <v/>
      </c>
      <c r="E21" s="212" t="str">
        <f>IF(D21="SEGUNDO PAGO O POSTERIORES",E20,IF('RELACIÓN DE FACTURAS'!O23="","",'RELACIÓN DE FACTURAS'!O23))</f>
        <v/>
      </c>
      <c r="F21" s="25" t="str">
        <f>IF(D21="SEGUNDO PAGO O POSTERIORES",F20,IF('RELACIÓN DE FACTURAS'!Q23="","",'RELACIÓN DE FACTURAS'!Q23))</f>
        <v/>
      </c>
      <c r="G21" s="107" t="str">
        <f>IF(D21="","",IF(AND(D21="NUEVA FACTURA",'RELACIÓN DE FACTURAS'!P23=""),"",IF(AND(D21="NUEVA FACTURA",'RELACIÓN DE FACTURAS'!P23&lt;&gt;""),'RELACIÓN DE FACTURAS'!P23,IF(D21="SEGUNDO PAGO O POSTERIORES",G20,""))))</f>
        <v/>
      </c>
      <c r="H21" s="18"/>
      <c r="I21" s="29" t="str">
        <f>IF(D21="","",IF(J21="","REVISAR",IF(OR(J21&lt;EXPEDIENTE!$F$24,J21&gt;EXPEDIENTE!$F$26),"SI","NO")))</f>
        <v/>
      </c>
      <c r="J21" s="110" t="str">
        <f t="shared" si="0"/>
        <v/>
      </c>
      <c r="K21" s="107" t="str">
        <f>IF(D21="","",IF('RELACIÓN DE FACTURAS'!AE23="","",'RELACIÓN DE FACTURAS'!AE23))</f>
        <v/>
      </c>
      <c r="L21" s="18"/>
      <c r="M21" s="29" t="str">
        <f>IF(D21="","",IF(N21="","REVISAR",IF(OR(N21&lt;EXPEDIENTE!$F$24,N21&gt;EXPEDIENTE!$F$28),"SI","NO")))</f>
        <v/>
      </c>
      <c r="N21" s="175" t="str">
        <f t="shared" si="1"/>
        <v/>
      </c>
      <c r="O21" s="176">
        <f>IF(N21&lt;EXPEDIENTE!$H$24,-1,IF(N21&gt;EXPEDIENTE!$H$28,1,0))</f>
        <v>0</v>
      </c>
      <c r="P21" s="177" t="str">
        <f t="shared" si="2"/>
        <v/>
      </c>
      <c r="Q21" s="18"/>
      <c r="R21" s="210"/>
      <c r="S21" s="18" t="str">
        <f t="shared" si="5"/>
        <v/>
      </c>
      <c r="T21" s="29" t="str">
        <f t="shared" si="4"/>
        <v/>
      </c>
      <c r="U21" s="37" t="str">
        <f>IF('RELACIÓN DE FACTURAS'!W23="","",'RELACIÓN DE FACTURAS'!W23)</f>
        <v/>
      </c>
      <c r="V21" s="101" t="str">
        <f>IF('RELACIÓN DE FACTURAS'!X23="","",'RELACIÓN DE FACTURAS'!X23)</f>
        <v/>
      </c>
      <c r="W21" s="34"/>
      <c r="X21" s="104" t="str">
        <f t="shared" si="3"/>
        <v/>
      </c>
      <c r="Y21" s="41"/>
    </row>
    <row r="22" spans="2:25" ht="39.950000000000003" customHeight="1" x14ac:dyDescent="0.2">
      <c r="B22" s="1">
        <f>IF(Y22&lt;&gt;"",MAX($B$6:B21)+1,0)</f>
        <v>0</v>
      </c>
      <c r="C22" s="4">
        <v>17</v>
      </c>
      <c r="D22" s="24" t="str">
        <f>IF('RELACIÓN DE FACTURAS'!N24="","",'RELACIÓN DE FACTURAS'!N24)</f>
        <v/>
      </c>
      <c r="E22" s="212" t="str">
        <f>IF(D22="SEGUNDO PAGO O POSTERIORES",E21,IF('RELACIÓN DE FACTURAS'!O24="","",'RELACIÓN DE FACTURAS'!O24))</f>
        <v/>
      </c>
      <c r="F22" s="25" t="str">
        <f>IF(D22="SEGUNDO PAGO O POSTERIORES",F21,IF('RELACIÓN DE FACTURAS'!Q24="","",'RELACIÓN DE FACTURAS'!Q24))</f>
        <v/>
      </c>
      <c r="G22" s="107" t="str">
        <f>IF(D22="","",IF(AND(D22="NUEVA FACTURA",'RELACIÓN DE FACTURAS'!P24=""),"",IF(AND(D22="NUEVA FACTURA",'RELACIÓN DE FACTURAS'!P24&lt;&gt;""),'RELACIÓN DE FACTURAS'!P24,IF(D22="SEGUNDO PAGO O POSTERIORES",G21,""))))</f>
        <v/>
      </c>
      <c r="H22" s="18"/>
      <c r="I22" s="29" t="str">
        <f>IF(D22="","",IF(J22="","REVISAR",IF(OR(J22&lt;EXPEDIENTE!$F$24,J22&gt;EXPEDIENTE!$F$26),"SI","NO")))</f>
        <v/>
      </c>
      <c r="J22" s="110" t="str">
        <f t="shared" si="0"/>
        <v/>
      </c>
      <c r="K22" s="107" t="str">
        <f>IF(D22="","",IF('RELACIÓN DE FACTURAS'!AE24="","",'RELACIÓN DE FACTURAS'!AE24))</f>
        <v/>
      </c>
      <c r="L22" s="18"/>
      <c r="M22" s="29" t="str">
        <f>IF(D22="","",IF(N22="","REVISAR",IF(OR(N22&lt;EXPEDIENTE!$F$24,N22&gt;EXPEDIENTE!$F$28),"SI","NO")))</f>
        <v/>
      </c>
      <c r="N22" s="175" t="str">
        <f t="shared" si="1"/>
        <v/>
      </c>
      <c r="O22" s="176">
        <f>IF(N22&lt;EXPEDIENTE!$H$24,-1,IF(N22&gt;EXPEDIENTE!$H$28,1,0))</f>
        <v>0</v>
      </c>
      <c r="P22" s="177" t="str">
        <f t="shared" si="2"/>
        <v/>
      </c>
      <c r="Q22" s="18"/>
      <c r="R22" s="210"/>
      <c r="S22" s="18" t="str">
        <f t="shared" si="5"/>
        <v/>
      </c>
      <c r="T22" s="29" t="str">
        <f t="shared" si="4"/>
        <v/>
      </c>
      <c r="U22" s="37" t="str">
        <f>IF('RELACIÓN DE FACTURAS'!W24="","",'RELACIÓN DE FACTURAS'!W24)</f>
        <v/>
      </c>
      <c r="V22" s="101" t="str">
        <f>IF('RELACIÓN DE FACTURAS'!X24="","",'RELACIÓN DE FACTURAS'!X24)</f>
        <v/>
      </c>
      <c r="W22" s="34"/>
      <c r="X22" s="104" t="str">
        <f t="shared" si="3"/>
        <v/>
      </c>
      <c r="Y22" s="41"/>
    </row>
    <row r="23" spans="2:25" ht="39.950000000000003" customHeight="1" x14ac:dyDescent="0.2">
      <c r="B23" s="1">
        <f>IF(Y23&lt;&gt;"",MAX($B$6:B22)+1,0)</f>
        <v>0</v>
      </c>
      <c r="C23" s="4">
        <v>18</v>
      </c>
      <c r="D23" s="24" t="str">
        <f>IF('RELACIÓN DE FACTURAS'!N25="","",'RELACIÓN DE FACTURAS'!N25)</f>
        <v/>
      </c>
      <c r="E23" s="212" t="str">
        <f>IF(D23="SEGUNDO PAGO O POSTERIORES",E22,IF('RELACIÓN DE FACTURAS'!O25="","",'RELACIÓN DE FACTURAS'!O25))</f>
        <v/>
      </c>
      <c r="F23" s="25" t="str">
        <f>IF(D23="SEGUNDO PAGO O POSTERIORES",F22,IF('RELACIÓN DE FACTURAS'!Q25="","",'RELACIÓN DE FACTURAS'!Q25))</f>
        <v/>
      </c>
      <c r="G23" s="107" t="str">
        <f>IF(D23="","",IF(AND(D23="NUEVA FACTURA",'RELACIÓN DE FACTURAS'!P25=""),"",IF(AND(D23="NUEVA FACTURA",'RELACIÓN DE FACTURAS'!P25&lt;&gt;""),'RELACIÓN DE FACTURAS'!P25,IF(D23="SEGUNDO PAGO O POSTERIORES",G22,""))))</f>
        <v/>
      </c>
      <c r="H23" s="18"/>
      <c r="I23" s="29" t="str">
        <f>IF(D23="","",IF(J23="","REVISAR",IF(OR(J23&lt;EXPEDIENTE!$F$24,J23&gt;EXPEDIENTE!$F$26),"SI","NO")))</f>
        <v/>
      </c>
      <c r="J23" s="110" t="str">
        <f t="shared" si="0"/>
        <v/>
      </c>
      <c r="K23" s="107" t="str">
        <f>IF(D23="","",IF('RELACIÓN DE FACTURAS'!AE25="","",'RELACIÓN DE FACTURAS'!AE25))</f>
        <v/>
      </c>
      <c r="L23" s="18"/>
      <c r="M23" s="29" t="str">
        <f>IF(D23="","",IF(N23="","REVISAR",IF(OR(N23&lt;EXPEDIENTE!$F$24,N23&gt;EXPEDIENTE!$F$28),"SI","NO")))</f>
        <v/>
      </c>
      <c r="N23" s="175" t="str">
        <f t="shared" si="1"/>
        <v/>
      </c>
      <c r="O23" s="176">
        <f>IF(N23&lt;EXPEDIENTE!$H$24,-1,IF(N23&gt;EXPEDIENTE!$H$28,1,0))</f>
        <v>0</v>
      </c>
      <c r="P23" s="177" t="str">
        <f t="shared" si="2"/>
        <v/>
      </c>
      <c r="Q23" s="18"/>
      <c r="R23" s="210"/>
      <c r="S23" s="18" t="str">
        <f t="shared" si="5"/>
        <v/>
      </c>
      <c r="T23" s="29" t="str">
        <f t="shared" si="4"/>
        <v/>
      </c>
      <c r="U23" s="37" t="str">
        <f>IF('RELACIÓN DE FACTURAS'!W25="","",'RELACIÓN DE FACTURAS'!W25)</f>
        <v/>
      </c>
      <c r="V23" s="101" t="str">
        <f>IF('RELACIÓN DE FACTURAS'!X25="","",'RELACIÓN DE FACTURAS'!X25)</f>
        <v/>
      </c>
      <c r="W23" s="34"/>
      <c r="X23" s="104" t="str">
        <f t="shared" si="3"/>
        <v/>
      </c>
      <c r="Y23" s="41"/>
    </row>
    <row r="24" spans="2:25" ht="39.950000000000003" customHeight="1" x14ac:dyDescent="0.2">
      <c r="B24" s="1">
        <f>IF(Y24&lt;&gt;"",MAX($B$6:B23)+1,0)</f>
        <v>0</v>
      </c>
      <c r="C24" s="4">
        <v>19</v>
      </c>
      <c r="D24" s="24" t="str">
        <f>IF('RELACIÓN DE FACTURAS'!N26="","",'RELACIÓN DE FACTURAS'!N26)</f>
        <v/>
      </c>
      <c r="E24" s="212" t="str">
        <f>IF(D24="SEGUNDO PAGO O POSTERIORES",E23,IF('RELACIÓN DE FACTURAS'!O26="","",'RELACIÓN DE FACTURAS'!O26))</f>
        <v/>
      </c>
      <c r="F24" s="25" t="str">
        <f>IF(D24="SEGUNDO PAGO O POSTERIORES",F23,IF('RELACIÓN DE FACTURAS'!Q26="","",'RELACIÓN DE FACTURAS'!Q26))</f>
        <v/>
      </c>
      <c r="G24" s="107" t="str">
        <f>IF(D24="","",IF(AND(D24="NUEVA FACTURA",'RELACIÓN DE FACTURAS'!P26=""),"",IF(AND(D24="NUEVA FACTURA",'RELACIÓN DE FACTURAS'!P26&lt;&gt;""),'RELACIÓN DE FACTURAS'!P26,IF(D24="SEGUNDO PAGO O POSTERIORES",G23,""))))</f>
        <v/>
      </c>
      <c r="H24" s="18"/>
      <c r="I24" s="29" t="str">
        <f>IF(D24="","",IF(J24="","REVISAR",IF(OR(J24&lt;EXPEDIENTE!$F$24,J24&gt;EXPEDIENTE!$F$26),"SI","NO")))</f>
        <v/>
      </c>
      <c r="J24" s="110" t="str">
        <f t="shared" si="0"/>
        <v/>
      </c>
      <c r="K24" s="107" t="str">
        <f>IF(D24="","",IF('RELACIÓN DE FACTURAS'!AE26="","",'RELACIÓN DE FACTURAS'!AE26))</f>
        <v/>
      </c>
      <c r="L24" s="18"/>
      <c r="M24" s="29" t="str">
        <f>IF(D24="","",IF(N24="","REVISAR",IF(OR(N24&lt;EXPEDIENTE!$F$24,N24&gt;EXPEDIENTE!$F$28),"SI","NO")))</f>
        <v/>
      </c>
      <c r="N24" s="175" t="str">
        <f t="shared" si="1"/>
        <v/>
      </c>
      <c r="O24" s="176">
        <f>IF(N24&lt;EXPEDIENTE!$H$24,-1,IF(N24&gt;EXPEDIENTE!$H$28,1,0))</f>
        <v>0</v>
      </c>
      <c r="P24" s="177" t="str">
        <f t="shared" si="2"/>
        <v/>
      </c>
      <c r="Q24" s="18"/>
      <c r="R24" s="210"/>
      <c r="S24" s="18" t="str">
        <f t="shared" si="5"/>
        <v/>
      </c>
      <c r="T24" s="29" t="str">
        <f t="shared" si="4"/>
        <v/>
      </c>
      <c r="U24" s="37" t="str">
        <f>IF('RELACIÓN DE FACTURAS'!W26="","",'RELACIÓN DE FACTURAS'!W26)</f>
        <v/>
      </c>
      <c r="V24" s="101" t="str">
        <f>IF('RELACIÓN DE FACTURAS'!X26="","",'RELACIÓN DE FACTURAS'!X26)</f>
        <v/>
      </c>
      <c r="W24" s="34"/>
      <c r="X24" s="104" t="str">
        <f t="shared" si="3"/>
        <v/>
      </c>
      <c r="Y24" s="41"/>
    </row>
    <row r="25" spans="2:25" ht="39.950000000000003" customHeight="1" x14ac:dyDescent="0.2">
      <c r="B25" s="1">
        <f>IF(Y25&lt;&gt;"",MAX($B$6:B24)+1,0)</f>
        <v>0</v>
      </c>
      <c r="C25" s="4">
        <v>20</v>
      </c>
      <c r="D25" s="24" t="str">
        <f>IF('RELACIÓN DE FACTURAS'!N27="","",'RELACIÓN DE FACTURAS'!N27)</f>
        <v/>
      </c>
      <c r="E25" s="212" t="str">
        <f>IF(D25="SEGUNDO PAGO O POSTERIORES",E24,IF('RELACIÓN DE FACTURAS'!O27="","",'RELACIÓN DE FACTURAS'!O27))</f>
        <v/>
      </c>
      <c r="F25" s="25" t="str">
        <f>IF(D25="SEGUNDO PAGO O POSTERIORES",F24,IF('RELACIÓN DE FACTURAS'!Q27="","",'RELACIÓN DE FACTURAS'!Q27))</f>
        <v/>
      </c>
      <c r="G25" s="107" t="str">
        <f>IF(D25="","",IF(AND(D25="NUEVA FACTURA",'RELACIÓN DE FACTURAS'!P27=""),"",IF(AND(D25="NUEVA FACTURA",'RELACIÓN DE FACTURAS'!P27&lt;&gt;""),'RELACIÓN DE FACTURAS'!P27,IF(D25="SEGUNDO PAGO O POSTERIORES",G24,""))))</f>
        <v/>
      </c>
      <c r="H25" s="18"/>
      <c r="I25" s="29" t="str">
        <f>IF(D25="","",IF(J25="","REVISAR",IF(OR(J25&lt;EXPEDIENTE!$F$24,J25&gt;EXPEDIENTE!$F$26),"SI","NO")))</f>
        <v/>
      </c>
      <c r="J25" s="110" t="str">
        <f t="shared" si="0"/>
        <v/>
      </c>
      <c r="K25" s="107" t="str">
        <f>IF(D25="","",IF('RELACIÓN DE FACTURAS'!AE27="","",'RELACIÓN DE FACTURAS'!AE27))</f>
        <v/>
      </c>
      <c r="L25" s="18"/>
      <c r="M25" s="29" t="str">
        <f>IF(D25="","",IF(N25="","REVISAR",IF(OR(N25&lt;EXPEDIENTE!$F$24,N25&gt;EXPEDIENTE!$F$28),"SI","NO")))</f>
        <v/>
      </c>
      <c r="N25" s="175" t="str">
        <f t="shared" si="1"/>
        <v/>
      </c>
      <c r="O25" s="176">
        <f>IF(N25&lt;EXPEDIENTE!$H$24,-1,IF(N25&gt;EXPEDIENTE!$H$28,1,0))</f>
        <v>0</v>
      </c>
      <c r="P25" s="177" t="str">
        <f t="shared" si="2"/>
        <v/>
      </c>
      <c r="Q25" s="18"/>
      <c r="R25" s="210"/>
      <c r="S25" s="18" t="str">
        <f t="shared" si="5"/>
        <v/>
      </c>
      <c r="T25" s="29" t="str">
        <f t="shared" si="4"/>
        <v/>
      </c>
      <c r="U25" s="37" t="str">
        <f>IF('RELACIÓN DE FACTURAS'!W27="","",'RELACIÓN DE FACTURAS'!W27)</f>
        <v/>
      </c>
      <c r="V25" s="101" t="str">
        <f>IF('RELACIÓN DE FACTURAS'!X27="","",'RELACIÓN DE FACTURAS'!X27)</f>
        <v/>
      </c>
      <c r="W25" s="34"/>
      <c r="X25" s="104" t="str">
        <f t="shared" si="3"/>
        <v/>
      </c>
      <c r="Y25" s="41"/>
    </row>
    <row r="26" spans="2:25" ht="39.950000000000003" customHeight="1" x14ac:dyDescent="0.2">
      <c r="B26" s="1">
        <f>IF(Y26&lt;&gt;"",MAX($B$6:B25)+1,0)</f>
        <v>0</v>
      </c>
      <c r="C26" s="4">
        <v>21</v>
      </c>
      <c r="D26" s="24" t="str">
        <f>IF('RELACIÓN DE FACTURAS'!N28="","",'RELACIÓN DE FACTURAS'!N28)</f>
        <v/>
      </c>
      <c r="E26" s="212" t="str">
        <f>IF(D26="SEGUNDO PAGO O POSTERIORES",E25,IF('RELACIÓN DE FACTURAS'!O28="","",'RELACIÓN DE FACTURAS'!O28))</f>
        <v/>
      </c>
      <c r="F26" s="25" t="str">
        <f>IF(D26="SEGUNDO PAGO O POSTERIORES",F25,IF('RELACIÓN DE FACTURAS'!Q28="","",'RELACIÓN DE FACTURAS'!Q28))</f>
        <v/>
      </c>
      <c r="G26" s="107" t="str">
        <f>IF(D26="","",IF(AND(D26="NUEVA FACTURA",'RELACIÓN DE FACTURAS'!P28=""),"",IF(AND(D26="NUEVA FACTURA",'RELACIÓN DE FACTURAS'!P28&lt;&gt;""),'RELACIÓN DE FACTURAS'!P28,IF(D26="SEGUNDO PAGO O POSTERIORES",G25,""))))</f>
        <v/>
      </c>
      <c r="H26" s="18"/>
      <c r="I26" s="29" t="str">
        <f>IF(D26="","",IF(J26="","REVISAR",IF(OR(J26&lt;EXPEDIENTE!$F$24,J26&gt;EXPEDIENTE!$F$26),"SI","NO")))</f>
        <v/>
      </c>
      <c r="J26" s="110" t="str">
        <f t="shared" si="0"/>
        <v/>
      </c>
      <c r="K26" s="107" t="str">
        <f>IF(D26="","",IF('RELACIÓN DE FACTURAS'!AE28="","",'RELACIÓN DE FACTURAS'!AE28))</f>
        <v/>
      </c>
      <c r="L26" s="18"/>
      <c r="M26" s="29" t="str">
        <f>IF(D26="","",IF(N26="","REVISAR",IF(OR(N26&lt;EXPEDIENTE!$F$24,N26&gt;EXPEDIENTE!$F$28),"SI","NO")))</f>
        <v/>
      </c>
      <c r="N26" s="175" t="str">
        <f t="shared" si="1"/>
        <v/>
      </c>
      <c r="O26" s="176">
        <f>IF(N26&lt;EXPEDIENTE!$H$24,-1,IF(N26&gt;EXPEDIENTE!$H$28,1,0))</f>
        <v>0</v>
      </c>
      <c r="P26" s="177" t="str">
        <f t="shared" si="2"/>
        <v/>
      </c>
      <c r="Q26" s="18"/>
      <c r="R26" s="210"/>
      <c r="S26" s="18" t="str">
        <f t="shared" si="5"/>
        <v/>
      </c>
      <c r="T26" s="29" t="str">
        <f t="shared" si="4"/>
        <v/>
      </c>
      <c r="U26" s="37" t="str">
        <f>IF('RELACIÓN DE FACTURAS'!W28="","",'RELACIÓN DE FACTURAS'!W28)</f>
        <v/>
      </c>
      <c r="V26" s="101" t="str">
        <f>IF('RELACIÓN DE FACTURAS'!X28="","",'RELACIÓN DE FACTURAS'!X28)</f>
        <v/>
      </c>
      <c r="W26" s="34"/>
      <c r="X26" s="104" t="str">
        <f t="shared" si="3"/>
        <v/>
      </c>
      <c r="Y26" s="41"/>
    </row>
    <row r="27" spans="2:25" ht="39.950000000000003" customHeight="1" x14ac:dyDescent="0.2">
      <c r="B27" s="1">
        <f>IF(Y27&lt;&gt;"",MAX($B$6:B26)+1,0)</f>
        <v>0</v>
      </c>
      <c r="C27" s="4">
        <v>22</v>
      </c>
      <c r="D27" s="24" t="str">
        <f>IF('RELACIÓN DE FACTURAS'!N29="","",'RELACIÓN DE FACTURAS'!N29)</f>
        <v/>
      </c>
      <c r="E27" s="212" t="str">
        <f>IF(D27="SEGUNDO PAGO O POSTERIORES",E26,IF('RELACIÓN DE FACTURAS'!O29="","",'RELACIÓN DE FACTURAS'!O29))</f>
        <v/>
      </c>
      <c r="F27" s="25" t="str">
        <f>IF(D27="SEGUNDO PAGO O POSTERIORES",F26,IF('RELACIÓN DE FACTURAS'!Q29="","",'RELACIÓN DE FACTURAS'!Q29))</f>
        <v/>
      </c>
      <c r="G27" s="107" t="str">
        <f>IF(D27="","",IF(AND(D27="NUEVA FACTURA",'RELACIÓN DE FACTURAS'!P29=""),"",IF(AND(D27="NUEVA FACTURA",'RELACIÓN DE FACTURAS'!P29&lt;&gt;""),'RELACIÓN DE FACTURAS'!P29,IF(D27="SEGUNDO PAGO O POSTERIORES",G26,""))))</f>
        <v/>
      </c>
      <c r="H27" s="18"/>
      <c r="I27" s="29" t="str">
        <f>IF(D27="","",IF(J27="","REVISAR",IF(OR(J27&lt;EXPEDIENTE!$F$24,J27&gt;EXPEDIENTE!$F$26),"SI","NO")))</f>
        <v/>
      </c>
      <c r="J27" s="110" t="str">
        <f t="shared" si="0"/>
        <v/>
      </c>
      <c r="K27" s="107" t="str">
        <f>IF(D27="","",IF('RELACIÓN DE FACTURAS'!AE29="","",'RELACIÓN DE FACTURAS'!AE29))</f>
        <v/>
      </c>
      <c r="L27" s="18"/>
      <c r="M27" s="29" t="str">
        <f>IF(D27="","",IF(N27="","REVISAR",IF(OR(N27&lt;EXPEDIENTE!$F$24,N27&gt;EXPEDIENTE!$F$28),"SI","NO")))</f>
        <v/>
      </c>
      <c r="N27" s="175" t="str">
        <f t="shared" si="1"/>
        <v/>
      </c>
      <c r="O27" s="176">
        <f>IF(N27&lt;EXPEDIENTE!$H$24,-1,IF(N27&gt;EXPEDIENTE!$H$28,1,0))</f>
        <v>0</v>
      </c>
      <c r="P27" s="177" t="str">
        <f t="shared" si="2"/>
        <v/>
      </c>
      <c r="Q27" s="18"/>
      <c r="R27" s="210"/>
      <c r="S27" s="18" t="str">
        <f t="shared" si="5"/>
        <v/>
      </c>
      <c r="T27" s="29" t="str">
        <f t="shared" si="4"/>
        <v/>
      </c>
      <c r="U27" s="37" t="str">
        <f>IF('RELACIÓN DE FACTURAS'!W29="","",'RELACIÓN DE FACTURAS'!W29)</f>
        <v/>
      </c>
      <c r="V27" s="101" t="str">
        <f>IF('RELACIÓN DE FACTURAS'!X29="","",'RELACIÓN DE FACTURAS'!X29)</f>
        <v/>
      </c>
      <c r="W27" s="34"/>
      <c r="X27" s="104" t="str">
        <f t="shared" si="3"/>
        <v/>
      </c>
      <c r="Y27" s="41"/>
    </row>
    <row r="28" spans="2:25" ht="39.950000000000003" customHeight="1" x14ac:dyDescent="0.2">
      <c r="B28" s="1">
        <f>IF(Y28&lt;&gt;"",MAX($B$6:B27)+1,0)</f>
        <v>0</v>
      </c>
      <c r="C28" s="4">
        <v>23</v>
      </c>
      <c r="D28" s="24" t="str">
        <f>IF('RELACIÓN DE FACTURAS'!N30="","",'RELACIÓN DE FACTURAS'!N30)</f>
        <v/>
      </c>
      <c r="E28" s="212" t="str">
        <f>IF(D28="SEGUNDO PAGO O POSTERIORES",E27,IF('RELACIÓN DE FACTURAS'!O30="","",'RELACIÓN DE FACTURAS'!O30))</f>
        <v/>
      </c>
      <c r="F28" s="25" t="str">
        <f>IF(D28="SEGUNDO PAGO O POSTERIORES",F27,IF('RELACIÓN DE FACTURAS'!Q30="","",'RELACIÓN DE FACTURAS'!Q30))</f>
        <v/>
      </c>
      <c r="G28" s="107" t="str">
        <f>IF(D28="","",IF(AND(D28="NUEVA FACTURA",'RELACIÓN DE FACTURAS'!P30=""),"",IF(AND(D28="NUEVA FACTURA",'RELACIÓN DE FACTURAS'!P30&lt;&gt;""),'RELACIÓN DE FACTURAS'!P30,IF(D28="SEGUNDO PAGO O POSTERIORES",G27,""))))</f>
        <v/>
      </c>
      <c r="H28" s="18"/>
      <c r="I28" s="29" t="str">
        <f>IF(D28="","",IF(J28="","REVISAR",IF(OR(J28&lt;EXPEDIENTE!$F$24,J28&gt;EXPEDIENTE!$F$26),"SI","NO")))</f>
        <v/>
      </c>
      <c r="J28" s="110" t="str">
        <f t="shared" si="0"/>
        <v/>
      </c>
      <c r="K28" s="107" t="str">
        <f>IF(D28="","",IF('RELACIÓN DE FACTURAS'!AE30="","",'RELACIÓN DE FACTURAS'!AE30))</f>
        <v/>
      </c>
      <c r="L28" s="18"/>
      <c r="M28" s="29" t="str">
        <f>IF(D28="","",IF(N28="","REVISAR",IF(OR(N28&lt;EXPEDIENTE!$F$24,N28&gt;EXPEDIENTE!$F$28),"SI","NO")))</f>
        <v/>
      </c>
      <c r="N28" s="175" t="str">
        <f t="shared" si="1"/>
        <v/>
      </c>
      <c r="O28" s="176">
        <f>IF(N28&lt;EXPEDIENTE!$H$24,-1,IF(N28&gt;EXPEDIENTE!$H$28,1,0))</f>
        <v>0</v>
      </c>
      <c r="P28" s="177" t="str">
        <f t="shared" si="2"/>
        <v/>
      </c>
      <c r="Q28" s="18"/>
      <c r="R28" s="210"/>
      <c r="S28" s="18" t="str">
        <f t="shared" si="5"/>
        <v/>
      </c>
      <c r="T28" s="29" t="str">
        <f t="shared" si="4"/>
        <v/>
      </c>
      <c r="U28" s="37" t="str">
        <f>IF('RELACIÓN DE FACTURAS'!W30="","",'RELACIÓN DE FACTURAS'!W30)</f>
        <v/>
      </c>
      <c r="V28" s="101" t="str">
        <f>IF('RELACIÓN DE FACTURAS'!X30="","",'RELACIÓN DE FACTURAS'!X30)</f>
        <v/>
      </c>
      <c r="W28" s="34"/>
      <c r="X28" s="104" t="str">
        <f t="shared" si="3"/>
        <v/>
      </c>
      <c r="Y28" s="41"/>
    </row>
    <row r="29" spans="2:25" ht="39.950000000000003" customHeight="1" x14ac:dyDescent="0.2">
      <c r="B29" s="1">
        <f>IF(Y29&lt;&gt;"",MAX($B$6:B28)+1,0)</f>
        <v>0</v>
      </c>
      <c r="C29" s="4">
        <v>24</v>
      </c>
      <c r="D29" s="24" t="str">
        <f>IF('RELACIÓN DE FACTURAS'!N31="","",'RELACIÓN DE FACTURAS'!N31)</f>
        <v/>
      </c>
      <c r="E29" s="212" t="str">
        <f>IF(D29="SEGUNDO PAGO O POSTERIORES",E28,IF('RELACIÓN DE FACTURAS'!O31="","",'RELACIÓN DE FACTURAS'!O31))</f>
        <v/>
      </c>
      <c r="F29" s="25" t="str">
        <f>IF(D29="SEGUNDO PAGO O POSTERIORES",F28,IF('RELACIÓN DE FACTURAS'!Q31="","",'RELACIÓN DE FACTURAS'!Q31))</f>
        <v/>
      </c>
      <c r="G29" s="107" t="str">
        <f>IF(D29="","",IF(AND(D29="NUEVA FACTURA",'RELACIÓN DE FACTURAS'!P31=""),"",IF(AND(D29="NUEVA FACTURA",'RELACIÓN DE FACTURAS'!P31&lt;&gt;""),'RELACIÓN DE FACTURAS'!P31,IF(D29="SEGUNDO PAGO O POSTERIORES",G28,""))))</f>
        <v/>
      </c>
      <c r="H29" s="18"/>
      <c r="I29" s="29" t="str">
        <f>IF(D29="","",IF(J29="","REVISAR",IF(OR(J29&lt;EXPEDIENTE!$F$24,J29&gt;EXPEDIENTE!$F$26),"SI","NO")))</f>
        <v/>
      </c>
      <c r="J29" s="110" t="str">
        <f t="shared" si="0"/>
        <v/>
      </c>
      <c r="K29" s="107" t="str">
        <f>IF(D29="","",IF('RELACIÓN DE FACTURAS'!AE31="","",'RELACIÓN DE FACTURAS'!AE31))</f>
        <v/>
      </c>
      <c r="L29" s="18"/>
      <c r="M29" s="29" t="str">
        <f>IF(D29="","",IF(N29="","REVISAR",IF(OR(N29&lt;EXPEDIENTE!$F$24,N29&gt;EXPEDIENTE!$F$28),"SI","NO")))</f>
        <v/>
      </c>
      <c r="N29" s="175" t="str">
        <f t="shared" si="1"/>
        <v/>
      </c>
      <c r="O29" s="176">
        <f>IF(N29&lt;EXPEDIENTE!$H$24,-1,IF(N29&gt;EXPEDIENTE!$H$28,1,0))</f>
        <v>0</v>
      </c>
      <c r="P29" s="177" t="str">
        <f t="shared" si="2"/>
        <v/>
      </c>
      <c r="Q29" s="18"/>
      <c r="R29" s="210"/>
      <c r="S29" s="18" t="str">
        <f t="shared" si="5"/>
        <v/>
      </c>
      <c r="T29" s="29" t="str">
        <f t="shared" si="4"/>
        <v/>
      </c>
      <c r="U29" s="37" t="str">
        <f>IF('RELACIÓN DE FACTURAS'!W31="","",'RELACIÓN DE FACTURAS'!W31)</f>
        <v/>
      </c>
      <c r="V29" s="101" t="str">
        <f>IF('RELACIÓN DE FACTURAS'!X31="","",'RELACIÓN DE FACTURAS'!X31)</f>
        <v/>
      </c>
      <c r="W29" s="34"/>
      <c r="X29" s="104" t="str">
        <f t="shared" si="3"/>
        <v/>
      </c>
      <c r="Y29" s="41"/>
    </row>
    <row r="30" spans="2:25" ht="39.950000000000003" customHeight="1" x14ac:dyDescent="0.2">
      <c r="B30" s="1">
        <f>IF(Y30&lt;&gt;"",MAX($B$6:B29)+1,0)</f>
        <v>0</v>
      </c>
      <c r="C30" s="4">
        <v>25</v>
      </c>
      <c r="D30" s="24" t="str">
        <f>IF('RELACIÓN DE FACTURAS'!N32="","",'RELACIÓN DE FACTURAS'!N32)</f>
        <v/>
      </c>
      <c r="E30" s="212" t="str">
        <f>IF(D30="SEGUNDO PAGO O POSTERIORES",E29,IF('RELACIÓN DE FACTURAS'!O32="","",'RELACIÓN DE FACTURAS'!O32))</f>
        <v/>
      </c>
      <c r="F30" s="25" t="str">
        <f>IF(D30="SEGUNDO PAGO O POSTERIORES",F29,IF('RELACIÓN DE FACTURAS'!Q32="","",'RELACIÓN DE FACTURAS'!Q32))</f>
        <v/>
      </c>
      <c r="G30" s="107" t="str">
        <f>IF(D30="","",IF(AND(D30="NUEVA FACTURA",'RELACIÓN DE FACTURAS'!P32=""),"",IF(AND(D30="NUEVA FACTURA",'RELACIÓN DE FACTURAS'!P32&lt;&gt;""),'RELACIÓN DE FACTURAS'!P32,IF(D30="SEGUNDO PAGO O POSTERIORES",G29,""))))</f>
        <v/>
      </c>
      <c r="H30" s="18"/>
      <c r="I30" s="29" t="str">
        <f>IF(D30="","",IF(J30="","REVISAR",IF(OR(J30&lt;EXPEDIENTE!$F$24,J30&gt;EXPEDIENTE!$F$26),"SI","NO")))</f>
        <v/>
      </c>
      <c r="J30" s="110" t="str">
        <f t="shared" si="0"/>
        <v/>
      </c>
      <c r="K30" s="107" t="str">
        <f>IF(D30="","",IF('RELACIÓN DE FACTURAS'!AE32="","",'RELACIÓN DE FACTURAS'!AE32))</f>
        <v/>
      </c>
      <c r="L30" s="18"/>
      <c r="M30" s="29" t="str">
        <f>IF(D30="","",IF(N30="","REVISAR",IF(OR(N30&lt;EXPEDIENTE!$F$24,N30&gt;EXPEDIENTE!$F$28),"SI","NO")))</f>
        <v/>
      </c>
      <c r="N30" s="175" t="str">
        <f t="shared" si="1"/>
        <v/>
      </c>
      <c r="O30" s="176">
        <f>IF(N30&lt;EXPEDIENTE!$H$24,-1,IF(N30&gt;EXPEDIENTE!$H$28,1,0))</f>
        <v>0</v>
      </c>
      <c r="P30" s="177" t="str">
        <f t="shared" si="2"/>
        <v/>
      </c>
      <c r="Q30" s="18"/>
      <c r="R30" s="210"/>
      <c r="S30" s="18" t="str">
        <f t="shared" si="5"/>
        <v/>
      </c>
      <c r="T30" s="29" t="str">
        <f t="shared" si="4"/>
        <v/>
      </c>
      <c r="U30" s="37" t="str">
        <f>IF('RELACIÓN DE FACTURAS'!W32="","",'RELACIÓN DE FACTURAS'!W32)</f>
        <v/>
      </c>
      <c r="V30" s="101" t="str">
        <f>IF('RELACIÓN DE FACTURAS'!X32="","",'RELACIÓN DE FACTURAS'!X32)</f>
        <v/>
      </c>
      <c r="W30" s="34"/>
      <c r="X30" s="104" t="str">
        <f t="shared" si="3"/>
        <v/>
      </c>
      <c r="Y30" s="41"/>
    </row>
    <row r="31" spans="2:25" ht="39.950000000000003" customHeight="1" x14ac:dyDescent="0.2">
      <c r="B31" s="1">
        <f>IF(Y31&lt;&gt;"",MAX($B$6:B30)+1,0)</f>
        <v>0</v>
      </c>
      <c r="C31" s="4">
        <v>26</v>
      </c>
      <c r="D31" s="24" t="str">
        <f>IF('RELACIÓN DE FACTURAS'!N33="","",'RELACIÓN DE FACTURAS'!N33)</f>
        <v/>
      </c>
      <c r="E31" s="212" t="str">
        <f>IF(D31="SEGUNDO PAGO O POSTERIORES",E30,IF('RELACIÓN DE FACTURAS'!O33="","",'RELACIÓN DE FACTURAS'!O33))</f>
        <v/>
      </c>
      <c r="F31" s="25" t="str">
        <f>IF(D31="SEGUNDO PAGO O POSTERIORES",F30,IF('RELACIÓN DE FACTURAS'!Q33="","",'RELACIÓN DE FACTURAS'!Q33))</f>
        <v/>
      </c>
      <c r="G31" s="107" t="str">
        <f>IF(D31="","",IF(AND(D31="NUEVA FACTURA",'RELACIÓN DE FACTURAS'!P33=""),"",IF(AND(D31="NUEVA FACTURA",'RELACIÓN DE FACTURAS'!P33&lt;&gt;""),'RELACIÓN DE FACTURAS'!P33,IF(D31="SEGUNDO PAGO O POSTERIORES",G30,""))))</f>
        <v/>
      </c>
      <c r="H31" s="18"/>
      <c r="I31" s="29" t="str">
        <f>IF(D31="","",IF(J31="","REVISAR",IF(OR(J31&lt;EXPEDIENTE!$F$24,J31&gt;EXPEDIENTE!$F$26),"SI","NO")))</f>
        <v/>
      </c>
      <c r="J31" s="110" t="str">
        <f t="shared" si="0"/>
        <v/>
      </c>
      <c r="K31" s="107" t="str">
        <f>IF(D31="","",IF('RELACIÓN DE FACTURAS'!AE33="","",'RELACIÓN DE FACTURAS'!AE33))</f>
        <v/>
      </c>
      <c r="L31" s="18"/>
      <c r="M31" s="29" t="str">
        <f>IF(D31="","",IF(N31="","REVISAR",IF(OR(N31&lt;EXPEDIENTE!$F$24,N31&gt;EXPEDIENTE!$F$28),"SI","NO")))</f>
        <v/>
      </c>
      <c r="N31" s="175" t="str">
        <f t="shared" si="1"/>
        <v/>
      </c>
      <c r="O31" s="176">
        <f>IF(N31&lt;EXPEDIENTE!$H$24,-1,IF(N31&gt;EXPEDIENTE!$H$28,1,0))</f>
        <v>0</v>
      </c>
      <c r="P31" s="177" t="str">
        <f t="shared" si="2"/>
        <v/>
      </c>
      <c r="Q31" s="18"/>
      <c r="R31" s="210"/>
      <c r="S31" s="18" t="str">
        <f t="shared" si="5"/>
        <v/>
      </c>
      <c r="T31" s="29" t="str">
        <f t="shared" si="4"/>
        <v/>
      </c>
      <c r="U31" s="37" t="str">
        <f>IF('RELACIÓN DE FACTURAS'!W33="","",'RELACIÓN DE FACTURAS'!W33)</f>
        <v/>
      </c>
      <c r="V31" s="101" t="str">
        <f>IF('RELACIÓN DE FACTURAS'!X33="","",'RELACIÓN DE FACTURAS'!X33)</f>
        <v/>
      </c>
      <c r="W31" s="34"/>
      <c r="X31" s="104" t="str">
        <f t="shared" si="3"/>
        <v/>
      </c>
      <c r="Y31" s="41"/>
    </row>
    <row r="32" spans="2:25" ht="39.950000000000003" customHeight="1" x14ac:dyDescent="0.2">
      <c r="B32" s="1">
        <f>IF(Y32&lt;&gt;"",MAX($B$6:B31)+1,0)</f>
        <v>0</v>
      </c>
      <c r="C32" s="4">
        <v>27</v>
      </c>
      <c r="D32" s="24" t="str">
        <f>IF('RELACIÓN DE FACTURAS'!N34="","",'RELACIÓN DE FACTURAS'!N34)</f>
        <v/>
      </c>
      <c r="E32" s="212" t="str">
        <f>IF(D32="SEGUNDO PAGO O POSTERIORES",E31,IF('RELACIÓN DE FACTURAS'!O34="","",'RELACIÓN DE FACTURAS'!O34))</f>
        <v/>
      </c>
      <c r="F32" s="25" t="str">
        <f>IF(D32="SEGUNDO PAGO O POSTERIORES",F31,IF('RELACIÓN DE FACTURAS'!Q34="","",'RELACIÓN DE FACTURAS'!Q34))</f>
        <v/>
      </c>
      <c r="G32" s="107" t="str">
        <f>IF(D32="","",IF(AND(D32="NUEVA FACTURA",'RELACIÓN DE FACTURAS'!P34=""),"",IF(AND(D32="NUEVA FACTURA",'RELACIÓN DE FACTURAS'!P34&lt;&gt;""),'RELACIÓN DE FACTURAS'!P34,IF(D32="SEGUNDO PAGO O POSTERIORES",G31,""))))</f>
        <v/>
      </c>
      <c r="H32" s="18"/>
      <c r="I32" s="29" t="str">
        <f>IF(D32="","",IF(J32="","REVISAR",IF(OR(J32&lt;EXPEDIENTE!$F$24,J32&gt;EXPEDIENTE!$F$26),"SI","NO")))</f>
        <v/>
      </c>
      <c r="J32" s="110" t="str">
        <f t="shared" si="0"/>
        <v/>
      </c>
      <c r="K32" s="107" t="str">
        <f>IF(D32="","",IF('RELACIÓN DE FACTURAS'!AE34="","",'RELACIÓN DE FACTURAS'!AE34))</f>
        <v/>
      </c>
      <c r="L32" s="18"/>
      <c r="M32" s="29" t="str">
        <f>IF(D32="","",IF(N32="","REVISAR",IF(OR(N32&lt;EXPEDIENTE!$F$24,N32&gt;EXPEDIENTE!$F$28),"SI","NO")))</f>
        <v/>
      </c>
      <c r="N32" s="175" t="str">
        <f t="shared" si="1"/>
        <v/>
      </c>
      <c r="O32" s="176">
        <f>IF(N32&lt;EXPEDIENTE!$H$24,-1,IF(N32&gt;EXPEDIENTE!$H$28,1,0))</f>
        <v>0</v>
      </c>
      <c r="P32" s="177" t="str">
        <f t="shared" si="2"/>
        <v/>
      </c>
      <c r="Q32" s="18"/>
      <c r="R32" s="210"/>
      <c r="S32" s="18" t="str">
        <f t="shared" si="5"/>
        <v/>
      </c>
      <c r="T32" s="29" t="str">
        <f t="shared" si="4"/>
        <v/>
      </c>
      <c r="U32" s="37" t="str">
        <f>IF('RELACIÓN DE FACTURAS'!W34="","",'RELACIÓN DE FACTURAS'!W34)</f>
        <v/>
      </c>
      <c r="V32" s="101" t="str">
        <f>IF('RELACIÓN DE FACTURAS'!X34="","",'RELACIÓN DE FACTURAS'!X34)</f>
        <v/>
      </c>
      <c r="W32" s="34"/>
      <c r="X32" s="104" t="str">
        <f t="shared" si="3"/>
        <v/>
      </c>
      <c r="Y32" s="41"/>
    </row>
    <row r="33" spans="2:25" ht="39.950000000000003" customHeight="1" x14ac:dyDescent="0.2">
      <c r="B33" s="1">
        <f>IF(Y33&lt;&gt;"",MAX($B$6:B32)+1,0)</f>
        <v>0</v>
      </c>
      <c r="C33" s="4">
        <v>28</v>
      </c>
      <c r="D33" s="24" t="str">
        <f>IF('RELACIÓN DE FACTURAS'!N35="","",'RELACIÓN DE FACTURAS'!N35)</f>
        <v/>
      </c>
      <c r="E33" s="212" t="str">
        <f>IF(D33="SEGUNDO PAGO O POSTERIORES",E32,IF('RELACIÓN DE FACTURAS'!O35="","",'RELACIÓN DE FACTURAS'!O35))</f>
        <v/>
      </c>
      <c r="F33" s="25" t="str">
        <f>IF(D33="SEGUNDO PAGO O POSTERIORES",F32,IF('RELACIÓN DE FACTURAS'!Q35="","",'RELACIÓN DE FACTURAS'!Q35))</f>
        <v/>
      </c>
      <c r="G33" s="107" t="str">
        <f>IF(D33="","",IF(AND(D33="NUEVA FACTURA",'RELACIÓN DE FACTURAS'!P35=""),"",IF(AND(D33="NUEVA FACTURA",'RELACIÓN DE FACTURAS'!P35&lt;&gt;""),'RELACIÓN DE FACTURAS'!P35,IF(D33="SEGUNDO PAGO O POSTERIORES",G32,""))))</f>
        <v/>
      </c>
      <c r="H33" s="18"/>
      <c r="I33" s="29" t="str">
        <f>IF(D33="","",IF(J33="","REVISAR",IF(OR(J33&lt;EXPEDIENTE!$F$24,J33&gt;EXPEDIENTE!$F$26),"SI","NO")))</f>
        <v/>
      </c>
      <c r="J33" s="110" t="str">
        <f t="shared" si="0"/>
        <v/>
      </c>
      <c r="K33" s="107" t="str">
        <f>IF(D33="","",IF('RELACIÓN DE FACTURAS'!AE35="","",'RELACIÓN DE FACTURAS'!AE35))</f>
        <v/>
      </c>
      <c r="L33" s="18"/>
      <c r="M33" s="29" t="str">
        <f>IF(D33="","",IF(N33="","REVISAR",IF(OR(N33&lt;EXPEDIENTE!$F$24,N33&gt;EXPEDIENTE!$F$28),"SI","NO")))</f>
        <v/>
      </c>
      <c r="N33" s="175" t="str">
        <f t="shared" si="1"/>
        <v/>
      </c>
      <c r="O33" s="176">
        <f>IF(N33&lt;EXPEDIENTE!$H$24,-1,IF(N33&gt;EXPEDIENTE!$H$28,1,0))</f>
        <v>0</v>
      </c>
      <c r="P33" s="177" t="str">
        <f t="shared" si="2"/>
        <v/>
      </c>
      <c r="Q33" s="18"/>
      <c r="R33" s="210"/>
      <c r="S33" s="18" t="str">
        <f t="shared" si="5"/>
        <v/>
      </c>
      <c r="T33" s="29" t="str">
        <f t="shared" si="4"/>
        <v/>
      </c>
      <c r="U33" s="37" t="str">
        <f>IF('RELACIÓN DE FACTURAS'!W35="","",'RELACIÓN DE FACTURAS'!W35)</f>
        <v/>
      </c>
      <c r="V33" s="101" t="str">
        <f>IF('RELACIÓN DE FACTURAS'!X35="","",'RELACIÓN DE FACTURAS'!X35)</f>
        <v/>
      </c>
      <c r="W33" s="34"/>
      <c r="X33" s="104" t="str">
        <f t="shared" si="3"/>
        <v/>
      </c>
      <c r="Y33" s="41"/>
    </row>
    <row r="34" spans="2:25" ht="39.950000000000003" customHeight="1" x14ac:dyDescent="0.2">
      <c r="B34" s="1">
        <f>IF(Y34&lt;&gt;"",MAX($B$6:B33)+1,0)</f>
        <v>0</v>
      </c>
      <c r="C34" s="4">
        <v>29</v>
      </c>
      <c r="D34" s="24" t="str">
        <f>IF('RELACIÓN DE FACTURAS'!N36="","",'RELACIÓN DE FACTURAS'!N36)</f>
        <v/>
      </c>
      <c r="E34" s="212" t="str">
        <f>IF(D34="SEGUNDO PAGO O POSTERIORES",E33,IF('RELACIÓN DE FACTURAS'!O36="","",'RELACIÓN DE FACTURAS'!O36))</f>
        <v/>
      </c>
      <c r="F34" s="25" t="str">
        <f>IF(D34="SEGUNDO PAGO O POSTERIORES",F33,IF('RELACIÓN DE FACTURAS'!Q36="","",'RELACIÓN DE FACTURAS'!Q36))</f>
        <v/>
      </c>
      <c r="G34" s="107" t="str">
        <f>IF(D34="","",IF(AND(D34="NUEVA FACTURA",'RELACIÓN DE FACTURAS'!P36=""),"",IF(AND(D34="NUEVA FACTURA",'RELACIÓN DE FACTURAS'!P36&lt;&gt;""),'RELACIÓN DE FACTURAS'!P36,IF(D34="SEGUNDO PAGO O POSTERIORES",G33,""))))</f>
        <v/>
      </c>
      <c r="H34" s="18"/>
      <c r="I34" s="29" t="str">
        <f>IF(D34="","",IF(J34="","REVISAR",IF(OR(J34&lt;EXPEDIENTE!$F$24,J34&gt;EXPEDIENTE!$F$26),"SI","NO")))</f>
        <v/>
      </c>
      <c r="J34" s="110" t="str">
        <f t="shared" ref="J34:J45" si="6">IF(D34="","",IF(H34&lt;&gt;"",H34,G34))</f>
        <v/>
      </c>
      <c r="K34" s="107" t="str">
        <f>IF(D34="","",IF('RELACIÓN DE FACTURAS'!AE36="","",'RELACIÓN DE FACTURAS'!AE36))</f>
        <v/>
      </c>
      <c r="L34" s="18"/>
      <c r="M34" s="29" t="str">
        <f>IF(D34="","",IF(N34="","REVISAR",IF(OR(N34&lt;EXPEDIENTE!$F$24,N34&gt;EXPEDIENTE!$F$28),"SI","NO")))</f>
        <v/>
      </c>
      <c r="N34" s="175" t="str">
        <f t="shared" ref="N34:N45" si="7">IF(D34="","",IF(L34&lt;&gt;"",L34,K34))</f>
        <v/>
      </c>
      <c r="O34" s="176">
        <f>IF(N34&lt;EXPEDIENTE!$H$24,-1,IF(N34&gt;EXPEDIENTE!$H$28,1,0))</f>
        <v>0</v>
      </c>
      <c r="P34" s="177" t="str">
        <f t="shared" ref="P34:P45" si="8">IF(D34="","",IF(OR(J34="",N34=""),"PDTE",IF(N34-J34&gt;30,"SI","NO")))</f>
        <v/>
      </c>
      <c r="Q34" s="18"/>
      <c r="R34" s="210"/>
      <c r="S34" s="18" t="str">
        <f t="shared" ref="S34:S45" si="9">IF(OR(Q34="",R34=""),"",IF(P34="SI",DATE(YEAR(Q34),MONTH(Q34),DAY(Q34)+R34),""))</f>
        <v/>
      </c>
      <c r="T34" s="29" t="str">
        <f t="shared" ref="T34:T45" si="10">IF(D34="","",IF(AND(P34="NO",Q34="",S34=""),"NO",IF(OR(Q34="",R34="",S34=""),"PDTE",IF(S34&lt;N34,"SI","NO"))))</f>
        <v/>
      </c>
      <c r="U34" s="37" t="str">
        <f>IF('RELACIÓN DE FACTURAS'!W36="","",'RELACIÓN DE FACTURAS'!W36)</f>
        <v/>
      </c>
      <c r="V34" s="101" t="str">
        <f>IF('RELACIÓN DE FACTURAS'!X36="","",'RELACIÓN DE FACTURAS'!X36)</f>
        <v/>
      </c>
      <c r="W34" s="34"/>
      <c r="X34" s="104" t="str">
        <f t="shared" ref="X34:X45" si="11">IF(D34="","",IF(AND(I34="NO",M34="NO",T34="NO",W34="NO"),"OK","NO OK"))</f>
        <v/>
      </c>
      <c r="Y34" s="41"/>
    </row>
    <row r="35" spans="2:25" ht="39.950000000000003" customHeight="1" x14ac:dyDescent="0.2">
      <c r="B35" s="1">
        <f>IF(Y35&lt;&gt;"",MAX($B$6:B34)+1,0)</f>
        <v>0</v>
      </c>
      <c r="C35" s="4">
        <v>30</v>
      </c>
      <c r="D35" s="24" t="str">
        <f>IF('RELACIÓN DE FACTURAS'!N37="","",'RELACIÓN DE FACTURAS'!N37)</f>
        <v/>
      </c>
      <c r="E35" s="212" t="str">
        <f>IF(D35="SEGUNDO PAGO O POSTERIORES",E34,IF('RELACIÓN DE FACTURAS'!O37="","",'RELACIÓN DE FACTURAS'!O37))</f>
        <v/>
      </c>
      <c r="F35" s="25" t="str">
        <f>IF(D35="SEGUNDO PAGO O POSTERIORES",F34,IF('RELACIÓN DE FACTURAS'!Q37="","",'RELACIÓN DE FACTURAS'!Q37))</f>
        <v/>
      </c>
      <c r="G35" s="107" t="str">
        <f>IF(D35="","",IF(AND(D35="NUEVA FACTURA",'RELACIÓN DE FACTURAS'!P37=""),"",IF(AND(D35="NUEVA FACTURA",'RELACIÓN DE FACTURAS'!P37&lt;&gt;""),'RELACIÓN DE FACTURAS'!P37,IF(D35="SEGUNDO PAGO O POSTERIORES",G34,""))))</f>
        <v/>
      </c>
      <c r="H35" s="18"/>
      <c r="I35" s="29" t="str">
        <f>IF(D35="","",IF(J35="","REVISAR",IF(OR(J35&lt;EXPEDIENTE!$F$24,J35&gt;EXPEDIENTE!$F$26),"SI","NO")))</f>
        <v/>
      </c>
      <c r="J35" s="110" t="str">
        <f t="shared" si="6"/>
        <v/>
      </c>
      <c r="K35" s="107" t="str">
        <f>IF(D35="","",IF('RELACIÓN DE FACTURAS'!AE37="","",'RELACIÓN DE FACTURAS'!AE37))</f>
        <v/>
      </c>
      <c r="L35" s="18"/>
      <c r="M35" s="29" t="str">
        <f>IF(D35="","",IF(N35="","REVISAR",IF(OR(N35&lt;EXPEDIENTE!$F$24,N35&gt;EXPEDIENTE!$F$28),"SI","NO")))</f>
        <v/>
      </c>
      <c r="N35" s="175" t="str">
        <f t="shared" si="7"/>
        <v/>
      </c>
      <c r="O35" s="176">
        <f>IF(N35&lt;EXPEDIENTE!$H$24,-1,IF(N35&gt;EXPEDIENTE!$H$28,1,0))</f>
        <v>0</v>
      </c>
      <c r="P35" s="177" t="str">
        <f t="shared" si="8"/>
        <v/>
      </c>
      <c r="Q35" s="18"/>
      <c r="R35" s="210"/>
      <c r="S35" s="18" t="str">
        <f t="shared" si="9"/>
        <v/>
      </c>
      <c r="T35" s="29" t="str">
        <f t="shared" si="10"/>
        <v/>
      </c>
      <c r="U35" s="37" t="str">
        <f>IF('RELACIÓN DE FACTURAS'!W37="","",'RELACIÓN DE FACTURAS'!W37)</f>
        <v/>
      </c>
      <c r="V35" s="101" t="str">
        <f>IF('RELACIÓN DE FACTURAS'!X37="","",'RELACIÓN DE FACTURAS'!X37)</f>
        <v/>
      </c>
      <c r="W35" s="34"/>
      <c r="X35" s="104" t="str">
        <f t="shared" si="11"/>
        <v/>
      </c>
      <c r="Y35" s="41"/>
    </row>
    <row r="36" spans="2:25" ht="39.950000000000003" customHeight="1" x14ac:dyDescent="0.2">
      <c r="B36" s="1">
        <f>IF(Y36&lt;&gt;"",MAX($B$6:B35)+1,0)</f>
        <v>0</v>
      </c>
      <c r="C36" s="4">
        <v>31</v>
      </c>
      <c r="D36" s="24" t="str">
        <f>IF('RELACIÓN DE FACTURAS'!N38="","",'RELACIÓN DE FACTURAS'!N38)</f>
        <v/>
      </c>
      <c r="E36" s="212" t="str">
        <f>IF(D36="SEGUNDO PAGO O POSTERIORES",E35,IF('RELACIÓN DE FACTURAS'!O38="","",'RELACIÓN DE FACTURAS'!O38))</f>
        <v/>
      </c>
      <c r="F36" s="25" t="str">
        <f>IF(D36="SEGUNDO PAGO O POSTERIORES",F35,IF('RELACIÓN DE FACTURAS'!Q38="","",'RELACIÓN DE FACTURAS'!Q38))</f>
        <v/>
      </c>
      <c r="G36" s="107" t="str">
        <f>IF(D36="","",IF(AND(D36="NUEVA FACTURA",'RELACIÓN DE FACTURAS'!P38=""),"",IF(AND(D36="NUEVA FACTURA",'RELACIÓN DE FACTURAS'!P38&lt;&gt;""),'RELACIÓN DE FACTURAS'!P38,IF(D36="SEGUNDO PAGO O POSTERIORES",G35,""))))</f>
        <v/>
      </c>
      <c r="H36" s="18"/>
      <c r="I36" s="29" t="str">
        <f>IF(D36="","",IF(J36="","REVISAR",IF(OR(J36&lt;EXPEDIENTE!$F$24,J36&gt;EXPEDIENTE!$F$26),"SI","NO")))</f>
        <v/>
      </c>
      <c r="J36" s="110" t="str">
        <f t="shared" si="6"/>
        <v/>
      </c>
      <c r="K36" s="107" t="str">
        <f>IF(D36="","",IF('RELACIÓN DE FACTURAS'!AE38="","",'RELACIÓN DE FACTURAS'!AE38))</f>
        <v/>
      </c>
      <c r="L36" s="18"/>
      <c r="M36" s="29" t="str">
        <f>IF(D36="","",IF(N36="","REVISAR",IF(OR(N36&lt;EXPEDIENTE!$F$24,N36&gt;EXPEDIENTE!$F$28),"SI","NO")))</f>
        <v/>
      </c>
      <c r="N36" s="175" t="str">
        <f t="shared" si="7"/>
        <v/>
      </c>
      <c r="O36" s="176">
        <f>IF(N36&lt;EXPEDIENTE!$H$24,-1,IF(N36&gt;EXPEDIENTE!$H$28,1,0))</f>
        <v>0</v>
      </c>
      <c r="P36" s="177" t="str">
        <f t="shared" si="8"/>
        <v/>
      </c>
      <c r="Q36" s="18"/>
      <c r="R36" s="210"/>
      <c r="S36" s="18" t="str">
        <f t="shared" si="9"/>
        <v/>
      </c>
      <c r="T36" s="29" t="str">
        <f t="shared" si="10"/>
        <v/>
      </c>
      <c r="U36" s="37" t="str">
        <f>IF('RELACIÓN DE FACTURAS'!W38="","",'RELACIÓN DE FACTURAS'!W38)</f>
        <v/>
      </c>
      <c r="V36" s="101" t="str">
        <f>IF('RELACIÓN DE FACTURAS'!X38="","",'RELACIÓN DE FACTURAS'!X38)</f>
        <v/>
      </c>
      <c r="W36" s="34"/>
      <c r="X36" s="104" t="str">
        <f t="shared" si="11"/>
        <v/>
      </c>
      <c r="Y36" s="41"/>
    </row>
    <row r="37" spans="2:25" ht="39.950000000000003" customHeight="1" x14ac:dyDescent="0.2">
      <c r="B37" s="1">
        <f>IF(Y37&lt;&gt;"",MAX($B$6:B36)+1,0)</f>
        <v>0</v>
      </c>
      <c r="C37" s="4">
        <v>32</v>
      </c>
      <c r="D37" s="24" t="str">
        <f>IF('RELACIÓN DE FACTURAS'!N39="","",'RELACIÓN DE FACTURAS'!N39)</f>
        <v/>
      </c>
      <c r="E37" s="212" t="str">
        <f>IF(D37="SEGUNDO PAGO O POSTERIORES",E36,IF('RELACIÓN DE FACTURAS'!O39="","",'RELACIÓN DE FACTURAS'!O39))</f>
        <v/>
      </c>
      <c r="F37" s="25" t="str">
        <f>IF(D37="SEGUNDO PAGO O POSTERIORES",F36,IF('RELACIÓN DE FACTURAS'!Q39="","",'RELACIÓN DE FACTURAS'!Q39))</f>
        <v/>
      </c>
      <c r="G37" s="107" t="str">
        <f>IF(D37="","",IF(AND(D37="NUEVA FACTURA",'RELACIÓN DE FACTURAS'!P39=""),"",IF(AND(D37="NUEVA FACTURA",'RELACIÓN DE FACTURAS'!P39&lt;&gt;""),'RELACIÓN DE FACTURAS'!P39,IF(D37="SEGUNDO PAGO O POSTERIORES",G36,""))))</f>
        <v/>
      </c>
      <c r="H37" s="18"/>
      <c r="I37" s="29" t="str">
        <f>IF(D37="","",IF(J37="","REVISAR",IF(OR(J37&lt;EXPEDIENTE!$F$24,J37&gt;EXPEDIENTE!$F$26),"SI","NO")))</f>
        <v/>
      </c>
      <c r="J37" s="110" t="str">
        <f t="shared" si="6"/>
        <v/>
      </c>
      <c r="K37" s="107" t="str">
        <f>IF(D37="","",IF('RELACIÓN DE FACTURAS'!AE39="","",'RELACIÓN DE FACTURAS'!AE39))</f>
        <v/>
      </c>
      <c r="L37" s="18"/>
      <c r="M37" s="29" t="str">
        <f>IF(D37="","",IF(N37="","REVISAR",IF(OR(N37&lt;EXPEDIENTE!$F$24,N37&gt;EXPEDIENTE!$F$28),"SI","NO")))</f>
        <v/>
      </c>
      <c r="N37" s="175" t="str">
        <f t="shared" si="7"/>
        <v/>
      </c>
      <c r="O37" s="176">
        <f>IF(N37&lt;EXPEDIENTE!$H$24,-1,IF(N37&gt;EXPEDIENTE!$H$28,1,0))</f>
        <v>0</v>
      </c>
      <c r="P37" s="177" t="str">
        <f t="shared" si="8"/>
        <v/>
      </c>
      <c r="Q37" s="18"/>
      <c r="R37" s="210"/>
      <c r="S37" s="18" t="str">
        <f t="shared" si="9"/>
        <v/>
      </c>
      <c r="T37" s="29" t="str">
        <f t="shared" si="10"/>
        <v/>
      </c>
      <c r="U37" s="37" t="str">
        <f>IF('RELACIÓN DE FACTURAS'!W39="","",'RELACIÓN DE FACTURAS'!W39)</f>
        <v/>
      </c>
      <c r="V37" s="101" t="str">
        <f>IF('RELACIÓN DE FACTURAS'!X39="","",'RELACIÓN DE FACTURAS'!X39)</f>
        <v/>
      </c>
      <c r="W37" s="34"/>
      <c r="X37" s="104" t="str">
        <f t="shared" si="11"/>
        <v/>
      </c>
      <c r="Y37" s="41"/>
    </row>
    <row r="38" spans="2:25" ht="39.950000000000003" customHeight="1" x14ac:dyDescent="0.2">
      <c r="B38" s="1">
        <f>IF(Y38&lt;&gt;"",MAX($B$6:B37)+1,0)</f>
        <v>0</v>
      </c>
      <c r="C38" s="4">
        <v>33</v>
      </c>
      <c r="D38" s="24" t="str">
        <f>IF('RELACIÓN DE FACTURAS'!N40="","",'RELACIÓN DE FACTURAS'!N40)</f>
        <v/>
      </c>
      <c r="E38" s="212" t="str">
        <f>IF(D38="SEGUNDO PAGO O POSTERIORES",E37,IF('RELACIÓN DE FACTURAS'!O40="","",'RELACIÓN DE FACTURAS'!O40))</f>
        <v/>
      </c>
      <c r="F38" s="25" t="str">
        <f>IF(D38="SEGUNDO PAGO O POSTERIORES",F37,IF('RELACIÓN DE FACTURAS'!Q40="","",'RELACIÓN DE FACTURAS'!Q40))</f>
        <v/>
      </c>
      <c r="G38" s="107" t="str">
        <f>IF(D38="","",IF(AND(D38="NUEVA FACTURA",'RELACIÓN DE FACTURAS'!P40=""),"",IF(AND(D38="NUEVA FACTURA",'RELACIÓN DE FACTURAS'!P40&lt;&gt;""),'RELACIÓN DE FACTURAS'!P40,IF(D38="SEGUNDO PAGO O POSTERIORES",G37,""))))</f>
        <v/>
      </c>
      <c r="H38" s="18"/>
      <c r="I38" s="29" t="str">
        <f>IF(D38="","",IF(J38="","REVISAR",IF(OR(J38&lt;EXPEDIENTE!$F$24,J38&gt;EXPEDIENTE!$F$26),"SI","NO")))</f>
        <v/>
      </c>
      <c r="J38" s="110" t="str">
        <f t="shared" si="6"/>
        <v/>
      </c>
      <c r="K38" s="107" t="str">
        <f>IF(D38="","",IF('RELACIÓN DE FACTURAS'!AE40="","",'RELACIÓN DE FACTURAS'!AE40))</f>
        <v/>
      </c>
      <c r="L38" s="18"/>
      <c r="M38" s="29" t="str">
        <f>IF(D38="","",IF(N38="","REVISAR",IF(OR(N38&lt;EXPEDIENTE!$F$24,N38&gt;EXPEDIENTE!$F$28),"SI","NO")))</f>
        <v/>
      </c>
      <c r="N38" s="175" t="str">
        <f t="shared" si="7"/>
        <v/>
      </c>
      <c r="O38" s="176">
        <f>IF(N38&lt;EXPEDIENTE!$H$24,-1,IF(N38&gt;EXPEDIENTE!$H$28,1,0))</f>
        <v>0</v>
      </c>
      <c r="P38" s="177" t="str">
        <f t="shared" si="8"/>
        <v/>
      </c>
      <c r="Q38" s="18"/>
      <c r="R38" s="210"/>
      <c r="S38" s="18" t="str">
        <f t="shared" si="9"/>
        <v/>
      </c>
      <c r="T38" s="29" t="str">
        <f t="shared" si="10"/>
        <v/>
      </c>
      <c r="U38" s="37" t="str">
        <f>IF('RELACIÓN DE FACTURAS'!W40="","",'RELACIÓN DE FACTURAS'!W40)</f>
        <v/>
      </c>
      <c r="V38" s="101" t="str">
        <f>IF('RELACIÓN DE FACTURAS'!X40="","",'RELACIÓN DE FACTURAS'!X40)</f>
        <v/>
      </c>
      <c r="W38" s="34"/>
      <c r="X38" s="104" t="str">
        <f t="shared" si="11"/>
        <v/>
      </c>
      <c r="Y38" s="41"/>
    </row>
    <row r="39" spans="2:25" ht="39.950000000000003" customHeight="1" x14ac:dyDescent="0.2">
      <c r="B39" s="1">
        <f>IF(Y39&lt;&gt;"",MAX($B$6:B38)+1,0)</f>
        <v>0</v>
      </c>
      <c r="C39" s="4">
        <v>34</v>
      </c>
      <c r="D39" s="24" t="str">
        <f>IF('RELACIÓN DE FACTURAS'!N41="","",'RELACIÓN DE FACTURAS'!N41)</f>
        <v/>
      </c>
      <c r="E39" s="212" t="str">
        <f>IF(D39="SEGUNDO PAGO O POSTERIORES",E38,IF('RELACIÓN DE FACTURAS'!O41="","",'RELACIÓN DE FACTURAS'!O41))</f>
        <v/>
      </c>
      <c r="F39" s="25" t="str">
        <f>IF(D39="SEGUNDO PAGO O POSTERIORES",F38,IF('RELACIÓN DE FACTURAS'!Q41="","",'RELACIÓN DE FACTURAS'!Q41))</f>
        <v/>
      </c>
      <c r="G39" s="107" t="str">
        <f>IF(D39="","",IF(AND(D39="NUEVA FACTURA",'RELACIÓN DE FACTURAS'!P41=""),"",IF(AND(D39="NUEVA FACTURA",'RELACIÓN DE FACTURAS'!P41&lt;&gt;""),'RELACIÓN DE FACTURAS'!P41,IF(D39="SEGUNDO PAGO O POSTERIORES",G38,""))))</f>
        <v/>
      </c>
      <c r="H39" s="18"/>
      <c r="I39" s="29" t="str">
        <f>IF(D39="","",IF(J39="","REVISAR",IF(OR(J39&lt;EXPEDIENTE!$F$24,J39&gt;EXPEDIENTE!$F$26),"SI","NO")))</f>
        <v/>
      </c>
      <c r="J39" s="110" t="str">
        <f t="shared" si="6"/>
        <v/>
      </c>
      <c r="K39" s="107" t="str">
        <f>IF(D39="","",IF('RELACIÓN DE FACTURAS'!AE41="","",'RELACIÓN DE FACTURAS'!AE41))</f>
        <v/>
      </c>
      <c r="L39" s="18"/>
      <c r="M39" s="29" t="str">
        <f>IF(D39="","",IF(N39="","REVISAR",IF(OR(N39&lt;EXPEDIENTE!$F$24,N39&gt;EXPEDIENTE!$F$28),"SI","NO")))</f>
        <v/>
      </c>
      <c r="N39" s="175" t="str">
        <f t="shared" si="7"/>
        <v/>
      </c>
      <c r="O39" s="176">
        <f>IF(N39&lt;EXPEDIENTE!$H$24,-1,IF(N39&gt;EXPEDIENTE!$H$28,1,0))</f>
        <v>0</v>
      </c>
      <c r="P39" s="177" t="str">
        <f t="shared" si="8"/>
        <v/>
      </c>
      <c r="Q39" s="18"/>
      <c r="R39" s="210"/>
      <c r="S39" s="18" t="str">
        <f t="shared" si="9"/>
        <v/>
      </c>
      <c r="T39" s="29" t="str">
        <f t="shared" si="10"/>
        <v/>
      </c>
      <c r="U39" s="37" t="str">
        <f>IF('RELACIÓN DE FACTURAS'!W41="","",'RELACIÓN DE FACTURAS'!W41)</f>
        <v/>
      </c>
      <c r="V39" s="101" t="str">
        <f>IF('RELACIÓN DE FACTURAS'!X41="","",'RELACIÓN DE FACTURAS'!X41)</f>
        <v/>
      </c>
      <c r="W39" s="34"/>
      <c r="X39" s="104" t="str">
        <f t="shared" si="11"/>
        <v/>
      </c>
      <c r="Y39" s="41"/>
    </row>
    <row r="40" spans="2:25" ht="39.950000000000003" customHeight="1" x14ac:dyDescent="0.2">
      <c r="B40" s="1">
        <f>IF(Y40&lt;&gt;"",MAX($B$6:B39)+1,0)</f>
        <v>0</v>
      </c>
      <c r="C40" s="4">
        <v>35</v>
      </c>
      <c r="D40" s="24" t="str">
        <f>IF('RELACIÓN DE FACTURAS'!N42="","",'RELACIÓN DE FACTURAS'!N42)</f>
        <v/>
      </c>
      <c r="E40" s="212" t="str">
        <f>IF(D40="SEGUNDO PAGO O POSTERIORES",E39,IF('RELACIÓN DE FACTURAS'!O42="","",'RELACIÓN DE FACTURAS'!O42))</f>
        <v/>
      </c>
      <c r="F40" s="25" t="str">
        <f>IF(D40="SEGUNDO PAGO O POSTERIORES",F39,IF('RELACIÓN DE FACTURAS'!Q42="","",'RELACIÓN DE FACTURAS'!Q42))</f>
        <v/>
      </c>
      <c r="G40" s="107" t="str">
        <f>IF(D40="","",IF(AND(D40="NUEVA FACTURA",'RELACIÓN DE FACTURAS'!P42=""),"",IF(AND(D40="NUEVA FACTURA",'RELACIÓN DE FACTURAS'!P42&lt;&gt;""),'RELACIÓN DE FACTURAS'!P42,IF(D40="SEGUNDO PAGO O POSTERIORES",G39,""))))</f>
        <v/>
      </c>
      <c r="H40" s="18"/>
      <c r="I40" s="29" t="str">
        <f>IF(D40="","",IF(J40="","REVISAR",IF(OR(J40&lt;EXPEDIENTE!$F$24,J40&gt;EXPEDIENTE!$F$26),"SI","NO")))</f>
        <v/>
      </c>
      <c r="J40" s="110" t="str">
        <f t="shared" si="6"/>
        <v/>
      </c>
      <c r="K40" s="107" t="str">
        <f>IF(D40="","",IF('RELACIÓN DE FACTURAS'!AE42="","",'RELACIÓN DE FACTURAS'!AE42))</f>
        <v/>
      </c>
      <c r="L40" s="18"/>
      <c r="M40" s="29" t="str">
        <f>IF(D40="","",IF(N40="","REVISAR",IF(OR(N40&lt;EXPEDIENTE!$F$24,N40&gt;EXPEDIENTE!$F$28),"SI","NO")))</f>
        <v/>
      </c>
      <c r="N40" s="175" t="str">
        <f t="shared" si="7"/>
        <v/>
      </c>
      <c r="O40" s="176">
        <f>IF(N40&lt;EXPEDIENTE!$H$24,-1,IF(N40&gt;EXPEDIENTE!$H$28,1,0))</f>
        <v>0</v>
      </c>
      <c r="P40" s="177" t="str">
        <f t="shared" si="8"/>
        <v/>
      </c>
      <c r="Q40" s="18"/>
      <c r="R40" s="210"/>
      <c r="S40" s="18" t="str">
        <f t="shared" si="9"/>
        <v/>
      </c>
      <c r="T40" s="29" t="str">
        <f t="shared" si="10"/>
        <v/>
      </c>
      <c r="U40" s="37" t="str">
        <f>IF('RELACIÓN DE FACTURAS'!W42="","",'RELACIÓN DE FACTURAS'!W42)</f>
        <v/>
      </c>
      <c r="V40" s="101" t="str">
        <f>IF('RELACIÓN DE FACTURAS'!X42="","",'RELACIÓN DE FACTURAS'!X42)</f>
        <v/>
      </c>
      <c r="W40" s="34"/>
      <c r="X40" s="104" t="str">
        <f t="shared" si="11"/>
        <v/>
      </c>
      <c r="Y40" s="41"/>
    </row>
    <row r="41" spans="2:25" ht="39.950000000000003" customHeight="1" x14ac:dyDescent="0.2">
      <c r="B41" s="1">
        <f>IF(Y41&lt;&gt;"",MAX($B$6:B40)+1,0)</f>
        <v>0</v>
      </c>
      <c r="C41" s="4">
        <v>36</v>
      </c>
      <c r="D41" s="24" t="str">
        <f>IF('RELACIÓN DE FACTURAS'!N43="","",'RELACIÓN DE FACTURAS'!N43)</f>
        <v/>
      </c>
      <c r="E41" s="212" t="str">
        <f>IF(D41="SEGUNDO PAGO O POSTERIORES",E40,IF('RELACIÓN DE FACTURAS'!O43="","",'RELACIÓN DE FACTURAS'!O43))</f>
        <v/>
      </c>
      <c r="F41" s="25" t="str">
        <f>IF(D41="SEGUNDO PAGO O POSTERIORES",F40,IF('RELACIÓN DE FACTURAS'!Q43="","",'RELACIÓN DE FACTURAS'!Q43))</f>
        <v/>
      </c>
      <c r="G41" s="107" t="str">
        <f>IF(D41="","",IF(AND(D41="NUEVA FACTURA",'RELACIÓN DE FACTURAS'!P43=""),"",IF(AND(D41="NUEVA FACTURA",'RELACIÓN DE FACTURAS'!P43&lt;&gt;""),'RELACIÓN DE FACTURAS'!P43,IF(D41="SEGUNDO PAGO O POSTERIORES",G40,""))))</f>
        <v/>
      </c>
      <c r="H41" s="18"/>
      <c r="I41" s="29" t="str">
        <f>IF(D41="","",IF(J41="","REVISAR",IF(OR(J41&lt;EXPEDIENTE!$F$24,J41&gt;EXPEDIENTE!$F$26),"SI","NO")))</f>
        <v/>
      </c>
      <c r="J41" s="110" t="str">
        <f t="shared" si="6"/>
        <v/>
      </c>
      <c r="K41" s="107" t="str">
        <f>IF(D41="","",IF('RELACIÓN DE FACTURAS'!AE43="","",'RELACIÓN DE FACTURAS'!AE43))</f>
        <v/>
      </c>
      <c r="L41" s="18"/>
      <c r="M41" s="29" t="str">
        <f>IF(D41="","",IF(N41="","REVISAR",IF(OR(N41&lt;EXPEDIENTE!$F$24,N41&gt;EXPEDIENTE!$F$28),"SI","NO")))</f>
        <v/>
      </c>
      <c r="N41" s="175" t="str">
        <f t="shared" si="7"/>
        <v/>
      </c>
      <c r="O41" s="176">
        <f>IF(N41&lt;EXPEDIENTE!$H$24,-1,IF(N41&gt;EXPEDIENTE!$H$28,1,0))</f>
        <v>0</v>
      </c>
      <c r="P41" s="177" t="str">
        <f t="shared" si="8"/>
        <v/>
      </c>
      <c r="Q41" s="18"/>
      <c r="R41" s="210"/>
      <c r="S41" s="18" t="str">
        <f t="shared" si="9"/>
        <v/>
      </c>
      <c r="T41" s="29" t="str">
        <f t="shared" si="10"/>
        <v/>
      </c>
      <c r="U41" s="37" t="str">
        <f>IF('RELACIÓN DE FACTURAS'!W43="","",'RELACIÓN DE FACTURAS'!W43)</f>
        <v/>
      </c>
      <c r="V41" s="101" t="str">
        <f>IF('RELACIÓN DE FACTURAS'!X43="","",'RELACIÓN DE FACTURAS'!X43)</f>
        <v/>
      </c>
      <c r="W41" s="34"/>
      <c r="X41" s="104" t="str">
        <f t="shared" si="11"/>
        <v/>
      </c>
      <c r="Y41" s="41"/>
    </row>
    <row r="42" spans="2:25" ht="39.950000000000003" customHeight="1" x14ac:dyDescent="0.2">
      <c r="B42" s="1">
        <f>IF(Y42&lt;&gt;"",MAX($B$6:B41)+1,0)</f>
        <v>0</v>
      </c>
      <c r="C42" s="4">
        <v>37</v>
      </c>
      <c r="D42" s="24" t="str">
        <f>IF('RELACIÓN DE FACTURAS'!N44="","",'RELACIÓN DE FACTURAS'!N44)</f>
        <v/>
      </c>
      <c r="E42" s="212" t="str">
        <f>IF(D42="SEGUNDO PAGO O POSTERIORES",E41,IF('RELACIÓN DE FACTURAS'!O44="","",'RELACIÓN DE FACTURAS'!O44))</f>
        <v/>
      </c>
      <c r="F42" s="25" t="str">
        <f>IF(D42="SEGUNDO PAGO O POSTERIORES",F41,IF('RELACIÓN DE FACTURAS'!Q44="","",'RELACIÓN DE FACTURAS'!Q44))</f>
        <v/>
      </c>
      <c r="G42" s="107" t="str">
        <f>IF(D42="","",IF(AND(D42="NUEVA FACTURA",'RELACIÓN DE FACTURAS'!P44=""),"",IF(AND(D42="NUEVA FACTURA",'RELACIÓN DE FACTURAS'!P44&lt;&gt;""),'RELACIÓN DE FACTURAS'!P44,IF(D42="SEGUNDO PAGO O POSTERIORES",G41,""))))</f>
        <v/>
      </c>
      <c r="H42" s="18"/>
      <c r="I42" s="29" t="str">
        <f>IF(D42="","",IF(J42="","REVISAR",IF(OR(J42&lt;EXPEDIENTE!$F$24,J42&gt;EXPEDIENTE!$F$26),"SI","NO")))</f>
        <v/>
      </c>
      <c r="J42" s="110" t="str">
        <f t="shared" si="6"/>
        <v/>
      </c>
      <c r="K42" s="107" t="str">
        <f>IF(D42="","",IF('RELACIÓN DE FACTURAS'!AE44="","",'RELACIÓN DE FACTURAS'!AE44))</f>
        <v/>
      </c>
      <c r="L42" s="18"/>
      <c r="M42" s="29" t="str">
        <f>IF(D42="","",IF(N42="","REVISAR",IF(OR(N42&lt;EXPEDIENTE!$F$24,N42&gt;EXPEDIENTE!$F$28),"SI","NO")))</f>
        <v/>
      </c>
      <c r="N42" s="175" t="str">
        <f t="shared" si="7"/>
        <v/>
      </c>
      <c r="O42" s="176">
        <f>IF(N42&lt;EXPEDIENTE!$H$24,-1,IF(N42&gt;EXPEDIENTE!$H$28,1,0))</f>
        <v>0</v>
      </c>
      <c r="P42" s="177" t="str">
        <f t="shared" si="8"/>
        <v/>
      </c>
      <c r="Q42" s="18"/>
      <c r="R42" s="210"/>
      <c r="S42" s="18" t="str">
        <f t="shared" si="9"/>
        <v/>
      </c>
      <c r="T42" s="29" t="str">
        <f t="shared" si="10"/>
        <v/>
      </c>
      <c r="U42" s="37" t="str">
        <f>IF('RELACIÓN DE FACTURAS'!W44="","",'RELACIÓN DE FACTURAS'!W44)</f>
        <v/>
      </c>
      <c r="V42" s="101" t="str">
        <f>IF('RELACIÓN DE FACTURAS'!X44="","",'RELACIÓN DE FACTURAS'!X44)</f>
        <v/>
      </c>
      <c r="W42" s="34"/>
      <c r="X42" s="104" t="str">
        <f t="shared" si="11"/>
        <v/>
      </c>
      <c r="Y42" s="41"/>
    </row>
    <row r="43" spans="2:25" ht="39.950000000000003" customHeight="1" x14ac:dyDescent="0.2">
      <c r="B43" s="1">
        <f>IF(Y43&lt;&gt;"",MAX($B$6:B42)+1,0)</f>
        <v>0</v>
      </c>
      <c r="C43" s="4">
        <v>38</v>
      </c>
      <c r="D43" s="24" t="str">
        <f>IF('RELACIÓN DE FACTURAS'!N45="","",'RELACIÓN DE FACTURAS'!N45)</f>
        <v/>
      </c>
      <c r="E43" s="212" t="str">
        <f>IF(D43="SEGUNDO PAGO O POSTERIORES",E42,IF('RELACIÓN DE FACTURAS'!O45="","",'RELACIÓN DE FACTURAS'!O45))</f>
        <v/>
      </c>
      <c r="F43" s="25" t="str">
        <f>IF(D43="SEGUNDO PAGO O POSTERIORES",F42,IF('RELACIÓN DE FACTURAS'!Q45="","",'RELACIÓN DE FACTURAS'!Q45))</f>
        <v/>
      </c>
      <c r="G43" s="107" t="str">
        <f>IF(D43="","",IF(AND(D43="NUEVA FACTURA",'RELACIÓN DE FACTURAS'!P45=""),"",IF(AND(D43="NUEVA FACTURA",'RELACIÓN DE FACTURAS'!P45&lt;&gt;""),'RELACIÓN DE FACTURAS'!P45,IF(D43="SEGUNDO PAGO O POSTERIORES",G42,""))))</f>
        <v/>
      </c>
      <c r="H43" s="18"/>
      <c r="I43" s="29" t="str">
        <f>IF(D43="","",IF(J43="","REVISAR",IF(OR(J43&lt;EXPEDIENTE!$F$24,J43&gt;EXPEDIENTE!$F$26),"SI","NO")))</f>
        <v/>
      </c>
      <c r="J43" s="110" t="str">
        <f t="shared" si="6"/>
        <v/>
      </c>
      <c r="K43" s="107" t="str">
        <f>IF(D43="","",IF('RELACIÓN DE FACTURAS'!AE45="","",'RELACIÓN DE FACTURAS'!AE45))</f>
        <v/>
      </c>
      <c r="L43" s="18"/>
      <c r="M43" s="29" t="str">
        <f>IF(D43="","",IF(N43="","REVISAR",IF(OR(N43&lt;EXPEDIENTE!$F$24,N43&gt;EXPEDIENTE!$F$28),"SI","NO")))</f>
        <v/>
      </c>
      <c r="N43" s="175" t="str">
        <f t="shared" si="7"/>
        <v/>
      </c>
      <c r="O43" s="176">
        <f>IF(N43&lt;EXPEDIENTE!$H$24,-1,IF(N43&gt;EXPEDIENTE!$H$28,1,0))</f>
        <v>0</v>
      </c>
      <c r="P43" s="177" t="str">
        <f t="shared" si="8"/>
        <v/>
      </c>
      <c r="Q43" s="18"/>
      <c r="R43" s="210"/>
      <c r="S43" s="18" t="str">
        <f t="shared" si="9"/>
        <v/>
      </c>
      <c r="T43" s="29" t="str">
        <f t="shared" si="10"/>
        <v/>
      </c>
      <c r="U43" s="37" t="str">
        <f>IF('RELACIÓN DE FACTURAS'!W45="","",'RELACIÓN DE FACTURAS'!W45)</f>
        <v/>
      </c>
      <c r="V43" s="101" t="str">
        <f>IF('RELACIÓN DE FACTURAS'!X45="","",'RELACIÓN DE FACTURAS'!X45)</f>
        <v/>
      </c>
      <c r="W43" s="34"/>
      <c r="X43" s="104" t="str">
        <f t="shared" si="11"/>
        <v/>
      </c>
      <c r="Y43" s="41"/>
    </row>
    <row r="44" spans="2:25" ht="39.950000000000003" customHeight="1" x14ac:dyDescent="0.2">
      <c r="B44" s="1">
        <f>IF(Y44&lt;&gt;"",MAX($B$6:B43)+1,0)</f>
        <v>0</v>
      </c>
      <c r="C44" s="4">
        <v>39</v>
      </c>
      <c r="D44" s="24" t="str">
        <f>IF('RELACIÓN DE FACTURAS'!N46="","",'RELACIÓN DE FACTURAS'!N46)</f>
        <v/>
      </c>
      <c r="E44" s="212" t="str">
        <f>IF(D44="SEGUNDO PAGO O POSTERIORES",E43,IF('RELACIÓN DE FACTURAS'!O46="","",'RELACIÓN DE FACTURAS'!O46))</f>
        <v/>
      </c>
      <c r="F44" s="25" t="str">
        <f>IF(D44="SEGUNDO PAGO O POSTERIORES",F43,IF('RELACIÓN DE FACTURAS'!Q46="","",'RELACIÓN DE FACTURAS'!Q46))</f>
        <v/>
      </c>
      <c r="G44" s="107" t="str">
        <f>IF(D44="","",IF(AND(D44="NUEVA FACTURA",'RELACIÓN DE FACTURAS'!P46=""),"",IF(AND(D44="NUEVA FACTURA",'RELACIÓN DE FACTURAS'!P46&lt;&gt;""),'RELACIÓN DE FACTURAS'!P46,IF(D44="SEGUNDO PAGO O POSTERIORES",G43,""))))</f>
        <v/>
      </c>
      <c r="H44" s="18"/>
      <c r="I44" s="29" t="str">
        <f>IF(D44="","",IF(J44="","REVISAR",IF(OR(J44&lt;EXPEDIENTE!$F$24,J44&gt;EXPEDIENTE!$F$26),"SI","NO")))</f>
        <v/>
      </c>
      <c r="J44" s="110" t="str">
        <f t="shared" si="6"/>
        <v/>
      </c>
      <c r="K44" s="107" t="str">
        <f>IF(D44="","",IF('RELACIÓN DE FACTURAS'!AE46="","",'RELACIÓN DE FACTURAS'!AE46))</f>
        <v/>
      </c>
      <c r="L44" s="18"/>
      <c r="M44" s="29" t="str">
        <f>IF(D44="","",IF(N44="","REVISAR",IF(OR(N44&lt;EXPEDIENTE!$F$24,N44&gt;EXPEDIENTE!$F$28),"SI","NO")))</f>
        <v/>
      </c>
      <c r="N44" s="175" t="str">
        <f t="shared" si="7"/>
        <v/>
      </c>
      <c r="O44" s="176">
        <f>IF(N44&lt;EXPEDIENTE!$H$24,-1,IF(N44&gt;EXPEDIENTE!$H$28,1,0))</f>
        <v>0</v>
      </c>
      <c r="P44" s="177" t="str">
        <f t="shared" si="8"/>
        <v/>
      </c>
      <c r="Q44" s="18"/>
      <c r="R44" s="210"/>
      <c r="S44" s="18" t="str">
        <f t="shared" si="9"/>
        <v/>
      </c>
      <c r="T44" s="29" t="str">
        <f t="shared" si="10"/>
        <v/>
      </c>
      <c r="U44" s="37" t="str">
        <f>IF('RELACIÓN DE FACTURAS'!W46="","",'RELACIÓN DE FACTURAS'!W46)</f>
        <v/>
      </c>
      <c r="V44" s="101" t="str">
        <f>IF('RELACIÓN DE FACTURAS'!X46="","",'RELACIÓN DE FACTURAS'!X46)</f>
        <v/>
      </c>
      <c r="W44" s="34"/>
      <c r="X44" s="104" t="str">
        <f t="shared" si="11"/>
        <v/>
      </c>
      <c r="Y44" s="41"/>
    </row>
    <row r="45" spans="2:25" ht="39.950000000000003" customHeight="1" thickBot="1" x14ac:dyDescent="0.25">
      <c r="B45" s="1">
        <f>IF(Y45&lt;&gt;"",MAX($B$6:B44)+1,0)</f>
        <v>0</v>
      </c>
      <c r="C45" s="4">
        <v>40</v>
      </c>
      <c r="D45" s="26" t="str">
        <f>IF('RELACIÓN DE FACTURAS'!N47="","",'RELACIÓN DE FACTURAS'!N47)</f>
        <v/>
      </c>
      <c r="E45" s="213" t="str">
        <f>IF(D45="SEGUNDO PAGO O POSTERIORES",E44,IF('RELACIÓN DE FACTURAS'!O47="","",'RELACIÓN DE FACTURAS'!O47))</f>
        <v/>
      </c>
      <c r="F45" s="27" t="str">
        <f>IF(D45="SEGUNDO PAGO O POSTERIORES",F44,IF('RELACIÓN DE FACTURAS'!Q47="","",'RELACIÓN DE FACTURAS'!Q47))</f>
        <v/>
      </c>
      <c r="G45" s="108" t="str">
        <f>IF(D45="","",IF(AND(D45="NUEVA FACTURA",'RELACIÓN DE FACTURAS'!P47=""),"",IF(AND(D45="NUEVA FACTURA",'RELACIÓN DE FACTURAS'!P47&lt;&gt;""),'RELACIÓN DE FACTURAS'!P47,IF(D45="SEGUNDO PAGO O POSTERIORES",G44,""))))</f>
        <v/>
      </c>
      <c r="H45" s="32"/>
      <c r="I45" s="30" t="str">
        <f>IF(D45="","",IF(J45="","REVISAR",IF(OR(J45&lt;EXPEDIENTE!$F$24,J45&gt;EXPEDIENTE!$F$26),"SI","NO")))</f>
        <v/>
      </c>
      <c r="J45" s="111" t="str">
        <f t="shared" si="6"/>
        <v/>
      </c>
      <c r="K45" s="108" t="str">
        <f>IF(D45="","",IF('RELACIÓN DE FACTURAS'!AE47="","",'RELACIÓN DE FACTURAS'!AE47))</f>
        <v/>
      </c>
      <c r="L45" s="32"/>
      <c r="M45" s="30" t="str">
        <f>IF(D45="","",IF(N45="","REVISAR",IF(OR(N45&lt;EXPEDIENTE!$F$24,N45&gt;EXPEDIENTE!$F$28),"SI","NO")))</f>
        <v/>
      </c>
      <c r="N45" s="175" t="str">
        <f t="shared" si="7"/>
        <v/>
      </c>
      <c r="O45" s="176">
        <f>IF(N45&lt;EXPEDIENTE!$H$24,-1,IF(N45&gt;EXPEDIENTE!$H$28,1,0))</f>
        <v>0</v>
      </c>
      <c r="P45" s="178" t="str">
        <f t="shared" si="8"/>
        <v/>
      </c>
      <c r="Q45" s="32"/>
      <c r="R45" s="215"/>
      <c r="S45" s="32" t="str">
        <f t="shared" si="9"/>
        <v/>
      </c>
      <c r="T45" s="30" t="str">
        <f t="shared" si="10"/>
        <v/>
      </c>
      <c r="U45" s="38" t="str">
        <f>IF('RELACIÓN DE FACTURAS'!W47="","",'RELACIÓN DE FACTURAS'!W47)</f>
        <v/>
      </c>
      <c r="V45" s="102" t="str">
        <f>IF('RELACIÓN DE FACTURAS'!X47="","",'RELACIÓN DE FACTURAS'!X47)</f>
        <v/>
      </c>
      <c r="W45" s="35"/>
      <c r="X45" s="105" t="str">
        <f t="shared" si="11"/>
        <v/>
      </c>
      <c r="Y45" s="42"/>
    </row>
    <row r="46" spans="2:25" x14ac:dyDescent="0.2">
      <c r="G46" s="3"/>
      <c r="H46" s="3"/>
      <c r="J46" s="3"/>
      <c r="K46" s="3"/>
      <c r="L46" s="3"/>
      <c r="N46" s="3"/>
      <c r="O46" s="3"/>
    </row>
    <row r="47" spans="2:25" x14ac:dyDescent="0.2">
      <c r="U47" s="223">
        <f>SUM(U6:U45)</f>
        <v>0</v>
      </c>
      <c r="V47" s="223">
        <f>SUM(V6:V45)</f>
        <v>0</v>
      </c>
    </row>
  </sheetData>
  <sheetProtection algorithmName="SHA-512" hashValue="HWgKIZGLJKySk0bkMymJCpaXn9Xh9x4jxwRZPhq/NoVKJKxXHeFVNinueyFlynwP0Y2NiqEvc86FZ4pN0p7c9g==" saltValue="p9oJj2+trQKXxpDMd1WDIA==" spinCount="100000" sheet="1" objects="1" scenarios="1" selectLockedCells="1" selectUnlockedCells="1"/>
  <mergeCells count="20">
    <mergeCell ref="D3:F4"/>
    <mergeCell ref="I4:I5"/>
    <mergeCell ref="G3:I3"/>
    <mergeCell ref="K3:M3"/>
    <mergeCell ref="M4:M5"/>
    <mergeCell ref="J3:J5"/>
    <mergeCell ref="P3:P5"/>
    <mergeCell ref="Q4:Q5"/>
    <mergeCell ref="S4:S5"/>
    <mergeCell ref="T4:T5"/>
    <mergeCell ref="N3:N5"/>
    <mergeCell ref="O3:O5"/>
    <mergeCell ref="Q3:T3"/>
    <mergeCell ref="R4:R5"/>
    <mergeCell ref="W3:W5"/>
    <mergeCell ref="X3:X5"/>
    <mergeCell ref="Y3:Y5"/>
    <mergeCell ref="U3:V3"/>
    <mergeCell ref="U4:U5"/>
    <mergeCell ref="V4:V5"/>
  </mergeCells>
  <conditionalFormatting sqref="A2:Y47">
    <cfRule type="expression" dxfId="36" priority="1" stopIfTrue="1">
      <formula>$C$1&lt;&gt;1</formula>
    </cfRule>
  </conditionalFormatting>
  <conditionalFormatting sqref="H6:H45">
    <cfRule type="expression" dxfId="35" priority="41" stopIfTrue="1">
      <formula>AND($D6&lt;&gt;"",$G6="",$H6&lt;&gt;"")</formula>
    </cfRule>
    <cfRule type="expression" dxfId="34" priority="42">
      <formula>AND($D6&lt;&gt;"",$G6="")</formula>
    </cfRule>
    <cfRule type="expression" dxfId="33" priority="78">
      <formula>AND($D6&lt;&gt;"",$G6&lt;&gt;"",$H6&lt;&gt;"")</formula>
    </cfRule>
  </conditionalFormatting>
  <conditionalFormatting sqref="I6:J45">
    <cfRule type="expression" dxfId="32" priority="40">
      <formula>$I6="REVISAR"</formula>
    </cfRule>
  </conditionalFormatting>
  <conditionalFormatting sqref="L6:L45">
    <cfRule type="expression" dxfId="31" priority="74" stopIfTrue="1">
      <formula>AND($D6&lt;&gt;"",$K6="",$L6&lt;&gt;"")</formula>
    </cfRule>
    <cfRule type="expression" dxfId="30" priority="75">
      <formula>AND($D6&lt;&gt;"",$K6="")</formula>
    </cfRule>
    <cfRule type="expression" dxfId="29" priority="76">
      <formula>AND($D6&lt;&gt;"",$K6&lt;&gt;"",$L6&lt;&gt;"")</formula>
    </cfRule>
  </conditionalFormatting>
  <conditionalFormatting sqref="M6:O45">
    <cfRule type="expression" dxfId="28" priority="37">
      <formula>$M6="REVISAR"</formula>
    </cfRule>
  </conditionalFormatting>
  <conditionalFormatting sqref="P6:P45">
    <cfRule type="cellIs" dxfId="27" priority="34" operator="equal">
      <formula>"PDTE"</formula>
    </cfRule>
  </conditionalFormatting>
  <conditionalFormatting sqref="Q6:R45">
    <cfRule type="expression" dxfId="26" priority="121" stopIfTrue="1">
      <formula>AND(OR($P6="SI",$P6="PDTE"),$Q6&lt;&gt;"")</formula>
    </cfRule>
    <cfRule type="expression" dxfId="25" priority="122">
      <formula>AND($P6="NO",$Q6&lt;&gt;"")</formula>
    </cfRule>
  </conditionalFormatting>
  <conditionalFormatting sqref="Q6:T45">
    <cfRule type="expression" dxfId="24" priority="36">
      <formula>$T6="PDTE"</formula>
    </cfRule>
  </conditionalFormatting>
  <conditionalFormatting sqref="R6:R45">
    <cfRule type="expression" dxfId="23" priority="123" stopIfTrue="1">
      <formula>AND(OR($P6="SI",$P6="PDTE"),$Q6&lt;&gt;"")</formula>
    </cfRule>
    <cfRule type="expression" dxfId="22" priority="124">
      <formula>$T6="PDTE"</formula>
    </cfRule>
    <cfRule type="expression" dxfId="21" priority="125">
      <formula>AND($P6="NO",$Q6&lt;&gt;"")</formula>
    </cfRule>
    <cfRule type="cellIs" dxfId="20" priority="126" operator="equal">
      <formula>"PDTE"</formula>
    </cfRule>
  </conditionalFormatting>
  <conditionalFormatting sqref="R12">
    <cfRule type="expression" dxfId="19" priority="127" stopIfTrue="1">
      <formula>AND(OR($P12="SI",$P12="PDTE"),$Q12&lt;&gt;"")</formula>
    </cfRule>
    <cfRule type="expression" dxfId="18" priority="128">
      <formula>$T12="PDTE"</formula>
    </cfRule>
    <cfRule type="expression" dxfId="17" priority="129">
      <formula>AND($P12="NO",$Q12&lt;&gt;"")</formula>
    </cfRule>
    <cfRule type="cellIs" dxfId="16" priority="130" operator="equal">
      <formula>"PDTE"</formula>
    </cfRule>
    <cfRule type="expression" dxfId="15" priority="131" stopIfTrue="1">
      <formula>AND(OR($P12="SI",$P12="PDTE"),$Q12&lt;&gt;"")</formula>
    </cfRule>
    <cfRule type="expression" dxfId="14" priority="132">
      <formula>$T12="PDTE"</formula>
    </cfRule>
    <cfRule type="expression" dxfId="13" priority="133">
      <formula>AND($P12="NO",$Q12&lt;&gt;"")</formula>
    </cfRule>
    <cfRule type="cellIs" dxfId="12" priority="134" operator="equal">
      <formula>"PDTE"</formula>
    </cfRule>
  </conditionalFormatting>
  <conditionalFormatting sqref="S6:S45">
    <cfRule type="expression" dxfId="11" priority="135" stopIfTrue="1">
      <formula>AND(OR($P6="SI",$P6="PDTE"),$S6&lt;&gt;"")</formula>
    </cfRule>
    <cfRule type="expression" dxfId="10" priority="136">
      <formula>AND($P6="NO",$S6&lt;&gt;"")</formula>
    </cfRule>
  </conditionalFormatting>
  <conditionalFormatting sqref="V6:V45">
    <cfRule type="expression" dxfId="9" priority="28">
      <formula>$V6&lt;&gt;$U6</formula>
    </cfRule>
  </conditionalFormatting>
  <conditionalFormatting sqref="Y6:Y45">
    <cfRule type="expression" dxfId="8" priority="23" stopIfTrue="1">
      <formula>AND($Y6="",OR($X6="NO OK",$P6="SI",$U6&lt;&gt;$V6))</formula>
    </cfRule>
    <cfRule type="expression" dxfId="7" priority="27" stopIfTrue="1">
      <formula>OR(AND($X6="NO OK",$Y6&lt;&gt;""),AND($X6="OK",$U6&lt;&gt;$V6),AND($X6="OK",$P6="SI"))</formula>
    </cfRule>
    <cfRule type="expression" dxfId="6" priority="43">
      <formula>AND($X6="OK",$Y6&lt;&gt;"")</formula>
    </cfRule>
  </conditionalFormatting>
  <dataValidations count="1">
    <dataValidation type="list" allowBlank="1" showInputMessage="1" showErrorMessage="1" sqref="W6:W45" xr:uid="{00000000-0002-0000-0500-000000000000}">
      <formula1>"SI,NO"</formula1>
    </dataValidation>
  </dataValidations>
  <pageMargins left="0.19685039370078741" right="0.19685039370078741" top="0.19685039370078741" bottom="0.19685039370078741" header="0.31496062992125984" footer="0.31496062992125984"/>
  <pageSetup paperSize="8"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43"/>
  <sheetViews>
    <sheetView showGridLines="0" zoomScaleNormal="100" workbookViewId="0"/>
  </sheetViews>
  <sheetFormatPr baseColWidth="10" defaultColWidth="11.42578125" defaultRowHeight="13.5" x14ac:dyDescent="0.25"/>
  <cols>
    <col min="1" max="1" width="1.7109375" style="5" customWidth="1"/>
    <col min="2" max="2" width="5.7109375" style="5" customWidth="1"/>
    <col min="3" max="3" width="15.7109375" style="5" customWidth="1"/>
    <col min="4" max="4" width="30.7109375" style="5" customWidth="1"/>
    <col min="5" max="5" width="45.85546875" style="5" customWidth="1"/>
    <col min="6" max="6" width="11.42578125" style="5"/>
    <col min="7" max="7" width="11.42578125" style="5" customWidth="1"/>
    <col min="8" max="16384" width="11.42578125" style="5"/>
  </cols>
  <sheetData>
    <row r="1" spans="2:5" x14ac:dyDescent="0.25">
      <c r="B1" s="5" t="str">
        <f>IF(EXPEDIENTE!A1=0,"",EXPEDIENTE!A1)</f>
        <v/>
      </c>
    </row>
    <row r="3" spans="2:5" x14ac:dyDescent="0.25">
      <c r="C3" s="356" t="s">
        <v>182</v>
      </c>
      <c r="D3" s="356"/>
    </row>
    <row r="4" spans="2:5" ht="26.25" customHeight="1" x14ac:dyDescent="0.25">
      <c r="C4" s="224" t="s">
        <v>183</v>
      </c>
      <c r="D4" s="63">
        <f>'RELACIÓN DE FACTURAS'!W48</f>
        <v>0</v>
      </c>
    </row>
    <row r="5" spans="2:5" ht="26.25" customHeight="1" x14ac:dyDescent="0.25">
      <c r="C5" s="224" t="s">
        <v>184</v>
      </c>
      <c r="D5" s="63">
        <f>PAGOS!V47</f>
        <v>0</v>
      </c>
    </row>
    <row r="7" spans="2:5" x14ac:dyDescent="0.25">
      <c r="C7" s="356" t="s">
        <v>93</v>
      </c>
      <c r="D7" s="356"/>
    </row>
    <row r="8" spans="2:5" ht="26.25" customHeight="1" x14ac:dyDescent="0.25">
      <c r="C8" s="133" t="s">
        <v>94</v>
      </c>
      <c r="D8" s="18" t="str">
        <f>IF(MIN(PAGOS!$N$6:$N$45)=0,"",MIN(PAGOS!$N$6:$N$45))</f>
        <v/>
      </c>
    </row>
    <row r="9" spans="2:5" ht="26.25" customHeight="1" x14ac:dyDescent="0.25">
      <c r="C9" s="133" t="s">
        <v>95</v>
      </c>
      <c r="D9" s="18" t="str">
        <f>IF(MAX(PAGOS!$N$6:$N$45)=0,"",MAX(PAGOS!$N$6:$N$45))</f>
        <v/>
      </c>
    </row>
    <row r="10" spans="2:5" ht="25.5" x14ac:dyDescent="0.25">
      <c r="C10" s="134" t="s">
        <v>96</v>
      </c>
      <c r="D10" s="18" t="str">
        <f>IF(_xlfn.MINIFS(PAGOS!N6:N45,PAGOS!O6:O45,0)=0,"",_xlfn.MINIFS(PAGOS!N6:N45,PAGOS!O6:O45,0))</f>
        <v/>
      </c>
    </row>
    <row r="11" spans="2:5" ht="26.25" customHeight="1" x14ac:dyDescent="0.25">
      <c r="C11" s="134" t="s">
        <v>97</v>
      </c>
      <c r="D11" s="18" t="str">
        <f>IF(_xlfn.MAXIFS(PAGOS!N6:N45,PAGOS!O6:O45,0)=0,"",_xlfn.MAXIFS(PAGOS!N6:N45,PAGOS!O6:O45,0))</f>
        <v/>
      </c>
    </row>
    <row r="13" spans="2:5" s="7" customFormat="1" ht="12.75" x14ac:dyDescent="0.2">
      <c r="C13" s="39" t="s">
        <v>51</v>
      </c>
      <c r="D13" s="39" t="s">
        <v>1</v>
      </c>
      <c r="E13" s="39" t="s">
        <v>7</v>
      </c>
    </row>
    <row r="14" spans="2:5" ht="24.95" customHeight="1" x14ac:dyDescent="0.25">
      <c r="B14" s="1">
        <v>1</v>
      </c>
      <c r="C14" s="221" t="str">
        <f>IFERROR(VLOOKUP($B14,PAGOS!$B$6:$Y$45,4,0),"")</f>
        <v/>
      </c>
      <c r="D14" s="222" t="str">
        <f>IFERROR(VLOOKUP($B14,PAGOS!$B$6:$Y$45,5,0),"")</f>
        <v/>
      </c>
      <c r="E14" s="222" t="str">
        <f>IFERROR(VLOOKUP($B14,PAGOS!$B$6:$Y$45,24,0),"")</f>
        <v/>
      </c>
    </row>
    <row r="15" spans="2:5" ht="24.95" customHeight="1" x14ac:dyDescent="0.25">
      <c r="B15" s="1">
        <v>2</v>
      </c>
      <c r="C15" s="221" t="str">
        <f>IFERROR(VLOOKUP($B15,PAGOS!$B$6:$Y$45,4,0),"")</f>
        <v/>
      </c>
      <c r="D15" s="222" t="str">
        <f>IFERROR(VLOOKUP($B15,PAGOS!$B$6:$Y$45,5,0),"")</f>
        <v/>
      </c>
      <c r="E15" s="222" t="str">
        <f>IFERROR(VLOOKUP($B15,PAGOS!$B$6:$Y$45,24,0),"")</f>
        <v/>
      </c>
    </row>
    <row r="16" spans="2:5" ht="24.95" customHeight="1" x14ac:dyDescent="0.25">
      <c r="B16" s="1">
        <v>3</v>
      </c>
      <c r="C16" s="221" t="str">
        <f>IFERROR(VLOOKUP($B16,PAGOS!$B$6:$Y$45,4,0),"")</f>
        <v/>
      </c>
      <c r="D16" s="222" t="str">
        <f>IFERROR(VLOOKUP($B16,PAGOS!$B$6:$Y$45,5,0),"")</f>
        <v/>
      </c>
      <c r="E16" s="222" t="str">
        <f>IFERROR(VLOOKUP($B16,PAGOS!$B$6:$Y$45,24,0),"")</f>
        <v/>
      </c>
    </row>
    <row r="17" spans="2:5" ht="24.95" customHeight="1" x14ac:dyDescent="0.25">
      <c r="B17" s="1">
        <v>4</v>
      </c>
      <c r="C17" s="221" t="str">
        <f>IFERROR(VLOOKUP($B17,PAGOS!$B$6:$Y$45,4,0),"")</f>
        <v/>
      </c>
      <c r="D17" s="222" t="str">
        <f>IFERROR(VLOOKUP($B17,PAGOS!$B$6:$Y$45,5,0),"")</f>
        <v/>
      </c>
      <c r="E17" s="222" t="str">
        <f>IFERROR(VLOOKUP($B17,PAGOS!$B$6:$Y$45,24,0),"")</f>
        <v/>
      </c>
    </row>
    <row r="18" spans="2:5" ht="24.95" customHeight="1" x14ac:dyDescent="0.25">
      <c r="B18" s="1">
        <v>5</v>
      </c>
      <c r="C18" s="221" t="str">
        <f>IFERROR(VLOOKUP($B18,PAGOS!$B$6:$Y$45,4,0),"")</f>
        <v/>
      </c>
      <c r="D18" s="222" t="str">
        <f>IFERROR(VLOOKUP($B18,PAGOS!$B$6:$Y$45,5,0),"")</f>
        <v/>
      </c>
      <c r="E18" s="222" t="str">
        <f>IFERROR(VLOOKUP($B18,PAGOS!$B$6:$Y$45,24,0),"")</f>
        <v/>
      </c>
    </row>
    <row r="19" spans="2:5" ht="24.95" customHeight="1" x14ac:dyDescent="0.25">
      <c r="B19" s="1">
        <v>6</v>
      </c>
      <c r="C19" s="221" t="str">
        <f>IFERROR(VLOOKUP($B19,PAGOS!$B$6:$Y$45,4,0),"")</f>
        <v/>
      </c>
      <c r="D19" s="222" t="str">
        <f>IFERROR(VLOOKUP($B19,PAGOS!$B$6:$Y$45,5,0),"")</f>
        <v/>
      </c>
      <c r="E19" s="222" t="str">
        <f>IFERROR(VLOOKUP($B19,PAGOS!$B$6:$Y$45,24,0),"")</f>
        <v/>
      </c>
    </row>
    <row r="20" spans="2:5" ht="24.95" customHeight="1" x14ac:dyDescent="0.25">
      <c r="B20" s="1">
        <v>7</v>
      </c>
      <c r="C20" s="221" t="str">
        <f>IFERROR(VLOOKUP($B20,PAGOS!$B$6:$Y$45,4,0),"")</f>
        <v/>
      </c>
      <c r="D20" s="222" t="str">
        <f>IFERROR(VLOOKUP($B20,PAGOS!$B$6:$Y$45,5,0),"")</f>
        <v/>
      </c>
      <c r="E20" s="222" t="str">
        <f>IFERROR(VLOOKUP($B20,PAGOS!$B$6:$Y$45,24,0),"")</f>
        <v/>
      </c>
    </row>
    <row r="21" spans="2:5" ht="24.95" customHeight="1" x14ac:dyDescent="0.25">
      <c r="B21" s="1">
        <v>8</v>
      </c>
      <c r="C21" s="221" t="str">
        <f>IFERROR(VLOOKUP($B21,PAGOS!$B$6:$Y$45,4,0),"")</f>
        <v/>
      </c>
      <c r="D21" s="222" t="str">
        <f>IFERROR(VLOOKUP($B21,PAGOS!$B$6:$Y$45,5,0),"")</f>
        <v/>
      </c>
      <c r="E21" s="222" t="str">
        <f>IFERROR(VLOOKUP($B21,PAGOS!$B$6:$Y$45,24,0),"")</f>
        <v/>
      </c>
    </row>
    <row r="22" spans="2:5" ht="24.95" customHeight="1" x14ac:dyDescent="0.25">
      <c r="B22" s="1">
        <v>9</v>
      </c>
      <c r="C22" s="221" t="str">
        <f>IFERROR(VLOOKUP($B22,PAGOS!$B$6:$Y$45,4,0),"")</f>
        <v/>
      </c>
      <c r="D22" s="222" t="str">
        <f>IFERROR(VLOOKUP($B22,PAGOS!$B$6:$Y$45,5,0),"")</f>
        <v/>
      </c>
      <c r="E22" s="222" t="str">
        <f>IFERROR(VLOOKUP($B22,PAGOS!$B$6:$Y$45,24,0),"")</f>
        <v/>
      </c>
    </row>
    <row r="23" spans="2:5" ht="24.95" customHeight="1" x14ac:dyDescent="0.25">
      <c r="B23" s="1">
        <v>10</v>
      </c>
      <c r="C23" s="221" t="str">
        <f>IFERROR(VLOOKUP($B23,PAGOS!$B$6:$Y$45,4,0),"")</f>
        <v/>
      </c>
      <c r="D23" s="222" t="str">
        <f>IFERROR(VLOOKUP($B23,PAGOS!$B$6:$Y$45,5,0),"")</f>
        <v/>
      </c>
      <c r="E23" s="222" t="str">
        <f>IFERROR(VLOOKUP($B23,PAGOS!$B$6:$Y$45,24,0),"")</f>
        <v/>
      </c>
    </row>
    <row r="24" spans="2:5" ht="24.95" customHeight="1" x14ac:dyDescent="0.25">
      <c r="B24" s="1">
        <v>11</v>
      </c>
      <c r="C24" s="221" t="str">
        <f>IFERROR(VLOOKUP($B24,PAGOS!$B$6:$Y$45,4,0),"")</f>
        <v/>
      </c>
      <c r="D24" s="222" t="str">
        <f>IFERROR(VLOOKUP($B24,PAGOS!$B$6:$Y$45,5,0),"")</f>
        <v/>
      </c>
      <c r="E24" s="222" t="str">
        <f>IFERROR(VLOOKUP($B24,PAGOS!$B$6:$Y$45,24,0),"")</f>
        <v/>
      </c>
    </row>
    <row r="25" spans="2:5" ht="24.95" customHeight="1" x14ac:dyDescent="0.25">
      <c r="B25" s="1">
        <v>12</v>
      </c>
      <c r="C25" s="221" t="str">
        <f>IFERROR(VLOOKUP($B25,PAGOS!$B$6:$Y$45,4,0),"")</f>
        <v/>
      </c>
      <c r="D25" s="222" t="str">
        <f>IFERROR(VLOOKUP($B25,PAGOS!$B$6:$Y$45,5,0),"")</f>
        <v/>
      </c>
      <c r="E25" s="222" t="str">
        <f>IFERROR(VLOOKUP($B25,PAGOS!$B$6:$Y$45,24,0),"")</f>
        <v/>
      </c>
    </row>
    <row r="26" spans="2:5" ht="24.95" customHeight="1" x14ac:dyDescent="0.25">
      <c r="B26" s="1">
        <v>13</v>
      </c>
      <c r="C26" s="221" t="str">
        <f>IFERROR(VLOOKUP($B26,PAGOS!$B$6:$Y$45,4,0),"")</f>
        <v/>
      </c>
      <c r="D26" s="222" t="str">
        <f>IFERROR(VLOOKUP($B26,PAGOS!$B$6:$Y$45,5,0),"")</f>
        <v/>
      </c>
      <c r="E26" s="222" t="str">
        <f>IFERROR(VLOOKUP($B26,PAGOS!$B$6:$Y$45,24,0),"")</f>
        <v/>
      </c>
    </row>
    <row r="27" spans="2:5" ht="24.95" customHeight="1" x14ac:dyDescent="0.25">
      <c r="B27" s="1">
        <v>14</v>
      </c>
      <c r="C27" s="221" t="str">
        <f>IFERROR(VLOOKUP($B27,PAGOS!$B$6:$Y$45,4,0),"")</f>
        <v/>
      </c>
      <c r="D27" s="222" t="str">
        <f>IFERROR(VLOOKUP($B27,PAGOS!$B$6:$Y$45,5,0),"")</f>
        <v/>
      </c>
      <c r="E27" s="222" t="str">
        <f>IFERROR(VLOOKUP($B27,PAGOS!$B$6:$Y$45,24,0),"")</f>
        <v/>
      </c>
    </row>
    <row r="28" spans="2:5" ht="24.95" customHeight="1" x14ac:dyDescent="0.25">
      <c r="B28" s="1">
        <v>15</v>
      </c>
      <c r="C28" s="221" t="str">
        <f>IFERROR(VLOOKUP($B28,PAGOS!$B$6:$Y$45,4,0),"")</f>
        <v/>
      </c>
      <c r="D28" s="222" t="str">
        <f>IFERROR(VLOOKUP($B28,PAGOS!$B$6:$Y$45,5,0),"")</f>
        <v/>
      </c>
      <c r="E28" s="222" t="str">
        <f>IFERROR(VLOOKUP($B28,PAGOS!$B$6:$Y$45,24,0),"")</f>
        <v/>
      </c>
    </row>
    <row r="29" spans="2:5" ht="24.95" customHeight="1" x14ac:dyDescent="0.25">
      <c r="B29" s="1">
        <v>16</v>
      </c>
      <c r="C29" s="221" t="str">
        <f>IFERROR(VLOOKUP($B29,PAGOS!$B$6:$Y$45,4,0),"")</f>
        <v/>
      </c>
      <c r="D29" s="222" t="str">
        <f>IFERROR(VLOOKUP($B29,PAGOS!$B$6:$Y$45,5,0),"")</f>
        <v/>
      </c>
      <c r="E29" s="222" t="str">
        <f>IFERROR(VLOOKUP($B29,PAGOS!$B$6:$Y$45,24,0),"")</f>
        <v/>
      </c>
    </row>
    <row r="30" spans="2:5" ht="24.95" customHeight="1" x14ac:dyDescent="0.25">
      <c r="B30" s="1">
        <v>17</v>
      </c>
      <c r="C30" s="221" t="str">
        <f>IFERROR(VLOOKUP($B30,PAGOS!$B$6:$Y$45,4,0),"")</f>
        <v/>
      </c>
      <c r="D30" s="222" t="str">
        <f>IFERROR(VLOOKUP($B30,PAGOS!$B$6:$Y$45,5,0),"")</f>
        <v/>
      </c>
      <c r="E30" s="222" t="str">
        <f>IFERROR(VLOOKUP($B30,PAGOS!$B$6:$Y$45,24,0),"")</f>
        <v/>
      </c>
    </row>
    <row r="31" spans="2:5" ht="24.95" customHeight="1" x14ac:dyDescent="0.25">
      <c r="B31" s="1">
        <v>18</v>
      </c>
      <c r="C31" s="221" t="str">
        <f>IFERROR(VLOOKUP($B31,PAGOS!$B$6:$Y$45,4,0),"")</f>
        <v/>
      </c>
      <c r="D31" s="222" t="str">
        <f>IFERROR(VLOOKUP($B31,PAGOS!$B$6:$Y$45,5,0),"")</f>
        <v/>
      </c>
      <c r="E31" s="222" t="str">
        <f>IFERROR(VLOOKUP($B31,PAGOS!$B$6:$Y$45,24,0),"")</f>
        <v/>
      </c>
    </row>
    <row r="32" spans="2:5" ht="24.95" customHeight="1" x14ac:dyDescent="0.25">
      <c r="B32" s="1">
        <v>19</v>
      </c>
      <c r="C32" s="221" t="str">
        <f>IFERROR(VLOOKUP($B32,PAGOS!$B$6:$Y$45,4,0),"")</f>
        <v/>
      </c>
      <c r="D32" s="222" t="str">
        <f>IFERROR(VLOOKUP($B32,PAGOS!$B$6:$Y$45,5,0),"")</f>
        <v/>
      </c>
      <c r="E32" s="222" t="str">
        <f>IFERROR(VLOOKUP($B32,PAGOS!$B$6:$Y$45,24,0),"")</f>
        <v/>
      </c>
    </row>
    <row r="33" spans="2:5" ht="24.95" customHeight="1" x14ac:dyDescent="0.25">
      <c r="B33" s="1">
        <v>20</v>
      </c>
      <c r="C33" s="221" t="str">
        <f>IFERROR(VLOOKUP($B33,PAGOS!$B$6:$Y$45,4,0),"")</f>
        <v/>
      </c>
      <c r="D33" s="222" t="str">
        <f>IFERROR(VLOOKUP($B33,PAGOS!$B$6:$Y$45,5,0),"")</f>
        <v/>
      </c>
      <c r="E33" s="222" t="str">
        <f>IFERROR(VLOOKUP($B33,PAGOS!$B$6:$Y$45,24,0),"")</f>
        <v/>
      </c>
    </row>
    <row r="34" spans="2:5" ht="24.95" customHeight="1" x14ac:dyDescent="0.25">
      <c r="B34" s="1">
        <v>21</v>
      </c>
      <c r="C34" s="221" t="str">
        <f>IFERROR(VLOOKUP($B34,PAGOS!$B$6:$Y$45,4,0),"")</f>
        <v/>
      </c>
      <c r="D34" s="222" t="str">
        <f>IFERROR(VLOOKUP($B34,PAGOS!$B$6:$Y$45,5,0),"")</f>
        <v/>
      </c>
      <c r="E34" s="222" t="str">
        <f>IFERROR(VLOOKUP($B34,PAGOS!$B$6:$Y$45,24,0),"")</f>
        <v/>
      </c>
    </row>
    <row r="35" spans="2:5" ht="24.95" customHeight="1" x14ac:dyDescent="0.25">
      <c r="B35" s="1">
        <v>22</v>
      </c>
      <c r="C35" s="221" t="str">
        <f>IFERROR(VLOOKUP($B35,PAGOS!$B$6:$Y$45,4,0),"")</f>
        <v/>
      </c>
      <c r="D35" s="222" t="str">
        <f>IFERROR(VLOOKUP($B35,PAGOS!$B$6:$Y$45,5,0),"")</f>
        <v/>
      </c>
      <c r="E35" s="222" t="str">
        <f>IFERROR(VLOOKUP($B35,PAGOS!$B$6:$Y$45,24,0),"")</f>
        <v/>
      </c>
    </row>
    <row r="36" spans="2:5" ht="24.95" customHeight="1" x14ac:dyDescent="0.25">
      <c r="B36" s="1">
        <v>23</v>
      </c>
      <c r="C36" s="221" t="str">
        <f>IFERROR(VLOOKUP($B36,PAGOS!$B$6:$Y$45,4,0),"")</f>
        <v/>
      </c>
      <c r="D36" s="222" t="str">
        <f>IFERROR(VLOOKUP($B36,PAGOS!$B$6:$Y$45,5,0),"")</f>
        <v/>
      </c>
      <c r="E36" s="222" t="str">
        <f>IFERROR(VLOOKUP($B36,PAGOS!$B$6:$Y$45,24,0),"")</f>
        <v/>
      </c>
    </row>
    <row r="37" spans="2:5" ht="24.95" customHeight="1" x14ac:dyDescent="0.25">
      <c r="B37" s="1">
        <v>24</v>
      </c>
      <c r="C37" s="221" t="str">
        <f>IFERROR(VLOOKUP($B37,PAGOS!$B$6:$Y$45,4,0),"")</f>
        <v/>
      </c>
      <c r="D37" s="222" t="str">
        <f>IFERROR(VLOOKUP($B37,PAGOS!$B$6:$Y$45,5,0),"")</f>
        <v/>
      </c>
      <c r="E37" s="222" t="str">
        <f>IFERROR(VLOOKUP($B37,PAGOS!$B$6:$Y$45,24,0),"")</f>
        <v/>
      </c>
    </row>
    <row r="38" spans="2:5" ht="24.95" customHeight="1" x14ac:dyDescent="0.25">
      <c r="B38" s="1">
        <v>25</v>
      </c>
      <c r="C38" s="221" t="str">
        <f>IFERROR(VLOOKUP($B38,PAGOS!$B$6:$Y$45,4,0),"")</f>
        <v/>
      </c>
      <c r="D38" s="222" t="str">
        <f>IFERROR(VLOOKUP($B38,PAGOS!$B$6:$Y$45,5,0),"")</f>
        <v/>
      </c>
      <c r="E38" s="222" t="str">
        <f>IFERROR(VLOOKUP($B38,PAGOS!$B$6:$Y$45,24,0),"")</f>
        <v/>
      </c>
    </row>
    <row r="39" spans="2:5" ht="24.95" customHeight="1" x14ac:dyDescent="0.25">
      <c r="B39" s="1">
        <v>26</v>
      </c>
      <c r="C39" s="221" t="str">
        <f>IFERROR(VLOOKUP($B39,PAGOS!$B$6:$Y$45,4,0),"")</f>
        <v/>
      </c>
      <c r="D39" s="222" t="str">
        <f>IFERROR(VLOOKUP($B39,PAGOS!$B$6:$Y$45,5,0),"")</f>
        <v/>
      </c>
      <c r="E39" s="222" t="str">
        <f>IFERROR(VLOOKUP($B39,PAGOS!$B$6:$Y$45,24,0),"")</f>
        <v/>
      </c>
    </row>
    <row r="40" spans="2:5" ht="24.95" customHeight="1" x14ac:dyDescent="0.25">
      <c r="B40" s="1">
        <v>27</v>
      </c>
      <c r="C40" s="221" t="str">
        <f>IFERROR(VLOOKUP($B40,PAGOS!$B$6:$Y$45,4,0),"")</f>
        <v/>
      </c>
      <c r="D40" s="222" t="str">
        <f>IFERROR(VLOOKUP($B40,PAGOS!$B$6:$Y$45,5,0),"")</f>
        <v/>
      </c>
      <c r="E40" s="222" t="str">
        <f>IFERROR(VLOOKUP($B40,PAGOS!$B$6:$Y$45,24,0),"")</f>
        <v/>
      </c>
    </row>
    <row r="41" spans="2:5" ht="24.95" customHeight="1" x14ac:dyDescent="0.25">
      <c r="B41" s="1">
        <v>28</v>
      </c>
      <c r="C41" s="221" t="str">
        <f>IFERROR(VLOOKUP($B41,PAGOS!$B$6:$Y$45,4,0),"")</f>
        <v/>
      </c>
      <c r="D41" s="222" t="str">
        <f>IFERROR(VLOOKUP($B41,PAGOS!$B$6:$Y$45,5,0),"")</f>
        <v/>
      </c>
      <c r="E41" s="222" t="str">
        <f>IFERROR(VLOOKUP($B41,PAGOS!$B$6:$Y$45,24,0),"")</f>
        <v/>
      </c>
    </row>
    <row r="42" spans="2:5" ht="24.95" customHeight="1" x14ac:dyDescent="0.25">
      <c r="B42" s="1">
        <v>29</v>
      </c>
      <c r="C42" s="221" t="str">
        <f>IFERROR(VLOOKUP($B42,PAGOS!$B$6:$Y$45,4,0),"")</f>
        <v/>
      </c>
      <c r="D42" s="222" t="str">
        <f>IFERROR(VLOOKUP($B42,PAGOS!$B$6:$Y$45,5,0),"")</f>
        <v/>
      </c>
      <c r="E42" s="222" t="str">
        <f>IFERROR(VLOOKUP($B42,PAGOS!$B$6:$Y$45,24,0),"")</f>
        <v/>
      </c>
    </row>
    <row r="43" spans="2:5" ht="24.95" customHeight="1" x14ac:dyDescent="0.25">
      <c r="B43" s="1">
        <v>30</v>
      </c>
      <c r="C43" s="221" t="str">
        <f>IFERROR(VLOOKUP($B43,PAGOS!$B$6:$Y$45,4,0),"")</f>
        <v/>
      </c>
      <c r="D43" s="222" t="str">
        <f>IFERROR(VLOOKUP($B43,PAGOS!$B$6:$Y$45,5,0),"")</f>
        <v/>
      </c>
      <c r="E43" s="222" t="str">
        <f>IFERROR(VLOOKUP($B43,PAGOS!$B$6:$Y$45,24,0),"")</f>
        <v/>
      </c>
    </row>
  </sheetData>
  <sheetProtection algorithmName="SHA-512" hashValue="53vb4eu1q2lgYBF5LLsdj4JfSp1MxZ1z/NI/eQUKjWaAfuQxsfiF961fDxkw1HzZN9rXYxr/mfDGq/0UM3zPoA==" saltValue="ONspg8O4hhmX4YZ7YgWujQ==" spinCount="100000" sheet="1" objects="1" scenarios="1" selectLockedCells="1" selectUnlockedCells="1"/>
  <mergeCells count="2">
    <mergeCell ref="C7:D7"/>
    <mergeCell ref="C3:D3"/>
  </mergeCells>
  <conditionalFormatting sqref="A2:XFD2 A3:C3 E3:XFD3 A4:XFD6 B7:C7 E7:XFD7 A8:XFD12 B13:F13 H13:XFD13 A14:XFD43">
    <cfRule type="expression" dxfId="5" priority="1">
      <formula>$B$1&lt;&gt;1</formula>
    </cfRule>
  </conditionalFormatting>
  <pageMargins left="0.59055118110236227" right="0.59055118110236227" top="0.59055118110236227" bottom="0.59055118110236227" header="0.31496062992125984" footer="0.31496062992125984"/>
  <pageSetup paperSize="9" scale="94"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23"/>
  <sheetViews>
    <sheetView showGridLines="0" zoomScaleNormal="100" workbookViewId="0"/>
  </sheetViews>
  <sheetFormatPr baseColWidth="10" defaultColWidth="11.42578125" defaultRowHeight="13.5" x14ac:dyDescent="0.25"/>
  <cols>
    <col min="1" max="1" width="1.7109375" style="5" customWidth="1"/>
    <col min="2" max="2" width="5.7109375" style="5" customWidth="1"/>
    <col min="3" max="3" width="5.28515625" style="5" customWidth="1"/>
    <col min="4" max="4" width="25.7109375" style="5" customWidth="1"/>
    <col min="5" max="6" width="30.7109375" style="5" customWidth="1"/>
    <col min="7" max="7" width="5.7109375" style="5" customWidth="1"/>
    <col min="8" max="8" width="30.7109375" style="5" customWidth="1"/>
    <col min="9" max="9" width="5.7109375" style="5" customWidth="1"/>
    <col min="10" max="10" width="5.7109375" style="12" customWidth="1"/>
    <col min="11" max="11" width="27.42578125" style="5" customWidth="1"/>
    <col min="12" max="12" width="10.7109375" style="5" customWidth="1"/>
    <col min="13" max="13" width="5.7109375" style="5" customWidth="1"/>
    <col min="14" max="14" width="30.7109375" style="5" customWidth="1"/>
    <col min="15" max="15" width="5.7109375" style="5" customWidth="1"/>
    <col min="16" max="16" width="4.5703125" style="5" customWidth="1"/>
    <col min="17" max="17" width="50.28515625" style="5" customWidth="1"/>
    <col min="18" max="16384" width="11.42578125" style="5"/>
  </cols>
  <sheetData>
    <row r="1" spans="2:17" x14ac:dyDescent="0.25">
      <c r="B1" s="5" t="str">
        <f>IF(EXPEDIENTE!A1="","",EXPEDIENTE!A1)</f>
        <v/>
      </c>
    </row>
    <row r="3" spans="2:17" x14ac:dyDescent="0.25">
      <c r="D3" s="9" t="s">
        <v>30</v>
      </c>
      <c r="E3" s="358" t="s">
        <v>189</v>
      </c>
      <c r="F3" s="359"/>
      <c r="G3" s="359"/>
      <c r="H3" s="359"/>
      <c r="I3" s="359"/>
      <c r="J3" s="359"/>
      <c r="K3" s="360"/>
    </row>
    <row r="5" spans="2:17" x14ac:dyDescent="0.25">
      <c r="D5" s="9" t="s">
        <v>31</v>
      </c>
      <c r="E5" s="217">
        <v>2023</v>
      </c>
      <c r="G5" s="220" t="s">
        <v>180</v>
      </c>
      <c r="H5" s="217" t="s">
        <v>191</v>
      </c>
    </row>
    <row r="6" spans="2:17" x14ac:dyDescent="0.25">
      <c r="G6" s="219"/>
    </row>
    <row r="7" spans="2:17" x14ac:dyDescent="0.25">
      <c r="D7" s="9" t="s">
        <v>32</v>
      </c>
      <c r="E7" s="218">
        <v>7</v>
      </c>
      <c r="G7" s="220" t="s">
        <v>181</v>
      </c>
      <c r="H7" s="217" t="s">
        <v>192</v>
      </c>
    </row>
    <row r="9" spans="2:17" x14ac:dyDescent="0.25">
      <c r="D9" s="9" t="s">
        <v>33</v>
      </c>
      <c r="E9" s="216" t="s">
        <v>190</v>
      </c>
    </row>
    <row r="12" spans="2:17" x14ac:dyDescent="0.25">
      <c r="C12" s="357" t="s">
        <v>24</v>
      </c>
      <c r="D12" s="357"/>
      <c r="E12" s="357"/>
      <c r="F12" s="7"/>
      <c r="G12" s="7"/>
      <c r="H12" s="7"/>
      <c r="J12" s="357" t="s">
        <v>35</v>
      </c>
      <c r="K12" s="357"/>
      <c r="L12" s="357"/>
      <c r="P12" s="9" t="s">
        <v>45</v>
      </c>
    </row>
    <row r="13" spans="2:17" x14ac:dyDescent="0.25">
      <c r="C13" s="5" t="str">
        <f>EXPEDIENTE!C19</f>
        <v>IPRO</v>
      </c>
    </row>
    <row r="14" spans="2:17" x14ac:dyDescent="0.25">
      <c r="C14" s="6">
        <v>1</v>
      </c>
      <c r="D14" s="10" t="s">
        <v>193</v>
      </c>
      <c r="E14" s="6" t="str">
        <f>IF(D14="","",CONCATENATE(C14,"-. ",D14))</f>
        <v>1-. Activos materiales nuevos</v>
      </c>
      <c r="F14" s="6" t="str">
        <f>IF(D14="",11,D14)</f>
        <v>Activos materiales nuevos</v>
      </c>
      <c r="G14" s="6">
        <f t="shared" ref="G14:G23" si="0">IF(F14&lt;&gt;11,C14,11)</f>
        <v>1</v>
      </c>
      <c r="H14" s="6" t="str">
        <f t="shared" ref="H14:H23" si="1">IFERROR(VLOOKUP(SMALL($G$14:$G$23,C14),$C$14:$D$23,2,FALSE),"X")</f>
        <v>Activos materiales nuevos</v>
      </c>
      <c r="J14" s="11">
        <v>1</v>
      </c>
      <c r="K14" s="5" t="s">
        <v>36</v>
      </c>
      <c r="N14" s="6" t="s">
        <v>43</v>
      </c>
      <c r="P14" s="6">
        <v>0</v>
      </c>
      <c r="Q14" s="6" t="s">
        <v>102</v>
      </c>
    </row>
    <row r="15" spans="2:17" x14ac:dyDescent="0.25">
      <c r="C15" s="6">
        <v>2</v>
      </c>
      <c r="D15" s="10"/>
      <c r="E15" s="6" t="str">
        <f t="shared" ref="E15:E23" si="2">IF(D15="","",CONCATENATE(C15,"-. ",D15))</f>
        <v/>
      </c>
      <c r="F15" s="6">
        <f t="shared" ref="F15:F23" si="3">IF(D15="",11,D15)</f>
        <v>11</v>
      </c>
      <c r="G15" s="6">
        <f t="shared" si="0"/>
        <v>11</v>
      </c>
      <c r="H15" s="6" t="str">
        <f t="shared" si="1"/>
        <v>X</v>
      </c>
      <c r="N15" s="6" t="s">
        <v>74</v>
      </c>
      <c r="P15" s="6">
        <v>1</v>
      </c>
      <c r="Q15" s="6" t="s">
        <v>187</v>
      </c>
    </row>
    <row r="16" spans="2:17" x14ac:dyDescent="0.25">
      <c r="C16" s="6">
        <v>3</v>
      </c>
      <c r="D16" s="10"/>
      <c r="E16" s="6" t="str">
        <f t="shared" si="2"/>
        <v/>
      </c>
      <c r="F16" s="6">
        <f t="shared" si="3"/>
        <v>11</v>
      </c>
      <c r="G16" s="6">
        <f t="shared" si="0"/>
        <v>11</v>
      </c>
      <c r="H16" s="6" t="str">
        <f t="shared" si="1"/>
        <v>X</v>
      </c>
      <c r="J16" s="13" t="s">
        <v>40</v>
      </c>
      <c r="L16" s="8">
        <f>EXPEDIENTE!F26</f>
        <v>0</v>
      </c>
      <c r="P16" s="6">
        <v>2</v>
      </c>
      <c r="Q16" s="6" t="s">
        <v>49</v>
      </c>
    </row>
    <row r="17" spans="3:17" x14ac:dyDescent="0.25">
      <c r="C17" s="6">
        <v>4</v>
      </c>
      <c r="D17" s="10"/>
      <c r="E17" s="6" t="str">
        <f t="shared" si="2"/>
        <v/>
      </c>
      <c r="F17" s="6">
        <f t="shared" si="3"/>
        <v>11</v>
      </c>
      <c r="G17" s="6">
        <f t="shared" si="0"/>
        <v>11</v>
      </c>
      <c r="H17" s="6" t="str">
        <f t="shared" si="1"/>
        <v>X</v>
      </c>
      <c r="J17" s="13" t="s">
        <v>37</v>
      </c>
      <c r="L17" s="5">
        <f>DAY(L16)</f>
        <v>0</v>
      </c>
      <c r="P17" s="6">
        <v>3</v>
      </c>
      <c r="Q17" s="6" t="s">
        <v>46</v>
      </c>
    </row>
    <row r="18" spans="3:17" x14ac:dyDescent="0.25">
      <c r="C18" s="6">
        <v>5</v>
      </c>
      <c r="D18" s="10"/>
      <c r="E18" s="6" t="str">
        <f t="shared" si="2"/>
        <v/>
      </c>
      <c r="F18" s="6">
        <f t="shared" si="3"/>
        <v>11</v>
      </c>
      <c r="G18" s="6">
        <f t="shared" si="0"/>
        <v>11</v>
      </c>
      <c r="H18" s="6" t="str">
        <f t="shared" si="1"/>
        <v>X</v>
      </c>
      <c r="J18" s="13" t="s">
        <v>38</v>
      </c>
      <c r="L18" s="5">
        <f>MONTH(L16)</f>
        <v>1</v>
      </c>
      <c r="P18" s="6">
        <v>4</v>
      </c>
      <c r="Q18" s="6" t="s">
        <v>81</v>
      </c>
    </row>
    <row r="19" spans="3:17" x14ac:dyDescent="0.25">
      <c r="C19" s="6">
        <v>6</v>
      </c>
      <c r="D19" s="10"/>
      <c r="E19" s="6" t="str">
        <f t="shared" si="2"/>
        <v/>
      </c>
      <c r="F19" s="6">
        <f t="shared" si="3"/>
        <v>11</v>
      </c>
      <c r="G19" s="6">
        <f t="shared" si="0"/>
        <v>11</v>
      </c>
      <c r="H19" s="6" t="str">
        <f t="shared" si="1"/>
        <v>X</v>
      </c>
      <c r="J19" s="13" t="s">
        <v>39</v>
      </c>
      <c r="L19" s="5">
        <f>YEAR(L16)</f>
        <v>1900</v>
      </c>
      <c r="P19" s="6">
        <v>5</v>
      </c>
      <c r="Q19" s="6" t="s">
        <v>85</v>
      </c>
    </row>
    <row r="20" spans="3:17" x14ac:dyDescent="0.25">
      <c r="C20" s="6">
        <v>7</v>
      </c>
      <c r="D20" s="10"/>
      <c r="E20" s="6" t="str">
        <f t="shared" si="2"/>
        <v/>
      </c>
      <c r="F20" s="6">
        <f t="shared" si="3"/>
        <v>11</v>
      </c>
      <c r="G20" s="6">
        <f t="shared" si="0"/>
        <v>11</v>
      </c>
      <c r="H20" s="6" t="str">
        <f t="shared" si="1"/>
        <v>X</v>
      </c>
      <c r="P20" s="6">
        <v>6</v>
      </c>
      <c r="Q20" s="6" t="s">
        <v>48</v>
      </c>
    </row>
    <row r="21" spans="3:17" x14ac:dyDescent="0.25">
      <c r="C21" s="6">
        <v>8</v>
      </c>
      <c r="D21" s="10"/>
      <c r="E21" s="6" t="str">
        <f t="shared" si="2"/>
        <v/>
      </c>
      <c r="F21" s="6">
        <f t="shared" si="3"/>
        <v>11</v>
      </c>
      <c r="G21" s="6">
        <f t="shared" si="0"/>
        <v>11</v>
      </c>
      <c r="H21" s="6" t="str">
        <f t="shared" si="1"/>
        <v>X</v>
      </c>
      <c r="J21" s="13" t="s">
        <v>41</v>
      </c>
      <c r="L21" s="8">
        <f>DATE(YEAR(L16),MONTH(L16)+J14,DAY(L16))</f>
        <v>31</v>
      </c>
      <c r="P21" s="6">
        <v>7</v>
      </c>
      <c r="Q21" s="6"/>
    </row>
    <row r="22" spans="3:17" x14ac:dyDescent="0.25">
      <c r="C22" s="6">
        <v>9</v>
      </c>
      <c r="D22" s="10"/>
      <c r="E22" s="6" t="str">
        <f t="shared" si="2"/>
        <v/>
      </c>
      <c r="F22" s="6">
        <f t="shared" si="3"/>
        <v>11</v>
      </c>
      <c r="G22" s="6">
        <f t="shared" si="0"/>
        <v>11</v>
      </c>
      <c r="H22" s="6" t="str">
        <f t="shared" si="1"/>
        <v>X</v>
      </c>
      <c r="J22" s="13" t="s">
        <v>42</v>
      </c>
      <c r="L22" s="8">
        <f>IF(DAY(L16)=DAY(L21),L21,DATE(YEAR(L21),MONTH(L21),1)-1)</f>
        <v>0</v>
      </c>
      <c r="P22" s="6">
        <v>8</v>
      </c>
      <c r="Q22" s="6"/>
    </row>
    <row r="23" spans="3:17" x14ac:dyDescent="0.25">
      <c r="C23" s="6">
        <v>10</v>
      </c>
      <c r="D23" s="10"/>
      <c r="E23" s="6" t="str">
        <f t="shared" si="2"/>
        <v/>
      </c>
      <c r="F23" s="6">
        <f t="shared" si="3"/>
        <v>11</v>
      </c>
      <c r="G23" s="6">
        <f t="shared" si="0"/>
        <v>11</v>
      </c>
      <c r="H23" s="6" t="str">
        <f t="shared" si="1"/>
        <v>X</v>
      </c>
      <c r="P23" s="6">
        <v>9</v>
      </c>
      <c r="Q23" s="6"/>
    </row>
  </sheetData>
  <sheetProtection algorithmName="SHA-512" hashValue="L/C05rI6HggNST1xrEST8fTOqkM8M/EDqBA3iK0g9GrOxPOYWIWn8zT+ufT25fVaEPBb6OWoTlqGOJFY6VpwMw==" saltValue="sE6nR1XKmvj1FakKpkeiXQ==" spinCount="100000" sheet="1" objects="1" scenarios="1" selectLockedCells="1" selectUnlockedCells="1"/>
  <mergeCells count="3">
    <mergeCell ref="C12:E12"/>
    <mergeCell ref="J12:L12"/>
    <mergeCell ref="E3:K3"/>
  </mergeCells>
  <conditionalFormatting sqref="A1:XFD24">
    <cfRule type="expression" dxfId="4" priority="98">
      <formula>$B$1&lt;&gt;1</formula>
    </cfRule>
  </conditionalFormatting>
  <conditionalFormatting sqref="D14">
    <cfRule type="expression" dxfId="3" priority="1">
      <formula>$B$1&lt;&gt;1</formula>
    </cfRule>
  </conditionalFormatting>
  <conditionalFormatting sqref="E3:K3">
    <cfRule type="expression" dxfId="2" priority="4">
      <formula>$B$1&lt;&gt;1</formula>
    </cfRule>
  </conditionalFormatting>
  <conditionalFormatting sqref="H5">
    <cfRule type="expression" dxfId="1" priority="3">
      <formula>$B$1&lt;&gt;1</formula>
    </cfRule>
  </conditionalFormatting>
  <conditionalFormatting sqref="H7">
    <cfRule type="expression" dxfId="0" priority="2">
      <formula>$B$1&lt;&gt;1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934ed1-fc6e-40dc-8eb3-366867545b6c">
      <Terms xmlns="http://schemas.microsoft.com/office/infopath/2007/PartnerControls"/>
    </lcf76f155ced4ddcb4097134ff3c332f>
    <TaxCatchAll xmlns="ba600c26-20e0-433c-877d-adf8e18366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0318DC7C631D14DA8A9E220C61C5A1F" ma:contentTypeVersion="18" ma:contentTypeDescription="Crear nuevo documento." ma:contentTypeScope="" ma:versionID="fd1367887092f3576a63f7add080478c">
  <xsd:schema xmlns:xsd="http://www.w3.org/2001/XMLSchema" xmlns:xs="http://www.w3.org/2001/XMLSchema" xmlns:p="http://schemas.microsoft.com/office/2006/metadata/properties" xmlns:ns2="bc934ed1-fc6e-40dc-8eb3-366867545b6c" xmlns:ns3="ba600c26-20e0-433c-877d-adf8e183668e" targetNamespace="http://schemas.microsoft.com/office/2006/metadata/properties" ma:root="true" ma:fieldsID="d872542a097a993695c97b8b0bd795ca" ns2:_="" ns3:_="">
    <xsd:import namespace="bc934ed1-fc6e-40dc-8eb3-366867545b6c"/>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34ed1-fc6e-40dc-8eb3-36686754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85c0d6e-0e97-440c-ab15-3c72d7d9dc7a}"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2.xml><?xml version="1.0" encoding="utf-8"?>
<ds:datastoreItem xmlns:ds="http://schemas.openxmlformats.org/officeDocument/2006/customXml" ds:itemID="{EF0352A1-BEB3-4DF1-8604-CFC3AD4CE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34ed1-fc6e-40dc-8eb3-366867545b6c"/>
    <ds:schemaRef ds:uri="ba600c26-20e0-433c-877d-adf8e1836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AUXILIAR!Área_de_impresión</vt:lpstr>
      <vt:lpstr>EXPEDIENTE!Área_de_impresión</vt:lpstr>
      <vt:lpstr>INFORME!Área_de_impresión</vt:lpstr>
      <vt:lpstr>INSTRUCCIONES!Área_de_impresión</vt:lpstr>
      <vt:lpstr>'LISTADO PROVEEDORES &gt; 15.000 €'!Área_de_impresión</vt:lpstr>
      <vt:lpstr>PAGOS!Área_de_impresión</vt:lpstr>
      <vt:lpstr>'RELACIÓN DE FACTURAS'!Área_de_impresión</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2024-02-19T13:39:09Z</cp:lastPrinted>
  <dcterms:created xsi:type="dcterms:W3CDTF">2009-10-30T09:49:52Z</dcterms:created>
  <dcterms:modified xsi:type="dcterms:W3CDTF">2024-05-02T12:35:45Z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