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2-FORMULARIOS/ACEE/DEFINITIVO-ACEE/"/>
    </mc:Choice>
  </mc:AlternateContent>
  <xr:revisionPtr revIDLastSave="1819" documentId="8_{C656FF3F-DCC4-4EE5-A5FB-D35ECF6DE715}" xr6:coauthVersionLast="47" xr6:coauthVersionMax="47" xr10:uidLastSave="{4E465EB5-6D5E-47F4-92C7-2211D65FD27A}"/>
  <bookViews>
    <workbookView xWindow="-120" yWindow="-120" windowWidth="29040" windowHeight="15840" tabRatio="843" xr2:uid="{011CC5B4-78A3-49C7-B223-B56C5D4F27C3}"/>
  </bookViews>
  <sheets>
    <sheet name="INSTRUCCIONES" sheetId="2" r:id="rId1"/>
    <sheet name="EXPEDIENTE" sheetId="1" r:id="rId2"/>
    <sheet name="IDENTIFICACIÓN TRABAJADOR" sheetId="13" r:id="rId3"/>
    <sheet name="LINEAS CON DEDICACIÓN" sheetId="9" r:id="rId4"/>
    <sheet name="% DEDICACIÓN TRABAJADOR" sheetId="4" r:id="rId5"/>
    <sheet name="GASTOS TRABAJADOR" sheetId="6" r:id="rId6"/>
    <sheet name="RESUMEN TRABAJADOR ACTUACIÓN 1" sheetId="7" r:id="rId7"/>
    <sheet name="RESUMEN TRABAJADOR ACTUACIÓN 2" sheetId="10" r:id="rId8"/>
    <sheet name="RESUMEN TRABAJADOR ACTUACIÓN 3" sheetId="11" r:id="rId9"/>
    <sheet name="RESUMEN TRABAJADOR ACTUACIÓN 4" sheetId="12" r:id="rId10"/>
    <sheet name="DATOS A INCORPORAR AL MOD-66" sheetId="8" r:id="rId11"/>
    <sheet name="AUXILIAR" sheetId="3" r:id="rId12"/>
  </sheets>
  <definedNames>
    <definedName name="_xlnm.Print_Area" localSheetId="4">'% DEDICACIÓN TRABAJADOR'!$A$1:$W$97</definedName>
    <definedName name="_xlnm.Print_Area" localSheetId="11">AUXILIAR!$A$1</definedName>
    <definedName name="_xlnm.Print_Area" localSheetId="10">'DATOS A INCORPORAR AL MOD-66'!$A$1:$F$74</definedName>
    <definedName name="_xlnm.Print_Area" localSheetId="1">EXPEDIENTE!$B$1:$I$32</definedName>
    <definedName name="_xlnm.Print_Area" localSheetId="5">'GASTOS TRABAJADOR'!$A$1:$AF$58</definedName>
    <definedName name="_xlnm.Print_Area" localSheetId="2">'IDENTIFICACIÓN TRABAJADOR'!$A$1:$H$36</definedName>
    <definedName name="_xlnm.Print_Area" localSheetId="3">'LINEAS CON DEDICACIÓN'!$A$1:$P$32</definedName>
    <definedName name="_xlnm.Print_Area" localSheetId="6">'RESUMEN TRABAJADOR ACTUACIÓN 1'!$A$1:$Q$39</definedName>
    <definedName name="_xlnm.Print_Area" localSheetId="7">'RESUMEN TRABAJADOR ACTUACIÓN 2'!$A$1:$Q$39</definedName>
    <definedName name="_xlnm.Print_Area" localSheetId="8">'RESUMEN TRABAJADOR ACTUACIÓN 3'!$A$1:$Q$39</definedName>
    <definedName name="_xlnm.Print_Area" localSheetId="9">'RESUMEN TRABAJADOR ACTUACIÓN 4'!$A$1:$Q$39</definedName>
    <definedName name="Lineas">AUXILIAR!$J$26:$J$85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1" i="3" l="1"/>
  <c r="C150" i="3"/>
  <c r="D149" i="3"/>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F14" i="13"/>
  <c r="C152" i="3" l="1"/>
  <c r="A1" i="6"/>
  <c r="B1" i="3"/>
  <c r="C153" i="3" l="1"/>
  <c r="X50" i="4"/>
  <c r="X51" i="4"/>
  <c r="X52" i="4"/>
  <c r="X53" i="4"/>
  <c r="X54" i="4"/>
  <c r="X55" i="4"/>
  <c r="X56" i="4"/>
  <c r="X57" i="4"/>
  <c r="X58" i="4"/>
  <c r="X59" i="4"/>
  <c r="X60" i="4"/>
  <c r="X61" i="4"/>
  <c r="X62" i="4"/>
  <c r="X63" i="4"/>
  <c r="X64" i="4"/>
  <c r="X65" i="4"/>
  <c r="X66" i="4"/>
  <c r="X67" i="4"/>
  <c r="X68" i="4"/>
  <c r="X69" i="4"/>
  <c r="X70" i="4"/>
  <c r="X71" i="4"/>
  <c r="X72" i="4"/>
  <c r="X73" i="4"/>
  <c r="X74" i="4"/>
  <c r="X75" i="4"/>
  <c r="X76" i="4"/>
  <c r="X77" i="4"/>
  <c r="X78" i="4"/>
  <c r="X79" i="4"/>
  <c r="X80" i="4"/>
  <c r="X81" i="4"/>
  <c r="X82" i="4"/>
  <c r="X83" i="4"/>
  <c r="X84" i="4"/>
  <c r="X85" i="4"/>
  <c r="X86" i="4"/>
  <c r="X87" i="4"/>
  <c r="X88" i="4"/>
  <c r="X89" i="4"/>
  <c r="X90" i="4"/>
  <c r="X91" i="4"/>
  <c r="X92" i="4"/>
  <c r="X93" i="4"/>
  <c r="X94" i="4"/>
  <c r="X95" i="4"/>
  <c r="X96"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37" i="4"/>
  <c r="V25" i="4"/>
  <c r="U25" i="4"/>
  <c r="T25" i="4"/>
  <c r="S25" i="4"/>
  <c r="R25" i="4"/>
  <c r="Q25" i="4"/>
  <c r="P25" i="4"/>
  <c r="O25" i="4"/>
  <c r="N25" i="4"/>
  <c r="M25" i="4"/>
  <c r="L25" i="4"/>
  <c r="K25" i="4"/>
  <c r="C154" i="3" l="1"/>
  <c r="C6" i="9"/>
  <c r="D5" i="7" s="1"/>
  <c r="D14" i="13"/>
  <c r="I36" i="4" s="1"/>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37" i="4"/>
  <c r="B38" i="4"/>
  <c r="B39" i="4"/>
  <c r="B40" i="4"/>
  <c r="B41" i="4"/>
  <c r="B42" i="4"/>
  <c r="B43" i="4"/>
  <c r="B44" i="4"/>
  <c r="B45" i="4"/>
  <c r="B46" i="4"/>
  <c r="B47" i="4"/>
  <c r="B48" i="4"/>
  <c r="B49" i="4"/>
  <c r="B50" i="4"/>
  <c r="B51" i="4"/>
  <c r="B52" i="4"/>
  <c r="B53" i="4"/>
  <c r="B54" i="4"/>
  <c r="B55"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37" i="4"/>
  <c r="X70" i="3"/>
  <c r="X69" i="3"/>
  <c r="X68" i="3"/>
  <c r="X67" i="3"/>
  <c r="X66" i="3"/>
  <c r="X65" i="3"/>
  <c r="X64" i="3"/>
  <c r="X63" i="3"/>
  <c r="X62" i="3"/>
  <c r="X61" i="3"/>
  <c r="X60" i="3"/>
  <c r="X59" i="3"/>
  <c r="X58" i="3"/>
  <c r="X57" i="3"/>
  <c r="L21" i="12"/>
  <c r="H21" i="12"/>
  <c r="G21" i="12"/>
  <c r="E21" i="12"/>
  <c r="L20" i="12"/>
  <c r="H20" i="12"/>
  <c r="G20" i="12"/>
  <c r="E20" i="12"/>
  <c r="L19" i="12"/>
  <c r="H19" i="12"/>
  <c r="G19" i="12"/>
  <c r="E19" i="12"/>
  <c r="L18" i="12"/>
  <c r="H18" i="12"/>
  <c r="G18" i="12"/>
  <c r="E18" i="12"/>
  <c r="L17" i="12"/>
  <c r="H17" i="12"/>
  <c r="G17" i="12"/>
  <c r="E17" i="12"/>
  <c r="L16" i="12"/>
  <c r="H16" i="12"/>
  <c r="G16" i="12"/>
  <c r="E16" i="12"/>
  <c r="L15" i="12"/>
  <c r="H15" i="12"/>
  <c r="G15" i="12"/>
  <c r="E15" i="12"/>
  <c r="L14" i="12"/>
  <c r="H14" i="12"/>
  <c r="G14" i="12"/>
  <c r="E14" i="12"/>
  <c r="L13" i="12"/>
  <c r="H13" i="12"/>
  <c r="G13" i="12"/>
  <c r="E13" i="12"/>
  <c r="L12" i="12"/>
  <c r="H12" i="12"/>
  <c r="G12" i="12"/>
  <c r="E12" i="12"/>
  <c r="L11" i="12"/>
  <c r="H11" i="12"/>
  <c r="G11" i="12"/>
  <c r="E11" i="12"/>
  <c r="L10" i="12"/>
  <c r="H10" i="12"/>
  <c r="G10" i="12"/>
  <c r="E10" i="12"/>
  <c r="L21" i="11"/>
  <c r="H21" i="11"/>
  <c r="G21" i="11"/>
  <c r="E21" i="11"/>
  <c r="L20" i="11"/>
  <c r="H20" i="11"/>
  <c r="G20" i="11"/>
  <c r="E20" i="11"/>
  <c r="L19" i="11"/>
  <c r="H19" i="11"/>
  <c r="G19" i="11"/>
  <c r="E19" i="11"/>
  <c r="L18" i="11"/>
  <c r="H18" i="11"/>
  <c r="G18" i="11"/>
  <c r="E18" i="11"/>
  <c r="L17" i="11"/>
  <c r="H17" i="11"/>
  <c r="G17" i="11"/>
  <c r="E17" i="11"/>
  <c r="L16" i="11"/>
  <c r="H16" i="11"/>
  <c r="G16" i="11"/>
  <c r="E16" i="11"/>
  <c r="L15" i="11"/>
  <c r="H15" i="11"/>
  <c r="G15" i="11"/>
  <c r="E15" i="11"/>
  <c r="L14" i="11"/>
  <c r="H14" i="11"/>
  <c r="G14" i="11"/>
  <c r="E14" i="11"/>
  <c r="L13" i="11"/>
  <c r="H13" i="11"/>
  <c r="G13" i="11"/>
  <c r="E13" i="11"/>
  <c r="L12" i="11"/>
  <c r="H12" i="11"/>
  <c r="G12" i="11"/>
  <c r="E12" i="11"/>
  <c r="L11" i="11"/>
  <c r="H11" i="11"/>
  <c r="G11" i="11"/>
  <c r="E11" i="11"/>
  <c r="L10" i="11"/>
  <c r="H10" i="11"/>
  <c r="G10" i="11"/>
  <c r="E10" i="11"/>
  <c r="L21" i="10"/>
  <c r="H21" i="10"/>
  <c r="G21" i="10"/>
  <c r="E21" i="10"/>
  <c r="L20" i="10"/>
  <c r="H20" i="10"/>
  <c r="G20" i="10"/>
  <c r="E20" i="10"/>
  <c r="L19" i="10"/>
  <c r="H19" i="10"/>
  <c r="G19" i="10"/>
  <c r="E19" i="10"/>
  <c r="L18" i="10"/>
  <c r="H18" i="10"/>
  <c r="G18" i="10"/>
  <c r="E18" i="10"/>
  <c r="L17" i="10"/>
  <c r="H17" i="10"/>
  <c r="G17" i="10"/>
  <c r="E17" i="10"/>
  <c r="L16" i="10"/>
  <c r="H16" i="10"/>
  <c r="G16" i="10"/>
  <c r="E16" i="10"/>
  <c r="L15" i="10"/>
  <c r="H15" i="10"/>
  <c r="G15" i="10"/>
  <c r="E15" i="10"/>
  <c r="L14" i="10"/>
  <c r="H14" i="10"/>
  <c r="G14" i="10"/>
  <c r="E14" i="10"/>
  <c r="L13" i="10"/>
  <c r="H13" i="10"/>
  <c r="G13" i="10"/>
  <c r="E13" i="10"/>
  <c r="L12" i="10"/>
  <c r="H12" i="10"/>
  <c r="G12" i="10"/>
  <c r="E12" i="10"/>
  <c r="L11" i="10"/>
  <c r="H11" i="10"/>
  <c r="G11" i="10"/>
  <c r="E11" i="10"/>
  <c r="L10" i="10"/>
  <c r="H10" i="10"/>
  <c r="G10" i="10"/>
  <c r="E10" i="10"/>
  <c r="C155" i="3" l="1"/>
  <c r="D5" i="12"/>
  <c r="D5" i="10"/>
  <c r="D5" i="11"/>
  <c r="E5" i="8"/>
  <c r="C7" i="9"/>
  <c r="E28" i="4"/>
  <c r="J6" i="4"/>
  <c r="G6" i="9"/>
  <c r="K6" i="9" s="1"/>
  <c r="O6" i="9" s="1"/>
  <c r="E5" i="6"/>
  <c r="E29" i="4"/>
  <c r="X97" i="4"/>
  <c r="C40" i="4"/>
  <c r="C41" i="4"/>
  <c r="C42" i="4"/>
  <c r="C43" i="4"/>
  <c r="C44" i="4"/>
  <c r="C45" i="4"/>
  <c r="C46" i="4"/>
  <c r="C47" i="4"/>
  <c r="C48" i="4"/>
  <c r="C49" i="4"/>
  <c r="C50" i="4"/>
  <c r="C51" i="4"/>
  <c r="C52" i="4"/>
  <c r="C53" i="4"/>
  <c r="C54" i="4"/>
  <c r="D54" i="4" s="1"/>
  <c r="C55" i="4"/>
  <c r="C56" i="4"/>
  <c r="D56" i="4" s="1"/>
  <c r="C57" i="4"/>
  <c r="D57" i="4" s="1"/>
  <c r="C58" i="4"/>
  <c r="C59" i="4"/>
  <c r="D59" i="4" s="1"/>
  <c r="C60" i="4"/>
  <c r="C61" i="4"/>
  <c r="C62" i="4"/>
  <c r="D62" i="4" s="1"/>
  <c r="C63" i="4"/>
  <c r="D63" i="4" s="1"/>
  <c r="C64" i="4"/>
  <c r="D64" i="4" s="1"/>
  <c r="C65" i="4"/>
  <c r="D65" i="4" s="1"/>
  <c r="C66" i="4"/>
  <c r="C67" i="4"/>
  <c r="C68" i="4"/>
  <c r="C69" i="4"/>
  <c r="C70" i="4"/>
  <c r="C71" i="4"/>
  <c r="D71" i="4" s="1"/>
  <c r="C72" i="4"/>
  <c r="D72" i="4" s="1"/>
  <c r="C73" i="4"/>
  <c r="D73" i="4" s="1"/>
  <c r="C74" i="4"/>
  <c r="C75" i="4"/>
  <c r="C76" i="4"/>
  <c r="C77" i="4"/>
  <c r="D77" i="4" s="1"/>
  <c r="C78" i="4"/>
  <c r="C79" i="4"/>
  <c r="D79" i="4" s="1"/>
  <c r="C80" i="4"/>
  <c r="D80" i="4" s="1"/>
  <c r="C81" i="4"/>
  <c r="D81" i="4" s="1"/>
  <c r="C82" i="4"/>
  <c r="C83" i="4"/>
  <c r="D83" i="4" s="1"/>
  <c r="C84" i="4"/>
  <c r="C85" i="4"/>
  <c r="D85" i="4" s="1"/>
  <c r="C86" i="4"/>
  <c r="C87" i="4"/>
  <c r="D87" i="4" s="1"/>
  <c r="C88" i="4"/>
  <c r="D88" i="4" s="1"/>
  <c r="C89" i="4"/>
  <c r="D89" i="4" s="1"/>
  <c r="C90" i="4"/>
  <c r="C91" i="4"/>
  <c r="D91" i="4" s="1"/>
  <c r="C92" i="4"/>
  <c r="C93" i="4"/>
  <c r="C94" i="4"/>
  <c r="C95" i="4"/>
  <c r="D95" i="4" s="1"/>
  <c r="C96" i="4"/>
  <c r="D96" i="4" s="1"/>
  <c r="C37" i="4"/>
  <c r="C38" i="4"/>
  <c r="C39" i="4"/>
  <c r="C156" i="3" l="1"/>
  <c r="E6" i="6"/>
  <c r="E6" i="8"/>
  <c r="D6" i="7"/>
  <c r="D6" i="10"/>
  <c r="D6" i="11"/>
  <c r="D6" i="12"/>
  <c r="J7" i="4"/>
  <c r="G7" i="9"/>
  <c r="K7" i="9" s="1"/>
  <c r="O7" i="9" s="1"/>
  <c r="D55" i="4"/>
  <c r="D41" i="4"/>
  <c r="D37" i="4"/>
  <c r="D51" i="4"/>
  <c r="D49" i="4"/>
  <c r="D53" i="4"/>
  <c r="G53" i="4" s="1"/>
  <c r="D45" i="4"/>
  <c r="T4" i="11"/>
  <c r="D94" i="4"/>
  <c r="G94" i="4" s="1"/>
  <c r="D86" i="4"/>
  <c r="G86" i="4" s="1"/>
  <c r="D78" i="4"/>
  <c r="G78" i="4" s="1"/>
  <c r="D70" i="4"/>
  <c r="G70" i="4" s="1"/>
  <c r="D42" i="4"/>
  <c r="D93" i="4"/>
  <c r="G93" i="4" s="1"/>
  <c r="D69" i="4"/>
  <c r="G69" i="4" s="1"/>
  <c r="D61" i="4"/>
  <c r="G61" i="4" s="1"/>
  <c r="D75" i="4"/>
  <c r="G75" i="4" s="1"/>
  <c r="D67" i="4"/>
  <c r="G67" i="4" s="1"/>
  <c r="T4" i="10"/>
  <c r="T4" i="7"/>
  <c r="D47" i="4"/>
  <c r="T4" i="12"/>
  <c r="D39" i="4"/>
  <c r="D90" i="4"/>
  <c r="G90" i="4" s="1"/>
  <c r="D82" i="4"/>
  <c r="G82" i="4" s="1"/>
  <c r="D74" i="4"/>
  <c r="G74" i="4" s="1"/>
  <c r="D66" i="4"/>
  <c r="D58" i="4"/>
  <c r="G58" i="4" s="1"/>
  <c r="D50" i="4"/>
  <c r="D92" i="4"/>
  <c r="G92" i="4" s="1"/>
  <c r="D84" i="4"/>
  <c r="G84" i="4" s="1"/>
  <c r="D76" i="4"/>
  <c r="G76" i="4" s="1"/>
  <c r="D68" i="4"/>
  <c r="G68" i="4" s="1"/>
  <c r="D60" i="4"/>
  <c r="G60" i="4" s="1"/>
  <c r="D52" i="4"/>
  <c r="D40" i="4"/>
  <c r="D48" i="4"/>
  <c r="D46" i="4"/>
  <c r="D44" i="4"/>
  <c r="D38" i="4"/>
  <c r="G89" i="4"/>
  <c r="G81" i="4"/>
  <c r="G73" i="4"/>
  <c r="G65" i="4"/>
  <c r="G57" i="4"/>
  <c r="G96" i="4"/>
  <c r="G88" i="4"/>
  <c r="G80" i="4"/>
  <c r="G72" i="4"/>
  <c r="G64" i="4"/>
  <c r="G56" i="4"/>
  <c r="G95" i="4"/>
  <c r="G87" i="4"/>
  <c r="G79" i="4"/>
  <c r="G71" i="4"/>
  <c r="G63" i="4"/>
  <c r="D43" i="4"/>
  <c r="G91" i="4"/>
  <c r="G59" i="4"/>
  <c r="G83" i="4"/>
  <c r="G85" i="4"/>
  <c r="G77" i="4"/>
  <c r="G62" i="4"/>
  <c r="G54" i="4"/>
  <c r="K33" i="4"/>
  <c r="Q32" i="4"/>
  <c r="U33" i="4"/>
  <c r="C20" i="10" s="1"/>
  <c r="U34" i="4"/>
  <c r="C20" i="11" s="1"/>
  <c r="P35" i="4"/>
  <c r="C15" i="12" s="1"/>
  <c r="S34" i="4"/>
  <c r="C18" i="11" s="1"/>
  <c r="K34" i="4"/>
  <c r="L32" i="4"/>
  <c r="V33" i="4"/>
  <c r="C21" i="10" s="1"/>
  <c r="N33" i="4"/>
  <c r="C13" i="10" s="1"/>
  <c r="R35" i="4"/>
  <c r="C17" i="12" s="1"/>
  <c r="M34" i="4"/>
  <c r="C12" i="11" s="1"/>
  <c r="P33" i="4"/>
  <c r="C15" i="10" s="1"/>
  <c r="S32" i="4"/>
  <c r="K32" i="4"/>
  <c r="Q35" i="4"/>
  <c r="C16" i="12" s="1"/>
  <c r="T34" i="4"/>
  <c r="C19" i="11" s="1"/>
  <c r="L34" i="4"/>
  <c r="C11" i="11" s="1"/>
  <c r="O33" i="4"/>
  <c r="C14" i="10" s="1"/>
  <c r="R32" i="4"/>
  <c r="P32" i="4"/>
  <c r="V35" i="4"/>
  <c r="C21" i="12" s="1"/>
  <c r="N35" i="4"/>
  <c r="C13" i="12" s="1"/>
  <c r="Q34" i="4"/>
  <c r="C16" i="11" s="1"/>
  <c r="T33" i="4"/>
  <c r="C19" i="10" s="1"/>
  <c r="L33" i="4"/>
  <c r="C11" i="10" s="1"/>
  <c r="O32" i="4"/>
  <c r="O35" i="4"/>
  <c r="C14" i="12" s="1"/>
  <c r="M33" i="4"/>
  <c r="C12" i="10" s="1"/>
  <c r="U35" i="4"/>
  <c r="C20" i="12" s="1"/>
  <c r="M35" i="4"/>
  <c r="C12" i="12" s="1"/>
  <c r="P34" i="4"/>
  <c r="C15" i="11" s="1"/>
  <c r="S33" i="4"/>
  <c r="C18" i="10" s="1"/>
  <c r="V32" i="4"/>
  <c r="N32" i="4"/>
  <c r="R34" i="4"/>
  <c r="C17" i="11" s="1"/>
  <c r="T35" i="4"/>
  <c r="C19" i="12" s="1"/>
  <c r="L35" i="4"/>
  <c r="C11" i="12" s="1"/>
  <c r="O34" i="4"/>
  <c r="C14" i="11" s="1"/>
  <c r="R33" i="4"/>
  <c r="C17" i="10" s="1"/>
  <c r="U32" i="4"/>
  <c r="M32" i="4"/>
  <c r="K35" i="4"/>
  <c r="S35" i="4"/>
  <c r="C18" i="12" s="1"/>
  <c r="V34" i="4"/>
  <c r="C21" i="11" s="1"/>
  <c r="N34" i="4"/>
  <c r="C13" i="11" s="1"/>
  <c r="Q33" i="4"/>
  <c r="C16" i="10" s="1"/>
  <c r="T32" i="4"/>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D71" i="3"/>
  <c r="X71" i="3" s="1"/>
  <c r="Y71" i="3" s="1"/>
  <c r="C71"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D56" i="3"/>
  <c r="C56"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D41" i="3"/>
  <c r="C41" i="3"/>
  <c r="D27" i="3"/>
  <c r="L27" i="3" s="1"/>
  <c r="D28" i="3"/>
  <c r="D29" i="3"/>
  <c r="L29" i="3" s="1"/>
  <c r="D30" i="3"/>
  <c r="D31" i="3"/>
  <c r="D32" i="3"/>
  <c r="D33" i="3"/>
  <c r="D34" i="3"/>
  <c r="D35" i="3"/>
  <c r="D36" i="3"/>
  <c r="D37" i="3"/>
  <c r="D38" i="3"/>
  <c r="D39" i="3"/>
  <c r="D40" i="3"/>
  <c r="D26" i="3"/>
  <c r="L26" i="3" s="1"/>
  <c r="C40" i="3"/>
  <c r="C27" i="3"/>
  <c r="C28" i="3"/>
  <c r="C29" i="3"/>
  <c r="C30" i="3"/>
  <c r="C31" i="3"/>
  <c r="C32" i="3"/>
  <c r="C33" i="3"/>
  <c r="C34" i="3"/>
  <c r="C35" i="3"/>
  <c r="C36" i="3"/>
  <c r="C37" i="3"/>
  <c r="C38" i="3"/>
  <c r="C39" i="3"/>
  <c r="C26" i="3"/>
  <c r="O31" i="4" l="1"/>
  <c r="O28" i="4" s="1"/>
  <c r="T31" i="4"/>
  <c r="T28" i="4" s="1"/>
  <c r="S31" i="4"/>
  <c r="S28" i="4" s="1"/>
  <c r="N31" i="4"/>
  <c r="N28" i="4" s="1"/>
  <c r="P31" i="4"/>
  <c r="P28" i="4" s="1"/>
  <c r="R31" i="4"/>
  <c r="M31" i="4"/>
  <c r="M28" i="4" s="1"/>
  <c r="Q31" i="4"/>
  <c r="Q28" i="4" s="1"/>
  <c r="U31" i="4"/>
  <c r="U28" i="4" s="1"/>
  <c r="L31" i="4"/>
  <c r="L28" i="4" s="1"/>
  <c r="C157" i="3"/>
  <c r="P3" i="8"/>
  <c r="Q3" i="8"/>
  <c r="N3" i="8"/>
  <c r="O3" i="8"/>
  <c r="C20" i="7"/>
  <c r="C11" i="7"/>
  <c r="K31" i="4"/>
  <c r="K28" i="4" s="1"/>
  <c r="K27" i="4" s="1"/>
  <c r="K26" i="4" s="1"/>
  <c r="C18" i="7"/>
  <c r="C15" i="7"/>
  <c r="C17" i="7"/>
  <c r="C13" i="7"/>
  <c r="C14" i="7"/>
  <c r="C19" i="7"/>
  <c r="C12" i="7"/>
  <c r="C21" i="7"/>
  <c r="V31" i="4"/>
  <c r="V28" i="4" s="1"/>
  <c r="C16" i="7"/>
  <c r="C10" i="10"/>
  <c r="E33" i="4"/>
  <c r="X33" i="4" s="1"/>
  <c r="C10" i="7"/>
  <c r="E32" i="4"/>
  <c r="C10" i="11"/>
  <c r="E34" i="4"/>
  <c r="C10" i="12"/>
  <c r="E35" i="4"/>
  <c r="G52" i="4"/>
  <c r="T56" i="3"/>
  <c r="U56" i="3" s="1"/>
  <c r="T66" i="3"/>
  <c r="U66" i="3" s="1"/>
  <c r="L35" i="3"/>
  <c r="M35" i="3" s="1"/>
  <c r="L33" i="3"/>
  <c r="M33" i="3" s="1"/>
  <c r="P41" i="3"/>
  <c r="Q41" i="3" s="1"/>
  <c r="L34" i="3"/>
  <c r="M34" i="3" s="1"/>
  <c r="G44" i="3"/>
  <c r="I44" i="3" s="1"/>
  <c r="P44" i="3"/>
  <c r="Q44" i="3" s="1"/>
  <c r="G80" i="3"/>
  <c r="I80" i="3" s="1"/>
  <c r="X80" i="3"/>
  <c r="Y80" i="3" s="1"/>
  <c r="L40" i="3"/>
  <c r="M40" i="3" s="1"/>
  <c r="L32" i="3"/>
  <c r="M32" i="3" s="1"/>
  <c r="E55" i="3"/>
  <c r="P55" i="3"/>
  <c r="Q55" i="3" s="1"/>
  <c r="G51" i="3"/>
  <c r="I51" i="3" s="1"/>
  <c r="P51" i="3"/>
  <c r="Q51" i="3" s="1"/>
  <c r="E47" i="3"/>
  <c r="P47" i="3"/>
  <c r="Q47" i="3" s="1"/>
  <c r="P43" i="3"/>
  <c r="Q43" i="3" s="1"/>
  <c r="G69" i="3"/>
  <c r="I69" i="3" s="1"/>
  <c r="T69" i="3"/>
  <c r="U69" i="3" s="1"/>
  <c r="E65" i="3"/>
  <c r="T65" i="3"/>
  <c r="U65" i="3" s="1"/>
  <c r="G61" i="3"/>
  <c r="I61" i="3" s="1"/>
  <c r="T61" i="3"/>
  <c r="U61" i="3" s="1"/>
  <c r="E57" i="3"/>
  <c r="T57" i="3"/>
  <c r="U57" i="3" s="1"/>
  <c r="X83" i="3"/>
  <c r="Y83" i="3" s="1"/>
  <c r="G79" i="3"/>
  <c r="I79" i="3" s="1"/>
  <c r="X79" i="3"/>
  <c r="Y79" i="3" s="1"/>
  <c r="E75" i="3"/>
  <c r="G75" i="3" s="1"/>
  <c r="I75" i="3" s="1"/>
  <c r="X75" i="3"/>
  <c r="Y75" i="3" s="1"/>
  <c r="G52" i="3"/>
  <c r="I52" i="3" s="1"/>
  <c r="P52" i="3"/>
  <c r="Q52" i="3" s="1"/>
  <c r="G62" i="3"/>
  <c r="I62" i="3" s="1"/>
  <c r="T62" i="3"/>
  <c r="U62" i="3" s="1"/>
  <c r="E84" i="3"/>
  <c r="X84" i="3"/>
  <c r="Y84" i="3" s="1"/>
  <c r="G72" i="3"/>
  <c r="I72" i="3" s="1"/>
  <c r="X72" i="3"/>
  <c r="Y72" i="3" s="1"/>
  <c r="L39" i="3"/>
  <c r="M39" i="3" s="1"/>
  <c r="L31" i="3"/>
  <c r="M31" i="3" s="1"/>
  <c r="L38" i="3"/>
  <c r="M38" i="3" s="1"/>
  <c r="L30" i="3"/>
  <c r="M30" i="3" s="1"/>
  <c r="G54" i="3"/>
  <c r="I54" i="3" s="1"/>
  <c r="P54" i="3"/>
  <c r="Q54" i="3" s="1"/>
  <c r="E50" i="3"/>
  <c r="P50" i="3"/>
  <c r="Q50" i="3" s="1"/>
  <c r="G46" i="3"/>
  <c r="I46" i="3" s="1"/>
  <c r="P46" i="3"/>
  <c r="Q46" i="3" s="1"/>
  <c r="G42" i="3"/>
  <c r="I42" i="3" s="1"/>
  <c r="P42" i="3"/>
  <c r="Q42" i="3" s="1"/>
  <c r="G68" i="3"/>
  <c r="I68" i="3" s="1"/>
  <c r="T68" i="3"/>
  <c r="U68" i="3" s="1"/>
  <c r="G64" i="3"/>
  <c r="I64" i="3" s="1"/>
  <c r="T64" i="3"/>
  <c r="U64" i="3" s="1"/>
  <c r="G60" i="3"/>
  <c r="I60" i="3" s="1"/>
  <c r="T60" i="3"/>
  <c r="U60" i="3" s="1"/>
  <c r="E82" i="3"/>
  <c r="X82" i="3"/>
  <c r="Y82" i="3" s="1"/>
  <c r="X78" i="3"/>
  <c r="Y78" i="3" s="1"/>
  <c r="E74" i="3"/>
  <c r="X74" i="3"/>
  <c r="Y74" i="3" s="1"/>
  <c r="E48" i="3"/>
  <c r="P48" i="3"/>
  <c r="Q48" i="3" s="1"/>
  <c r="G70" i="3"/>
  <c r="I70" i="3" s="1"/>
  <c r="T70" i="3"/>
  <c r="U70" i="3" s="1"/>
  <c r="E58" i="3"/>
  <c r="T58" i="3"/>
  <c r="U58" i="3" s="1"/>
  <c r="G76" i="3"/>
  <c r="I76" i="3" s="1"/>
  <c r="X76" i="3"/>
  <c r="Y76" i="3" s="1"/>
  <c r="L37" i="3"/>
  <c r="M37" i="3" s="1"/>
  <c r="L36" i="3"/>
  <c r="M36" i="3" s="1"/>
  <c r="L28" i="3"/>
  <c r="M28" i="3" s="1"/>
  <c r="G53" i="3"/>
  <c r="I53" i="3" s="1"/>
  <c r="P53" i="3"/>
  <c r="Q53" i="3" s="1"/>
  <c r="E49" i="3"/>
  <c r="P49" i="3"/>
  <c r="Q49" i="3" s="1"/>
  <c r="G45" i="3"/>
  <c r="I45" i="3" s="1"/>
  <c r="P45" i="3"/>
  <c r="Q45" i="3" s="1"/>
  <c r="E67" i="3"/>
  <c r="T67" i="3"/>
  <c r="U67" i="3" s="1"/>
  <c r="E63" i="3"/>
  <c r="T63" i="3"/>
  <c r="U63" i="3" s="1"/>
  <c r="G59" i="3"/>
  <c r="I59" i="3" s="1"/>
  <c r="T59" i="3"/>
  <c r="U59" i="3" s="1"/>
  <c r="G85" i="3"/>
  <c r="I85" i="3" s="1"/>
  <c r="X85" i="3"/>
  <c r="Y85" i="3" s="1"/>
  <c r="E81" i="3"/>
  <c r="X81" i="3"/>
  <c r="Y81" i="3" s="1"/>
  <c r="G77" i="3"/>
  <c r="I77" i="3" s="1"/>
  <c r="X77" i="3"/>
  <c r="Y77" i="3" s="1"/>
  <c r="G73" i="3"/>
  <c r="I73" i="3" s="1"/>
  <c r="X73" i="3"/>
  <c r="Y73" i="3" s="1"/>
  <c r="G50" i="4"/>
  <c r="G55" i="4"/>
  <c r="G49" i="4"/>
  <c r="X49" i="4" s="1"/>
  <c r="G51" i="4"/>
  <c r="G47" i="4"/>
  <c r="X47" i="4" s="1"/>
  <c r="G48" i="4"/>
  <c r="X48" i="4" s="1"/>
  <c r="G44" i="4"/>
  <c r="X44" i="4" s="1"/>
  <c r="G66" i="4"/>
  <c r="G45" i="4"/>
  <c r="X45" i="4" s="1"/>
  <c r="G46" i="4"/>
  <c r="X46" i="4" s="1"/>
  <c r="E71" i="3"/>
  <c r="G71" i="3" s="1"/>
  <c r="I71" i="3" s="1"/>
  <c r="E66" i="3"/>
  <c r="M26" i="3"/>
  <c r="E79" i="3"/>
  <c r="E73" i="3"/>
  <c r="E45" i="3"/>
  <c r="G50" i="3"/>
  <c r="I50" i="3" s="1"/>
  <c r="G48" i="3"/>
  <c r="I48" i="3" s="1"/>
  <c r="E53" i="3"/>
  <c r="G63" i="3"/>
  <c r="I63" i="3" s="1"/>
  <c r="E29" i="3"/>
  <c r="M29" i="3"/>
  <c r="E78" i="3"/>
  <c r="G78" i="3" s="1"/>
  <c r="I78" i="3" s="1"/>
  <c r="E46" i="3"/>
  <c r="G55" i="3"/>
  <c r="I55" i="3" s="1"/>
  <c r="G81" i="3"/>
  <c r="I81" i="3" s="1"/>
  <c r="E64" i="3"/>
  <c r="G47" i="3"/>
  <c r="I47" i="3" s="1"/>
  <c r="E28" i="3"/>
  <c r="G28" i="3" s="1"/>
  <c r="I28" i="3" s="1"/>
  <c r="M27" i="3"/>
  <c r="E62" i="3"/>
  <c r="E41" i="3"/>
  <c r="G41" i="3" s="1"/>
  <c r="I41" i="3" s="1"/>
  <c r="E61" i="3"/>
  <c r="G67" i="3"/>
  <c r="I67" i="3" s="1"/>
  <c r="E43" i="3"/>
  <c r="G43" i="3" s="1"/>
  <c r="I43" i="3" s="1"/>
  <c r="E54" i="3"/>
  <c r="G43" i="4"/>
  <c r="X43" i="4" s="1"/>
  <c r="G41" i="4"/>
  <c r="X41" i="4" s="1"/>
  <c r="G42" i="4"/>
  <c r="X42" i="4" s="1"/>
  <c r="E30" i="3"/>
  <c r="G37" i="3"/>
  <c r="I37" i="3" s="1"/>
  <c r="E40" i="3"/>
  <c r="E32" i="3"/>
  <c r="E56" i="3"/>
  <c r="G56" i="3" s="1"/>
  <c r="I56" i="3" s="1"/>
  <c r="G84" i="3"/>
  <c r="I84" i="3" s="1"/>
  <c r="G58" i="3"/>
  <c r="I58" i="3" s="1"/>
  <c r="E39" i="3"/>
  <c r="E31" i="3"/>
  <c r="E80" i="3"/>
  <c r="E72" i="3"/>
  <c r="G82" i="3"/>
  <c r="I82" i="3" s="1"/>
  <c r="G74" i="3"/>
  <c r="I74" i="3" s="1"/>
  <c r="G65" i="3"/>
  <c r="I65" i="3" s="1"/>
  <c r="G57" i="3"/>
  <c r="I57" i="3" s="1"/>
  <c r="G49" i="3"/>
  <c r="I49" i="3" s="1"/>
  <c r="E70" i="3"/>
  <c r="E77" i="3"/>
  <c r="E69" i="3"/>
  <c r="E60" i="3"/>
  <c r="E52" i="3"/>
  <c r="E44" i="3"/>
  <c r="E38" i="3"/>
  <c r="E85" i="3"/>
  <c r="E76" i="3"/>
  <c r="E68" i="3"/>
  <c r="E59" i="3"/>
  <c r="E51" i="3"/>
  <c r="E42" i="3"/>
  <c r="G29" i="3"/>
  <c r="I29" i="3" s="1"/>
  <c r="E35" i="3"/>
  <c r="G35" i="3" s="1"/>
  <c r="I35" i="3" s="1"/>
  <c r="E27" i="3"/>
  <c r="G27" i="3" s="1"/>
  <c r="I27" i="3" s="1"/>
  <c r="E34" i="3"/>
  <c r="E37" i="3"/>
  <c r="E26" i="3"/>
  <c r="G26" i="3" s="1"/>
  <c r="I26" i="3" s="1"/>
  <c r="E33" i="3"/>
  <c r="E36" i="3"/>
  <c r="G36" i="3" s="1"/>
  <c r="I36" i="3" s="1"/>
  <c r="G37" i="4"/>
  <c r="X37" i="4" s="1"/>
  <c r="G38" i="4"/>
  <c r="X38" i="4" s="1"/>
  <c r="G40" i="4"/>
  <c r="X40" i="4" s="1"/>
  <c r="G39" i="4"/>
  <c r="X39" i="4" s="1"/>
  <c r="E83" i="3"/>
  <c r="G83" i="3" s="1"/>
  <c r="I83" i="3" s="1"/>
  <c r="G66" i="3"/>
  <c r="I66" i="3" s="1"/>
  <c r="G34" i="3"/>
  <c r="I34" i="3" s="1"/>
  <c r="G33" i="3"/>
  <c r="I33" i="3" s="1"/>
  <c r="G40" i="3"/>
  <c r="I40" i="3" s="1"/>
  <c r="G32" i="3"/>
  <c r="I32" i="3" s="1"/>
  <c r="G39" i="3"/>
  <c r="I39" i="3" s="1"/>
  <c r="G31" i="3"/>
  <c r="I31" i="3" s="1"/>
  <c r="G38" i="3"/>
  <c r="I38" i="3" s="1"/>
  <c r="G30" i="3"/>
  <c r="I30" i="3" s="1"/>
  <c r="C158" i="3" l="1"/>
  <c r="R28" i="4"/>
  <c r="U27" i="4" s="1"/>
  <c r="M3" i="8"/>
  <c r="X34" i="4"/>
  <c r="E26" i="4"/>
  <c r="X32" i="4"/>
  <c r="E25" i="4"/>
  <c r="X35" i="4"/>
  <c r="E27" i="4"/>
  <c r="O27" i="4"/>
  <c r="M27" i="4"/>
  <c r="P27" i="4"/>
  <c r="Q27" i="4"/>
  <c r="L27" i="4"/>
  <c r="L26" i="4" s="1"/>
  <c r="N27" i="4"/>
  <c r="E31" i="4"/>
  <c r="X31" i="4" s="1"/>
  <c r="Z72" i="3"/>
  <c r="C134" i="3" s="1"/>
  <c r="I134" i="3" s="1"/>
  <c r="V57" i="3"/>
  <c r="M26" i="11" s="1"/>
  <c r="Z84" i="3"/>
  <c r="C146" i="3" s="1"/>
  <c r="I146" i="3" s="1"/>
  <c r="V59" i="3"/>
  <c r="M28" i="11" s="1"/>
  <c r="P28" i="11" s="1"/>
  <c r="Z74" i="3"/>
  <c r="C136" i="3" s="1"/>
  <c r="I136" i="3" s="1"/>
  <c r="V58" i="3"/>
  <c r="C120" i="3" s="1"/>
  <c r="I120" i="3" s="1"/>
  <c r="Z81" i="3"/>
  <c r="V63" i="3"/>
  <c r="V65" i="3"/>
  <c r="Z76" i="3"/>
  <c r="Z73" i="3"/>
  <c r="V67" i="3"/>
  <c r="V69" i="3"/>
  <c r="Z80" i="3"/>
  <c r="Z83" i="3"/>
  <c r="V66" i="3"/>
  <c r="Z79" i="3"/>
  <c r="Z75" i="3"/>
  <c r="V70" i="3"/>
  <c r="Z85" i="3"/>
  <c r="Z71" i="3"/>
  <c r="V62" i="3"/>
  <c r="V56" i="3"/>
  <c r="R44" i="3"/>
  <c r="R48" i="3"/>
  <c r="R45" i="3"/>
  <c r="R50" i="3"/>
  <c r="R46" i="3"/>
  <c r="R52" i="3"/>
  <c r="R41" i="3"/>
  <c r="R49" i="3"/>
  <c r="R42" i="3"/>
  <c r="R55" i="3"/>
  <c r="R47" i="3"/>
  <c r="R43" i="3"/>
  <c r="R53" i="3"/>
  <c r="R51" i="3"/>
  <c r="R54" i="3"/>
  <c r="V64" i="3"/>
  <c r="Z77" i="3"/>
  <c r="Z82" i="3"/>
  <c r="V68" i="3"/>
  <c r="V61" i="3"/>
  <c r="Z78" i="3"/>
  <c r="V60" i="3"/>
  <c r="N30" i="3"/>
  <c r="C92" i="3" s="1"/>
  <c r="I92" i="3" s="1"/>
  <c r="N38" i="3"/>
  <c r="C100" i="3" s="1"/>
  <c r="I100" i="3" s="1"/>
  <c r="N27" i="3"/>
  <c r="N31" i="3"/>
  <c r="C93" i="3" s="1"/>
  <c r="I93" i="3" s="1"/>
  <c r="N39" i="3"/>
  <c r="C101" i="3" s="1"/>
  <c r="I101" i="3" s="1"/>
  <c r="N35" i="3"/>
  <c r="C97" i="3" s="1"/>
  <c r="I97" i="3" s="1"/>
  <c r="N32" i="3"/>
  <c r="C94" i="3" s="1"/>
  <c r="I94" i="3" s="1"/>
  <c r="N40" i="3"/>
  <c r="C102" i="3" s="1"/>
  <c r="I102" i="3" s="1"/>
  <c r="N37" i="3"/>
  <c r="C99" i="3" s="1"/>
  <c r="I99" i="3" s="1"/>
  <c r="N33" i="3"/>
  <c r="C95" i="3" s="1"/>
  <c r="I95" i="3" s="1"/>
  <c r="N26" i="3"/>
  <c r="C88" i="3" s="1"/>
  <c r="I88" i="3" s="1"/>
  <c r="N34" i="3"/>
  <c r="C96" i="3" s="1"/>
  <c r="I96" i="3" s="1"/>
  <c r="N28" i="3"/>
  <c r="N36" i="3"/>
  <c r="C98" i="3" s="1"/>
  <c r="I98" i="3" s="1"/>
  <c r="N29" i="3"/>
  <c r="C91" i="3" s="1"/>
  <c r="I91" i="3" s="1"/>
  <c r="J26" i="3"/>
  <c r="J34" i="3"/>
  <c r="J42" i="3"/>
  <c r="J50" i="3"/>
  <c r="J58" i="3"/>
  <c r="J66" i="3"/>
  <c r="J74" i="3"/>
  <c r="J82" i="3"/>
  <c r="J35" i="3"/>
  <c r="J67" i="3"/>
  <c r="J85" i="3"/>
  <c r="J46" i="3"/>
  <c r="J62" i="3"/>
  <c r="J39" i="3"/>
  <c r="J55" i="3"/>
  <c r="J71" i="3"/>
  <c r="J27" i="3"/>
  <c r="J28" i="3"/>
  <c r="J36" i="3"/>
  <c r="J44" i="3"/>
  <c r="J52" i="3"/>
  <c r="J60" i="3"/>
  <c r="J68" i="3"/>
  <c r="J76" i="3"/>
  <c r="J84" i="3"/>
  <c r="J37" i="3"/>
  <c r="J45" i="3"/>
  <c r="J53" i="3"/>
  <c r="J61" i="3"/>
  <c r="J69" i="3"/>
  <c r="J38" i="3"/>
  <c r="J70" i="3"/>
  <c r="J29" i="3"/>
  <c r="J30" i="3"/>
  <c r="J31" i="3"/>
  <c r="J32" i="3"/>
  <c r="J40" i="3"/>
  <c r="J48" i="3"/>
  <c r="J56" i="3"/>
  <c r="J64" i="3"/>
  <c r="J72" i="3"/>
  <c r="J80" i="3"/>
  <c r="J43" i="3"/>
  <c r="J59" i="3"/>
  <c r="J83" i="3"/>
  <c r="J33" i="3"/>
  <c r="J41" i="3"/>
  <c r="J49" i="3"/>
  <c r="J57" i="3"/>
  <c r="J65" i="3"/>
  <c r="J73" i="3"/>
  <c r="J81" i="3"/>
  <c r="J51" i="3"/>
  <c r="J75" i="3"/>
  <c r="J77" i="3"/>
  <c r="J54" i="3"/>
  <c r="J78" i="3"/>
  <c r="J47" i="3"/>
  <c r="J63" i="3"/>
  <c r="J79" i="3"/>
  <c r="L63" i="6"/>
  <c r="L64" i="6"/>
  <c r="L65" i="6"/>
  <c r="L66" i="6"/>
  <c r="L62" i="6"/>
  <c r="G63" i="6"/>
  <c r="G64" i="6"/>
  <c r="G65" i="6"/>
  <c r="G66" i="6"/>
  <c r="G62" i="6"/>
  <c r="H10" i="7"/>
  <c r="C18" i="1"/>
  <c r="L20" i="6"/>
  <c r="L40" i="6"/>
  <c r="T40" i="6"/>
  <c r="F65" i="6" s="1"/>
  <c r="H27" i="1"/>
  <c r="H11" i="7"/>
  <c r="H12" i="7"/>
  <c r="H13" i="7"/>
  <c r="H14" i="7"/>
  <c r="H15" i="7"/>
  <c r="H16" i="7"/>
  <c r="H17" i="7"/>
  <c r="H18" i="7"/>
  <c r="H19" i="7"/>
  <c r="H20" i="7"/>
  <c r="H21" i="7"/>
  <c r="G11" i="7"/>
  <c r="G12" i="7"/>
  <c r="G13" i="7"/>
  <c r="G14" i="7"/>
  <c r="G15" i="7"/>
  <c r="G16" i="7"/>
  <c r="G17" i="7"/>
  <c r="G18" i="7"/>
  <c r="G19" i="7"/>
  <c r="G20" i="7"/>
  <c r="G21" i="7"/>
  <c r="G10" i="7"/>
  <c r="L11" i="7"/>
  <c r="L12" i="7"/>
  <c r="L13" i="7"/>
  <c r="L14" i="7"/>
  <c r="L15" i="7"/>
  <c r="L16" i="7"/>
  <c r="L17" i="7"/>
  <c r="L18" i="7"/>
  <c r="L19" i="7"/>
  <c r="L20" i="7"/>
  <c r="L21" i="7"/>
  <c r="L10" i="7"/>
  <c r="E11" i="7"/>
  <c r="E12" i="7"/>
  <c r="E13" i="7"/>
  <c r="E14" i="7"/>
  <c r="E15" i="7"/>
  <c r="E16" i="7"/>
  <c r="E17" i="7"/>
  <c r="E18" i="7"/>
  <c r="E19" i="7"/>
  <c r="E20" i="7"/>
  <c r="E21" i="7"/>
  <c r="E10" i="7"/>
  <c r="T38" i="6"/>
  <c r="F63" i="6" s="1"/>
  <c r="T39" i="6"/>
  <c r="F64" i="6" s="1"/>
  <c r="T41" i="6"/>
  <c r="F66" i="6" s="1"/>
  <c r="L39" i="6"/>
  <c r="L41" i="6"/>
  <c r="M41" i="6" s="1"/>
  <c r="C159" i="3" l="1"/>
  <c r="T27" i="4"/>
  <c r="U26" i="4" s="1"/>
  <c r="S27" i="4"/>
  <c r="V27" i="4"/>
  <c r="V26" i="4" s="1"/>
  <c r="R27" i="4"/>
  <c r="R26" i="4" s="1"/>
  <c r="C121" i="3"/>
  <c r="I121" i="3" s="1"/>
  <c r="C119" i="3"/>
  <c r="I119" i="3" s="1"/>
  <c r="R28" i="11"/>
  <c r="D121" i="3"/>
  <c r="L3" i="8"/>
  <c r="K3" i="8" s="1"/>
  <c r="N26" i="4"/>
  <c r="O26" i="4"/>
  <c r="Q26" i="4"/>
  <c r="P26" i="4"/>
  <c r="M26" i="4"/>
  <c r="M28" i="12"/>
  <c r="P28" i="12" s="1"/>
  <c r="M26" i="12"/>
  <c r="T26" i="12" s="1"/>
  <c r="M20" i="6"/>
  <c r="D10" i="12"/>
  <c r="D10" i="11"/>
  <c r="D10" i="10"/>
  <c r="M38" i="12"/>
  <c r="P38" i="12" s="1"/>
  <c r="T26" i="11"/>
  <c r="M38" i="7"/>
  <c r="M28" i="7"/>
  <c r="T28" i="7" s="1"/>
  <c r="M27" i="11"/>
  <c r="P27" i="11" s="1"/>
  <c r="M31" i="7"/>
  <c r="P31" i="7" s="1"/>
  <c r="M37" i="7"/>
  <c r="P37" i="7" s="1"/>
  <c r="C90" i="3"/>
  <c r="I90" i="3" s="1"/>
  <c r="M37" i="11"/>
  <c r="P37" i="11" s="1"/>
  <c r="C130" i="3"/>
  <c r="I130" i="3" s="1"/>
  <c r="M31" i="10"/>
  <c r="C109" i="3"/>
  <c r="I109" i="3" s="1"/>
  <c r="M29" i="10"/>
  <c r="P29" i="10" s="1"/>
  <c r="C107" i="3"/>
  <c r="I107" i="3" s="1"/>
  <c r="M29" i="12"/>
  <c r="P29" i="12" s="1"/>
  <c r="C137" i="3"/>
  <c r="I137" i="3" s="1"/>
  <c r="C138" i="3"/>
  <c r="I138" i="3" s="1"/>
  <c r="M30" i="12"/>
  <c r="P30" i="12" s="1"/>
  <c r="M32" i="11"/>
  <c r="P32" i="11" s="1"/>
  <c r="C125" i="3"/>
  <c r="I125" i="3" s="1"/>
  <c r="M36" i="12"/>
  <c r="P36" i="12" s="1"/>
  <c r="C144" i="3"/>
  <c r="I144" i="3" s="1"/>
  <c r="M39" i="10"/>
  <c r="P39" i="10" s="1"/>
  <c r="C117" i="3"/>
  <c r="I117" i="3" s="1"/>
  <c r="C110" i="3"/>
  <c r="I110" i="3" s="1"/>
  <c r="M32" i="10"/>
  <c r="P32" i="10" s="1"/>
  <c r="C141" i="3"/>
  <c r="I141" i="3" s="1"/>
  <c r="M33" i="12"/>
  <c r="P33" i="12" s="1"/>
  <c r="T28" i="11"/>
  <c r="M35" i="12"/>
  <c r="P35" i="12" s="1"/>
  <c r="C143" i="3"/>
  <c r="I143" i="3" s="1"/>
  <c r="M26" i="10"/>
  <c r="C104" i="3"/>
  <c r="I104" i="3" s="1"/>
  <c r="M33" i="11"/>
  <c r="P33" i="11" s="1"/>
  <c r="C126" i="3"/>
  <c r="I126" i="3" s="1"/>
  <c r="C111" i="3"/>
  <c r="I111" i="3" s="1"/>
  <c r="M33" i="10"/>
  <c r="P33" i="10" s="1"/>
  <c r="M25" i="11"/>
  <c r="C118" i="3"/>
  <c r="I118" i="3" s="1"/>
  <c r="M37" i="12"/>
  <c r="P37" i="12" s="1"/>
  <c r="C145" i="3"/>
  <c r="I145" i="3" s="1"/>
  <c r="M34" i="11"/>
  <c r="P34" i="11" s="1"/>
  <c r="C127" i="3"/>
  <c r="I127" i="3" s="1"/>
  <c r="C89" i="3"/>
  <c r="I89" i="3" s="1"/>
  <c r="M35" i="11"/>
  <c r="P35" i="11" s="1"/>
  <c r="C128" i="3"/>
  <c r="I128" i="3" s="1"/>
  <c r="M26" i="7"/>
  <c r="M38" i="10"/>
  <c r="P38" i="10" s="1"/>
  <c r="C116" i="3"/>
  <c r="I116" i="3" s="1"/>
  <c r="C103" i="3"/>
  <c r="I103" i="3" s="1"/>
  <c r="M25" i="10"/>
  <c r="C124" i="3"/>
  <c r="I124" i="3" s="1"/>
  <c r="M31" i="11"/>
  <c r="P31" i="11" s="1"/>
  <c r="M34" i="12"/>
  <c r="P34" i="12" s="1"/>
  <c r="C142" i="3"/>
  <c r="I142" i="3" s="1"/>
  <c r="M32" i="7"/>
  <c r="P32" i="7" s="1"/>
  <c r="M29" i="11"/>
  <c r="P29" i="11" s="1"/>
  <c r="C122" i="3"/>
  <c r="I122" i="3" s="1"/>
  <c r="M35" i="10"/>
  <c r="P35" i="10" s="1"/>
  <c r="C113" i="3"/>
  <c r="I113" i="3" s="1"/>
  <c r="M36" i="10"/>
  <c r="P36" i="10" s="1"/>
  <c r="C114" i="3"/>
  <c r="I114" i="3" s="1"/>
  <c r="C133" i="3"/>
  <c r="I133" i="3" s="1"/>
  <c r="M25" i="12"/>
  <c r="C131" i="3"/>
  <c r="I131" i="3" s="1"/>
  <c r="M38" i="11"/>
  <c r="P38" i="11" s="1"/>
  <c r="M31" i="12"/>
  <c r="P31" i="12" s="1"/>
  <c r="C139" i="3"/>
  <c r="I139" i="3" s="1"/>
  <c r="C140" i="3"/>
  <c r="I140" i="3" s="1"/>
  <c r="M32" i="12"/>
  <c r="P32" i="12" s="1"/>
  <c r="M37" i="10"/>
  <c r="P37" i="10" s="1"/>
  <c r="C115" i="3"/>
  <c r="I115" i="3" s="1"/>
  <c r="M30" i="10"/>
  <c r="P30" i="10" s="1"/>
  <c r="C108" i="3"/>
  <c r="I108" i="3" s="1"/>
  <c r="C147" i="3"/>
  <c r="I147" i="3" s="1"/>
  <c r="M39" i="12"/>
  <c r="P39" i="12" s="1"/>
  <c r="C129" i="3"/>
  <c r="I129" i="3" s="1"/>
  <c r="M36" i="11"/>
  <c r="P36" i="11" s="1"/>
  <c r="M28" i="10"/>
  <c r="P28" i="10" s="1"/>
  <c r="C106" i="3"/>
  <c r="I106" i="3" s="1"/>
  <c r="M25" i="7"/>
  <c r="M30" i="11"/>
  <c r="P30" i="11" s="1"/>
  <c r="C123" i="3"/>
  <c r="I123" i="3" s="1"/>
  <c r="M27" i="10"/>
  <c r="P27" i="10" s="1"/>
  <c r="C105" i="3"/>
  <c r="I105" i="3" s="1"/>
  <c r="C112" i="3"/>
  <c r="I112" i="3" s="1"/>
  <c r="M34" i="10"/>
  <c r="P34" i="10" s="1"/>
  <c r="C132" i="3"/>
  <c r="I132" i="3" s="1"/>
  <c r="M39" i="11"/>
  <c r="P39" i="11" s="1"/>
  <c r="M27" i="12"/>
  <c r="P27" i="12" s="1"/>
  <c r="C135" i="3"/>
  <c r="I135" i="3" s="1"/>
  <c r="M30" i="7"/>
  <c r="P30" i="7" s="1"/>
  <c r="M33" i="7"/>
  <c r="P33" i="7" s="1"/>
  <c r="M27" i="7"/>
  <c r="M36" i="7"/>
  <c r="P36" i="7" s="1"/>
  <c r="M29" i="7"/>
  <c r="P29" i="7" s="1"/>
  <c r="M39" i="7"/>
  <c r="P39" i="7" s="1"/>
  <c r="M35" i="7"/>
  <c r="P35" i="7" s="1"/>
  <c r="M34" i="7"/>
  <c r="P34" i="7" s="1"/>
  <c r="E66" i="6"/>
  <c r="H66" i="6" s="1"/>
  <c r="W41" i="6"/>
  <c r="E65" i="6"/>
  <c r="H65" i="6" s="1"/>
  <c r="E64" i="6"/>
  <c r="H64" i="6" s="1"/>
  <c r="M39" i="6"/>
  <c r="W39" i="6" s="1"/>
  <c r="M40" i="6"/>
  <c r="W40" i="6" s="1"/>
  <c r="Y40" i="6"/>
  <c r="Y39" i="6"/>
  <c r="Y41" i="6"/>
  <c r="C160" i="3" l="1"/>
  <c r="S26" i="4"/>
  <c r="T26" i="4"/>
  <c r="T31" i="10"/>
  <c r="V31" i="10" s="1"/>
  <c r="P31" i="10"/>
  <c r="T38" i="7"/>
  <c r="AE38" i="7" s="1"/>
  <c r="P38" i="7"/>
  <c r="D101" i="3" s="1"/>
  <c r="R29" i="12"/>
  <c r="R31" i="12"/>
  <c r="R36" i="12"/>
  <c r="D144" i="3"/>
  <c r="R27" i="12"/>
  <c r="D141" i="3"/>
  <c r="R33" i="12"/>
  <c r="AB26" i="12"/>
  <c r="AA26" i="12"/>
  <c r="Y26" i="12"/>
  <c r="V26" i="12"/>
  <c r="AD26" i="12"/>
  <c r="AE26" i="12"/>
  <c r="W26" i="12"/>
  <c r="AG26" i="12"/>
  <c r="AC26" i="12"/>
  <c r="X26" i="12"/>
  <c r="AF26" i="12"/>
  <c r="Z26" i="12"/>
  <c r="D143" i="3"/>
  <c r="R35" i="12"/>
  <c r="R39" i="12"/>
  <c r="D136" i="3"/>
  <c r="R28" i="12"/>
  <c r="R30" i="12"/>
  <c r="D138" i="3"/>
  <c r="R37" i="12"/>
  <c r="D145" i="3"/>
  <c r="D146" i="3"/>
  <c r="R38" i="12"/>
  <c r="R32" i="12"/>
  <c r="D142" i="3"/>
  <c r="R34" i="12"/>
  <c r="D124" i="3"/>
  <c r="R31" i="11"/>
  <c r="AF28" i="11"/>
  <c r="Z28" i="11"/>
  <c r="AC28" i="11"/>
  <c r="V28" i="11"/>
  <c r="W28" i="11"/>
  <c r="Y28" i="11"/>
  <c r="AA28" i="11"/>
  <c r="AD28" i="11"/>
  <c r="AE28" i="11"/>
  <c r="X28" i="11"/>
  <c r="AG28" i="11"/>
  <c r="AB28" i="11"/>
  <c r="R27" i="11"/>
  <c r="D120" i="3"/>
  <c r="D123" i="3"/>
  <c r="R30" i="11"/>
  <c r="R38" i="11"/>
  <c r="R32" i="11"/>
  <c r="W26" i="11"/>
  <c r="Z26" i="11"/>
  <c r="Y26" i="11"/>
  <c r="AB26" i="11"/>
  <c r="AC26" i="11"/>
  <c r="AF26" i="11"/>
  <c r="AE26" i="11"/>
  <c r="AD26" i="11"/>
  <c r="AG26" i="11"/>
  <c r="X26" i="11"/>
  <c r="AA26" i="11"/>
  <c r="V26" i="11"/>
  <c r="D132" i="3"/>
  <c r="R39" i="11"/>
  <c r="R35" i="11"/>
  <c r="D128" i="3"/>
  <c r="R29" i="11"/>
  <c r="R34" i="11"/>
  <c r="D127" i="3"/>
  <c r="R33" i="11"/>
  <c r="D126" i="3"/>
  <c r="R37" i="11"/>
  <c r="R36" i="11"/>
  <c r="U26" i="11"/>
  <c r="R34" i="10"/>
  <c r="D114" i="3"/>
  <c r="R36" i="10"/>
  <c r="R39" i="10"/>
  <c r="D105" i="3"/>
  <c r="R27" i="10"/>
  <c r="R33" i="10"/>
  <c r="R28" i="10"/>
  <c r="R37" i="10"/>
  <c r="T37" i="10"/>
  <c r="Y31" i="10"/>
  <c r="X31" i="10"/>
  <c r="AE31" i="10"/>
  <c r="Z31" i="10"/>
  <c r="R35" i="10"/>
  <c r="R29" i="10"/>
  <c r="R30" i="10"/>
  <c r="R31" i="10"/>
  <c r="R38" i="10"/>
  <c r="R32" i="10"/>
  <c r="R31" i="7"/>
  <c r="D94" i="3"/>
  <c r="R39" i="7"/>
  <c r="R35" i="7"/>
  <c r="D98" i="3"/>
  <c r="R38" i="7"/>
  <c r="D99" i="3"/>
  <c r="R36" i="7"/>
  <c r="R32" i="7"/>
  <c r="D95" i="3"/>
  <c r="R33" i="7"/>
  <c r="D96" i="3"/>
  <c r="R34" i="7"/>
  <c r="D97" i="3"/>
  <c r="D93" i="3"/>
  <c r="R30" i="7"/>
  <c r="D100" i="3"/>
  <c r="R37" i="7"/>
  <c r="T28" i="12"/>
  <c r="U28" i="12" s="1"/>
  <c r="U26" i="12"/>
  <c r="U28" i="7"/>
  <c r="W28" i="7"/>
  <c r="AE28" i="7"/>
  <c r="X28" i="7"/>
  <c r="Y28" i="7"/>
  <c r="AG28" i="7"/>
  <c r="Z28" i="7"/>
  <c r="AB28" i="7"/>
  <c r="AF28" i="7"/>
  <c r="V28" i="7"/>
  <c r="AA28" i="7"/>
  <c r="AC28" i="7"/>
  <c r="AD28" i="7"/>
  <c r="U38" i="7"/>
  <c r="T38" i="12"/>
  <c r="U38" i="12" s="1"/>
  <c r="T28" i="10"/>
  <c r="T39" i="10"/>
  <c r="T34" i="10"/>
  <c r="T37" i="7"/>
  <c r="T30" i="10"/>
  <c r="T25" i="10"/>
  <c r="T32" i="10"/>
  <c r="T26" i="10"/>
  <c r="T29" i="10"/>
  <c r="T27" i="7"/>
  <c r="T25" i="7"/>
  <c r="T33" i="10"/>
  <c r="T35" i="10"/>
  <c r="T27" i="11"/>
  <c r="U27" i="11" s="1"/>
  <c r="T38" i="10"/>
  <c r="T36" i="10"/>
  <c r="T26" i="7"/>
  <c r="T31" i="7"/>
  <c r="J109" i="3"/>
  <c r="J129" i="3"/>
  <c r="J119" i="3"/>
  <c r="T30" i="11"/>
  <c r="T33" i="11"/>
  <c r="J131" i="3"/>
  <c r="J135" i="3"/>
  <c r="J134" i="3"/>
  <c r="J130" i="3"/>
  <c r="J101" i="3"/>
  <c r="T39" i="11"/>
  <c r="J124" i="3"/>
  <c r="J123" i="3"/>
  <c r="J121" i="3"/>
  <c r="J128" i="3"/>
  <c r="J127" i="3"/>
  <c r="J126" i="3"/>
  <c r="J122" i="3"/>
  <c r="J93" i="3"/>
  <c r="T35" i="7"/>
  <c r="J132" i="3"/>
  <c r="J116" i="3"/>
  <c r="J115" i="3"/>
  <c r="J120" i="3"/>
  <c r="J90" i="3"/>
  <c r="T34" i="7"/>
  <c r="T30" i="7"/>
  <c r="D115" i="3"/>
  <c r="D131" i="3"/>
  <c r="T38" i="11"/>
  <c r="T31" i="11"/>
  <c r="T35" i="11"/>
  <c r="J108" i="3"/>
  <c r="J107" i="3"/>
  <c r="J105" i="3"/>
  <c r="J112" i="3"/>
  <c r="J111" i="3"/>
  <c r="J110" i="3"/>
  <c r="J141" i="3"/>
  <c r="T35" i="12"/>
  <c r="D125" i="3"/>
  <c r="T32" i="11"/>
  <c r="T37" i="12"/>
  <c r="J118" i="3"/>
  <c r="T36" i="11"/>
  <c r="D129" i="3"/>
  <c r="T32" i="12"/>
  <c r="D140" i="3"/>
  <c r="T29" i="11"/>
  <c r="D122" i="3"/>
  <c r="T25" i="11"/>
  <c r="J100" i="3"/>
  <c r="J99" i="3"/>
  <c r="J97" i="3"/>
  <c r="J104" i="3"/>
  <c r="J103" i="3"/>
  <c r="J102" i="3"/>
  <c r="J133" i="3"/>
  <c r="T30" i="12"/>
  <c r="J136" i="3"/>
  <c r="J113" i="3"/>
  <c r="T25" i="12"/>
  <c r="T32" i="7"/>
  <c r="J92" i="3"/>
  <c r="J91" i="3"/>
  <c r="J89" i="3"/>
  <c r="J96" i="3"/>
  <c r="J95" i="3"/>
  <c r="J94" i="3"/>
  <c r="J125" i="3"/>
  <c r="T37" i="11"/>
  <c r="D130" i="3"/>
  <c r="T36" i="7"/>
  <c r="T34" i="11"/>
  <c r="T33" i="7"/>
  <c r="T34" i="12"/>
  <c r="T39" i="7"/>
  <c r="T39" i="12"/>
  <c r="D147" i="3"/>
  <c r="J88" i="3"/>
  <c r="J147" i="3"/>
  <c r="J145" i="3"/>
  <c r="J114" i="3"/>
  <c r="J106" i="3"/>
  <c r="J98" i="3"/>
  <c r="J146" i="3"/>
  <c r="J117" i="3"/>
  <c r="U28" i="11"/>
  <c r="T36" i="12"/>
  <c r="T27" i="12"/>
  <c r="T29" i="7"/>
  <c r="T31" i="12"/>
  <c r="D139" i="3"/>
  <c r="J140" i="3"/>
  <c r="J139" i="3"/>
  <c r="J137" i="3"/>
  <c r="J144" i="3"/>
  <c r="J143" i="3"/>
  <c r="J142" i="3"/>
  <c r="J138" i="3"/>
  <c r="T33" i="12"/>
  <c r="T29" i="12"/>
  <c r="D137" i="3"/>
  <c r="T27" i="10"/>
  <c r="S66" i="6"/>
  <c r="S70" i="6"/>
  <c r="J18" i="12" s="1"/>
  <c r="S63" i="6"/>
  <c r="S67" i="6"/>
  <c r="J15" i="12" s="1"/>
  <c r="S71" i="6"/>
  <c r="J19" i="12" s="1"/>
  <c r="S64" i="6"/>
  <c r="S68" i="6"/>
  <c r="J16" i="12" s="1"/>
  <c r="S72" i="6"/>
  <c r="J20" i="12" s="1"/>
  <c r="S65" i="6"/>
  <c r="S69" i="6"/>
  <c r="J17" i="12" s="1"/>
  <c r="S73" i="6"/>
  <c r="J21" i="12" s="1"/>
  <c r="S62" i="6"/>
  <c r="R62" i="6"/>
  <c r="R63" i="6"/>
  <c r="R67" i="6"/>
  <c r="R71" i="6"/>
  <c r="R69" i="6"/>
  <c r="R64" i="6"/>
  <c r="R68" i="6"/>
  <c r="R72" i="6"/>
  <c r="R65" i="6"/>
  <c r="R73" i="6"/>
  <c r="R66" i="6"/>
  <c r="R70" i="6"/>
  <c r="AC31" i="10" l="1"/>
  <c r="U31" i="10"/>
  <c r="W31" i="10"/>
  <c r="AG31" i="10"/>
  <c r="Z38" i="7"/>
  <c r="C161" i="3"/>
  <c r="AD38" i="7"/>
  <c r="AB38" i="7"/>
  <c r="Y38" i="7"/>
  <c r="AF38" i="7"/>
  <c r="X38" i="7"/>
  <c r="J26" i="4"/>
  <c r="E9" i="4" s="1"/>
  <c r="L9" i="4" s="1"/>
  <c r="AD31" i="10"/>
  <c r="AB31" i="10"/>
  <c r="AF31" i="10"/>
  <c r="AA31" i="10"/>
  <c r="W38" i="7"/>
  <c r="AC38" i="7"/>
  <c r="AG38" i="7"/>
  <c r="AA38" i="7"/>
  <c r="V38" i="7"/>
  <c r="AC39" i="12"/>
  <c r="AE39" i="12"/>
  <c r="W39" i="12"/>
  <c r="V39" i="12"/>
  <c r="AB39" i="12"/>
  <c r="Z39" i="12"/>
  <c r="AA39" i="12"/>
  <c r="X39" i="12"/>
  <c r="AF39" i="12"/>
  <c r="AD39" i="12"/>
  <c r="Y39" i="12"/>
  <c r="AG39" i="12"/>
  <c r="AA30" i="12"/>
  <c r="V30" i="12"/>
  <c r="AG30" i="12"/>
  <c r="X30" i="12"/>
  <c r="AC30" i="12"/>
  <c r="Y30" i="12"/>
  <c r="AB30" i="12"/>
  <c r="Z30" i="12"/>
  <c r="W30" i="12"/>
  <c r="AF30" i="12"/>
  <c r="AD30" i="12"/>
  <c r="AE30" i="12"/>
  <c r="W28" i="12"/>
  <c r="AG28" i="12"/>
  <c r="Z28" i="12"/>
  <c r="V28" i="12"/>
  <c r="X28" i="12"/>
  <c r="AD28" i="12"/>
  <c r="AC28" i="12"/>
  <c r="AA28" i="12"/>
  <c r="AB28" i="12"/>
  <c r="AF28" i="12"/>
  <c r="Y28" i="12"/>
  <c r="AE28" i="12"/>
  <c r="X27" i="12"/>
  <c r="AG27" i="12"/>
  <c r="V27" i="12"/>
  <c r="W27" i="12"/>
  <c r="AE27" i="12"/>
  <c r="Y27" i="12"/>
  <c r="AF27" i="12"/>
  <c r="AD27" i="12"/>
  <c r="AB27" i="12"/>
  <c r="AA27" i="12"/>
  <c r="Z27" i="12"/>
  <c r="AC27" i="12"/>
  <c r="AE34" i="12"/>
  <c r="AG34" i="12"/>
  <c r="AC34" i="12"/>
  <c r="AF34" i="12"/>
  <c r="AA34" i="12"/>
  <c r="X34" i="12"/>
  <c r="AB34" i="12"/>
  <c r="V34" i="12"/>
  <c r="Y34" i="12"/>
  <c r="Z34" i="12"/>
  <c r="AD34" i="12"/>
  <c r="W34" i="12"/>
  <c r="Z37" i="12"/>
  <c r="AG37" i="12"/>
  <c r="AF37" i="12"/>
  <c r="V37" i="12"/>
  <c r="AB37" i="12"/>
  <c r="X37" i="12"/>
  <c r="AD37" i="12"/>
  <c r="AC37" i="12"/>
  <c r="W37" i="12"/>
  <c r="AE37" i="12"/>
  <c r="Y37" i="12"/>
  <c r="AA37" i="12"/>
  <c r="AD25" i="12"/>
  <c r="V25" i="12"/>
  <c r="AC25" i="12"/>
  <c r="Y25" i="12"/>
  <c r="Z25" i="12"/>
  <c r="AB25" i="12"/>
  <c r="X25" i="12"/>
  <c r="AF25" i="12"/>
  <c r="AA25" i="12"/>
  <c r="AG25" i="12"/>
  <c r="W25" i="12"/>
  <c r="AE25" i="12"/>
  <c r="X36" i="12"/>
  <c r="Y36" i="12"/>
  <c r="Z36" i="12"/>
  <c r="AF36" i="12"/>
  <c r="V36" i="12"/>
  <c r="W36" i="12"/>
  <c r="AG36" i="12"/>
  <c r="AE36" i="12"/>
  <c r="AA36" i="12"/>
  <c r="AD36" i="12"/>
  <c r="AC36" i="12"/>
  <c r="AB36" i="12"/>
  <c r="Y33" i="12"/>
  <c r="AF33" i="12"/>
  <c r="V33" i="12"/>
  <c r="AA33" i="12"/>
  <c r="W33" i="12"/>
  <c r="AG33" i="12"/>
  <c r="AE33" i="12"/>
  <c r="AD33" i="12"/>
  <c r="AC33" i="12"/>
  <c r="Z33" i="12"/>
  <c r="X33" i="12"/>
  <c r="AB33" i="12"/>
  <c r="Z32" i="12"/>
  <c r="AE32" i="12"/>
  <c r="AF32" i="12"/>
  <c r="AG32" i="12"/>
  <c r="V32" i="12"/>
  <c r="AC32" i="12"/>
  <c r="Y32" i="12"/>
  <c r="AA32" i="12"/>
  <c r="AB32" i="12"/>
  <c r="W32" i="12"/>
  <c r="AD32" i="12"/>
  <c r="X32" i="12"/>
  <c r="X38" i="12"/>
  <c r="AE38" i="12"/>
  <c r="Z38" i="12"/>
  <c r="AF38" i="12"/>
  <c r="AD38" i="12"/>
  <c r="AC38" i="12"/>
  <c r="AA38" i="12"/>
  <c r="Y38" i="12"/>
  <c r="AG38" i="12"/>
  <c r="AB38" i="12"/>
  <c r="V38" i="12"/>
  <c r="W38" i="12"/>
  <c r="AC29" i="12"/>
  <c r="AB29" i="12"/>
  <c r="W29" i="12"/>
  <c r="V29" i="12"/>
  <c r="AD29" i="12"/>
  <c r="AE29" i="12"/>
  <c r="AG29" i="12"/>
  <c r="AA29" i="12"/>
  <c r="X29" i="12"/>
  <c r="Z29" i="12"/>
  <c r="AF29" i="12"/>
  <c r="Y29" i="12"/>
  <c r="AB31" i="12"/>
  <c r="AF31" i="12"/>
  <c r="AD31" i="12"/>
  <c r="Y31" i="12"/>
  <c r="X31" i="12"/>
  <c r="AA31" i="12"/>
  <c r="AE31" i="12"/>
  <c r="V31" i="12"/>
  <c r="AG31" i="12"/>
  <c r="AC31" i="12"/>
  <c r="W31" i="12"/>
  <c r="Z31" i="12"/>
  <c r="AA35" i="12"/>
  <c r="Z35" i="12"/>
  <c r="AD35" i="12"/>
  <c r="Y35" i="12"/>
  <c r="X35" i="12"/>
  <c r="W35" i="12"/>
  <c r="AC35" i="12"/>
  <c r="AG35" i="12"/>
  <c r="V35" i="12"/>
  <c r="AE35" i="12"/>
  <c r="AF35" i="12"/>
  <c r="AB35" i="12"/>
  <c r="AD34" i="11"/>
  <c r="V34" i="11"/>
  <c r="AG34" i="11"/>
  <c r="AA34" i="11"/>
  <c r="X34" i="11"/>
  <c r="AF34" i="11"/>
  <c r="W34" i="11"/>
  <c r="AB34" i="11"/>
  <c r="AC34" i="11"/>
  <c r="AE34" i="11"/>
  <c r="Z34" i="11"/>
  <c r="Y34" i="11"/>
  <c r="AA29" i="11"/>
  <c r="AB29" i="11"/>
  <c r="AD29" i="11"/>
  <c r="W29" i="11"/>
  <c r="AG29" i="11"/>
  <c r="AC29" i="11"/>
  <c r="AE29" i="11"/>
  <c r="Z29" i="11"/>
  <c r="V29" i="11"/>
  <c r="AF29" i="11"/>
  <c r="X29" i="11"/>
  <c r="Y29" i="11"/>
  <c r="AC38" i="11"/>
  <c r="Z38" i="11"/>
  <c r="AE38" i="11"/>
  <c r="AD38" i="11"/>
  <c r="X38" i="11"/>
  <c r="Y38" i="11"/>
  <c r="AA38" i="11"/>
  <c r="AB38" i="11"/>
  <c r="AF38" i="11"/>
  <c r="AG38" i="11"/>
  <c r="W38" i="11"/>
  <c r="V38" i="11"/>
  <c r="X30" i="11"/>
  <c r="AA30" i="11"/>
  <c r="V30" i="11"/>
  <c r="AF30" i="11"/>
  <c r="AG30" i="11"/>
  <c r="Z30" i="11"/>
  <c r="AD30" i="11"/>
  <c r="AB30" i="11"/>
  <c r="AE30" i="11"/>
  <c r="W30" i="11"/>
  <c r="AC30" i="11"/>
  <c r="Y30" i="11"/>
  <c r="W32" i="11"/>
  <c r="AE32" i="11"/>
  <c r="AG32" i="11"/>
  <c r="AD32" i="11"/>
  <c r="AB32" i="11"/>
  <c r="Z32" i="11"/>
  <c r="AA32" i="11"/>
  <c r="AC32" i="11"/>
  <c r="X32" i="11"/>
  <c r="V32" i="11"/>
  <c r="AF32" i="11"/>
  <c r="Y32" i="11"/>
  <c r="W27" i="11"/>
  <c r="Y27" i="11"/>
  <c r="Z27" i="11"/>
  <c r="AB27" i="11"/>
  <c r="AG27" i="11"/>
  <c r="AD27" i="11"/>
  <c r="AA27" i="11"/>
  <c r="AE27" i="11"/>
  <c r="V27" i="11"/>
  <c r="X27" i="11"/>
  <c r="AC27" i="11"/>
  <c r="AF27" i="11"/>
  <c r="AD36" i="11"/>
  <c r="AE36" i="11"/>
  <c r="AA36" i="11"/>
  <c r="X36" i="11"/>
  <c r="AG36" i="11"/>
  <c r="AB36" i="11"/>
  <c r="AC36" i="11"/>
  <c r="V36" i="11"/>
  <c r="Z36" i="11"/>
  <c r="AF36" i="11"/>
  <c r="W36" i="11"/>
  <c r="Y36" i="11"/>
  <c r="W25" i="11"/>
  <c r="AC25" i="11"/>
  <c r="X25" i="11"/>
  <c r="AF25" i="11"/>
  <c r="AD25" i="11"/>
  <c r="AG25" i="11"/>
  <c r="AE25" i="11"/>
  <c r="Y25" i="11"/>
  <c r="Z25" i="11"/>
  <c r="V25" i="11"/>
  <c r="AA25" i="11"/>
  <c r="AB25" i="11"/>
  <c r="Y35" i="11"/>
  <c r="Z35" i="11"/>
  <c r="AB35" i="11"/>
  <c r="W35" i="11"/>
  <c r="AE35" i="11"/>
  <c r="V35" i="11"/>
  <c r="AC35" i="11"/>
  <c r="X35" i="11"/>
  <c r="AF35" i="11"/>
  <c r="AG35" i="11"/>
  <c r="AA35" i="11"/>
  <c r="AD35" i="11"/>
  <c r="AB33" i="11"/>
  <c r="AD33" i="11"/>
  <c r="AA33" i="11"/>
  <c r="V33" i="11"/>
  <c r="W33" i="11"/>
  <c r="Z33" i="11"/>
  <c r="X33" i="11"/>
  <c r="AE33" i="11"/>
  <c r="AF33" i="11"/>
  <c r="Y33" i="11"/>
  <c r="AC33" i="11"/>
  <c r="AG33" i="11"/>
  <c r="AF37" i="11"/>
  <c r="X37" i="11"/>
  <c r="Z37" i="11"/>
  <c r="V37" i="11"/>
  <c r="AA37" i="11"/>
  <c r="AB37" i="11"/>
  <c r="AD37" i="11"/>
  <c r="Y37" i="11"/>
  <c r="AG37" i="11"/>
  <c r="W37" i="11"/>
  <c r="AC37" i="11"/>
  <c r="AE37" i="11"/>
  <c r="Y31" i="11"/>
  <c r="AG31" i="11"/>
  <c r="X31" i="11"/>
  <c r="AC31" i="11"/>
  <c r="AD31" i="11"/>
  <c r="W31" i="11"/>
  <c r="AF31" i="11"/>
  <c r="AA31" i="11"/>
  <c r="AE31" i="11"/>
  <c r="AB31" i="11"/>
  <c r="V31" i="11"/>
  <c r="Z31" i="11"/>
  <c r="W39" i="11"/>
  <c r="AE39" i="11"/>
  <c r="AB39" i="11"/>
  <c r="Z39" i="11"/>
  <c r="Y39" i="11"/>
  <c r="AG39" i="11"/>
  <c r="X39" i="11"/>
  <c r="AC39" i="11"/>
  <c r="AD39" i="11"/>
  <c r="AF39" i="11"/>
  <c r="AA39" i="11"/>
  <c r="V39" i="11"/>
  <c r="U34" i="10"/>
  <c r="AE34" i="10"/>
  <c r="AD34" i="10"/>
  <c r="Z34" i="10"/>
  <c r="AC34" i="10"/>
  <c r="V34" i="10"/>
  <c r="AB34" i="10"/>
  <c r="AA34" i="10"/>
  <c r="X34" i="10"/>
  <c r="AG34" i="10"/>
  <c r="W34" i="10"/>
  <c r="AF34" i="10"/>
  <c r="Y34" i="10"/>
  <c r="U36" i="10"/>
  <c r="AD36" i="10"/>
  <c r="AC36" i="10"/>
  <c r="Z36" i="10"/>
  <c r="AB36" i="10"/>
  <c r="Y36" i="10"/>
  <c r="AA36" i="10"/>
  <c r="AF36" i="10"/>
  <c r="X36" i="10"/>
  <c r="AG36" i="10"/>
  <c r="W36" i="10"/>
  <c r="V36" i="10"/>
  <c r="AE36" i="10"/>
  <c r="U29" i="10"/>
  <c r="AE29" i="10"/>
  <c r="X29" i="10"/>
  <c r="AD29" i="10"/>
  <c r="Y29" i="10"/>
  <c r="AB29" i="10"/>
  <c r="AF29" i="10"/>
  <c r="AA29" i="10"/>
  <c r="AG29" i="10"/>
  <c r="Z29" i="10"/>
  <c r="V29" i="10"/>
  <c r="W29" i="10"/>
  <c r="AC29" i="10"/>
  <c r="U39" i="10"/>
  <c r="AA39" i="10"/>
  <c r="AD39" i="10"/>
  <c r="W39" i="10"/>
  <c r="AC39" i="10"/>
  <c r="AE39" i="10"/>
  <c r="Z39" i="10"/>
  <c r="AB39" i="10"/>
  <c r="Y39" i="10"/>
  <c r="X39" i="10"/>
  <c r="AG39" i="10"/>
  <c r="AF39" i="10"/>
  <c r="V39" i="10"/>
  <c r="U37" i="10"/>
  <c r="AA37" i="10"/>
  <c r="AG37" i="10"/>
  <c r="Z37" i="10"/>
  <c r="W37" i="10"/>
  <c r="AE37" i="10"/>
  <c r="Y37" i="10"/>
  <c r="AD37" i="10"/>
  <c r="X37" i="10"/>
  <c r="V37" i="10"/>
  <c r="AB37" i="10"/>
  <c r="AF37" i="10"/>
  <c r="AC37" i="10"/>
  <c r="U38" i="10"/>
  <c r="AG38" i="10"/>
  <c r="X38" i="10"/>
  <c r="W38" i="10"/>
  <c r="AF38" i="10"/>
  <c r="Z38" i="10"/>
  <c r="AE38" i="10"/>
  <c r="AB38" i="10"/>
  <c r="V38" i="10"/>
  <c r="AA38" i="10"/>
  <c r="AC38" i="10"/>
  <c r="Y38" i="10"/>
  <c r="AD38" i="10"/>
  <c r="AB26" i="10"/>
  <c r="AA26" i="10"/>
  <c r="X26" i="10"/>
  <c r="W26" i="10"/>
  <c r="AF26" i="10"/>
  <c r="AG26" i="10"/>
  <c r="Y26" i="10"/>
  <c r="AE26" i="10"/>
  <c r="AD26" i="10"/>
  <c r="Z26" i="10"/>
  <c r="V26" i="10"/>
  <c r="AC26" i="10"/>
  <c r="U28" i="10"/>
  <c r="AG28" i="10"/>
  <c r="W28" i="10"/>
  <c r="AE28" i="10"/>
  <c r="X28" i="10"/>
  <c r="AD28" i="10"/>
  <c r="AF28" i="10"/>
  <c r="AC28" i="10"/>
  <c r="V28" i="10"/>
  <c r="Z28" i="10"/>
  <c r="AB28" i="10"/>
  <c r="Y28" i="10"/>
  <c r="AA28" i="10"/>
  <c r="U32" i="10"/>
  <c r="AB32" i="10"/>
  <c r="AF32" i="10"/>
  <c r="X32" i="10"/>
  <c r="Z32" i="10"/>
  <c r="Y32" i="10"/>
  <c r="AG32" i="10"/>
  <c r="AD32" i="10"/>
  <c r="AC32" i="10"/>
  <c r="W32" i="10"/>
  <c r="AA32" i="10"/>
  <c r="V32" i="10"/>
  <c r="AE32" i="10"/>
  <c r="U35" i="10"/>
  <c r="AF35" i="10"/>
  <c r="AC35" i="10"/>
  <c r="W35" i="10"/>
  <c r="AB35" i="10"/>
  <c r="V35" i="10"/>
  <c r="AA35" i="10"/>
  <c r="Z35" i="10"/>
  <c r="Y35" i="10"/>
  <c r="AD35" i="10"/>
  <c r="AE35" i="10"/>
  <c r="X35" i="10"/>
  <c r="AG35" i="10"/>
  <c r="U25" i="10"/>
  <c r="Y25" i="10"/>
  <c r="W25" i="10"/>
  <c r="AE25" i="10"/>
  <c r="AB25" i="10"/>
  <c r="AG25" i="10"/>
  <c r="AD25" i="10"/>
  <c r="AA25" i="10"/>
  <c r="V25" i="10"/>
  <c r="Z25" i="10"/>
  <c r="X25" i="10"/>
  <c r="AC25" i="10"/>
  <c r="AF25" i="10"/>
  <c r="U26" i="10"/>
  <c r="U33" i="10"/>
  <c r="X33" i="10"/>
  <c r="V33" i="10"/>
  <c r="AF33" i="10"/>
  <c r="AB33" i="10"/>
  <c r="W33" i="10"/>
  <c r="AG33" i="10"/>
  <c r="Y33" i="10"/>
  <c r="AE33" i="10"/>
  <c r="AD33" i="10"/>
  <c r="AA33" i="10"/>
  <c r="AC33" i="10"/>
  <c r="Z33" i="10"/>
  <c r="U30" i="10"/>
  <c r="W30" i="10"/>
  <c r="AF30" i="10"/>
  <c r="AE30" i="10"/>
  <c r="AB30" i="10"/>
  <c r="AA30" i="10"/>
  <c r="Y30" i="10"/>
  <c r="AG30" i="10"/>
  <c r="V30" i="10"/>
  <c r="Z30" i="10"/>
  <c r="AD30" i="10"/>
  <c r="X30" i="10"/>
  <c r="AC30" i="10"/>
  <c r="Z27" i="10"/>
  <c r="AE27" i="10"/>
  <c r="Y27" i="10"/>
  <c r="V27" i="10"/>
  <c r="W27" i="10"/>
  <c r="X27" i="10"/>
  <c r="AG27" i="10"/>
  <c r="AF27" i="10"/>
  <c r="AC27" i="10"/>
  <c r="AB27" i="10"/>
  <c r="AA27" i="10"/>
  <c r="AD27" i="10"/>
  <c r="U29" i="7"/>
  <c r="W29" i="7"/>
  <c r="AE29" i="7"/>
  <c r="X29" i="7"/>
  <c r="Y29" i="7"/>
  <c r="AG29" i="7"/>
  <c r="Z29" i="7"/>
  <c r="AB29" i="7"/>
  <c r="V29" i="7"/>
  <c r="AA29" i="7"/>
  <c r="AD29" i="7"/>
  <c r="AF29" i="7"/>
  <c r="AC29" i="7"/>
  <c r="U33" i="7"/>
  <c r="Y33" i="7"/>
  <c r="AG33" i="7"/>
  <c r="Z33" i="7"/>
  <c r="V33" i="7"/>
  <c r="AA33" i="7"/>
  <c r="AB33" i="7"/>
  <c r="AD33" i="7"/>
  <c r="AC33" i="7"/>
  <c r="W33" i="7"/>
  <c r="AE33" i="7"/>
  <c r="X33" i="7"/>
  <c r="AF33" i="7"/>
  <c r="AB32" i="7"/>
  <c r="AC32" i="7"/>
  <c r="AD32" i="7"/>
  <c r="V32" i="7"/>
  <c r="Y32" i="7"/>
  <c r="W32" i="7"/>
  <c r="AE32" i="7"/>
  <c r="X32" i="7"/>
  <c r="AF32" i="7"/>
  <c r="AG32" i="7"/>
  <c r="Z32" i="7"/>
  <c r="AA32" i="7"/>
  <c r="AA25" i="7"/>
  <c r="AC25" i="7"/>
  <c r="AD25" i="7"/>
  <c r="X25" i="7"/>
  <c r="V25" i="7"/>
  <c r="W25" i="7"/>
  <c r="AE25" i="7"/>
  <c r="AF25" i="7"/>
  <c r="Y25" i="7"/>
  <c r="AG25" i="7"/>
  <c r="Z25" i="7"/>
  <c r="AB25" i="7"/>
  <c r="U35" i="7"/>
  <c r="AA35" i="7"/>
  <c r="AB35" i="7"/>
  <c r="AC35" i="7"/>
  <c r="X35" i="7"/>
  <c r="AD35" i="7"/>
  <c r="W35" i="7"/>
  <c r="AE35" i="7"/>
  <c r="AF35" i="7"/>
  <c r="Y35" i="7"/>
  <c r="AG35" i="7"/>
  <c r="Z35" i="7"/>
  <c r="V35" i="7"/>
  <c r="U30" i="7"/>
  <c r="AA30" i="7"/>
  <c r="AC30" i="7"/>
  <c r="AD30" i="7"/>
  <c r="AF30" i="7"/>
  <c r="W30" i="7"/>
  <c r="AE30" i="7"/>
  <c r="X30" i="7"/>
  <c r="Y30" i="7"/>
  <c r="AG30" i="7"/>
  <c r="Z30" i="7"/>
  <c r="V30" i="7"/>
  <c r="AB30" i="7"/>
  <c r="U27" i="7"/>
  <c r="AA27" i="7"/>
  <c r="AC27" i="7"/>
  <c r="AD27" i="7"/>
  <c r="V27" i="7"/>
  <c r="X27" i="7"/>
  <c r="Z27" i="7"/>
  <c r="AB27" i="7"/>
  <c r="W27" i="7"/>
  <c r="AE27" i="7"/>
  <c r="AF27" i="7"/>
  <c r="Y27" i="7"/>
  <c r="AG27" i="7"/>
  <c r="W31" i="7"/>
  <c r="AE31" i="7"/>
  <c r="AF31" i="7"/>
  <c r="X31" i="7"/>
  <c r="Y31" i="7"/>
  <c r="AG31" i="7"/>
  <c r="Z31" i="7"/>
  <c r="V31" i="7"/>
  <c r="AA31" i="7"/>
  <c r="AB31" i="7"/>
  <c r="AC31" i="7"/>
  <c r="AD31" i="7"/>
  <c r="U39" i="7"/>
  <c r="W39" i="7"/>
  <c r="AE39" i="7"/>
  <c r="X39" i="7"/>
  <c r="AF39" i="7"/>
  <c r="Y39" i="7"/>
  <c r="AG39" i="7"/>
  <c r="AB39" i="7"/>
  <c r="Z39" i="7"/>
  <c r="V39" i="7"/>
  <c r="AA39" i="7"/>
  <c r="AC39" i="7"/>
  <c r="AD39" i="7"/>
  <c r="U36" i="7"/>
  <c r="X36" i="7"/>
  <c r="AF36" i="7"/>
  <c r="Y36" i="7"/>
  <c r="AG36" i="7"/>
  <c r="Z36" i="7"/>
  <c r="AA36" i="7"/>
  <c r="AC36" i="7"/>
  <c r="AB36" i="7"/>
  <c r="AD36" i="7"/>
  <c r="V36" i="7"/>
  <c r="W36" i="7"/>
  <c r="AE36" i="7"/>
  <c r="U34" i="7"/>
  <c r="AD34" i="7"/>
  <c r="V34" i="7"/>
  <c r="W34" i="7"/>
  <c r="AE34" i="7"/>
  <c r="X34" i="7"/>
  <c r="AF34" i="7"/>
  <c r="AA34" i="7"/>
  <c r="Y34" i="7"/>
  <c r="AG34" i="7"/>
  <c r="Z34" i="7"/>
  <c r="AB34" i="7"/>
  <c r="AC34" i="7"/>
  <c r="W26" i="7"/>
  <c r="AE26" i="7"/>
  <c r="AF26" i="7"/>
  <c r="Y26" i="7"/>
  <c r="AG26" i="7"/>
  <c r="V26" i="7"/>
  <c r="AB26" i="7"/>
  <c r="Z26" i="7"/>
  <c r="AA26" i="7"/>
  <c r="AD26" i="7"/>
  <c r="X26" i="7"/>
  <c r="AC26" i="7"/>
  <c r="AC37" i="7"/>
  <c r="AD37" i="7"/>
  <c r="W37" i="7"/>
  <c r="AE37" i="7"/>
  <c r="Z37" i="7"/>
  <c r="V37" i="7"/>
  <c r="X37" i="7"/>
  <c r="AF37" i="7"/>
  <c r="Y37" i="7"/>
  <c r="AG37" i="7"/>
  <c r="AA37" i="7"/>
  <c r="AB37" i="7"/>
  <c r="C16" i="8"/>
  <c r="B16" i="8" s="1"/>
  <c r="C18" i="8"/>
  <c r="B18" i="8" s="1"/>
  <c r="C24" i="8"/>
  <c r="B24" i="8" s="1"/>
  <c r="C23" i="8"/>
  <c r="B23" i="8" s="1"/>
  <c r="C19" i="8"/>
  <c r="B19" i="8" s="1"/>
  <c r="C21" i="8"/>
  <c r="B21" i="8" s="1"/>
  <c r="C20" i="8"/>
  <c r="B20" i="8" s="1"/>
  <c r="C22" i="8"/>
  <c r="B22" i="8" s="1"/>
  <c r="C17" i="8"/>
  <c r="B17" i="8" s="1"/>
  <c r="C35" i="8"/>
  <c r="B35" i="8" s="1"/>
  <c r="C30" i="8"/>
  <c r="B30" i="8" s="1"/>
  <c r="C55" i="8"/>
  <c r="B55" i="8" s="1"/>
  <c r="C66" i="8"/>
  <c r="B66" i="8" s="1"/>
  <c r="C63" i="8"/>
  <c r="B63" i="8" s="1"/>
  <c r="C37" i="8"/>
  <c r="B37" i="8" s="1"/>
  <c r="C48" i="8"/>
  <c r="B48" i="8" s="1"/>
  <c r="C28" i="8"/>
  <c r="B28" i="8" s="1"/>
  <c r="C41" i="8"/>
  <c r="B41" i="8" s="1"/>
  <c r="C47" i="8"/>
  <c r="B47" i="8" s="1"/>
  <c r="C72" i="8"/>
  <c r="B72" i="8" s="1"/>
  <c r="C68" i="8"/>
  <c r="B68" i="8" s="1"/>
  <c r="C67" i="8"/>
  <c r="B67" i="8" s="1"/>
  <c r="C44" i="8"/>
  <c r="B44" i="8" s="1"/>
  <c r="C26" i="8"/>
  <c r="B26" i="8" s="1"/>
  <c r="C38" i="8"/>
  <c r="B38" i="8" s="1"/>
  <c r="C50" i="8"/>
  <c r="B50" i="8" s="1"/>
  <c r="C57" i="8"/>
  <c r="B57" i="8" s="1"/>
  <c r="C46" i="8"/>
  <c r="B46" i="8" s="1"/>
  <c r="C29" i="8"/>
  <c r="B29" i="8" s="1"/>
  <c r="C53" i="8"/>
  <c r="B53" i="8" s="1"/>
  <c r="C54" i="8"/>
  <c r="B54" i="8" s="1"/>
  <c r="C31" i="8"/>
  <c r="B31" i="8" s="1"/>
  <c r="C73" i="8"/>
  <c r="B73" i="8" s="1"/>
  <c r="C52" i="8"/>
  <c r="B52" i="8" s="1"/>
  <c r="C27" i="8"/>
  <c r="B27" i="8" s="1"/>
  <c r="C39" i="8"/>
  <c r="B39" i="8" s="1"/>
  <c r="C51" i="8"/>
  <c r="B51" i="8" s="1"/>
  <c r="C61" i="8"/>
  <c r="B61" i="8" s="1"/>
  <c r="C56" i="8"/>
  <c r="B56" i="8" s="1"/>
  <c r="C59" i="8"/>
  <c r="B59" i="8" s="1"/>
  <c r="C71" i="8"/>
  <c r="B71" i="8" s="1"/>
  <c r="C40" i="8"/>
  <c r="B40" i="8" s="1"/>
  <c r="C74" i="8"/>
  <c r="B74" i="8" s="1"/>
  <c r="C65" i="8"/>
  <c r="B65" i="8" s="1"/>
  <c r="C25" i="8"/>
  <c r="B25" i="8" s="1"/>
  <c r="C32" i="8"/>
  <c r="B32" i="8" s="1"/>
  <c r="C62" i="8"/>
  <c r="B62" i="8" s="1"/>
  <c r="C70" i="8"/>
  <c r="B70" i="8" s="1"/>
  <c r="C45" i="8"/>
  <c r="B45" i="8" s="1"/>
  <c r="C42" i="8"/>
  <c r="B42" i="8" s="1"/>
  <c r="C64" i="8"/>
  <c r="B64" i="8" s="1"/>
  <c r="C43" i="8"/>
  <c r="B43" i="8" s="1"/>
  <c r="C69" i="8"/>
  <c r="B69" i="8" s="1"/>
  <c r="C33" i="8"/>
  <c r="B33" i="8" s="1"/>
  <c r="C60" i="8"/>
  <c r="B60" i="8" s="1"/>
  <c r="C34" i="8"/>
  <c r="B34" i="8" s="1"/>
  <c r="C49" i="8"/>
  <c r="B49" i="8" s="1"/>
  <c r="C58" i="8"/>
  <c r="B58" i="8" s="1"/>
  <c r="C36" i="8"/>
  <c r="B36" i="8" s="1"/>
  <c r="U31" i="7"/>
  <c r="U37" i="7"/>
  <c r="U25" i="7"/>
  <c r="U26" i="7"/>
  <c r="U36" i="12"/>
  <c r="U38" i="11"/>
  <c r="U32" i="7"/>
  <c r="U32" i="12"/>
  <c r="U27" i="10"/>
  <c r="U31" i="12"/>
  <c r="U25" i="12"/>
  <c r="U30" i="12"/>
  <c r="U39" i="11"/>
  <c r="U32" i="11"/>
  <c r="U37" i="12"/>
  <c r="U31" i="11"/>
  <c r="U27" i="12"/>
  <c r="N88" i="3" a="1"/>
  <c r="N88" i="3" s="1"/>
  <c r="C15" i="8"/>
  <c r="B15" i="8" s="1"/>
  <c r="U36" i="11"/>
  <c r="U35" i="12"/>
  <c r="U30" i="11"/>
  <c r="U33" i="12"/>
  <c r="U39" i="12"/>
  <c r="U34" i="11"/>
  <c r="U37" i="11"/>
  <c r="U29" i="12"/>
  <c r="U34" i="12"/>
  <c r="U25" i="11"/>
  <c r="U29" i="11"/>
  <c r="U35" i="11"/>
  <c r="U33" i="11"/>
  <c r="J21" i="7"/>
  <c r="J16" i="10"/>
  <c r="J16" i="11"/>
  <c r="J15" i="10"/>
  <c r="J15" i="11"/>
  <c r="J21" i="11"/>
  <c r="J21" i="10"/>
  <c r="J18" i="11"/>
  <c r="J18" i="10"/>
  <c r="J20" i="7"/>
  <c r="J20" i="11"/>
  <c r="J20" i="10"/>
  <c r="J17" i="10"/>
  <c r="J17" i="11"/>
  <c r="J19" i="7"/>
  <c r="J19" i="11"/>
  <c r="J19" i="10"/>
  <c r="D111" i="3"/>
  <c r="D117" i="3"/>
  <c r="D106" i="3"/>
  <c r="D107" i="3"/>
  <c r="D113" i="3"/>
  <c r="D112" i="3"/>
  <c r="D116" i="3"/>
  <c r="D110" i="3"/>
  <c r="D102" i="3"/>
  <c r="D108" i="3"/>
  <c r="D109" i="3"/>
  <c r="L38" i="6"/>
  <c r="T37" i="6"/>
  <c r="F62" i="6" s="1"/>
  <c r="L37" i="6"/>
  <c r="S61" i="6"/>
  <c r="R61" i="6"/>
  <c r="Q61" i="6"/>
  <c r="P61" i="6"/>
  <c r="O61" i="6"/>
  <c r="T31" i="6"/>
  <c r="L31" i="6"/>
  <c r="T30" i="6"/>
  <c r="L30" i="6"/>
  <c r="T29" i="6"/>
  <c r="L29" i="6"/>
  <c r="T28" i="6"/>
  <c r="L28" i="6"/>
  <c r="T27" i="6"/>
  <c r="L27" i="6"/>
  <c r="T26" i="6"/>
  <c r="L26" i="6"/>
  <c r="T25" i="6"/>
  <c r="L25" i="6"/>
  <c r="T24" i="6"/>
  <c r="L24" i="6"/>
  <c r="T23" i="6"/>
  <c r="L23" i="6"/>
  <c r="T22" i="6"/>
  <c r="L22" i="6"/>
  <c r="T21" i="6"/>
  <c r="L21" i="6"/>
  <c r="T20" i="6"/>
  <c r="W20" i="6" s="1"/>
  <c r="F14" i="6"/>
  <c r="C162" i="3" l="1"/>
  <c r="T6" i="10"/>
  <c r="M29" i="6"/>
  <c r="W29" i="6" s="1"/>
  <c r="D19" i="12"/>
  <c r="D19" i="11"/>
  <c r="D19" i="10"/>
  <c r="M22" i="6"/>
  <c r="W22" i="6" s="1"/>
  <c r="D12" i="12"/>
  <c r="D12" i="11"/>
  <c r="D12" i="10"/>
  <c r="M30" i="6"/>
  <c r="W30" i="6" s="1"/>
  <c r="D20" i="12"/>
  <c r="D20" i="11"/>
  <c r="D20" i="10"/>
  <c r="M23" i="6"/>
  <c r="D13" i="11"/>
  <c r="D13" i="10"/>
  <c r="D13" i="12"/>
  <c r="M27" i="6"/>
  <c r="W27" i="6" s="1"/>
  <c r="D17" i="12"/>
  <c r="D17" i="11"/>
  <c r="D17" i="10"/>
  <c r="M31" i="6"/>
  <c r="W31" i="6" s="1"/>
  <c r="D21" i="10"/>
  <c r="D21" i="12"/>
  <c r="D21" i="11"/>
  <c r="M21" i="6"/>
  <c r="W21" i="6" s="1"/>
  <c r="D11" i="12"/>
  <c r="D11" i="11"/>
  <c r="D11" i="10"/>
  <c r="M25" i="6"/>
  <c r="W25" i="6" s="1"/>
  <c r="D15" i="12"/>
  <c r="D15" i="11"/>
  <c r="D15" i="10"/>
  <c r="M26" i="6"/>
  <c r="W26" i="6" s="1"/>
  <c r="D16" i="12"/>
  <c r="D16" i="11"/>
  <c r="D16" i="10"/>
  <c r="M24" i="6"/>
  <c r="D14" i="12"/>
  <c r="D14" i="11"/>
  <c r="D14" i="10"/>
  <c r="M28" i="6"/>
  <c r="W28" i="6" s="1"/>
  <c r="D18" i="12"/>
  <c r="D18" i="11"/>
  <c r="D18" i="10"/>
  <c r="D33" i="8"/>
  <c r="D20" i="8"/>
  <c r="D59" i="8"/>
  <c r="D31" i="8"/>
  <c r="D16" i="8"/>
  <c r="D18" i="8"/>
  <c r="D17" i="8"/>
  <c r="D42" i="8"/>
  <c r="D65" i="8"/>
  <c r="D39" i="8"/>
  <c r="D46" i="8"/>
  <c r="D26" i="8"/>
  <c r="D28" i="8"/>
  <c r="D63" i="8"/>
  <c r="D36" i="8"/>
  <c r="D34" i="8"/>
  <c r="D69" i="8"/>
  <c r="D45" i="8"/>
  <c r="D32" i="8"/>
  <c r="D74" i="8"/>
  <c r="D56" i="8"/>
  <c r="D27" i="8"/>
  <c r="D54" i="8"/>
  <c r="D57" i="8"/>
  <c r="D44" i="8"/>
  <c r="D72" i="8"/>
  <c r="D48" i="8"/>
  <c r="D19" i="8"/>
  <c r="D30" i="8"/>
  <c r="D58" i="8"/>
  <c r="D60" i="8"/>
  <c r="D43" i="8"/>
  <c r="D70" i="8"/>
  <c r="D21" i="8"/>
  <c r="D40" i="8"/>
  <c r="D61" i="8"/>
  <c r="D52" i="8"/>
  <c r="D53" i="8"/>
  <c r="D50" i="8"/>
  <c r="D67" i="8"/>
  <c r="D47" i="8"/>
  <c r="D37" i="8"/>
  <c r="D66" i="8"/>
  <c r="D35" i="8"/>
  <c r="D15" i="8"/>
  <c r="D49" i="8"/>
  <c r="D22" i="8"/>
  <c r="D64" i="8"/>
  <c r="D62" i="8"/>
  <c r="D25" i="8"/>
  <c r="D71" i="8"/>
  <c r="D51" i="8"/>
  <c r="D73" i="8"/>
  <c r="D29" i="8"/>
  <c r="D38" i="8"/>
  <c r="D68" i="8"/>
  <c r="D41" i="8"/>
  <c r="D24" i="8"/>
  <c r="D55" i="8"/>
  <c r="D23" i="8"/>
  <c r="T6" i="7"/>
  <c r="T6" i="12"/>
  <c r="T6" i="11"/>
  <c r="M37" i="6"/>
  <c r="W37" i="6" s="1"/>
  <c r="E62" i="6"/>
  <c r="H62" i="6" s="1"/>
  <c r="W24" i="6"/>
  <c r="M38" i="6"/>
  <c r="W38" i="6" s="1"/>
  <c r="E63" i="6"/>
  <c r="H63" i="6" s="1"/>
  <c r="W23" i="6"/>
  <c r="Y38" i="6"/>
  <c r="D11" i="7"/>
  <c r="D19" i="7"/>
  <c r="D16" i="7"/>
  <c r="D17" i="7"/>
  <c r="D10" i="7"/>
  <c r="D12" i="7"/>
  <c r="D20" i="7"/>
  <c r="D15" i="7"/>
  <c r="D18" i="7"/>
  <c r="D14" i="7"/>
  <c r="D13" i="7"/>
  <c r="D21" i="7"/>
  <c r="Y37" i="6"/>
  <c r="E45" i="6"/>
  <c r="E49" i="6"/>
  <c r="E50" i="6"/>
  <c r="E51" i="6"/>
  <c r="E46" i="6"/>
  <c r="E52" i="6"/>
  <c r="E54" i="6"/>
  <c r="E53" i="6"/>
  <c r="E47" i="6"/>
  <c r="E55" i="6"/>
  <c r="E48" i="6"/>
  <c r="E56" i="6"/>
  <c r="Z21" i="6"/>
  <c r="Z26" i="6"/>
  <c r="Z31" i="6"/>
  <c r="Z29" i="6"/>
  <c r="Z28" i="6"/>
  <c r="Z24" i="6"/>
  <c r="Z25" i="6"/>
  <c r="Z27" i="6"/>
  <c r="Z30" i="6"/>
  <c r="Z23" i="6"/>
  <c r="Z22" i="6"/>
  <c r="Z20" i="6"/>
  <c r="C163" i="3" l="1"/>
  <c r="Q4" i="8"/>
  <c r="P26" i="12"/>
  <c r="P26" i="11"/>
  <c r="P28" i="7"/>
  <c r="P26" i="7"/>
  <c r="P27" i="7"/>
  <c r="O4" i="8"/>
  <c r="P26" i="10"/>
  <c r="N4" i="8"/>
  <c r="D92" i="3"/>
  <c r="R29" i="7"/>
  <c r="R23" i="10"/>
  <c r="P4" i="8"/>
  <c r="R23" i="11"/>
  <c r="R23" i="12"/>
  <c r="R23" i="7"/>
  <c r="K19" i="7"/>
  <c r="K19" i="12"/>
  <c r="K19" i="11"/>
  <c r="K19" i="10"/>
  <c r="K18" i="7"/>
  <c r="K18" i="12"/>
  <c r="K18" i="11"/>
  <c r="K18" i="10"/>
  <c r="K17" i="7"/>
  <c r="K17" i="12"/>
  <c r="K17" i="11"/>
  <c r="K17" i="10"/>
  <c r="K10" i="7"/>
  <c r="K10" i="12"/>
  <c r="K10" i="11"/>
  <c r="K10" i="10"/>
  <c r="K13" i="7"/>
  <c r="K13" i="12"/>
  <c r="K13" i="11"/>
  <c r="K13" i="10"/>
  <c r="K15" i="7"/>
  <c r="K15" i="11"/>
  <c r="K15" i="10"/>
  <c r="K15" i="12"/>
  <c r="K12" i="7"/>
  <c r="K12" i="12"/>
  <c r="K12" i="11"/>
  <c r="K12" i="10"/>
  <c r="K11" i="7"/>
  <c r="K11" i="10"/>
  <c r="K11" i="12"/>
  <c r="K11" i="11"/>
  <c r="K21" i="7"/>
  <c r="K21" i="12"/>
  <c r="K21" i="11"/>
  <c r="K21" i="10"/>
  <c r="K16" i="7"/>
  <c r="K16" i="12"/>
  <c r="K16" i="11"/>
  <c r="K16" i="10"/>
  <c r="K20" i="7"/>
  <c r="K20" i="12"/>
  <c r="K20" i="11"/>
  <c r="K20" i="10"/>
  <c r="K14" i="7"/>
  <c r="K14" i="12"/>
  <c r="K14" i="11"/>
  <c r="K14" i="10"/>
  <c r="E16" i="3"/>
  <c r="C164" i="3" l="1"/>
  <c r="K4" i="8"/>
  <c r="G8" i="8" s="1"/>
  <c r="I18" i="1"/>
  <c r="I16" i="1"/>
  <c r="C20" i="1"/>
  <c r="C16" i="1"/>
  <c r="C12" i="1"/>
  <c r="E21" i="3"/>
  <c r="H25" i="1"/>
  <c r="C165" i="3" l="1"/>
  <c r="E45" i="8"/>
  <c r="E50" i="8"/>
  <c r="E64" i="8"/>
  <c r="E69" i="8"/>
  <c r="E67" i="8"/>
  <c r="E54" i="8"/>
  <c r="E37" i="8"/>
  <c r="E31" i="8"/>
  <c r="E32" i="8"/>
  <c r="E33" i="8"/>
  <c r="E46" i="8"/>
  <c r="E43" i="8"/>
  <c r="E71" i="8"/>
  <c r="E26" i="8"/>
  <c r="E39" i="8"/>
  <c r="E73" i="8"/>
  <c r="E58" i="8"/>
  <c r="E34" i="8"/>
  <c r="E28" i="8"/>
  <c r="E47" i="8"/>
  <c r="E49" i="8"/>
  <c r="E51" i="8"/>
  <c r="E70" i="8"/>
  <c r="E63" i="8"/>
  <c r="E74" i="8"/>
  <c r="E38" i="8"/>
  <c r="E72" i="8"/>
  <c r="E30" i="8"/>
  <c r="E44" i="8"/>
  <c r="E40" i="8"/>
  <c r="E56" i="8"/>
  <c r="E68" i="8"/>
  <c r="E55" i="8"/>
  <c r="E27" i="8"/>
  <c r="E57" i="8"/>
  <c r="E29" i="8"/>
  <c r="E59" i="8"/>
  <c r="E53" i="8"/>
  <c r="E62" i="8"/>
  <c r="E60" i="8"/>
  <c r="E52" i="8"/>
  <c r="E48" i="8"/>
  <c r="E36" i="8"/>
  <c r="E61" i="8"/>
  <c r="E65" i="8"/>
  <c r="E42" i="8"/>
  <c r="E35" i="8"/>
  <c r="E41" i="8"/>
  <c r="E66" i="8"/>
  <c r="E25" i="8"/>
  <c r="B8" i="12"/>
  <c r="B8" i="6"/>
  <c r="G3" i="13"/>
  <c r="I29" i="4"/>
  <c r="B8" i="11"/>
  <c r="B8" i="10"/>
  <c r="M60" i="6"/>
  <c r="B8" i="7"/>
  <c r="C22" i="1"/>
  <c r="E18" i="3"/>
  <c r="E17" i="3"/>
  <c r="E22" i="3"/>
  <c r="F29" i="1" s="1"/>
  <c r="I11" i="6" s="1"/>
  <c r="E19" i="3"/>
  <c r="C166" i="3" l="1"/>
  <c r="D3" i="7"/>
  <c r="D3" i="12"/>
  <c r="E3" i="6"/>
  <c r="D3" i="11"/>
  <c r="J4" i="4"/>
  <c r="D3" i="10"/>
  <c r="C4" i="9"/>
  <c r="M68" i="6"/>
  <c r="M71" i="6"/>
  <c r="M66" i="6"/>
  <c r="M67" i="6"/>
  <c r="M70" i="6"/>
  <c r="M73" i="6"/>
  <c r="M72" i="6"/>
  <c r="M69" i="6"/>
  <c r="M64" i="6"/>
  <c r="M63" i="6"/>
  <c r="M62" i="6"/>
  <c r="M65" i="6"/>
  <c r="H29" i="1"/>
  <c r="C167" i="3" l="1"/>
  <c r="E3" i="8"/>
  <c r="O4" i="9"/>
  <c r="G4" i="9"/>
  <c r="K4" i="9"/>
  <c r="M10" i="12"/>
  <c r="I18" i="12"/>
  <c r="I17" i="12"/>
  <c r="I11" i="12"/>
  <c r="M20" i="12"/>
  <c r="M15" i="12"/>
  <c r="I16" i="12"/>
  <c r="M14" i="12"/>
  <c r="I10" i="12"/>
  <c r="M18" i="12"/>
  <c r="F17" i="12"/>
  <c r="M13" i="12"/>
  <c r="M12" i="12"/>
  <c r="I19" i="12"/>
  <c r="F16" i="12"/>
  <c r="F10" i="12"/>
  <c r="F18" i="12"/>
  <c r="I12" i="12"/>
  <c r="F11" i="12"/>
  <c r="M11" i="12"/>
  <c r="M19" i="12"/>
  <c r="I13" i="12"/>
  <c r="F21" i="12"/>
  <c r="I20" i="12"/>
  <c r="F15" i="12"/>
  <c r="I14" i="12"/>
  <c r="M16" i="12"/>
  <c r="M21" i="12"/>
  <c r="M17" i="12"/>
  <c r="I15" i="12"/>
  <c r="F14" i="12"/>
  <c r="F20" i="12"/>
  <c r="F12" i="12"/>
  <c r="F19" i="12"/>
  <c r="I21" i="12"/>
  <c r="F13" i="12"/>
  <c r="M18" i="10"/>
  <c r="M20" i="10"/>
  <c r="F15" i="11"/>
  <c r="M14" i="10"/>
  <c r="I20" i="11"/>
  <c r="I10" i="11"/>
  <c r="I10" i="10"/>
  <c r="I19" i="11"/>
  <c r="I14" i="10"/>
  <c r="F13" i="10"/>
  <c r="M20" i="11"/>
  <c r="I16" i="11"/>
  <c r="M12" i="11"/>
  <c r="F17" i="10"/>
  <c r="M10" i="10"/>
  <c r="F17" i="11"/>
  <c r="I18" i="11"/>
  <c r="I18" i="10"/>
  <c r="M14" i="11"/>
  <c r="I16" i="10"/>
  <c r="F20" i="10"/>
  <c r="M16" i="11"/>
  <c r="I15" i="10"/>
  <c r="F19" i="11"/>
  <c r="F16" i="11"/>
  <c r="M10" i="11"/>
  <c r="I20" i="10"/>
  <c r="F12" i="10"/>
  <c r="I12" i="11"/>
  <c r="I11" i="10"/>
  <c r="I21" i="11"/>
  <c r="M19" i="11"/>
  <c r="F18" i="10"/>
  <c r="I21" i="10"/>
  <c r="F11" i="10"/>
  <c r="F15" i="10"/>
  <c r="F14" i="11"/>
  <c r="M21" i="10"/>
  <c r="M12" i="10"/>
  <c r="M11" i="11"/>
  <c r="F10" i="11"/>
  <c r="I17" i="10"/>
  <c r="M13" i="11"/>
  <c r="F21" i="11"/>
  <c r="I11" i="11"/>
  <c r="M13" i="10"/>
  <c r="I13" i="10"/>
  <c r="F14" i="10"/>
  <c r="F11" i="11"/>
  <c r="I19" i="10"/>
  <c r="M21" i="11"/>
  <c r="M11" i="10"/>
  <c r="I14" i="11"/>
  <c r="M16" i="10"/>
  <c r="F18" i="11"/>
  <c r="F16" i="10"/>
  <c r="I17" i="11"/>
  <c r="F12" i="11"/>
  <c r="F21" i="10"/>
  <c r="M17" i="11"/>
  <c r="M17" i="10"/>
  <c r="F10" i="10"/>
  <c r="I13" i="11"/>
  <c r="F19" i="10"/>
  <c r="F20" i="11"/>
  <c r="F13" i="11"/>
  <c r="I12" i="10"/>
  <c r="I15" i="11"/>
  <c r="M18" i="11"/>
  <c r="M19" i="10"/>
  <c r="M15" i="11"/>
  <c r="M15" i="10"/>
  <c r="O65" i="6"/>
  <c r="O67" i="6"/>
  <c r="O66" i="6"/>
  <c r="J65" i="6"/>
  <c r="J66" i="6"/>
  <c r="J62" i="6"/>
  <c r="I63" i="6"/>
  <c r="I62" i="6"/>
  <c r="I64" i="6"/>
  <c r="J63" i="6"/>
  <c r="I65" i="6"/>
  <c r="I66" i="6"/>
  <c r="J64" i="6"/>
  <c r="Q71" i="6"/>
  <c r="O71" i="6"/>
  <c r="O70" i="6"/>
  <c r="O68" i="6"/>
  <c r="O69" i="6"/>
  <c r="Q72" i="6"/>
  <c r="O72" i="6"/>
  <c r="Q73" i="6"/>
  <c r="O73" i="6"/>
  <c r="I21" i="7"/>
  <c r="I19" i="7"/>
  <c r="I16" i="7"/>
  <c r="M18" i="7"/>
  <c r="I18" i="7"/>
  <c r="M19" i="7"/>
  <c r="F19" i="7"/>
  <c r="I17" i="7"/>
  <c r="F18" i="7"/>
  <c r="I11" i="7"/>
  <c r="M16" i="7"/>
  <c r="M20" i="7"/>
  <c r="M17" i="7"/>
  <c r="I13" i="7"/>
  <c r="F17" i="7"/>
  <c r="I15" i="7"/>
  <c r="I20" i="7"/>
  <c r="F21" i="7"/>
  <c r="I12" i="7"/>
  <c r="I14" i="7"/>
  <c r="F20" i="7"/>
  <c r="M21" i="7"/>
  <c r="I10" i="7"/>
  <c r="F14" i="7"/>
  <c r="F12" i="7"/>
  <c r="F11" i="7"/>
  <c r="F15" i="7"/>
  <c r="F16" i="7"/>
  <c r="F10" i="7"/>
  <c r="F13" i="7"/>
  <c r="M13" i="7"/>
  <c r="M10" i="7"/>
  <c r="M12" i="7"/>
  <c r="M15" i="7"/>
  <c r="M14" i="7"/>
  <c r="M11" i="7"/>
  <c r="C168" i="3" l="1"/>
  <c r="N16" i="12"/>
  <c r="N21" i="12"/>
  <c r="N20" i="12"/>
  <c r="N20" i="11"/>
  <c r="N18" i="10"/>
  <c r="N19" i="10"/>
  <c r="N16" i="10"/>
  <c r="N19" i="11"/>
  <c r="N17" i="11"/>
  <c r="N17" i="12"/>
  <c r="N19" i="12"/>
  <c r="N15" i="12"/>
  <c r="N18" i="12"/>
  <c r="N18" i="11"/>
  <c r="N17" i="10"/>
  <c r="N20" i="10"/>
  <c r="N21" i="11"/>
  <c r="N15" i="10"/>
  <c r="N21" i="10"/>
  <c r="N15" i="11"/>
  <c r="N16" i="11"/>
  <c r="K62" i="6"/>
  <c r="O64" i="6" s="1"/>
  <c r="K66" i="6"/>
  <c r="K64" i="6"/>
  <c r="Q65" i="6" s="1"/>
  <c r="K65" i="6"/>
  <c r="K63" i="6"/>
  <c r="N20" i="7"/>
  <c r="N19" i="7"/>
  <c r="N21" i="7"/>
  <c r="O18" i="12" l="1"/>
  <c r="P18" i="12" s="1"/>
  <c r="O20" i="11"/>
  <c r="P20" i="11" s="1"/>
  <c r="O15" i="12"/>
  <c r="P15" i="12" s="1"/>
  <c r="O21" i="10"/>
  <c r="P21" i="10" s="1"/>
  <c r="O19" i="12"/>
  <c r="P19" i="12" s="1"/>
  <c r="O20" i="12"/>
  <c r="P20" i="12" s="1"/>
  <c r="O17" i="10"/>
  <c r="P17" i="10" s="1"/>
  <c r="O19" i="10"/>
  <c r="P19" i="10" s="1"/>
  <c r="O15" i="10"/>
  <c r="P15" i="10" s="1"/>
  <c r="O21" i="12"/>
  <c r="P21" i="12" s="1"/>
  <c r="O16" i="10"/>
  <c r="P16" i="10" s="1"/>
  <c r="O18" i="11"/>
  <c r="P18" i="11" s="1"/>
  <c r="O16" i="11"/>
  <c r="P16" i="11" s="1"/>
  <c r="O18" i="10"/>
  <c r="P18" i="10" s="1"/>
  <c r="O21" i="11"/>
  <c r="P21" i="11" s="1"/>
  <c r="O17" i="11"/>
  <c r="P17" i="11" s="1"/>
  <c r="O16" i="12"/>
  <c r="P16" i="12" s="1"/>
  <c r="O15" i="11"/>
  <c r="P15" i="11" s="1"/>
  <c r="O17" i="12"/>
  <c r="P17" i="12" s="1"/>
  <c r="O20" i="10"/>
  <c r="P20" i="10" s="1"/>
  <c r="O19" i="11"/>
  <c r="P19" i="11" s="1"/>
  <c r="C169" i="3"/>
  <c r="O21" i="7"/>
  <c r="P21" i="7" s="1"/>
  <c r="O19" i="7"/>
  <c r="P19" i="7" s="1"/>
  <c r="O20" i="7"/>
  <c r="P20" i="7" s="1"/>
  <c r="O63" i="6"/>
  <c r="O62" i="6"/>
  <c r="Q62" i="6"/>
  <c r="Q67" i="6"/>
  <c r="Q66" i="6"/>
  <c r="Q63" i="6"/>
  <c r="Q69" i="6"/>
  <c r="Q64" i="6"/>
  <c r="Q68" i="6"/>
  <c r="Q70" i="6"/>
  <c r="P68" i="6"/>
  <c r="P70" i="6"/>
  <c r="P64" i="6"/>
  <c r="P65" i="6"/>
  <c r="P63" i="6"/>
  <c r="P67" i="6"/>
  <c r="P66" i="6"/>
  <c r="P62" i="6"/>
  <c r="P72" i="6"/>
  <c r="T72" i="6" s="1"/>
  <c r="P73" i="6"/>
  <c r="T73" i="6" s="1"/>
  <c r="P71" i="6"/>
  <c r="T71" i="6" s="1"/>
  <c r="P69" i="6"/>
  <c r="J17" i="7"/>
  <c r="N17" i="7" s="1"/>
  <c r="J16" i="7"/>
  <c r="N16" i="7" s="1"/>
  <c r="J18" i="7"/>
  <c r="N18" i="7" s="1"/>
  <c r="J15" i="7"/>
  <c r="N15" i="7" s="1"/>
  <c r="C170" i="3" l="1"/>
  <c r="O15" i="7"/>
  <c r="P15" i="7" s="1"/>
  <c r="O16" i="7"/>
  <c r="P16" i="7" s="1"/>
  <c r="O17" i="7"/>
  <c r="P17" i="7" s="1"/>
  <c r="O18" i="7"/>
  <c r="P18" i="7" s="1"/>
  <c r="T69" i="6"/>
  <c r="T70" i="6"/>
  <c r="T68" i="6"/>
  <c r="T65" i="6"/>
  <c r="J13" i="12" s="1"/>
  <c r="N13" i="12" s="1"/>
  <c r="T62" i="6"/>
  <c r="J10" i="12" s="1"/>
  <c r="N10" i="12" s="1"/>
  <c r="O10" i="12" s="1"/>
  <c r="T67" i="6"/>
  <c r="T63" i="6"/>
  <c r="J11" i="12" s="1"/>
  <c r="N11" i="12" s="1"/>
  <c r="T64" i="6"/>
  <c r="J12" i="12" s="1"/>
  <c r="N12" i="12" s="1"/>
  <c r="T66" i="6"/>
  <c r="J14" i="12" s="1"/>
  <c r="N14" i="12" s="1"/>
  <c r="O14" i="12" l="1"/>
  <c r="P14" i="12" s="1"/>
  <c r="O11" i="12"/>
  <c r="P11" i="12" s="1"/>
  <c r="O12" i="12"/>
  <c r="P12" i="12" s="1"/>
  <c r="O13" i="12"/>
  <c r="P13" i="12" s="1"/>
  <c r="C171" i="3"/>
  <c r="P10" i="12"/>
  <c r="P25" i="12"/>
  <c r="R25" i="12" s="1"/>
  <c r="R26" i="12"/>
  <c r="D135" i="3"/>
  <c r="J12" i="7"/>
  <c r="N12" i="7" s="1"/>
  <c r="J12" i="11"/>
  <c r="N12" i="11" s="1"/>
  <c r="J12" i="10"/>
  <c r="N12" i="10" s="1"/>
  <c r="J11" i="7"/>
  <c r="N11" i="7" s="1"/>
  <c r="J11" i="10"/>
  <c r="N11" i="10" s="1"/>
  <c r="J11" i="11"/>
  <c r="N11" i="11" s="1"/>
  <c r="J10" i="7"/>
  <c r="N10" i="7" s="1"/>
  <c r="O10" i="7" s="1"/>
  <c r="J10" i="11"/>
  <c r="N10" i="11" s="1"/>
  <c r="O10" i="11" s="1"/>
  <c r="J10" i="10"/>
  <c r="N10" i="10" s="1"/>
  <c r="O10" i="10" s="1"/>
  <c r="J13" i="7"/>
  <c r="N13" i="7" s="1"/>
  <c r="J13" i="11"/>
  <c r="N13" i="11" s="1"/>
  <c r="J13" i="10"/>
  <c r="N13" i="10" s="1"/>
  <c r="J14" i="7"/>
  <c r="N14" i="7" s="1"/>
  <c r="J14" i="11"/>
  <c r="N14" i="11" s="1"/>
  <c r="J14" i="10"/>
  <c r="N14" i="10" s="1"/>
  <c r="O13" i="11" l="1"/>
  <c r="P13" i="11" s="1"/>
  <c r="O12" i="10"/>
  <c r="P12" i="10" s="1"/>
  <c r="O13" i="10"/>
  <c r="P13" i="10" s="1"/>
  <c r="O12" i="11"/>
  <c r="P12" i="11" s="1"/>
  <c r="O14" i="10"/>
  <c r="P14" i="10" s="1"/>
  <c r="O14" i="11"/>
  <c r="P14" i="11" s="1"/>
  <c r="O11" i="11"/>
  <c r="P11" i="11" s="1"/>
  <c r="O11" i="10"/>
  <c r="P11" i="10" s="1"/>
  <c r="P23" i="12"/>
  <c r="E12" i="8" s="1"/>
  <c r="C172" i="3"/>
  <c r="O12" i="7"/>
  <c r="P12" i="7" s="1"/>
  <c r="O13" i="7"/>
  <c r="P13" i="7" s="1"/>
  <c r="O14" i="7"/>
  <c r="P14" i="7" s="1"/>
  <c r="P10" i="11"/>
  <c r="P10" i="10"/>
  <c r="O11" i="7"/>
  <c r="P11" i="7" s="1"/>
  <c r="P10" i="7"/>
  <c r="R26" i="10"/>
  <c r="R26" i="11"/>
  <c r="R26" i="7"/>
  <c r="D134" i="3"/>
  <c r="D133" i="3"/>
  <c r="W21" i="11"/>
  <c r="P25" i="11" l="1"/>
  <c r="R25" i="11" s="1"/>
  <c r="P25" i="10"/>
  <c r="R25" i="10" s="1"/>
  <c r="P23" i="10"/>
  <c r="E10" i="8" s="1"/>
  <c r="C174" i="3"/>
  <c r="C173" i="3"/>
  <c r="P25" i="7"/>
  <c r="R25" i="7" s="1"/>
  <c r="P23" i="7"/>
  <c r="E9" i="8" s="1"/>
  <c r="R27" i="7"/>
  <c r="R28" i="7"/>
  <c r="D91" i="3"/>
  <c r="D119" i="3"/>
  <c r="D104" i="3"/>
  <c r="D89" i="3"/>
  <c r="D90" i="3"/>
  <c r="P23" i="11"/>
  <c r="E11" i="8" s="1"/>
  <c r="D118" i="3" l="1"/>
  <c r="D103" i="3"/>
  <c r="D88" i="3"/>
  <c r="K88" i="3" s="1"/>
  <c r="E15" i="8" s="1"/>
  <c r="K103" i="3" l="1"/>
  <c r="K108" i="3"/>
  <c r="K126" i="3"/>
  <c r="K133" i="3"/>
  <c r="K110" i="3"/>
  <c r="K124" i="3"/>
  <c r="K120" i="3"/>
  <c r="K142" i="3"/>
  <c r="K99" i="3"/>
  <c r="K111" i="3"/>
  <c r="K112" i="3"/>
  <c r="K132" i="3"/>
  <c r="K100" i="3"/>
  <c r="K97" i="3"/>
  <c r="E24" i="8" s="1"/>
  <c r="K129" i="3"/>
  <c r="K125" i="3"/>
  <c r="K109" i="3"/>
  <c r="K136" i="3"/>
  <c r="K147" i="3"/>
  <c r="K114" i="3"/>
  <c r="K95" i="3"/>
  <c r="E22" i="8" s="1"/>
  <c r="K123" i="3"/>
  <c r="K143" i="3"/>
  <c r="K145" i="3"/>
  <c r="K102" i="3"/>
  <c r="K116" i="3"/>
  <c r="K137" i="3"/>
  <c r="K127" i="3"/>
  <c r="K140" i="3"/>
  <c r="K134" i="3"/>
  <c r="K96" i="3"/>
  <c r="E23" i="8" s="1"/>
  <c r="K144" i="3"/>
  <c r="K90" i="3"/>
  <c r="E17" i="8" s="1"/>
  <c r="K141" i="3"/>
  <c r="K104" i="3"/>
  <c r="K105" i="3"/>
  <c r="K119" i="3"/>
  <c r="K98" i="3"/>
  <c r="K107" i="3"/>
  <c r="K130" i="3"/>
  <c r="K92" i="3"/>
  <c r="E19" i="8" s="1"/>
  <c r="K135" i="3"/>
  <c r="K115" i="3"/>
  <c r="K101" i="3"/>
  <c r="K121" i="3"/>
  <c r="K138" i="3"/>
  <c r="K128" i="3"/>
  <c r="K94" i="3"/>
  <c r="E21" i="8" s="1"/>
  <c r="K91" i="3"/>
  <c r="E18" i="8" s="1"/>
  <c r="K122" i="3"/>
  <c r="K106" i="3"/>
  <c r="K113" i="3"/>
  <c r="K146" i="3"/>
  <c r="K139" i="3"/>
  <c r="K131" i="3"/>
  <c r="K93" i="3"/>
  <c r="E20" i="8" s="1"/>
  <c r="K117" i="3"/>
  <c r="K118" i="3"/>
  <c r="K89" i="3"/>
  <c r="E16" i="8" s="1"/>
  <c r="P88" i="3"/>
  <c r="P90" i="3" l="1"/>
  <c r="P89" i="3"/>
  <c r="P91" i="3"/>
  <c r="E8"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<sst xmlns="http://schemas.openxmlformats.org/spreadsheetml/2006/main" count="489" uniqueCount="323">
  <si>
    <t>-. Debe cumplimentar esta Hoja Excel y anexarla a la cuenta justificativa (Solicitud de Cobro) del expediente.</t>
  </si>
  <si>
    <t>HOJA/PESTAÑA "EXPEDIENTE"</t>
  </si>
  <si>
    <t>-. En la Hoja/Pestaña "EXPEDIENTE" se deberá cumplimentar:</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</si>
  <si>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</si>
  <si>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</si>
  <si>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</si>
  <si>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</si>
  <si>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</si>
  <si>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</si>
  <si>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</si>
  <si>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BENEFICIARIO:</t>
  </si>
  <si>
    <t>PROGRAMA:</t>
  </si>
  <si>
    <t>AÑO:</t>
  </si>
  <si>
    <t>BORM BASES REGULADORAS:</t>
  </si>
  <si>
    <t>DIVISIÓN:</t>
  </si>
  <si>
    <t>BORM EXTRACTO CONVOCATORIA:</t>
  </si>
  <si>
    <t>LÍNEA:</t>
  </si>
  <si>
    <t>Nº EXPEDIENTE:</t>
  </si>
  <si>
    <t>(dd/mm/aa)</t>
  </si>
  <si>
    <t>FECHAS INFO</t>
  </si>
  <si>
    <t>FECHA FINAL PLAZO JUSTIFICACIÓN:</t>
  </si>
  <si>
    <t>BBRR:</t>
  </si>
  <si>
    <t>EXTRACTO CONVOCATORIA:</t>
  </si>
  <si>
    <t>PLAZO JUSTIFICACIÓN TRAS EJECUCIÓN</t>
  </si>
  <si>
    <t>meses</t>
  </si>
  <si>
    <t>FECHA FINAL EJECUCIÓN</t>
  </si>
  <si>
    <t>DIA FINAL EJECUCIÓN</t>
  </si>
  <si>
    <t>MES FINAL EJECUCIÓN</t>
  </si>
  <si>
    <t>AÑO FINAL DE EJECUCIÓN</t>
  </si>
  <si>
    <t>FECHA FINAL PROV. JUSTIFICACIÓN</t>
  </si>
  <si>
    <t>FECHA FINAL DE JUSTIFICACIÓN</t>
  </si>
  <si>
    <t>NOMBRE:</t>
  </si>
  <si>
    <t>PRIMER APELLIDO:</t>
  </si>
  <si>
    <t>SEGUNDO APELLIDO:</t>
  </si>
  <si>
    <t>ACRÓNIMO:</t>
  </si>
  <si>
    <t>ENE</t>
  </si>
  <si>
    <t>FEB</t>
  </si>
  <si>
    <t>MAR</t>
  </si>
  <si>
    <t>ABR</t>
  </si>
  <si>
    <t>MAY</t>
  </si>
  <si>
    <t>JUN</t>
  </si>
  <si>
    <t>JUL</t>
  </si>
  <si>
    <t>AGO</t>
  </si>
  <si>
    <t>SEP</t>
  </si>
  <si>
    <t>OCT</t>
  </si>
  <si>
    <t>NOV</t>
  </si>
  <si>
    <t>DIC</t>
  </si>
  <si>
    <t>Contingencias comunes:</t>
  </si>
  <si>
    <t>Desempleo:</t>
  </si>
  <si>
    <t>Formación profesional:</t>
  </si>
  <si>
    <t>TIPO COTIZACIÓN SS EMPRESA</t>
  </si>
  <si>
    <t>PERÍODO DE
LIQUIDACIÓN</t>
  </si>
  <si>
    <t>ENERO</t>
  </si>
  <si>
    <t>FEBRERO</t>
  </si>
  <si>
    <t>MARZO</t>
  </si>
  <si>
    <t>ABRIL</t>
  </si>
  <si>
    <t>MAYO</t>
  </si>
  <si>
    <t>JUNIO</t>
  </si>
  <si>
    <t>JULIO</t>
  </si>
  <si>
    <t>AGOSTO</t>
  </si>
  <si>
    <t>SEPTIEMBRE</t>
  </si>
  <si>
    <t>OCTUBRE</t>
  </si>
  <si>
    <t>NOVIEMBRE</t>
  </si>
  <si>
    <t>DICIEMBRE</t>
  </si>
  <si>
    <t>SALARIO
BASE</t>
  </si>
  <si>
    <t>TOTAL</t>
  </si>
  <si>
    <t>RETENCIÓN
IRPF
TRABAJADOR</t>
  </si>
  <si>
    <t>IMPORTE
LÍQUIDO
PERCIBIDO</t>
  </si>
  <si>
    <t>TABLA DE COTIZACIONES</t>
  </si>
  <si>
    <t>AT y EP:</t>
  </si>
  <si>
    <t>Fondo garantía salarial:</t>
  </si>
  <si>
    <t>PERÍODO DEVENGO</t>
  </si>
  <si>
    <t>SEGURIDAD SOCIAL EMPRESA</t>
  </si>
  <si>
    <t>BASE
COTIZACIÓN</t>
  </si>
  <si>
    <t>IMPORTE
SEG. SOCIAL
EMPRESA</t>
  </si>
  <si>
    <t>FECHA
VALOR
ABONO
NÓMINA</t>
  </si>
  <si>
    <t>DATOS TRABAJADOR</t>
  </si>
  <si>
    <t>SEGURIDAD
SOCIAL
TRABAJADOR</t>
  </si>
  <si>
    <t>EN SU CASO,
OBSERVACIONES DEL BENEFICIARIO</t>
  </si>
  <si>
    <t>INICIO
(dd/mm/aa)</t>
  </si>
  <si>
    <t>FIN
(dd/mm/aa)</t>
  </si>
  <si>
    <t>IDENTIFICACIÓN
NÓMINA</t>
  </si>
  <si>
    <t>IRPF</t>
  </si>
  <si>
    <t>COMPLEMENTOS NÓMINA INCLUIDOS EN CONVENIO</t>
  </si>
  <si>
    <r>
      <t xml:space="preserve">COMPLEMENTOS NÓMINA </t>
    </r>
    <r>
      <rPr>
        <b/>
        <sz val="10"/>
        <color rgb="FFFF0000"/>
        <rFont val="Century Gothic"/>
        <family val="2"/>
      </rPr>
      <t>NO</t>
    </r>
    <r>
      <rPr>
        <b/>
        <sz val="8"/>
        <color theme="1"/>
        <rFont val="Century Gothic"/>
        <family val="2"/>
      </rPr>
      <t xml:space="preserve"> INCLUIDOS EN CONVENIO</t>
    </r>
  </si>
  <si>
    <t>BONIF.
SEG.
SOCIAL</t>
  </si>
  <si>
    <t>FECHA
VALOR
ABONO
SEG.SOC.</t>
  </si>
  <si>
    <t>NÓMINAS MENSUALES</t>
  </si>
  <si>
    <t>OTRAS NÓMINAS (por ejemplo, pagas extraordinarias)</t>
  </si>
  <si>
    <t>MES</t>
  </si>
  <si>
    <t>IMPORTE
MENSUAL
IRPF</t>
  </si>
  <si>
    <t>GASTO
IRPF
SUBVENCIONABLE</t>
  </si>
  <si>
    <t>TOTAL
DEVENGADO
NOMINA</t>
  </si>
  <si>
    <t>TOTAL
DEVENGADO
NÓMINA</t>
  </si>
  <si>
    <t>GASTO
MENSUAL
SEGURIDAD
SOCIAL
EMPRESA</t>
  </si>
  <si>
    <t>GASTO
SEGURIDAD
SOCIAL
SUBVENCIONABLE</t>
  </si>
  <si>
    <t>TOTAL
SUBVENC.</t>
  </si>
  <si>
    <t>TOTAL TRABAJADOR</t>
  </si>
  <si>
    <t>GASTO
TOTAL
MENSUAL
SUBVENCIONADO</t>
  </si>
  <si>
    <t>GASTO
MENSUAL
NÓMINA
SUBVENCIONABLE</t>
  </si>
  <si>
    <t>ACEE</t>
  </si>
  <si>
    <t>FECHA
VALOR
INGRESO
IRPF
(MODELO 111)</t>
  </si>
  <si>
    <t>IMPORTES SUBVENCIONABLES</t>
  </si>
  <si>
    <t>TOTAL
DÍAS
(indicados en nómina)</t>
  </si>
  <si>
    <t>IDENTIFICACIÓN DE LA NÓMINA</t>
  </si>
  <si>
    <r>
      <t xml:space="preserve">IMPORTES </t>
    </r>
    <r>
      <rPr>
        <b/>
        <sz val="10"/>
        <color rgb="FFFF0000"/>
        <rFont val="Century Gothic"/>
        <family val="2"/>
      </rPr>
      <t>NO</t>
    </r>
    <r>
      <rPr>
        <b/>
        <sz val="10"/>
        <color theme="1"/>
        <rFont val="Century Gothic"/>
        <family val="2"/>
      </rPr>
      <t xml:space="preserve"> SUBVENCIONABLES</t>
    </r>
  </si>
  <si>
    <r>
      <t xml:space="preserve">PERCEPCIONES
</t>
    </r>
    <r>
      <rPr>
        <b/>
        <sz val="8"/>
        <color rgb="FFFF0000"/>
        <rFont val="Century Gothic"/>
        <family val="2"/>
      </rPr>
      <t>NO</t>
    </r>
    <r>
      <rPr>
        <b/>
        <sz val="8"/>
        <color theme="1"/>
        <rFont val="Century Gothic"/>
        <family val="2"/>
      </rPr>
      <t xml:space="preserve">
SALARIALES</t>
    </r>
  </si>
  <si>
    <t>INSERTAR DOCUMENTO(S) DE PAGO DE NÓMINA
(PDF)</t>
  </si>
  <si>
    <t>INSERTAR
ARCHIVO
NÓNIMA
(PDF)</t>
  </si>
  <si>
    <t>nº 82, de 11 de abril de 2023</t>
  </si>
  <si>
    <t>nº 100, de 3 de mayo de 2023</t>
  </si>
  <si>
    <t>PROGRAMA DE AYUDA DIRIGIDO A FOMENTAR LA INNOVACIÓN Y EL EMPRENDIMIENTO</t>
  </si>
  <si>
    <t>NOTA 2:</t>
  </si>
  <si>
    <t>NOTA 3:</t>
  </si>
  <si>
    <t>El porcentaje se reflejará con dos cifras decimales.</t>
  </si>
  <si>
    <t>IMPORTE
NÓMINA
A CONSIDERAR
SUBVENCIONABLE</t>
  </si>
  <si>
    <r>
      <t xml:space="preserve">COMPLEMENTO
CONVENIO
</t>
    </r>
    <r>
      <rPr>
        <b/>
        <sz val="8"/>
        <color theme="1"/>
        <rFont val="Century Gothic"/>
        <family val="2"/>
      </rPr>
      <t>1</t>
    </r>
  </si>
  <si>
    <r>
      <t xml:space="preserve">COMPLEMENTO
CONVENIO
</t>
    </r>
    <r>
      <rPr>
        <b/>
        <sz val="8"/>
        <color theme="1"/>
        <rFont val="Century Gothic"/>
        <family val="2"/>
      </rPr>
      <t>2</t>
    </r>
  </si>
  <si>
    <r>
      <t xml:space="preserve">COMPLEMENTO
CONVENIO
</t>
    </r>
    <r>
      <rPr>
        <b/>
        <sz val="8"/>
        <color theme="1"/>
        <rFont val="Century Gothic"/>
        <family val="2"/>
      </rPr>
      <t>3</t>
    </r>
  </si>
  <si>
    <r>
      <t xml:space="preserve">COMPLEMENTO
CONVENIO
</t>
    </r>
    <r>
      <rPr>
        <b/>
        <sz val="8"/>
        <color theme="1"/>
        <rFont val="Century Gothic"/>
        <family val="2"/>
      </rPr>
      <t>4</t>
    </r>
  </si>
  <si>
    <r>
      <t xml:space="preserve">COMPLEMENTO
CONVENIO
</t>
    </r>
    <r>
      <rPr>
        <b/>
        <sz val="8"/>
        <color theme="1"/>
        <rFont val="Century Gothic"/>
        <family val="2"/>
      </rPr>
      <t>5</t>
    </r>
  </si>
  <si>
    <r>
      <t xml:space="preserve">COMPLEMENTO
FUERA DE
CONVENIO
</t>
    </r>
    <r>
      <rPr>
        <b/>
        <sz val="8"/>
        <color theme="1"/>
        <rFont val="Century Gothic"/>
        <family val="2"/>
      </rPr>
      <t>1</t>
    </r>
  </si>
  <si>
    <r>
      <t xml:space="preserve">COMPLEMENTO
FUERA DE
CONVENIO
</t>
    </r>
    <r>
      <rPr>
        <b/>
        <sz val="8"/>
        <color theme="1"/>
        <rFont val="Century Gothic"/>
        <family val="2"/>
      </rPr>
      <t>2</t>
    </r>
  </si>
  <si>
    <r>
      <t xml:space="preserve">COMPLEMENTO
FUERA DE
CONVENIO
</t>
    </r>
    <r>
      <rPr>
        <b/>
        <sz val="8"/>
        <color theme="1"/>
        <rFont val="Century Gothic"/>
        <family val="2"/>
      </rPr>
      <t>3</t>
    </r>
  </si>
  <si>
    <r>
      <t xml:space="preserve">COMPLEMENTO
FUERA DE
CONVENIO
</t>
    </r>
    <r>
      <rPr>
        <b/>
        <sz val="8"/>
        <color theme="1"/>
        <rFont val="Century Gothic"/>
        <family val="2"/>
      </rPr>
      <t>4</t>
    </r>
  </si>
  <si>
    <r>
      <t xml:space="preserve">COMPLEMENTO
FUERA DE
CONVENIO
</t>
    </r>
    <r>
      <rPr>
        <b/>
        <sz val="8"/>
        <color theme="1"/>
        <rFont val="Century Gothic"/>
        <family val="2"/>
      </rPr>
      <t>5</t>
    </r>
  </si>
  <si>
    <r>
      <rPr>
        <b/>
        <sz val="8"/>
        <color theme="1"/>
        <rFont val="Century Gothic"/>
        <family val="2"/>
      </rPr>
      <t>TOTAL</t>
    </r>
    <r>
      <rPr>
        <b/>
        <sz val="6"/>
        <color theme="1"/>
        <rFont val="Century Gothic"/>
        <family val="2"/>
      </rPr>
      <t xml:space="preserve">
COMPLEMENTO
FUERA
CONVENIO</t>
    </r>
  </si>
  <si>
    <r>
      <rPr>
        <b/>
        <sz val="8"/>
        <rFont val="Century Gothic"/>
        <family val="2"/>
      </rPr>
      <t>TOTAL</t>
    </r>
    <r>
      <rPr>
        <b/>
        <sz val="6"/>
        <rFont val="Century Gothic"/>
        <family val="2"/>
      </rPr>
      <t xml:space="preserve">
COMPLEMENTO
SEGÚN
CONVENIO</t>
    </r>
  </si>
  <si>
    <t>DEVENGADO
NÓMINA
A CONSIDERAR
(EXCLUIDO
IRPF)</t>
  </si>
  <si>
    <t>DEVENGADO
NÓMINA
A  NO CONSIDERAR</t>
  </si>
  <si>
    <t>APLICACIÓN FECHA ABONO</t>
  </si>
  <si>
    <t>DEVENGADO
NÓMINA
SUBVENCIONABLE
(EXCLUIDO
IRPF)</t>
  </si>
  <si>
    <t>IRPF
SUBVENCIONABLE</t>
  </si>
  <si>
    <t>MESES
DEVENGO</t>
  </si>
  <si>
    <t>NOTA 5:</t>
  </si>
  <si>
    <t>a) El período de devengo se encuentre comprendido, al menos parcialmente, dentro del plazo de ejecución del proyecto.</t>
  </si>
  <si>
    <t xml:space="preserve">Solamente cumplimentar los datos correspondientes a "OTRAS NÓMINAS" que cumplan simultáneamente los dos siguientes criterios: </t>
  </si>
  <si>
    <t>Sólamente cumplimentar los datos correspondientes a aquellas nóminas de meses en los que el trabajador tenga dedicación al proyecto. Las celdas correspondientes a los meses en los que no se refleje dedicación se colorearán automáticamente en verde.</t>
  </si>
  <si>
    <t>GASTO
MENSUAL
NÓMINA
A CONSIDERAR</t>
  </si>
  <si>
    <t>NÓMINA</t>
  </si>
  <si>
    <t>OTRAS
NÓMINAS</t>
  </si>
  <si>
    <t>REPERCUSIÓN
MENSUAL (EXTRAS,...)</t>
  </si>
  <si>
    <t>IRPF (MODELO 111)</t>
  </si>
  <si>
    <t>FECHA
VALOR
INGRESO
IRPF</t>
  </si>
  <si>
    <t>-. Como norma general, hay que cumplimentar datos en las celdas de color azul. Las celdas en color naranja indican que será necesario insertar algún tipo de documento en formato pdf.</t>
  </si>
  <si>
    <t>HOJA/PESTAÑA "% DEDICACIÓN TRABAJADOR"</t>
  </si>
  <si>
    <t>-. La inserción de archivos digitalizados, en formato pdf, se realiza de la siguiente manera:</t>
  </si>
  <si>
    <t>a) BLOQUE 1: Tabla de cotizaciones.</t>
  </si>
  <si>
    <t>b) BLOQUE 2: Nóminas mensuales.</t>
  </si>
  <si>
    <t>c) BLOQUE 3: Otras nóminas.</t>
  </si>
  <si>
    <t>d) BLOQUE 4: Seguridad Social empresa.</t>
  </si>
  <si>
    <t>-. BLOQUE 1: Tabla de cotizaciones.</t>
  </si>
  <si>
    <t>Se cumplimentarán los porcentajes correspondientes a Contigencias comunes, AT y EP, desempleo, formación profesional y fondo de garantía salarial. (celdas F10 a F14).</t>
  </si>
  <si>
    <t>-. BLOQUE 2: Nóminas mensuales.</t>
  </si>
  <si>
    <t>Este formulario debe emitirse y ser firmado por el trabajador y el responsable con anterioridad a la primera imputación mensual del trabajador al proyecto.</t>
  </si>
  <si>
    <t>NOTA 6:</t>
  </si>
  <si>
    <t>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</si>
  <si>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ACTUACIÓN 1:</t>
  </si>
  <si>
    <t>ACTUACIONES DIRIGIDAS A LA PROMOCIÓN DEL EMPRENDIMIENTO Y LA INNOVACIÓN EN EDADES TEMPRANAS (JORNADAS, TALLERES, ASESORAMIENTO Y MENTORÍAS, ENCUENTROS DE NETWORKING, ETC).</t>
  </si>
  <si>
    <t>ACTUACIÓN 2:</t>
  </si>
  <si>
    <t>ACTUACIÓN 3:</t>
  </si>
  <si>
    <t>ACTUACIÓN 4:</t>
  </si>
  <si>
    <t>ACTUACIONES DIRIGIDAS A FOMENTAR LOS PROYECTOS DE INNOVACIÓN Y EMPRENDIMIENTO EN EL TEJIDO EMPRESARIAL REGIONAL, ESPECIALMENTE LOS QUE PROMUEVAN LA PARTICIPACIÓN EN PROYECTOS NACIONALES, EUROPEOS E INTERNACIONALES (ENCUENTROS DE INTERCAMBIO DE EXPERIENCIAS, JORNADAS DE ASESORAMIENTO Y DIFUSIÓN, ETC.). ACTUACIONES QUE PROMUEVAN LA PUESTA EN MARCHA Y CONSOLIDACIÓN DE EMPRESAS DE CARÁCTER INNOVADOR Y SPINOFFS UNIVERSITARIAS.</t>
  </si>
  <si>
    <t>ACCIONES DIRIGIDAS A PROMOVER PUNTOS DE ENCUENTRO QUE FACILITEN EL CONTACTO DE LOS EMPRENDEDORES CON LOS INVERSORES PRIVADOS, BUSINESS ANGELS O CORPORATES (ORGANIZACIÓN DE FOROS DE EMPRENDIMIENTO, INVERSIÓN, Y TRANSFERENCIA DE TECNOLOGÍA, DESARROLLO DE PLATAFORMAS DE INVERSIÓN, ACTUACIONES DE DIFUSIÓN Y JORNADAS DE CAPACITACIÓN DE EMPRESAS EN VALIDACIÓN DE SUS MODELOS DE NEGOCIO, ESTABLECIMIENTO DE MÉTRICAS, ETC.).</t>
  </si>
  <si>
    <t>Línea 1.1:</t>
  </si>
  <si>
    <t>Línea 2.1:</t>
  </si>
  <si>
    <t>Línea 3.1:</t>
  </si>
  <si>
    <t>Línea 4.1:</t>
  </si>
  <si>
    <t>Línea 1.2:</t>
  </si>
  <si>
    <t>Línea 2.2:</t>
  </si>
  <si>
    <t>Línea 3.2:</t>
  </si>
  <si>
    <t>Línea 4.2:</t>
  </si>
  <si>
    <t>Línea 1.3:</t>
  </si>
  <si>
    <t>Línea 2.3:</t>
  </si>
  <si>
    <t>Línea 3.3:</t>
  </si>
  <si>
    <t>Línea 4.3:</t>
  </si>
  <si>
    <t>Línea 1.4:</t>
  </si>
  <si>
    <t>Línea 2.4:</t>
  </si>
  <si>
    <t>Línea 3.4:</t>
  </si>
  <si>
    <t>Línea 4.4:</t>
  </si>
  <si>
    <t>Línea 1.5:</t>
  </si>
  <si>
    <t>Línea 2.5:</t>
  </si>
  <si>
    <t>Línea 3.5:</t>
  </si>
  <si>
    <t>Línea 4.5:</t>
  </si>
  <si>
    <t>Línea 1.6:</t>
  </si>
  <si>
    <t>Línea 2.6:</t>
  </si>
  <si>
    <t>Línea 3.6:</t>
  </si>
  <si>
    <t>Línea 4.6:</t>
  </si>
  <si>
    <t>Línea 1.7:</t>
  </si>
  <si>
    <t>Línea 2.7:</t>
  </si>
  <si>
    <t>Línea 3.7:</t>
  </si>
  <si>
    <t>Línea 4.7:</t>
  </si>
  <si>
    <t>Línea 1.8:</t>
  </si>
  <si>
    <t>Línea 2.8:</t>
  </si>
  <si>
    <t>Línea 3.8:</t>
  </si>
  <si>
    <t>Línea 4.8:</t>
  </si>
  <si>
    <t>Línea 1.9:</t>
  </si>
  <si>
    <t>Línea 2.9:</t>
  </si>
  <si>
    <t>Línea 3.9:</t>
  </si>
  <si>
    <t>Línea 4.9:</t>
  </si>
  <si>
    <t>Línea 1.10:</t>
  </si>
  <si>
    <t>Línea 2.10:</t>
  </si>
  <si>
    <t>Línea 3.10:</t>
  </si>
  <si>
    <t>Línea 4.10:</t>
  </si>
  <si>
    <t>Línea 1.11:</t>
  </si>
  <si>
    <t>Línea 2.11:</t>
  </si>
  <si>
    <t>Línea 3.11:</t>
  </si>
  <si>
    <t>Línea 4.11:</t>
  </si>
  <si>
    <t>Línea 1.12:</t>
  </si>
  <si>
    <t>Línea 2.12:</t>
  </si>
  <si>
    <t>Línea 3.12:</t>
  </si>
  <si>
    <t>Línea 4.12:</t>
  </si>
  <si>
    <t>Línea 1.13:</t>
  </si>
  <si>
    <t>Línea 2.13:</t>
  </si>
  <si>
    <t>Línea 3.13:</t>
  </si>
  <si>
    <t>Línea 4.13:</t>
  </si>
  <si>
    <t>Línea 1.14:</t>
  </si>
  <si>
    <t>Línea 2.14:</t>
  </si>
  <si>
    <t>Línea 3.14:</t>
  </si>
  <si>
    <t>Línea 4.14:</t>
  </si>
  <si>
    <t>Línea 1.15:</t>
  </si>
  <si>
    <t>Línea 2.15:</t>
  </si>
  <si>
    <t>Línea 3.15:</t>
  </si>
  <si>
    <t>Línea 4.15:</t>
  </si>
  <si>
    <t xml:space="preserve">NOTA 1: </t>
  </si>
  <si>
    <t>NOTA 4:</t>
  </si>
  <si>
    <t>ACT</t>
  </si>
  <si>
    <t>LIN</t>
  </si>
  <si>
    <t>ACUMULADO TOTAL</t>
  </si>
  <si>
    <t>ACUMULADO ACTUACIÓN 1</t>
  </si>
  <si>
    <t>ACUMULADO ACTUACIÓN 2</t>
  </si>
  <si>
    <t>ACUMULADO ACTUACIÓN 3</t>
  </si>
  <si>
    <t>ACUMULADO ACTUACIÓN 4</t>
  </si>
  <si>
    <t>ACTLIN</t>
  </si>
  <si>
    <t>PORCENTAJE
DEDICACIÓN
MENSUAL
ACTUACIÓN
1</t>
  </si>
  <si>
    <t>TOTAL ACTUACIÓN 1</t>
  </si>
  <si>
    <t>PORCENTAJE
DEDICACIÓN
MENSUAL
ACTUACIÓN
2</t>
  </si>
  <si>
    <t>TOTAL ACTUACIÓN 2</t>
  </si>
  <si>
    <t>PORCENTAJE
DEDICACIÓN
MENSUAL
ACTUACIÓN
3</t>
  </si>
  <si>
    <t>TOTAL ACTUACIÓN 3</t>
  </si>
  <si>
    <t>PORCENTAJE
DEDICACIÓN
MENSUAL
ACTUACIÓN
4</t>
  </si>
  <si>
    <t>TOTAL ACTUACIÓN 4</t>
  </si>
  <si>
    <t>LÍNEA</t>
  </si>
  <si>
    <t>IMPORTE</t>
  </si>
  <si>
    <t>ACT1</t>
  </si>
  <si>
    <t>ACT2</t>
  </si>
  <si>
    <t>ACT3</t>
  </si>
  <si>
    <t>ACT4</t>
  </si>
  <si>
    <t>SUBTOTAL ACTUACIÓN 1</t>
  </si>
  <si>
    <t>SUBTOTAL ACTUACIÓN 2</t>
  </si>
  <si>
    <t>SUBTOTAL ACTUACIÓN 3</t>
  </si>
  <si>
    <t>SUBTOTAL ACTUACIÓN 4</t>
  </si>
  <si>
    <t>Nº LÍNEA</t>
  </si>
  <si>
    <t>&gt;100%</t>
  </si>
  <si>
    <t>REP</t>
  </si>
  <si>
    <t>EXISTEN LÍNEA REPETIDAS EN ESTA ACTUACIÓN</t>
  </si>
  <si>
    <t>EXISTE ALGÚN % SUPERIOR A 100% EN ESTA LÍNEA</t>
  </si>
  <si>
    <t>TRABAJADOR</t>
  </si>
  <si>
    <t>HOJA/PESTAÑA "IDENTIFICACIÓN DEL TRABAJADOR"</t>
  </si>
  <si>
    <t>-. En la Hoja/Pestaña "IDENTIFICACIÓN DEL TRABAJADOR" se deberá cumplimentar el nombre y apellidos del trabajador (celdas D11, D12 y D13).</t>
  </si>
  <si>
    <t>HOJA/PESTAÑA "LÍNEAS CON DEDICACIÓN"</t>
  </si>
  <si>
    <t>-. En la Hoja/Pestaña "LÍNEAS CON DEDICACIÓN" se deberá cumplimentar ÚNICAMENTE el nombre de aquellas líneas de cada actuación en las que participe el trabajador.</t>
  </si>
  <si>
    <t>PORCENTAJE DE DEDICACIÓN MENSUAL A CADA LÍNEA DE CADA ACTUACIÓN</t>
  </si>
  <si>
    <t>EXISTE ALGÚN % SUPERIOR A 100%;</t>
  </si>
  <si>
    <t>EXISTEN LÍNEA REPETIDAS:</t>
  </si>
  <si>
    <t>FIRMA DEL TRABAJADOR:</t>
  </si>
  <si>
    <t>FIRMA DEL RESPONSABLE:</t>
  </si>
  <si>
    <t>FECHA EMISIÓN (1):</t>
  </si>
  <si>
    <t>INSERTAR CONTRATO
DE TRABAJO (PDF)</t>
  </si>
  <si>
    <t>Una vez cumplimentada la fecha de emisión y los porcentajes de dedicación mensual, se imprimirá la hoja firmándola tanto el trabajador como su responsable y se incorporará como archivo en formato pdf (celdas Q15:T15).</t>
  </si>
  <si>
    <t>LÍNEAS CON % &gt;100%</t>
  </si>
  <si>
    <t>ACTUACIONES CON % &gt;100%</t>
  </si>
  <si>
    <t>INSTRUCCIONES PARA LA CORRECTA CUMPLIMENTACIÓN DEL MOD65.
 GASTO PERSONAL (ACEE)</t>
  </si>
  <si>
    <t>a) Celda C9: nombre o razón social del beneficiario.</t>
  </si>
  <si>
    <t>b) Celda D22: número del expediente.</t>
  </si>
  <si>
    <t>FECHA INICIO PLAZO DE EJECUCIÓN:</t>
  </si>
  <si>
    <t>(*): La fecha final del plazo de ejecución del proyecto/actividad se corresponde con el 31 de diciembre del ejercicio de la convocatoria excepto en el caso de existir prórroga.</t>
  </si>
  <si>
    <t>FECHA FINAL PLAZO EJECUCIÓN DEL PROYECTO (*):</t>
  </si>
  <si>
    <t>c) Celda F27: se deberá incluir la fecha final del plazo de ejecución del proyecto/actividad que se corresponde con el 31 de diciembre del ejercicio de la convocatoria excepto en el caso de existir prórroga.</t>
  </si>
  <si>
    <t>NOTA: la fecha reflejada debe cumplir dos requisitos: por un lado, ser anterior a la fecha de finalización del plazo de ejecución del proyecto y, por otro lado, no exisitir dedicación del trabajador en un mes anterior al de la firma de dicho documento.</t>
  </si>
  <si>
    <t>-. A continuación, se irán seleccionando todas y cada una de las líneas de las actuaciones en las que el trabajador hubiese tenido dedicación cumplimentado los porcentajes de dedicación mensual.</t>
  </si>
  <si>
    <t>NOTA 1: 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</si>
  <si>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NOTA 2: El porcentaje se reflejará con dos cifras decimales.</t>
  </si>
  <si>
    <t>-. En la Hoja/Pestaña "% DEDICACIÓN TRABAJADOR" se debera cumplimentar, en primer lugar, la fecha en la que se elabora la mencionada Hoja/pestaña.</t>
  </si>
  <si>
    <t>-. Por último, se procederá a la firma de la hoja, tanto el trabajador como por su responsable, y se insertará como archivo en formato pdf (celdas Q15:T15).</t>
  </si>
  <si>
    <t xml:space="preserve">-. Sólamente es necesario cumplimentar los datos correspondientes a aquellas nóminas de meses en los que el trabajador tenga dedicación al proyecto. </t>
  </si>
  <si>
    <t>NOTA:  Las filas correspondientes a los meses en los que no se hubiese reflejado dedicación estarán coloreadas en verde.</t>
  </si>
  <si>
    <t>-. A la hora de cumplimentar los complementos de la nómina mensual hay que diferenciar entre aquellos incluidos en el Convenio (SUBVENCIONABLES) y aquellos no incluidos en el Convenio (NO SUBVENCIONABLES).</t>
  </si>
  <si>
    <t>-. BLOQUE 3: Otras nóminas (por ejemplo, pagas extraordinarias).</t>
  </si>
  <si>
    <t>INSERTAR INFORME DATOS
PARA LA COTIZACIÓN (Idc)</t>
  </si>
  <si>
    <t>INSERTAR  ESTE FORMULARIO DE
DEDICACIÓN FIRMADO (PDF)</t>
  </si>
  <si>
    <t>-. Antes de imprimir esta hoja/pestaña hay que insertar los siguintes archivos:, se insertará el contrato de trabajo como archivo en formato pdf (celdas L15:O:15).</t>
  </si>
  <si>
    <t>a) Informe de datos para la Cotización (Idc) emitido por la Tesorería General de la Seguridad Social como archivo en formato pdf (celdas I15:L15)</t>
  </si>
  <si>
    <t>a) ontrato de trabajo como archivo en formato pdf (celdas M15:P15).</t>
  </si>
  <si>
    <t>-. En las columnas "AC" y "AD" hay que insertar, respectivamente, los archivos en formato pdf de la nómina mensual y los documentos acreditativos del pago de la misma.</t>
  </si>
  <si>
    <t xml:space="preserve">-. De forma análoga, se procederá a cumplimentar el bloque correspondiente a "OTRAS NÓMINAS", teniendo en cuenta que para que sean subvencionables, total o parcialmente, será necesario que cumplan simultáneamente los dos siguientes criterios: </t>
  </si>
  <si>
    <t>b) La fecha valor de abono de la nómina y/o de su IRPF sea anterior a la finalización del plazo de justificación.</t>
  </si>
  <si>
    <t>NOTA: la repercusión mensual de las "OTRAS NÓMINAS" en el coste mensual del trabajador se hace en función del período de devengo indicado para cada una de ellas por lo que hay que prestar especial atención a las fechas que se indiquen.</t>
  </si>
  <si>
    <t>-.  BLOQUE 4: Seguridad Social empresa:</t>
  </si>
  <si>
    <t>-. En la columna "AE" se puede insertar, si fuera necesario, cualquier observación que el beneficiario considere oportuna.</t>
  </si>
  <si>
    <t>-. En este bloque se reflejara, para cada mes del ejercicicio, la base de cotización (columna "D") . Así mismo y si fuera el caso, se reflejará la bonificación de la Seguridad Social (columna "F").</t>
  </si>
  <si>
    <t>-. Hay que cunplimentar, para cada nómina, los importes correspondientes a "Seguridad social del trabajador" (columna "X") y "Retención IRPF del trabajador" (columna "Y"). Así mismo, hay que cumplimentar la fecha valor de abono de la nómina (columna "AA") y la fecha valor de ingreso de IRPF (columna "AB").</t>
  </si>
  <si>
    <t>-.Por último, se reflejara la fecha de valor del abono del recibo de liquidación de cotizaciones mensual (RLC) (columna "G").</t>
  </si>
  <si>
    <t>HOJA/PESTAÑA "GASTOS TRABAJADOR".</t>
  </si>
  <si>
    <t>-. La Hoja/Pestaña "% GASTO EJERCICIO 1" está dividida en 4 bloques:</t>
  </si>
  <si>
    <t>COLOREAR</t>
  </si>
  <si>
    <t>DUPLICADA</t>
  </si>
  <si>
    <t>DEDICACIÓN
ANTES FORMULARIO</t>
  </si>
  <si>
    <t>COLOREAR DEDICACIÓN ANTES FECHA FORMULARIO</t>
  </si>
  <si>
    <t>MOD-65-ACEE</t>
  </si>
  <si>
    <t>Se entenderá día laborable aquel que no sea festivo de acuerdo con el calendario laboral de la empresa.</t>
  </si>
  <si>
    <t>GASTO
TOTAL
MENSUAL</t>
  </si>
  <si>
    <t>GASTO
TOTAL
MENSUAL
CON REPERCUSIÓN 
DE VACACIONES</t>
  </si>
  <si>
    <t>INSERTAR 
ARCHIVO NÓMINA (PDF)</t>
  </si>
  <si>
    <t>INSERTAR DOCUMENTO(S)
DE PAGO DE NÓMINA (PDF)</t>
  </si>
  <si>
    <t>Nº DÍAS DE
VACACIONES</t>
  </si>
  <si>
    <t>Meses duración proyecto</t>
  </si>
  <si>
    <t/>
  </si>
  <si>
    <t>MESES EN LOS QUE EL TRABAJADOR HA DISFRUTADO DE ALGÚN DIA DE VACACIONES</t>
  </si>
  <si>
    <t>-. Identificar el mes, del período de ejecución, en el que se disfrutó de algún día de vacaciones.</t>
  </si>
  <si>
    <t>-. Reflejar el número de días de dicho mes en los que el trabajador disfrutó de días de vacaciones.</t>
  </si>
  <si>
    <t>-. Insertar los archivos, en formato pdf, de la nómina mensual y los documentos acreditativos del pago de la misma.</t>
  </si>
  <si>
    <t>-.A continuación, en el bloque "MESES EN LOS QUE EL TRABAJADOR HA DISFRUTADO DE ALGÚN DÍA DE VACACIONES" y para cada mes en el que se hubiese disfrutado de días de vacaciones, se deberá: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</si>
</sst>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d/mm/yy"/>
  </numFmts>
  <fonts count="29" x14ac:knownFonts="1">
    <font>
      <sz val="10"/>
      <color theme="1"/>
      <name val="Century Gothic"/>
      <family val="2"/>
    </font>
    <font>
      <sz val="10"/>
      <color theme="1"/>
      <name val="Century Gothic"/>
      <family val="2"/>
    </font>
    <font>
      <b/>
      <sz val="10"/>
      <color theme="1"/>
      <name val="Century Gothic"/>
      <family val="2"/>
    </font>
    <font>
      <sz val="10"/>
      <color theme="0"/>
      <name val="Century Gothic"/>
      <family val="2"/>
    </font>
    <font>
      <sz val="10"/>
      <name val="Century Gothic"/>
      <family val="2"/>
    </font>
    <font>
      <b/>
      <sz val="12"/>
      <name val="Century Gothic"/>
      <family val="2"/>
    </font>
    <font>
      <b/>
      <sz val="10"/>
      <name val="Century Gothic"/>
      <family val="2"/>
    </font>
    <font>
      <b/>
      <sz val="10"/>
      <color rgb="FFFF0000"/>
      <name val="Century Gothic"/>
      <family val="2"/>
    </font>
    <font>
      <sz val="10"/>
      <name val="Arial"/>
      <family val="2"/>
    </font>
    <font>
      <sz val="9"/>
      <name val="Century Gothic"/>
      <family val="2"/>
    </font>
    <font>
      <sz val="8"/>
      <name val="Century Gothic"/>
      <family val="2"/>
    </font>
    <font>
      <b/>
      <sz val="12"/>
      <color theme="1"/>
      <name val="Century Gothic"/>
      <family val="2"/>
    </font>
    <font>
      <sz val="8"/>
      <color theme="1"/>
      <name val="Century Gothic"/>
      <family val="2"/>
    </font>
    <font>
      <b/>
      <sz val="8"/>
      <color theme="1"/>
      <name val="Century Gothic"/>
      <family val="2"/>
    </font>
    <font>
      <b/>
      <sz val="14"/>
      <color theme="1"/>
      <name val="Century Gothic"/>
      <family val="2"/>
    </font>
    <font>
      <sz val="12"/>
      <color theme="1"/>
      <name val="Century Gothic"/>
      <family val="2"/>
    </font>
    <font>
      <b/>
      <u/>
      <sz val="11"/>
      <color theme="1"/>
      <name val="Century Gothic"/>
      <family val="2"/>
    </font>
    <font>
      <b/>
      <sz val="8"/>
      <name val="Century Gothic"/>
      <family val="2"/>
    </font>
    <font>
      <b/>
      <sz val="8"/>
      <color rgb="FFFF0000"/>
      <name val="Century Gothic"/>
      <family val="2"/>
    </font>
    <font>
      <sz val="11"/>
      <color theme="1"/>
      <name val="Century Gothic"/>
      <family val="2"/>
    </font>
    <font>
      <b/>
      <sz val="6"/>
      <color theme="1"/>
      <name val="Century Gothic"/>
      <family val="2"/>
    </font>
    <font>
      <b/>
      <sz val="6"/>
      <name val="Century Gothic"/>
      <family val="2"/>
    </font>
    <font>
      <b/>
      <sz val="11"/>
      <color theme="1"/>
      <name val="Century Gothic"/>
      <family val="2"/>
    </font>
    <font>
      <b/>
      <sz val="9"/>
      <name val="Century Gothic"/>
      <family val="2"/>
    </font>
    <font>
      <b/>
      <sz val="11"/>
      <name val="Century Gothic"/>
      <family val="2"/>
    </font>
    <font>
      <sz val="6"/>
      <color theme="1"/>
      <name val="Century Gothic"/>
      <family val="2"/>
    </font>
    <font>
      <sz val="9"/>
      <color theme="1"/>
      <name val="Century Gothic"/>
      <family val="2"/>
    </font>
    <font>
      <b/>
      <sz val="9"/>
      <color theme="1"/>
      <name val="Century Gothic"/>
      <family val="2"/>
    </font>
    <font>
      <sz val="7"/>
      <color theme="1"/>
      <name val="Century Gothic"/>
      <family val="2"/>
    </font>
  </fonts>
  <fills count="14">
    <fill>
      <patternFill patternType="none"/>
    </fill>
    <fill>
      <patternFill patternType="gray125"/>
    </fill>
    <fill>
      <patternFill patternType="solid">
        <fgColor rgb="FFE7F1F9"/>
        <bgColor rgb="FFCCFFFF"/>
      </patternFill>
    </fill>
    <fill>
      <patternFill patternType="solid">
        <fgColor theme="0" tint="-0.14999847407452621"/>
        <bgColor indexed="64"/>
      </patternFill>
    </fill>
    <fill>
      <patternFill patternType="solid">
        <fgColor rgb="FFE7F1F9"/>
        <bgColor indexed="64"/>
      </patternFill>
    </fill>
    <fill>
      <patternFill patternType="solid">
        <fgColor rgb="FFC1D400"/>
        <bgColor indexed="64"/>
      </patternFill>
    </fill>
    <fill>
      <patternFill patternType="solid">
        <fgColor theme="8" tint="0.79998168889431442"/>
        <bgColor indexed="64"/>
      </patternFill>
    </fill>
    <fill>
      <patternFill patternType="solid">
        <fgColor rgb="FFFFE57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9999"/>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FF00"/>
        <bgColor indexed="64"/>
      </patternFill>
    </fill>
  </fills>
  <borders count="11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bottom style="thin">
        <color indexed="64"/>
      </bottom>
      <diagonal/>
    </border>
    <border>
      <left style="medium">
        <color indexed="64"/>
      </left>
      <right style="thin">
        <color auto="1"/>
      </right>
      <top/>
      <bottom style="thin">
        <color auto="1"/>
      </bottom>
      <diagonal/>
    </border>
    <border>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top style="thick">
        <color auto="1"/>
      </top>
      <bottom style="medium">
        <color indexed="64"/>
      </bottom>
      <diagonal/>
    </border>
    <border>
      <left/>
      <right/>
      <top style="thick">
        <color auto="1"/>
      </top>
      <bottom style="medium">
        <color indexed="64"/>
      </bottom>
      <diagonal/>
    </border>
    <border>
      <left style="thick">
        <color auto="1"/>
      </left>
      <right style="thin">
        <color indexed="64"/>
      </right>
      <top/>
      <bottom style="medium">
        <color indexed="64"/>
      </bottom>
      <diagonal/>
    </border>
    <border>
      <left style="thin">
        <color indexed="64"/>
      </left>
      <right style="thick">
        <color auto="1"/>
      </right>
      <top/>
      <bottom style="thin">
        <color indexed="64"/>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indexed="64"/>
      </top>
      <bottom style="thin">
        <color auto="1"/>
      </bottom>
      <diagonal/>
    </border>
    <border>
      <left style="thick">
        <color auto="1"/>
      </left>
      <right style="thin">
        <color auto="1"/>
      </right>
      <top style="thin">
        <color auto="1"/>
      </top>
      <bottom style="medium">
        <color indexed="64"/>
      </bottom>
      <diagonal/>
    </border>
    <border>
      <left style="thick">
        <color auto="1"/>
      </left>
      <right style="thin">
        <color indexed="64"/>
      </right>
      <top/>
      <bottom style="thin">
        <color indexed="64"/>
      </bottom>
      <diagonal/>
    </border>
    <border>
      <left style="thick">
        <color auto="1"/>
      </left>
      <right style="thin">
        <color auto="1"/>
      </right>
      <top style="thin">
        <color auto="1"/>
      </top>
      <bottom style="thin">
        <color auto="1"/>
      </bottom>
      <diagonal/>
    </border>
    <border>
      <left/>
      <right/>
      <top style="thin">
        <color auto="1"/>
      </top>
      <bottom style="thick">
        <color auto="1"/>
      </bottom>
      <diagonal/>
    </border>
    <border>
      <left style="thin">
        <color indexed="64"/>
      </left>
      <right style="thin">
        <color indexed="64"/>
      </right>
      <top style="thick">
        <color indexed="64"/>
      </top>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diagonal/>
    </border>
    <border>
      <left/>
      <right style="thick">
        <color indexed="64"/>
      </right>
      <top/>
      <bottom/>
      <diagonal/>
    </border>
    <border>
      <left/>
      <right/>
      <top style="thick">
        <color auto="1"/>
      </top>
      <bottom/>
      <diagonal/>
    </border>
    <border>
      <left/>
      <right/>
      <top style="medium">
        <color indexed="64"/>
      </top>
      <bottom style="thick">
        <color auto="1"/>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auto="1"/>
      </top>
      <bottom style="thin">
        <color auto="1"/>
      </bottom>
      <diagonal/>
    </border>
    <border>
      <left/>
      <right/>
      <top style="thick">
        <color auto="1"/>
      </top>
      <bottom style="thick">
        <color auto="1"/>
      </bottom>
      <diagonal/>
    </border>
    <border>
      <left style="thin">
        <color indexed="64"/>
      </left>
      <right style="thick">
        <color indexed="64"/>
      </right>
      <top style="thick">
        <color indexed="64"/>
      </top>
      <bottom style="thin">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right style="thick">
        <color indexed="64"/>
      </right>
      <top style="thick">
        <color auto="1"/>
      </top>
      <bottom style="thick">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auto="1"/>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thin">
        <color indexed="64"/>
      </left>
      <right style="medium">
        <color auto="1"/>
      </right>
      <top/>
      <bottom style="medium">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ck">
        <color auto="1"/>
      </top>
      <bottom style="medium">
        <color indexed="64"/>
      </bottom>
      <diagonal/>
    </border>
    <border>
      <left style="medium">
        <color indexed="64"/>
      </left>
      <right/>
      <top style="thick">
        <color auto="1"/>
      </top>
      <bottom/>
      <diagonal/>
    </border>
    <border>
      <left/>
      <right style="medium">
        <color indexed="64"/>
      </right>
      <top style="thick">
        <color auto="1"/>
      </top>
      <bottom/>
      <diagonal/>
    </border>
    <border>
      <left style="medium">
        <color auto="1"/>
      </left>
      <right style="thin">
        <color auto="1"/>
      </right>
      <top style="thick">
        <color auto="1"/>
      </top>
      <bottom/>
      <diagonal/>
    </border>
    <border>
      <left style="thin">
        <color indexed="64"/>
      </left>
      <right style="medium">
        <color auto="1"/>
      </right>
      <top style="thick">
        <color auto="1"/>
      </top>
      <bottom/>
      <diagonal/>
    </border>
    <border>
      <left style="medium">
        <color auto="1"/>
      </left>
      <right style="thick">
        <color auto="1"/>
      </right>
      <top style="thick">
        <color auto="1"/>
      </top>
      <bottom/>
      <diagonal/>
    </border>
    <border>
      <left style="thick">
        <color auto="1"/>
      </left>
      <right style="thin">
        <color auto="1"/>
      </right>
      <top style="medium">
        <color auto="1"/>
      </top>
      <bottom/>
      <diagonal/>
    </border>
    <border>
      <left style="thick">
        <color auto="1"/>
      </left>
      <right/>
      <top style="medium">
        <color indexed="64"/>
      </top>
      <bottom style="thin">
        <color auto="1"/>
      </bottom>
      <diagonal/>
    </border>
    <border>
      <left style="medium">
        <color auto="1"/>
      </left>
      <right style="thick">
        <color auto="1"/>
      </right>
      <top/>
      <bottom style="thin">
        <color indexed="64"/>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diagonal/>
    </border>
    <border>
      <left/>
      <right style="medium">
        <color indexed="64"/>
      </right>
      <top/>
      <bottom style="thick">
        <color auto="1"/>
      </bottom>
      <diagonal/>
    </border>
    <border>
      <left style="medium">
        <color auto="1"/>
      </left>
      <right/>
      <top style="thin">
        <color auto="1"/>
      </top>
      <bottom style="thick">
        <color auto="1"/>
      </bottom>
      <diagonal/>
    </border>
    <border>
      <left/>
      <right style="medium">
        <color auto="1"/>
      </right>
      <top style="thin">
        <color auto="1"/>
      </top>
      <bottom style="thick">
        <color auto="1"/>
      </bottom>
      <diagonal/>
    </border>
    <border>
      <left style="medium">
        <color indexed="64"/>
      </left>
      <right/>
      <top/>
      <bottom style="thick">
        <color auto="1"/>
      </bottom>
      <diagonal/>
    </border>
    <border>
      <left style="medium">
        <color auto="1"/>
      </left>
      <right style="thick">
        <color auto="1"/>
      </right>
      <top style="thin">
        <color auto="1"/>
      </top>
      <bottom style="thick">
        <color auto="1"/>
      </bottom>
      <diagonal/>
    </border>
    <border>
      <left style="thick">
        <color indexed="64"/>
      </left>
      <right style="thin">
        <color indexed="64"/>
      </right>
      <top style="thick">
        <color auto="1"/>
      </top>
      <bottom style="medium">
        <color indexed="64"/>
      </bottom>
      <diagonal/>
    </border>
    <border>
      <left style="thin">
        <color indexed="64"/>
      </left>
      <right style="thin">
        <color indexed="64"/>
      </right>
      <top style="thick">
        <color auto="1"/>
      </top>
      <bottom style="medium">
        <color indexed="64"/>
      </bottom>
      <diagonal/>
    </border>
    <border>
      <left style="thin">
        <color indexed="64"/>
      </left>
      <right style="thick">
        <color indexed="64"/>
      </right>
      <top style="thick">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medium">
        <color indexed="64"/>
      </left>
      <right style="medium">
        <color indexed="64"/>
      </right>
      <top style="thick">
        <color auto="1"/>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medium">
        <color auto="1"/>
      </left>
      <right style="thin">
        <color auto="1"/>
      </right>
      <top style="medium">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8" fillId="0" borderId="0"/>
  </cellStyleXfs>
  <cellXfs count="445">
    <xf numFmtId="0" fontId="0" fillId="0" borderId="0" xfId="0"/>
    <xf numFmtId="0" fontId="3" fillId="0" borderId="0" xfId="0" applyFont="1" applyAlignment="1" applyProtection="1">
      <alignment vertical="center"/>
      <protection locked="0"/>
    </xf>
    <xf numFmtId="0" fontId="4" fillId="0" borderId="0" xfId="0" applyFont="1" applyAlignment="1">
      <alignment vertical="center"/>
    </xf>
    <xf numFmtId="49" fontId="4" fillId="0" borderId="0" xfId="0" applyNumberFormat="1" applyFont="1" applyAlignment="1">
      <alignment vertical="center" wrapText="1"/>
    </xf>
    <xf numFmtId="49" fontId="4" fillId="0" borderId="0" xfId="0" applyNumberFormat="1" applyFont="1" applyAlignment="1">
      <alignment vertical="center"/>
    </xf>
    <xf numFmtId="49" fontId="4" fillId="0" borderId="0" xfId="0" applyNumberFormat="1" applyFont="1" applyAlignment="1">
      <alignment horizontal="left" vertical="center" indent="1"/>
    </xf>
    <xf numFmtId="49" fontId="4" fillId="0" borderId="0" xfId="0" applyNumberFormat="1" applyFont="1" applyAlignment="1">
      <alignment horizontal="left" vertical="center" wrapText="1" indent="1"/>
    </xf>
    <xf numFmtId="0" fontId="4" fillId="0" borderId="0" xfId="0" quotePrefix="1" applyFont="1" applyAlignment="1">
      <alignment vertical="center" wrapText="1"/>
    </xf>
    <xf numFmtId="0" fontId="4" fillId="0" borderId="0" xfId="0" quotePrefix="1" applyFont="1" applyAlignment="1">
      <alignment horizontal="left" vertical="center" wrapText="1" indent="1"/>
    </xf>
    <xf numFmtId="0" fontId="6" fillId="0" borderId="0" xfId="0" quotePrefix="1" applyFont="1" applyAlignment="1">
      <alignment vertical="center"/>
    </xf>
    <xf numFmtId="0" fontId="4" fillId="0" borderId="0" xfId="0" quotePrefix="1" applyFont="1" applyAlignment="1">
      <alignment vertical="center"/>
    </xf>
    <xf numFmtId="0" fontId="4" fillId="4" borderId="0" xfId="2" applyFont="1" applyFill="1" applyAlignment="1">
      <alignment vertical="center"/>
    </xf>
    <xf numFmtId="0" fontId="4" fillId="0" borderId="0" xfId="2" applyFont="1" applyAlignment="1">
      <alignment vertical="center"/>
    </xf>
    <xf numFmtId="0" fontId="6" fillId="0" borderId="0" xfId="2" applyFont="1" applyAlignment="1">
      <alignment vertical="center"/>
    </xf>
    <xf numFmtId="0" fontId="6" fillId="5" borderId="1" xfId="2" applyFont="1" applyFill="1" applyBorder="1" applyAlignment="1">
      <alignment horizontal="left" vertical="center" indent="1"/>
    </xf>
    <xf numFmtId="0" fontId="4" fillId="0" borderId="0" xfId="2" applyFont="1" applyAlignment="1">
      <alignment horizontal="left" vertical="center" indent="1"/>
    </xf>
    <xf numFmtId="0" fontId="6" fillId="0" borderId="0" xfId="2" applyFont="1" applyAlignment="1">
      <alignment horizontal="right" vertical="center" indent="1"/>
    </xf>
    <xf numFmtId="0" fontId="4" fillId="0" borderId="0" xfId="0" applyFont="1" applyAlignment="1">
      <alignment horizontal="right" indent="1"/>
    </xf>
    <xf numFmtId="164" fontId="6" fillId="5" borderId="1" xfId="2" applyNumberFormat="1" applyFont="1" applyFill="1" applyBorder="1" applyAlignment="1">
      <alignment horizontal="left" vertical="center" indent="1"/>
    </xf>
    <xf numFmtId="164" fontId="4" fillId="0" borderId="0" xfId="2" applyNumberFormat="1" applyFont="1" applyAlignment="1">
      <alignment horizontal="left" vertical="center" indent="1"/>
    </xf>
    <xf numFmtId="0" fontId="6" fillId="5" borderId="1" xfId="0" applyFont="1" applyFill="1" applyBorder="1" applyAlignment="1">
      <alignment horizontal="left" vertical="center" indent="1"/>
    </xf>
    <xf numFmtId="165" fontId="4" fillId="4" borderId="1" xfId="2" applyNumberFormat="1" applyFont="1" applyFill="1" applyBorder="1" applyAlignment="1" applyProtection="1">
      <alignment horizontal="left" vertical="center"/>
      <protection locked="0"/>
    </xf>
    <xf numFmtId="0" fontId="3" fillId="0" borderId="0" xfId="2" applyFont="1" applyAlignment="1">
      <alignment horizontal="right" vertical="center"/>
    </xf>
    <xf numFmtId="0" fontId="9" fillId="0" borderId="0" xfId="2" applyFont="1" applyAlignment="1">
      <alignment horizontal="center" vertical="center"/>
    </xf>
    <xf numFmtId="0" fontId="4" fillId="0" borderId="0" xfId="2" applyFont="1" applyAlignment="1">
      <alignment horizontal="center" vertical="center"/>
    </xf>
    <xf numFmtId="0" fontId="6" fillId="0" borderId="0" xfId="0" applyFont="1"/>
    <xf numFmtId="0" fontId="4" fillId="0" borderId="0" xfId="0" applyFont="1"/>
    <xf numFmtId="0" fontId="4" fillId="0" borderId="0" xfId="0" applyFont="1" applyAlignment="1">
      <alignment horizontal="center"/>
    </xf>
    <xf numFmtId="0" fontId="4" fillId="6" borderId="1" xfId="0" applyFont="1" applyFill="1" applyBorder="1" applyAlignment="1">
      <alignment horizontal="left"/>
    </xf>
    <xf numFmtId="0" fontId="6" fillId="0" borderId="0" xfId="0" applyFont="1" applyAlignment="1">
      <alignment horizontal="right"/>
    </xf>
    <xf numFmtId="0" fontId="4" fillId="0" borderId="0" xfId="0" applyFont="1" applyAlignment="1">
      <alignment horizontal="right"/>
    </xf>
    <xf numFmtId="164" fontId="4" fillId="6" borderId="1" xfId="0" applyNumberFormat="1" applyFont="1" applyFill="1" applyBorder="1" applyAlignment="1">
      <alignment horizontal="left"/>
    </xf>
    <xf numFmtId="0" fontId="4" fillId="6" borderId="1" xfId="0" applyFont="1" applyFill="1" applyBorder="1"/>
    <xf numFmtId="0" fontId="4" fillId="4" borderId="1" xfId="0" applyFont="1" applyFill="1" applyBorder="1" applyAlignment="1">
      <alignment horizontal="center"/>
    </xf>
    <xf numFmtId="0" fontId="4" fillId="0" borderId="0" xfId="0" applyFont="1" applyAlignment="1">
      <alignment horizontal="left"/>
    </xf>
    <xf numFmtId="166" fontId="4" fillId="0" borderId="1" xfId="0" applyNumberFormat="1" applyFont="1" applyBorder="1"/>
    <xf numFmtId="0" fontId="0" fillId="0" borderId="0" xfId="0" applyAlignment="1">
      <alignment vertical="center"/>
    </xf>
    <xf numFmtId="4" fontId="0" fillId="0" borderId="0" xfId="0" applyNumberFormat="1" applyAlignment="1">
      <alignment vertical="center"/>
    </xf>
    <xf numFmtId="0" fontId="12" fillId="0" borderId="0" xfId="0" applyFont="1" applyAlignment="1">
      <alignment vertical="center"/>
    </xf>
    <xf numFmtId="0" fontId="13" fillId="0" borderId="0" xfId="0" applyFont="1" applyAlignment="1">
      <alignment horizontal="center" vertical="center"/>
    </xf>
    <xf numFmtId="166" fontId="4" fillId="6" borderId="1" xfId="0" applyNumberFormat="1" applyFont="1" applyFill="1" applyBorder="1" applyAlignment="1" applyProtection="1">
      <alignment horizontal="center" vertical="center"/>
      <protection locked="0"/>
    </xf>
    <xf numFmtId="166" fontId="4" fillId="7" borderId="1" xfId="0" applyNumberFormat="1" applyFont="1" applyFill="1" applyBorder="1" applyAlignment="1">
      <alignment horizontal="center" vertical="center"/>
    </xf>
    <xf numFmtId="166" fontId="4" fillId="5" borderId="1" xfId="0" applyNumberFormat="1" applyFont="1" applyFill="1" applyBorder="1" applyAlignment="1">
      <alignment horizontal="center" vertical="center"/>
    </xf>
    <xf numFmtId="4" fontId="13" fillId="0" borderId="0" xfId="0" applyNumberFormat="1" applyFont="1" applyAlignment="1">
      <alignment horizontal="center" vertical="center"/>
    </xf>
    <xf numFmtId="0" fontId="2" fillId="0" borderId="0" xfId="0" applyFont="1" applyAlignment="1">
      <alignment horizontal="center" vertical="center"/>
    </xf>
    <xf numFmtId="0" fontId="2" fillId="8" borderId="1" xfId="0" applyFont="1" applyFill="1" applyBorder="1" applyAlignment="1">
      <alignment horizontal="center" vertical="center"/>
    </xf>
    <xf numFmtId="0" fontId="2" fillId="0" borderId="0" xfId="0" applyFont="1" applyAlignment="1">
      <alignment horizontal="right"/>
    </xf>
    <xf numFmtId="0" fontId="4" fillId="0" borderId="0" xfId="2" applyFont="1" applyAlignment="1">
      <alignment horizontal="right" vertical="center"/>
    </xf>
    <xf numFmtId="166" fontId="0" fillId="0" borderId="22" xfId="0" applyNumberFormat="1" applyBorder="1" applyAlignment="1">
      <alignment horizontal="center" vertical="center"/>
    </xf>
    <xf numFmtId="166" fontId="0" fillId="0" borderId="1" xfId="0" applyNumberFormat="1" applyBorder="1" applyAlignment="1">
      <alignment horizontal="center" vertical="center"/>
    </xf>
    <xf numFmtId="166" fontId="0" fillId="0" borderId="19" xfId="0" applyNumberFormat="1" applyBorder="1" applyAlignment="1">
      <alignment horizontal="center" vertical="center"/>
    </xf>
    <xf numFmtId="0" fontId="0" fillId="0" borderId="0" xfId="0" applyAlignment="1">
      <alignment horizontal="right" vertical="center"/>
    </xf>
    <xf numFmtId="0" fontId="5" fillId="0" borderId="0" xfId="0" applyFont="1" applyAlignment="1">
      <alignment vertical="center"/>
    </xf>
    <xf numFmtId="0" fontId="16" fillId="0" borderId="0" xfId="0" applyFont="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57"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10" fontId="0" fillId="0" borderId="43" xfId="0" applyNumberFormat="1" applyBorder="1" applyAlignment="1">
      <alignment vertical="center"/>
    </xf>
    <xf numFmtId="0" fontId="0" fillId="8" borderId="44" xfId="0" applyFill="1" applyBorder="1" applyAlignment="1">
      <alignment vertical="center"/>
    </xf>
    <xf numFmtId="0" fontId="0" fillId="8" borderId="45" xfId="0" applyFill="1" applyBorder="1" applyAlignment="1">
      <alignment vertical="center"/>
    </xf>
    <xf numFmtId="0" fontId="0" fillId="8" borderId="45" xfId="0" applyFill="1" applyBorder="1" applyAlignment="1">
      <alignment horizontal="center" vertical="center"/>
    </xf>
    <xf numFmtId="0" fontId="0" fillId="8" borderId="46" xfId="0" applyFill="1" applyBorder="1" applyAlignment="1">
      <alignment horizontal="center" vertical="center"/>
    </xf>
    <xf numFmtId="0" fontId="13" fillId="10" borderId="68" xfId="0" applyFont="1" applyFill="1" applyBorder="1" applyAlignment="1">
      <alignment horizontal="center" vertical="center"/>
    </xf>
    <xf numFmtId="0" fontId="13" fillId="10" borderId="28" xfId="0" applyFont="1" applyFill="1" applyBorder="1" applyAlignment="1">
      <alignment horizontal="center" vertical="center" wrapText="1"/>
    </xf>
    <xf numFmtId="0" fontId="20" fillId="9" borderId="19" xfId="0" applyFont="1" applyFill="1" applyBorder="1" applyAlignment="1">
      <alignment horizontal="center" vertical="center" wrapText="1"/>
    </xf>
    <xf numFmtId="0" fontId="21" fillId="9" borderId="19" xfId="0" applyFont="1" applyFill="1" applyBorder="1" applyAlignment="1">
      <alignment horizontal="center" vertical="center" wrapText="1"/>
    </xf>
    <xf numFmtId="0" fontId="13" fillId="10" borderId="68" xfId="0" applyFont="1" applyFill="1" applyBorder="1" applyAlignment="1">
      <alignment horizontal="center" vertical="center" wrapText="1"/>
    </xf>
    <xf numFmtId="0" fontId="20" fillId="9" borderId="25" xfId="0" applyFont="1" applyFill="1" applyBorder="1" applyAlignment="1">
      <alignment horizontal="center" vertical="center" wrapText="1"/>
    </xf>
    <xf numFmtId="0" fontId="13" fillId="10" borderId="28" xfId="0" applyFont="1" applyFill="1" applyBorder="1" applyAlignment="1">
      <alignment horizontal="center" vertical="center"/>
    </xf>
    <xf numFmtId="4" fontId="0" fillId="0" borderId="1" xfId="0" applyNumberFormat="1" applyBorder="1" applyAlignment="1">
      <alignment vertical="center"/>
    </xf>
    <xf numFmtId="4" fontId="0" fillId="0" borderId="15" xfId="0" applyNumberFormat="1" applyBorder="1" applyAlignment="1">
      <alignment vertical="center"/>
    </xf>
    <xf numFmtId="4" fontId="0" fillId="10" borderId="68" xfId="0" applyNumberFormat="1" applyFill="1" applyBorder="1" applyAlignment="1">
      <alignment vertical="center"/>
    </xf>
    <xf numFmtId="4" fontId="0" fillId="0" borderId="13" xfId="0" applyNumberFormat="1" applyBorder="1" applyAlignment="1">
      <alignment vertical="center"/>
    </xf>
    <xf numFmtId="4" fontId="2" fillId="10" borderId="28" xfId="0" applyNumberFormat="1" applyFont="1" applyFill="1" applyBorder="1" applyAlignment="1">
      <alignment vertical="center"/>
    </xf>
    <xf numFmtId="4" fontId="0" fillId="0" borderId="101" xfId="0" applyNumberFormat="1" applyBorder="1" applyAlignment="1">
      <alignment vertical="center"/>
    </xf>
    <xf numFmtId="4" fontId="0" fillId="0" borderId="19" xfId="0" applyNumberFormat="1" applyBorder="1" applyAlignment="1">
      <alignment vertical="center"/>
    </xf>
    <xf numFmtId="4" fontId="0" fillId="0" borderId="34" xfId="0" applyNumberFormat="1" applyBorder="1" applyAlignment="1">
      <alignment vertical="center"/>
    </xf>
    <xf numFmtId="0" fontId="0" fillId="8" borderId="88" xfId="0" applyFill="1" applyBorder="1" applyAlignment="1">
      <alignment vertical="center"/>
    </xf>
    <xf numFmtId="0" fontId="0" fillId="8" borderId="89" xfId="0" applyFill="1" applyBorder="1" applyAlignment="1">
      <alignment vertical="center"/>
    </xf>
    <xf numFmtId="0" fontId="0" fillId="8" borderId="51" xfId="0" applyFill="1" applyBorder="1" applyAlignment="1">
      <alignment vertical="center"/>
    </xf>
    <xf numFmtId="0" fontId="0" fillId="8" borderId="90" xfId="0" applyFill="1" applyBorder="1" applyAlignment="1">
      <alignment vertical="center"/>
    </xf>
    <xf numFmtId="0" fontId="0" fillId="10" borderId="91" xfId="0" applyFill="1" applyBorder="1" applyAlignment="1">
      <alignment vertical="center"/>
    </xf>
    <xf numFmtId="0" fontId="0" fillId="10" borderId="45" xfId="0" applyFill="1" applyBorder="1" applyAlignment="1">
      <alignment vertical="center"/>
    </xf>
    <xf numFmtId="0" fontId="0" fillId="10" borderId="88" xfId="0" applyFill="1" applyBorder="1" applyAlignment="1">
      <alignment vertical="center"/>
    </xf>
    <xf numFmtId="0" fontId="0" fillId="8" borderId="92" xfId="0" applyFill="1" applyBorder="1" applyAlignment="1">
      <alignment vertical="center"/>
    </xf>
    <xf numFmtId="0" fontId="15" fillId="0" borderId="0" xfId="0" applyFont="1" applyAlignment="1">
      <alignment vertical="center"/>
    </xf>
    <xf numFmtId="4" fontId="15" fillId="0" borderId="0" xfId="0" applyNumberFormat="1" applyFont="1" applyAlignment="1">
      <alignment vertical="center"/>
    </xf>
    <xf numFmtId="0" fontId="13" fillId="9" borderId="19" xfId="0" applyFont="1" applyFill="1" applyBorder="1" applyAlignment="1">
      <alignment horizontal="center" vertical="center" wrapText="1"/>
    </xf>
    <xf numFmtId="0" fontId="13" fillId="9" borderId="20" xfId="0" applyFont="1" applyFill="1" applyBorder="1" applyAlignment="1">
      <alignment horizontal="center" vertical="center" wrapText="1"/>
    </xf>
    <xf numFmtId="4" fontId="0" fillId="0" borderId="22" xfId="0" applyNumberFormat="1" applyBorder="1" applyAlignment="1">
      <alignment vertical="center"/>
    </xf>
    <xf numFmtId="4" fontId="0" fillId="0" borderId="23" xfId="0" applyNumberFormat="1" applyBorder="1" applyAlignment="1">
      <alignment vertical="center"/>
    </xf>
    <xf numFmtId="4" fontId="2" fillId="10" borderId="68" xfId="0" applyNumberFormat="1" applyFont="1" applyFill="1" applyBorder="1" applyAlignment="1">
      <alignment vertical="center"/>
    </xf>
    <xf numFmtId="4" fontId="0" fillId="0" borderId="106" xfId="0" applyNumberFormat="1" applyBorder="1" applyAlignment="1">
      <alignment vertical="center"/>
    </xf>
    <xf numFmtId="4" fontId="0" fillId="0" borderId="17" xfId="0" applyNumberFormat="1" applyBorder="1" applyAlignment="1">
      <alignment vertical="center"/>
    </xf>
    <xf numFmtId="4" fontId="0" fillId="0" borderId="107" xfId="0" applyNumberFormat="1" applyBorder="1" applyAlignment="1">
      <alignment vertical="center"/>
    </xf>
    <xf numFmtId="0" fontId="0" fillId="8" borderId="91" xfId="0" applyFill="1" applyBorder="1" applyAlignment="1">
      <alignment vertical="center"/>
    </xf>
    <xf numFmtId="0" fontId="0" fillId="10" borderId="58" xfId="0" applyFill="1" applyBorder="1" applyAlignment="1">
      <alignment vertical="center"/>
    </xf>
    <xf numFmtId="0" fontId="0" fillId="8" borderId="46" xfId="0" applyFill="1" applyBorder="1" applyAlignment="1">
      <alignment vertical="center"/>
    </xf>
    <xf numFmtId="0" fontId="2" fillId="8" borderId="93" xfId="0" applyFont="1" applyFill="1" applyBorder="1" applyAlignment="1">
      <alignment horizontal="center" vertical="center"/>
    </xf>
    <xf numFmtId="0" fontId="13" fillId="8" borderId="94" xfId="0" applyFont="1" applyFill="1" applyBorder="1" applyAlignment="1">
      <alignment horizontal="center" vertical="center" wrapText="1"/>
    </xf>
    <xf numFmtId="0" fontId="13" fillId="8" borderId="95" xfId="0" applyFont="1" applyFill="1" applyBorder="1" applyAlignment="1">
      <alignment horizontal="center" vertical="center" wrapText="1"/>
    </xf>
    <xf numFmtId="0" fontId="2" fillId="0" borderId="49" xfId="0" applyFont="1" applyBorder="1" applyAlignment="1">
      <alignment vertical="center"/>
    </xf>
    <xf numFmtId="0" fontId="2" fillId="0" borderId="50" xfId="0" applyFont="1" applyBorder="1" applyAlignment="1">
      <alignment vertical="center"/>
    </xf>
    <xf numFmtId="0" fontId="2" fillId="0" borderId="1" xfId="0" applyFont="1" applyBorder="1" applyAlignment="1">
      <alignment horizontal="center" vertical="center"/>
    </xf>
    <xf numFmtId="0" fontId="2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pplyAlignment="1">
      <alignment vertical="center"/>
    </xf>
    <xf numFmtId="1" fontId="0" fillId="0" borderId="1" xfId="0" applyNumberFormat="1" applyBorder="1" applyAlignment="1">
      <alignment vertical="center"/>
    </xf>
    <xf numFmtId="14" fontId="0" fillId="0" borderId="1" xfId="0" applyNumberFormat="1" applyBorder="1" applyAlignment="1">
      <alignment vertical="center"/>
    </xf>
    <xf numFmtId="2" fontId="0" fillId="0" borderId="1" xfId="0" applyNumberFormat="1" applyBorder="1" applyAlignment="1">
      <alignment vertical="center"/>
    </xf>
    <xf numFmtId="10" fontId="0" fillId="6" borderId="63" xfId="1" applyNumberFormat="1" applyFont="1" applyFill="1" applyBorder="1" applyAlignment="1" applyProtection="1">
      <alignment vertical="center"/>
      <protection locked="0"/>
    </xf>
    <xf numFmtId="10" fontId="0" fillId="6" borderId="43" xfId="1" applyNumberFormat="1" applyFont="1" applyFill="1" applyBorder="1" applyAlignment="1" applyProtection="1">
      <alignment vertical="center"/>
      <protection locked="0"/>
    </xf>
    <xf numFmtId="0" fontId="0" fillId="6" borderId="31" xfId="0" applyFill="1" applyBorder="1" applyAlignment="1" applyProtection="1">
      <alignment horizontal="center" vertical="center"/>
      <protection locked="0"/>
    </xf>
    <xf numFmtId="4" fontId="0" fillId="6" borderId="32" xfId="0" applyNumberFormat="1" applyFill="1" applyBorder="1" applyAlignment="1" applyProtection="1">
      <alignment vertical="center"/>
      <protection locked="0"/>
    </xf>
    <xf numFmtId="4" fontId="0" fillId="6" borderId="13" xfId="0" applyNumberFormat="1" applyFill="1" applyBorder="1" applyAlignment="1" applyProtection="1">
      <alignment vertical="center"/>
      <protection locked="0"/>
    </xf>
    <xf numFmtId="0" fontId="0" fillId="6" borderId="17" xfId="0" applyFill="1" applyBorder="1" applyAlignment="1" applyProtection="1">
      <alignment horizontal="center" vertical="center"/>
      <protection locked="0"/>
    </xf>
    <xf numFmtId="4" fontId="0" fillId="6" borderId="24" xfId="0" applyNumberFormat="1" applyFill="1" applyBorder="1" applyAlignment="1" applyProtection="1">
      <alignment vertical="center"/>
      <protection locked="0"/>
    </xf>
    <xf numFmtId="4" fontId="0" fillId="6" borderId="1" xfId="0" applyNumberFormat="1" applyFill="1" applyBorder="1" applyAlignment="1" applyProtection="1">
      <alignment vertical="center"/>
      <protection locked="0"/>
    </xf>
    <xf numFmtId="4" fontId="0" fillId="6" borderId="16" xfId="0" applyNumberFormat="1" applyFill="1" applyBorder="1" applyAlignment="1" applyProtection="1">
      <alignment vertical="center"/>
      <protection locked="0"/>
    </xf>
    <xf numFmtId="4" fontId="0" fillId="6" borderId="34" xfId="0" applyNumberFormat="1" applyFill="1" applyBorder="1" applyAlignment="1" applyProtection="1">
      <alignment vertical="center"/>
      <protection locked="0"/>
    </xf>
    <xf numFmtId="4" fontId="0" fillId="6" borderId="25" xfId="0" applyNumberFormat="1" applyFill="1" applyBorder="1" applyAlignment="1" applyProtection="1">
      <alignment vertical="center"/>
      <protection locked="0"/>
    </xf>
    <xf numFmtId="4" fontId="0" fillId="6" borderId="19" xfId="0" applyNumberFormat="1" applyFill="1" applyBorder="1" applyAlignment="1" applyProtection="1">
      <alignment vertical="center"/>
      <protection locked="0"/>
    </xf>
    <xf numFmtId="4" fontId="0" fillId="6" borderId="31" xfId="0" applyNumberFormat="1" applyFill="1" applyBorder="1" applyAlignment="1" applyProtection="1">
      <alignment vertical="center"/>
      <protection locked="0"/>
    </xf>
    <xf numFmtId="4" fontId="0" fillId="6" borderId="17" xfId="0" applyNumberFormat="1" applyFill="1" applyBorder="1" applyAlignment="1" applyProtection="1">
      <alignment vertical="center"/>
      <protection locked="0"/>
    </xf>
    <xf numFmtId="4" fontId="0" fillId="6" borderId="20" xfId="0" applyNumberFormat="1" applyFill="1" applyBorder="1" applyAlignment="1" applyProtection="1">
      <alignment vertical="center"/>
      <protection locked="0"/>
    </xf>
    <xf numFmtId="166" fontId="0" fillId="6" borderId="13" xfId="0" applyNumberFormat="1" applyFill="1" applyBorder="1" applyAlignment="1" applyProtection="1">
      <alignment horizontal="center" vertical="center"/>
      <protection locked="0"/>
    </xf>
    <xf numFmtId="166" fontId="0" fillId="6" borderId="31" xfId="0" applyNumberFormat="1" applyFill="1" applyBorder="1" applyAlignment="1" applyProtection="1">
      <alignment horizontal="center" vertical="center"/>
      <protection locked="0"/>
    </xf>
    <xf numFmtId="166" fontId="0" fillId="6" borderId="1" xfId="0" applyNumberFormat="1" applyFill="1" applyBorder="1" applyAlignment="1" applyProtection="1">
      <alignment horizontal="center" vertical="center"/>
      <protection locked="0"/>
    </xf>
    <xf numFmtId="166" fontId="0" fillId="6" borderId="17" xfId="0" applyNumberFormat="1" applyFill="1" applyBorder="1" applyAlignment="1" applyProtection="1">
      <alignment horizontal="center" vertical="center"/>
      <protection locked="0"/>
    </xf>
    <xf numFmtId="166" fontId="0" fillId="6" borderId="34" xfId="0" applyNumberFormat="1" applyFill="1" applyBorder="1" applyAlignment="1" applyProtection="1">
      <alignment horizontal="center" vertical="center"/>
      <protection locked="0"/>
    </xf>
    <xf numFmtId="166" fontId="0" fillId="6" borderId="76" xfId="0" applyNumberFormat="1" applyFill="1" applyBorder="1" applyAlignment="1" applyProtection="1">
      <alignment horizontal="center" vertical="center"/>
      <protection locked="0"/>
    </xf>
    <xf numFmtId="0" fontId="0" fillId="7" borderId="32" xfId="0" applyFill="1" applyBorder="1" applyAlignment="1" applyProtection="1">
      <alignment vertical="center"/>
      <protection locked="0"/>
    </xf>
    <xf numFmtId="0" fontId="0" fillId="7" borderId="31" xfId="0" applyFill="1" applyBorder="1" applyAlignment="1" applyProtection="1">
      <alignment vertical="center"/>
      <protection locked="0"/>
    </xf>
    <xf numFmtId="0" fontId="0" fillId="6" borderId="85" xfId="0" applyFill="1" applyBorder="1" applyAlignment="1" applyProtection="1">
      <alignment vertical="center"/>
      <protection locked="0"/>
    </xf>
    <xf numFmtId="0" fontId="0" fillId="7" borderId="24" xfId="0" applyFill="1" applyBorder="1" applyAlignment="1" applyProtection="1">
      <alignment vertical="center"/>
      <protection locked="0"/>
    </xf>
    <xf numFmtId="0" fontId="0" fillId="7" borderId="17" xfId="0" applyFill="1" applyBorder="1" applyAlignment="1" applyProtection="1">
      <alignment vertical="center"/>
      <protection locked="0"/>
    </xf>
    <xf numFmtId="0" fontId="0" fillId="6" borderId="86" xfId="0" applyFill="1" applyBorder="1" applyAlignment="1" applyProtection="1">
      <alignment vertical="center"/>
      <protection locked="0"/>
    </xf>
    <xf numFmtId="0" fontId="0" fillId="7" borderId="16" xfId="0" applyFill="1" applyBorder="1" applyAlignment="1" applyProtection="1">
      <alignment vertical="center"/>
      <protection locked="0"/>
    </xf>
    <xf numFmtId="0" fontId="0" fillId="7" borderId="76" xfId="0" applyFill="1" applyBorder="1" applyAlignment="1" applyProtection="1">
      <alignment vertical="center"/>
      <protection locked="0"/>
    </xf>
    <xf numFmtId="0" fontId="0" fillId="6" borderId="87" xfId="0" applyFill="1" applyBorder="1" applyAlignment="1" applyProtection="1">
      <alignment vertical="center"/>
      <protection locked="0"/>
    </xf>
    <xf numFmtId="0" fontId="0" fillId="6" borderId="49" xfId="0" applyFill="1" applyBorder="1" applyAlignment="1" applyProtection="1">
      <alignment vertical="center"/>
      <protection locked="0"/>
    </xf>
    <xf numFmtId="0" fontId="0" fillId="6" borderId="50" xfId="0" applyFill="1" applyBorder="1" applyAlignment="1" applyProtection="1">
      <alignment vertical="center"/>
      <protection locked="0"/>
    </xf>
    <xf numFmtId="4" fontId="0" fillId="6" borderId="21" xfId="0" applyNumberFormat="1" applyFill="1" applyBorder="1" applyAlignment="1" applyProtection="1">
      <alignment vertical="center"/>
      <protection locked="0"/>
    </xf>
    <xf numFmtId="4" fontId="0" fillId="6" borderId="22" xfId="0" applyNumberFormat="1" applyFill="1" applyBorder="1" applyAlignment="1" applyProtection="1">
      <alignment vertical="center"/>
      <protection locked="0"/>
    </xf>
    <xf numFmtId="4" fontId="2" fillId="6" borderId="23" xfId="0" applyNumberFormat="1" applyFont="1" applyFill="1" applyBorder="1" applyAlignment="1" applyProtection="1">
      <alignment vertical="center"/>
      <protection locked="0"/>
    </xf>
    <xf numFmtId="4" fontId="2" fillId="6" borderId="17" xfId="0" applyNumberFormat="1" applyFont="1" applyFill="1" applyBorder="1" applyAlignment="1" applyProtection="1">
      <alignment vertical="center"/>
      <protection locked="0"/>
    </xf>
    <xf numFmtId="4" fontId="2" fillId="6" borderId="20" xfId="0" applyNumberFormat="1" applyFont="1" applyFill="1" applyBorder="1" applyAlignment="1" applyProtection="1">
      <alignment vertical="center"/>
      <protection locked="0"/>
    </xf>
    <xf numFmtId="166" fontId="0" fillId="6" borderId="41" xfId="0" applyNumberFormat="1" applyFill="1" applyBorder="1" applyAlignment="1" applyProtection="1">
      <alignment horizontal="center" vertical="center"/>
      <protection locked="0"/>
    </xf>
    <xf numFmtId="166" fontId="0" fillId="6" borderId="43" xfId="0" applyNumberFormat="1" applyFill="1" applyBorder="1" applyAlignment="1" applyProtection="1">
      <alignment horizontal="center" vertical="center"/>
      <protection locked="0"/>
    </xf>
    <xf numFmtId="0" fontId="13" fillId="8" borderId="19" xfId="0" applyFont="1" applyFill="1" applyBorder="1" applyAlignment="1">
      <alignment horizontal="center" vertical="center" wrapText="1"/>
    </xf>
    <xf numFmtId="0" fontId="2" fillId="0" borderId="14" xfId="0" applyFont="1" applyBorder="1" applyAlignment="1">
      <alignment vertical="center"/>
    </xf>
    <xf numFmtId="0" fontId="2" fillId="0" borderId="75" xfId="0" applyFont="1" applyBorder="1" applyAlignment="1">
      <alignment vertical="center"/>
    </xf>
    <xf numFmtId="0" fontId="2" fillId="0" borderId="102" xfId="0" applyFont="1" applyBorder="1" applyAlignment="1">
      <alignment vertical="center"/>
    </xf>
    <xf numFmtId="10" fontId="0" fillId="0" borderId="106" xfId="1" applyNumberFormat="1" applyFont="1" applyFill="1" applyBorder="1" applyAlignment="1">
      <alignment horizontal="right" vertical="center" indent="1"/>
    </xf>
    <xf numFmtId="10" fontId="0" fillId="0" borderId="107" xfId="1" applyNumberFormat="1" applyFont="1" applyFill="1" applyBorder="1" applyAlignment="1">
      <alignment horizontal="right" vertical="center" indent="1"/>
    </xf>
    <xf numFmtId="10" fontId="0" fillId="0" borderId="108" xfId="1" applyNumberFormat="1" applyFont="1" applyFill="1" applyBorder="1" applyAlignment="1">
      <alignment horizontal="right" vertical="center" indent="1"/>
    </xf>
    <xf numFmtId="0" fontId="2" fillId="8" borderId="106" xfId="0" applyFont="1" applyFill="1" applyBorder="1" applyAlignment="1">
      <alignment horizontal="center" vertical="center" wrapText="1"/>
    </xf>
    <xf numFmtId="0" fontId="13" fillId="8" borderId="108" xfId="0" applyFont="1" applyFill="1" applyBorder="1" applyAlignment="1">
      <alignment horizontal="center" vertical="center" wrapText="1"/>
    </xf>
    <xf numFmtId="0" fontId="13" fillId="8" borderId="25" xfId="0" applyFont="1" applyFill="1" applyBorder="1" applyAlignment="1">
      <alignment horizontal="center" vertical="center" wrapText="1"/>
    </xf>
    <xf numFmtId="0" fontId="17" fillId="8" borderId="20" xfId="0" applyFont="1" applyFill="1" applyBorder="1" applyAlignment="1">
      <alignment horizontal="center" vertical="center" wrapText="1"/>
    </xf>
    <xf numFmtId="4" fontId="0" fillId="0" borderId="21" xfId="0" applyNumberFormat="1" applyBorder="1" applyAlignment="1">
      <alignment horizontal="right" vertical="center" indent="1"/>
    </xf>
    <xf numFmtId="4" fontId="2" fillId="0" borderId="23" xfId="0" applyNumberFormat="1" applyFont="1" applyBorder="1" applyAlignment="1">
      <alignment horizontal="right" vertical="center" indent="1"/>
    </xf>
    <xf numFmtId="4" fontId="0" fillId="0" borderId="24" xfId="0" applyNumberFormat="1" applyBorder="1" applyAlignment="1">
      <alignment horizontal="right" vertical="center" indent="1"/>
    </xf>
    <xf numFmtId="4" fontId="2" fillId="0" borderId="17" xfId="0" applyNumberFormat="1" applyFont="1" applyBorder="1" applyAlignment="1">
      <alignment horizontal="right" vertical="center" indent="1"/>
    </xf>
    <xf numFmtId="4" fontId="0" fillId="0" borderId="25" xfId="0" applyNumberFormat="1" applyBorder="1" applyAlignment="1">
      <alignment horizontal="right" vertical="center" indent="1"/>
    </xf>
    <xf numFmtId="4" fontId="2" fillId="0" borderId="20" xfId="0" applyNumberFormat="1" applyFont="1" applyBorder="1" applyAlignment="1">
      <alignment horizontal="right" vertical="center" indent="1"/>
    </xf>
    <xf numFmtId="0" fontId="13" fillId="8" borderId="20" xfId="0" applyFont="1" applyFill="1" applyBorder="1" applyAlignment="1">
      <alignment horizontal="center" vertical="center" wrapText="1"/>
    </xf>
    <xf numFmtId="4" fontId="2" fillId="0" borderId="106" xfId="0" applyNumberFormat="1" applyFont="1" applyBorder="1" applyAlignment="1">
      <alignment horizontal="right" vertical="center" indent="1"/>
    </xf>
    <xf numFmtId="4" fontId="2" fillId="0" borderId="107" xfId="0" applyNumberFormat="1" applyFont="1" applyBorder="1" applyAlignment="1">
      <alignment horizontal="right" vertical="center" indent="1"/>
    </xf>
    <xf numFmtId="4" fontId="2" fillId="0" borderId="108" xfId="0" applyNumberFormat="1" applyFont="1" applyBorder="1" applyAlignment="1">
      <alignment horizontal="right" vertical="center" indent="1"/>
    </xf>
    <xf numFmtId="4" fontId="2" fillId="8" borderId="15" xfId="0" applyNumberFormat="1" applyFont="1" applyFill="1" applyBorder="1" applyAlignment="1">
      <alignment horizontal="right" vertical="center" indent="1"/>
    </xf>
    <xf numFmtId="4" fontId="2" fillId="8" borderId="101" xfId="0" applyNumberFormat="1" applyFont="1" applyFill="1" applyBorder="1" applyAlignment="1">
      <alignment horizontal="right" vertical="center" indent="1"/>
    </xf>
    <xf numFmtId="4" fontId="2" fillId="8" borderId="99" xfId="0" applyNumberFormat="1" applyFont="1" applyFill="1" applyBorder="1" applyAlignment="1">
      <alignment horizontal="right" vertical="center" indent="1"/>
    </xf>
    <xf numFmtId="4" fontId="22" fillId="0" borderId="98" xfId="0" applyNumberFormat="1" applyFont="1" applyBorder="1" applyAlignment="1">
      <alignment horizontal="right" vertical="center" indent="1"/>
    </xf>
    <xf numFmtId="49" fontId="4" fillId="0" borderId="0" xfId="0" quotePrefix="1" applyNumberFormat="1" applyFont="1" applyAlignment="1">
      <alignment horizontal="left" vertical="center" wrapText="1"/>
    </xf>
    <xf numFmtId="0" fontId="4" fillId="0" borderId="0" xfId="0" quotePrefix="1" applyFont="1" applyAlignment="1">
      <alignment horizontal="left" vertical="center" wrapText="1"/>
    </xf>
    <xf numFmtId="0" fontId="2" fillId="0" borderId="0" xfId="0" applyFont="1"/>
    <xf numFmtId="0" fontId="0" fillId="0" borderId="0" xfId="0" applyAlignment="1">
      <alignment horizontal="right" vertical="center" indent="1"/>
    </xf>
    <xf numFmtId="0" fontId="4" fillId="0" borderId="0" xfId="0" applyFont="1" applyAlignment="1">
      <alignment horizontal="left" vertical="center" indent="1"/>
    </xf>
    <xf numFmtId="0" fontId="4" fillId="0" borderId="0" xfId="0" quotePrefix="1" applyFont="1" applyAlignment="1">
      <alignment horizontal="left" vertical="center" indent="1"/>
    </xf>
    <xf numFmtId="0" fontId="9" fillId="0" borderId="0" xfId="2" applyFont="1" applyAlignment="1">
      <alignment vertical="center"/>
    </xf>
    <xf numFmtId="0" fontId="4" fillId="0" borderId="1" xfId="0" applyFont="1" applyBorder="1"/>
    <xf numFmtId="10" fontId="10" fillId="0" borderId="34" xfId="2" applyNumberFormat="1" applyFont="1" applyBorder="1" applyAlignment="1">
      <alignment horizontal="center" vertical="center"/>
    </xf>
    <xf numFmtId="10" fontId="12" fillId="6" borderId="1" xfId="0" applyNumberFormat="1" applyFont="1" applyFill="1" applyBorder="1" applyAlignment="1" applyProtection="1">
      <alignment horizontal="center" vertical="center"/>
      <protection locked="0"/>
    </xf>
    <xf numFmtId="10" fontId="12" fillId="6" borderId="17" xfId="0" applyNumberFormat="1" applyFont="1" applyFill="1" applyBorder="1" applyAlignment="1" applyProtection="1">
      <alignment horizontal="center" vertical="center"/>
      <protection locked="0"/>
    </xf>
    <xf numFmtId="0" fontId="2" fillId="8" borderId="68" xfId="0" applyFont="1" applyFill="1" applyBorder="1" applyAlignment="1">
      <alignment horizontal="center" vertical="center" wrapText="1"/>
    </xf>
    <xf numFmtId="0" fontId="2" fillId="8" borderId="68" xfId="0" applyFont="1" applyFill="1" applyBorder="1" applyAlignment="1">
      <alignment vertical="center" wrapText="1"/>
    </xf>
    <xf numFmtId="10" fontId="10" fillId="0" borderId="76" xfId="2" applyNumberFormat="1" applyFont="1" applyBorder="1" applyAlignment="1">
      <alignment horizontal="center" vertical="center"/>
    </xf>
    <xf numFmtId="0" fontId="4" fillId="6" borderId="0" xfId="0" applyFont="1" applyFill="1" applyAlignment="1">
      <alignment horizontal="left"/>
    </xf>
    <xf numFmtId="0" fontId="11" fillId="0" borderId="0" xfId="0" applyFont="1" applyAlignment="1">
      <alignment horizontal="right" vertical="center" indent="1"/>
    </xf>
    <xf numFmtId="0" fontId="11" fillId="0" borderId="0" xfId="0" applyFont="1" applyAlignment="1">
      <alignment vertical="center"/>
    </xf>
    <xf numFmtId="0" fontId="11" fillId="0" borderId="0" xfId="0" applyFont="1" applyAlignment="1">
      <alignment horizontal="right" vertical="center"/>
    </xf>
    <xf numFmtId="0" fontId="22" fillId="0" borderId="97" xfId="0" applyFont="1" applyBorder="1" applyAlignment="1">
      <alignment horizontal="right" vertical="center" indent="1"/>
    </xf>
    <xf numFmtId="4" fontId="4" fillId="0" borderId="0" xfId="0" applyNumberFormat="1" applyFont="1"/>
    <xf numFmtId="0" fontId="11" fillId="0" borderId="0" xfId="0" applyFont="1" applyAlignment="1">
      <alignment horizontal="right"/>
    </xf>
    <xf numFmtId="4" fontId="0" fillId="0" borderId="0" xfId="0" applyNumberFormat="1" applyAlignment="1">
      <alignment horizontal="right"/>
    </xf>
    <xf numFmtId="4" fontId="22" fillId="0" borderId="0" xfId="0" applyNumberFormat="1" applyFont="1" applyAlignment="1">
      <alignment horizontal="right"/>
    </xf>
    <xf numFmtId="0" fontId="22" fillId="0" borderId="0" xfId="0" applyFont="1" applyAlignment="1">
      <alignment horizontal="right" indent="1"/>
    </xf>
    <xf numFmtId="0" fontId="0" fillId="0" borderId="0" xfId="0" applyAlignment="1">
      <alignment horizontal="right" indent="1"/>
    </xf>
    <xf numFmtId="4" fontId="2" fillId="8" borderId="1" xfId="0" applyNumberFormat="1" applyFont="1" applyFill="1" applyBorder="1"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indent="1"/>
    </xf>
    <xf numFmtId="0" fontId="5" fillId="0" borderId="0" xfId="0" applyFont="1" applyAlignment="1">
      <alignment horizontal="right" vertical="center"/>
    </xf>
    <xf numFmtId="0" fontId="5" fillId="0" borderId="0" xfId="0" applyFont="1" applyAlignment="1">
      <alignment horizontal="right" vertical="center" indent="1"/>
    </xf>
    <xf numFmtId="0" fontId="19" fillId="0" borderId="0" xfId="0" applyFont="1" applyAlignment="1">
      <alignment vertical="center"/>
    </xf>
    <xf numFmtId="4" fontId="11" fillId="0" borderId="0" xfId="0" applyNumberFormat="1" applyFont="1" applyAlignment="1">
      <alignment horizontal="right" vertical="center"/>
    </xf>
    <xf numFmtId="0" fontId="0" fillId="0" borderId="1" xfId="0" applyBorder="1" applyAlignment="1">
      <alignment horizontal="center" vertical="center"/>
    </xf>
    <xf numFmtId="0" fontId="0" fillId="0" borderId="1" xfId="0" applyBorder="1" applyAlignment="1">
      <alignment horizontal="left" vertical="center" wrapText="1" indent="1"/>
    </xf>
    <xf numFmtId="4" fontId="0" fillId="0" borderId="1" xfId="0" applyNumberFormat="1" applyBorder="1" applyAlignment="1">
      <alignment horizontal="right" vertical="center" indent="1"/>
    </xf>
    <xf numFmtId="0" fontId="19" fillId="0" borderId="0" xfId="0" applyFont="1" applyAlignment="1">
      <alignment horizontal="center" vertical="center"/>
    </xf>
    <xf numFmtId="0" fontId="19" fillId="0" borderId="0" xfId="0" applyFont="1"/>
    <xf numFmtId="49" fontId="4" fillId="0" borderId="0" xfId="0" quotePrefix="1" applyNumberFormat="1" applyFont="1" applyAlignment="1">
      <alignment vertical="center" wrapText="1"/>
    </xf>
    <xf numFmtId="49" fontId="4" fillId="0" borderId="0" xfId="0" applyNumberFormat="1" applyFont="1" applyAlignment="1">
      <alignment horizontal="left" vertical="center" wrapText="1"/>
    </xf>
    <xf numFmtId="10" fontId="12" fillId="6" borderId="13" xfId="0" applyNumberFormat="1" applyFont="1" applyFill="1" applyBorder="1" applyAlignment="1" applyProtection="1">
      <alignment horizontal="center" vertical="center"/>
      <protection locked="0"/>
    </xf>
    <xf numFmtId="10" fontId="12" fillId="6" borderId="31" xfId="0" applyNumberFormat="1" applyFont="1" applyFill="1" applyBorder="1" applyAlignment="1" applyProtection="1">
      <alignment horizontal="center" vertical="center"/>
      <protection locked="0"/>
    </xf>
    <xf numFmtId="0" fontId="23" fillId="8" borderId="109" xfId="2" applyFont="1" applyFill="1" applyBorder="1" applyAlignment="1">
      <alignment horizontal="center" vertical="center"/>
    </xf>
    <xf numFmtId="0" fontId="23" fillId="8" borderId="110" xfId="2" applyFont="1" applyFill="1" applyBorder="1" applyAlignment="1">
      <alignment horizontal="center" vertical="center"/>
    </xf>
    <xf numFmtId="0" fontId="23" fillId="8" borderId="111" xfId="2" applyFont="1" applyFill="1" applyBorder="1" applyAlignment="1">
      <alignment horizontal="center" vertical="center"/>
    </xf>
    <xf numFmtId="0" fontId="2" fillId="8" borderId="0" xfId="0" applyFont="1" applyFill="1" applyAlignment="1">
      <alignment horizontal="right" vertical="center" wrapText="1" indent="1"/>
    </xf>
    <xf numFmtId="10" fontId="10" fillId="0" borderId="112" xfId="2" applyNumberFormat="1" applyFont="1" applyBorder="1" applyAlignment="1">
      <alignment horizontal="center" vertical="center"/>
    </xf>
    <xf numFmtId="10" fontId="10" fillId="0" borderId="36" xfId="2" applyNumberFormat="1" applyFont="1" applyBorder="1" applyAlignment="1">
      <alignment horizontal="center" vertical="center"/>
    </xf>
    <xf numFmtId="10" fontId="10" fillId="0" borderId="71" xfId="2" applyNumberFormat="1" applyFont="1" applyBorder="1" applyAlignment="1">
      <alignment horizontal="center" vertical="center"/>
    </xf>
    <xf numFmtId="10" fontId="10" fillId="0" borderId="16" xfId="2" applyNumberFormat="1" applyFont="1" applyBorder="1" applyAlignment="1">
      <alignment horizontal="center" vertical="center"/>
    </xf>
    <xf numFmtId="10" fontId="10" fillId="0" borderId="25" xfId="2" applyNumberFormat="1" applyFont="1" applyBorder="1" applyAlignment="1">
      <alignment horizontal="center" vertical="center"/>
    </xf>
    <xf numFmtId="10" fontId="10" fillId="0" borderId="19" xfId="2" applyNumberFormat="1" applyFont="1" applyBorder="1" applyAlignment="1">
      <alignment horizontal="center" vertical="center"/>
    </xf>
    <xf numFmtId="10" fontId="10" fillId="0" borderId="20" xfId="2" applyNumberFormat="1" applyFont="1" applyBorder="1" applyAlignment="1">
      <alignment horizontal="center" vertical="center"/>
    </xf>
    <xf numFmtId="0" fontId="4" fillId="0" borderId="0" xfId="0" applyFont="1" applyAlignment="1">
      <alignment horizontal="left" vertical="center" wrapText="1"/>
    </xf>
    <xf numFmtId="0" fontId="2" fillId="12" borderId="70" xfId="0" applyFont="1" applyFill="1" applyBorder="1" applyAlignment="1">
      <alignment vertical="center"/>
    </xf>
    <xf numFmtId="0" fontId="0" fillId="12" borderId="68" xfId="0" applyFill="1" applyBorder="1" applyAlignment="1">
      <alignment vertical="center"/>
    </xf>
    <xf numFmtId="0" fontId="0" fillId="12" borderId="70" xfId="0" applyFill="1" applyBorder="1" applyAlignment="1">
      <alignment vertical="center"/>
    </xf>
    <xf numFmtId="0" fontId="0" fillId="12" borderId="97" xfId="0" applyFill="1" applyBorder="1" applyAlignment="1">
      <alignment vertical="center"/>
    </xf>
    <xf numFmtId="0" fontId="16" fillId="12" borderId="97" xfId="0" applyFont="1" applyFill="1" applyBorder="1" applyAlignment="1">
      <alignment vertical="center"/>
    </xf>
    <xf numFmtId="0" fontId="0" fillId="12" borderId="98" xfId="0" applyFill="1" applyBorder="1" applyAlignment="1">
      <alignment vertical="center"/>
    </xf>
    <xf numFmtId="0" fontId="2" fillId="12" borderId="96" xfId="0" applyFont="1" applyFill="1" applyBorder="1" applyAlignment="1">
      <alignment vertical="top"/>
    </xf>
    <xf numFmtId="166" fontId="25" fillId="0" borderId="0" xfId="0" applyNumberFormat="1" applyFont="1" applyAlignment="1">
      <alignment horizontal="center" vertical="center"/>
    </xf>
    <xf numFmtId="166" fontId="26" fillId="0" borderId="0" xfId="0" applyNumberFormat="1" applyFont="1" applyAlignment="1">
      <alignment vertical="center"/>
    </xf>
    <xf numFmtId="0" fontId="0" fillId="0" borderId="0" xfId="0" applyAlignment="1">
      <alignment horizontal="center"/>
    </xf>
    <xf numFmtId="14" fontId="4" fillId="6" borderId="111" xfId="0" applyNumberFormat="1" applyFont="1" applyFill="1" applyBorder="1" applyAlignment="1" applyProtection="1">
      <alignment horizontal="center" vertical="center"/>
      <protection locked="0"/>
    </xf>
    <xf numFmtId="0" fontId="2" fillId="8" borderId="109" xfId="0" applyFont="1" applyFill="1" applyBorder="1" applyAlignment="1">
      <alignment horizontal="left" vertical="center" indent="1"/>
    </xf>
    <xf numFmtId="0" fontId="2" fillId="12" borderId="67" xfId="0" applyFont="1" applyFill="1" applyBorder="1" applyAlignment="1">
      <alignment horizontal="left" vertical="center" indent="1"/>
    </xf>
    <xf numFmtId="0" fontId="2" fillId="12" borderId="96" xfId="0" applyFont="1" applyFill="1" applyBorder="1" applyAlignment="1">
      <alignment horizontal="left" vertical="center" indent="1"/>
    </xf>
    <xf numFmtId="0" fontId="2" fillId="8" borderId="113" xfId="0" applyFont="1" applyFill="1" applyBorder="1" applyAlignment="1">
      <alignment horizontal="center" vertical="center"/>
    </xf>
    <xf numFmtId="0" fontId="0" fillId="6" borderId="113" xfId="0" applyFill="1" applyBorder="1" applyAlignment="1">
      <alignment vertical="center"/>
    </xf>
    <xf numFmtId="0" fontId="4" fillId="0" borderId="0" xfId="0" applyFont="1" applyAlignment="1">
      <alignment horizontal="left" vertical="center" wrapText="1" indent="1"/>
    </xf>
    <xf numFmtId="0" fontId="26" fillId="0" borderId="0" xfId="0" applyFont="1" applyAlignment="1">
      <alignment vertical="center"/>
    </xf>
    <xf numFmtId="4" fontId="26" fillId="0" borderId="0" xfId="0" applyNumberFormat="1" applyFont="1" applyAlignment="1">
      <alignment vertical="center"/>
    </xf>
    <xf numFmtId="4" fontId="26" fillId="0" borderId="0" xfId="0" applyNumberFormat="1" applyFont="1" applyAlignment="1">
      <alignment horizontal="right" vertical="center" indent="1"/>
    </xf>
    <xf numFmtId="10" fontId="26" fillId="0" borderId="0" xfId="1" applyNumberFormat="1" applyFont="1" applyAlignment="1">
      <alignment vertical="center"/>
    </xf>
    <xf numFmtId="0" fontId="26" fillId="0" borderId="0" xfId="0" applyFont="1" applyAlignment="1">
      <alignment horizontal="right" vertical="center"/>
    </xf>
    <xf numFmtId="166" fontId="6" fillId="5" borderId="1" xfId="0" applyNumberFormat="1" applyFont="1" applyFill="1" applyBorder="1" applyAlignment="1" applyProtection="1">
      <alignment horizontal="center" vertical="center"/>
      <protection locked="0"/>
    </xf>
    <xf numFmtId="49" fontId="4" fillId="0" borderId="0" xfId="0" applyNumberFormat="1" applyFont="1" applyAlignment="1">
      <alignment horizontal="left" vertical="center" wrapText="1" indent="2"/>
    </xf>
    <xf numFmtId="0" fontId="26" fillId="0" borderId="0" xfId="0" applyFont="1" applyAlignment="1">
      <alignment horizontal="right" vertical="center" indent="1"/>
    </xf>
    <xf numFmtId="0" fontId="4" fillId="0" borderId="0" xfId="0" quotePrefix="1" applyFont="1" applyAlignment="1">
      <alignment horizontal="left" vertical="center" wrapText="1" indent="2"/>
    </xf>
    <xf numFmtId="0" fontId="12" fillId="0" borderId="0" xfId="0" applyFont="1" applyAlignment="1">
      <alignment horizontal="right" vertical="center"/>
    </xf>
    <xf numFmtId="0" fontId="22" fillId="0" borderId="0" xfId="0" applyFont="1" applyAlignment="1">
      <alignment horizontal="left" vertical="center"/>
    </xf>
    <xf numFmtId="0" fontId="1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4" fontId="26" fillId="0" borderId="0" xfId="0" applyNumberFormat="1" applyFont="1" applyAlignment="1">
      <alignment horizontal="right" vertical="center"/>
    </xf>
    <xf numFmtId="0" fontId="19" fillId="0" borderId="96" xfId="0" applyFont="1" applyBorder="1" applyAlignment="1">
      <alignment horizontal="right" vertical="center" indent="1"/>
    </xf>
    <xf numFmtId="4" fontId="22" fillId="0" borderId="0" xfId="0" applyNumberFormat="1" applyFont="1" applyAlignment="1">
      <alignment horizontal="right" vertical="center"/>
    </xf>
    <xf numFmtId="0" fontId="2" fillId="0" borderId="53" xfId="0" applyFont="1" applyBorder="1" applyAlignment="1">
      <alignment horizontal="left" vertical="center"/>
    </xf>
    <xf numFmtId="0" fontId="2" fillId="0" borderId="42" xfId="0" applyFont="1" applyBorder="1" applyAlignment="1">
      <alignment horizontal="left" vertical="center"/>
    </xf>
    <xf numFmtId="0" fontId="2" fillId="12" borderId="67" xfId="0" applyFont="1" applyFill="1" applyBorder="1" applyAlignment="1">
      <alignment vertical="top"/>
    </xf>
    <xf numFmtId="0" fontId="0" fillId="12" borderId="68" xfId="0" applyFill="1" applyBorder="1" applyAlignment="1">
      <alignment vertical="top"/>
    </xf>
    <xf numFmtId="0" fontId="0" fillId="12" borderId="70" xfId="0" applyFill="1" applyBorder="1" applyAlignment="1">
      <alignment vertical="top"/>
    </xf>
    <xf numFmtId="0" fontId="3" fillId="0" borderId="0" xfId="0" applyFont="1" applyAlignment="1">
      <alignment vertical="center"/>
    </xf>
    <xf numFmtId="0" fontId="6" fillId="8" borderId="1" xfId="2" applyFont="1" applyFill="1" applyBorder="1" applyAlignment="1">
      <alignment horizontal="center" vertical="center"/>
    </xf>
    <xf numFmtId="0" fontId="9" fillId="6" borderId="1" xfId="2" applyFont="1" applyFill="1" applyBorder="1" applyAlignment="1" applyProtection="1">
      <alignment vertical="center" wrapText="1"/>
      <protection locked="0"/>
    </xf>
    <xf numFmtId="0" fontId="9" fillId="6" borderId="1" xfId="2" applyFont="1" applyFill="1" applyBorder="1" applyAlignment="1" applyProtection="1">
      <alignment vertical="center"/>
      <protection locked="0"/>
    </xf>
    <xf numFmtId="0" fontId="5" fillId="2" borderId="1" xfId="0" applyFont="1" applyFill="1" applyBorder="1" applyAlignment="1" applyProtection="1">
      <alignment horizontal="center" vertical="center" wrapText="1"/>
      <protection locked="0"/>
    </xf>
    <xf numFmtId="49" fontId="6" fillId="3" borderId="0" xfId="0" applyNumberFormat="1" applyFont="1" applyFill="1" applyAlignment="1" applyProtection="1">
      <alignment horizontal="center" vertical="center"/>
      <protection locked="0"/>
    </xf>
    <xf numFmtId="0" fontId="2" fillId="8" borderId="22" xfId="0" applyFont="1" applyFill="1" applyBorder="1" applyAlignment="1">
      <alignment horizontal="center" vertical="center"/>
    </xf>
    <xf numFmtId="0" fontId="6" fillId="0" borderId="0" xfId="0" applyFont="1" applyAlignment="1">
      <alignment horizontal="center"/>
    </xf>
    <xf numFmtId="10" fontId="19" fillId="0" borderId="0" xfId="0" applyNumberFormat="1" applyFont="1" applyAlignment="1">
      <alignment vertical="center"/>
    </xf>
    <xf numFmtId="0" fontId="3" fillId="0" borderId="2" xfId="0" applyFont="1" applyBorder="1" applyAlignment="1">
      <alignment horizontal="center" vertical="center"/>
    </xf>
    <xf numFmtId="0" fontId="13" fillId="8" borderId="22" xfId="0" applyFont="1" applyFill="1" applyBorder="1" applyAlignment="1">
      <alignment horizontal="center" vertical="center" wrapText="1"/>
    </xf>
    <xf numFmtId="0" fontId="4" fillId="0" borderId="1" xfId="0" applyFont="1" applyBorder="1" applyAlignment="1">
      <alignment horizontal="center"/>
    </xf>
    <xf numFmtId="17" fontId="4" fillId="0" borderId="0" xfId="0" applyNumberFormat="1" applyFont="1" applyAlignment="1">
      <alignment horizontal="center"/>
    </xf>
    <xf numFmtId="0" fontId="4" fillId="13" borderId="1" xfId="0" applyFont="1" applyFill="1" applyBorder="1"/>
    <xf numFmtId="17" fontId="4" fillId="13" borderId="0" xfId="0" applyNumberFormat="1" applyFont="1" applyFill="1" applyAlignment="1">
      <alignment horizontal="center"/>
    </xf>
    <xf numFmtId="0" fontId="4" fillId="6" borderId="0" xfId="0" applyFont="1" applyFill="1"/>
    <xf numFmtId="17" fontId="0" fillId="6" borderId="1" xfId="0" applyNumberFormat="1"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17"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vertical="center"/>
      <protection locked="0"/>
    </xf>
    <xf numFmtId="49" fontId="4" fillId="0" borderId="0" xfId="0" quotePrefix="1" applyNumberFormat="1" applyFont="1" applyAlignment="1">
      <alignment horizontal="left" vertical="center" wrapText="1" indent="1"/>
    </xf>
    <xf numFmtId="0" fontId="4" fillId="0" borderId="0" xfId="0" quotePrefix="1" applyFont="1" applyAlignment="1">
      <alignment horizontal="left" vertical="center" wrapText="1" indent="1"/>
    </xf>
    <xf numFmtId="0" fontId="4" fillId="0" borderId="0" xfId="2" applyFont="1" applyAlignment="1">
      <alignment horizontal="left" vertical="center" wrapText="1"/>
    </xf>
    <xf numFmtId="0" fontId="6" fillId="0" borderId="0" xfId="2" applyFont="1" applyAlignment="1">
      <alignment horizontal="left" vertical="center"/>
    </xf>
    <xf numFmtId="0" fontId="4" fillId="4" borderId="2" xfId="2" applyFont="1" applyFill="1" applyBorder="1" applyAlignment="1" applyProtection="1">
      <alignment horizontal="left" vertical="center" wrapText="1" indent="1"/>
      <protection locked="0"/>
    </xf>
    <xf numFmtId="0" fontId="4" fillId="4" borderId="3" xfId="2" applyFont="1" applyFill="1" applyBorder="1" applyAlignment="1" applyProtection="1">
      <alignment horizontal="left" vertical="center" wrapText="1" indent="1"/>
      <protection locked="0"/>
    </xf>
    <xf numFmtId="0" fontId="4" fillId="4" borderId="4" xfId="2" applyFont="1" applyFill="1" applyBorder="1" applyAlignment="1" applyProtection="1">
      <alignment horizontal="left" vertical="center" wrapText="1" indent="1"/>
      <protection locked="0"/>
    </xf>
    <xf numFmtId="0" fontId="4" fillId="4" borderId="5" xfId="2" applyFont="1" applyFill="1" applyBorder="1" applyAlignment="1" applyProtection="1">
      <alignment horizontal="left" vertical="center" wrapText="1" indent="1"/>
      <protection locked="0"/>
    </xf>
    <xf numFmtId="0" fontId="4" fillId="4" borderId="6" xfId="2" applyFont="1" applyFill="1" applyBorder="1" applyAlignment="1" applyProtection="1">
      <alignment horizontal="left" vertical="center" wrapText="1" indent="1"/>
      <protection locked="0"/>
    </xf>
    <xf numFmtId="0" fontId="4" fillId="4" borderId="7" xfId="2" applyFont="1" applyFill="1" applyBorder="1" applyAlignment="1" applyProtection="1">
      <alignment horizontal="left" vertical="center" wrapText="1" indent="1"/>
      <protection locked="0"/>
    </xf>
    <xf numFmtId="0" fontId="6" fillId="0" borderId="8" xfId="2" applyFont="1" applyBorder="1" applyAlignment="1">
      <alignment horizontal="left" vertical="center"/>
    </xf>
    <xf numFmtId="0" fontId="6" fillId="5" borderId="2" xfId="2" applyFont="1" applyFill="1" applyBorder="1" applyAlignment="1">
      <alignment horizontal="left" vertical="center" wrapText="1" indent="1"/>
    </xf>
    <xf numFmtId="0" fontId="6" fillId="5" borderId="3" xfId="2" applyFont="1" applyFill="1" applyBorder="1" applyAlignment="1">
      <alignment horizontal="left" vertical="center" wrapText="1" indent="1"/>
    </xf>
    <xf numFmtId="0" fontId="6" fillId="5" borderId="4" xfId="2" applyFont="1" applyFill="1" applyBorder="1" applyAlignment="1">
      <alignment horizontal="left" vertical="center" wrapText="1" indent="1"/>
    </xf>
    <xf numFmtId="0" fontId="6" fillId="5" borderId="9" xfId="2" applyFont="1" applyFill="1" applyBorder="1" applyAlignment="1">
      <alignment horizontal="left" vertical="center" wrapText="1" indent="1"/>
    </xf>
    <xf numFmtId="0" fontId="6" fillId="5" borderId="0" xfId="2" applyFont="1" applyFill="1" applyAlignment="1">
      <alignment horizontal="left" vertical="center" wrapText="1" indent="1"/>
    </xf>
    <xf numFmtId="0" fontId="6" fillId="5" borderId="8" xfId="2" applyFont="1" applyFill="1" applyBorder="1" applyAlignment="1">
      <alignment horizontal="left" vertical="center" wrapText="1" indent="1"/>
    </xf>
    <xf numFmtId="0" fontId="6" fillId="5" borderId="5" xfId="2" applyFont="1" applyFill="1" applyBorder="1" applyAlignment="1">
      <alignment horizontal="left" vertical="center" wrapText="1" indent="1"/>
    </xf>
    <xf numFmtId="0" fontId="6" fillId="5" borderId="6" xfId="2" applyFont="1" applyFill="1" applyBorder="1" applyAlignment="1">
      <alignment horizontal="left" vertical="center" wrapText="1" indent="1"/>
    </xf>
    <xf numFmtId="0" fontId="6" fillId="5" borderId="7" xfId="2" applyFont="1" applyFill="1" applyBorder="1" applyAlignment="1">
      <alignment horizontal="left" vertical="center" wrapText="1" indent="1"/>
    </xf>
    <xf numFmtId="0" fontId="2" fillId="8" borderId="96" xfId="0" applyFont="1" applyFill="1" applyBorder="1" applyAlignment="1">
      <alignment horizontal="center" vertical="center"/>
    </xf>
    <xf numFmtId="0" fontId="2" fillId="8" borderId="97" xfId="0" applyFont="1" applyFill="1" applyBorder="1" applyAlignment="1">
      <alignment horizontal="center" vertical="center"/>
    </xf>
    <xf numFmtId="0" fontId="2" fillId="8" borderId="98" xfId="0" applyFont="1" applyFill="1" applyBorder="1" applyAlignment="1">
      <alignment horizontal="center" vertical="center"/>
    </xf>
    <xf numFmtId="0" fontId="2" fillId="0" borderId="22" xfId="0" applyFont="1" applyBorder="1" applyAlignment="1">
      <alignment horizontal="left" vertical="center" indent="1"/>
    </xf>
    <xf numFmtId="0" fontId="2" fillId="0" borderId="1" xfId="0" applyFont="1" applyBorder="1" applyAlignment="1">
      <alignment horizontal="left" vertical="center" indent="1"/>
    </xf>
    <xf numFmtId="0" fontId="0" fillId="6" borderId="22" xfId="0" applyFill="1" applyBorder="1" applyAlignment="1" applyProtection="1">
      <alignment horizontal="left" vertical="center" indent="1"/>
      <protection locked="0"/>
    </xf>
    <xf numFmtId="0" fontId="0" fillId="6" borderId="1" xfId="0" applyFill="1" applyBorder="1" applyAlignment="1" applyProtection="1">
      <alignment horizontal="left" vertical="center" indent="1"/>
      <protection locked="0"/>
    </xf>
    <xf numFmtId="0" fontId="0" fillId="0" borderId="1" xfId="0" applyBorder="1" applyAlignment="1" applyProtection="1">
      <alignment horizontal="left" vertical="center" indent="1"/>
      <protection locked="0"/>
    </xf>
    <xf numFmtId="0" fontId="4" fillId="0" borderId="1" xfId="2" applyFont="1" applyBorder="1" applyAlignment="1">
      <alignment horizontal="center" vertical="center"/>
    </xf>
    <xf numFmtId="0" fontId="2" fillId="8" borderId="22" xfId="0" applyFont="1" applyFill="1" applyBorder="1" applyAlignment="1">
      <alignment horizontal="center" vertical="center" wrapText="1"/>
    </xf>
    <xf numFmtId="0" fontId="2" fillId="8" borderId="22" xfId="0" applyFont="1" applyFill="1" applyBorder="1" applyAlignment="1">
      <alignment horizontal="center" vertical="center"/>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0" xfId="0" applyAlignment="1" applyProtection="1">
      <alignment horizontal="center"/>
      <protection locked="0"/>
    </xf>
    <xf numFmtId="0" fontId="23" fillId="5" borderId="67" xfId="2" applyFont="1" applyFill="1" applyBorder="1" applyAlignment="1">
      <alignment horizontal="center" vertical="center" wrapText="1"/>
    </xf>
    <xf numFmtId="0" fontId="23" fillId="5" borderId="68" xfId="2" applyFont="1" applyFill="1" applyBorder="1" applyAlignment="1">
      <alignment horizontal="center" vertical="center" wrapText="1"/>
    </xf>
    <xf numFmtId="0" fontId="23" fillId="5" borderId="70" xfId="2" applyFont="1" applyFill="1" applyBorder="1" applyAlignment="1">
      <alignment horizontal="center" vertical="center" wrapText="1"/>
    </xf>
    <xf numFmtId="0" fontId="23" fillId="5" borderId="27" xfId="2" applyFont="1" applyFill="1" applyBorder="1" applyAlignment="1">
      <alignment horizontal="left" vertical="center" wrapText="1"/>
    </xf>
    <xf numFmtId="0" fontId="23" fillId="5" borderId="28" xfId="2" applyFont="1" applyFill="1" applyBorder="1" applyAlignment="1">
      <alignment horizontal="left" vertical="center" wrapText="1"/>
    </xf>
    <xf numFmtId="0" fontId="23" fillId="5" borderId="30" xfId="2" applyFont="1" applyFill="1" applyBorder="1" applyAlignment="1">
      <alignment horizontal="left" vertical="center" wrapText="1"/>
    </xf>
    <xf numFmtId="0" fontId="27" fillId="0" borderId="0" xfId="0" applyFont="1" applyAlignment="1">
      <alignment horizontal="left" vertical="center" indent="1"/>
    </xf>
    <xf numFmtId="0" fontId="0" fillId="12" borderId="26" xfId="0" applyFill="1" applyBorder="1" applyAlignment="1">
      <alignment horizontal="left" vertical="center" wrapText="1"/>
    </xf>
    <xf numFmtId="0" fontId="0" fillId="12" borderId="27" xfId="0" applyFill="1" applyBorder="1" applyAlignment="1">
      <alignment horizontal="left" vertical="center" wrapText="1"/>
    </xf>
    <xf numFmtId="0" fontId="0" fillId="12" borderId="0" xfId="0" applyFill="1" applyAlignment="1">
      <alignment horizontal="left" vertical="center" wrapText="1"/>
    </xf>
    <xf numFmtId="0" fontId="0" fillId="12" borderId="28" xfId="0" applyFill="1" applyBorder="1" applyAlignment="1">
      <alignment horizontal="left" vertical="center" wrapText="1"/>
    </xf>
    <xf numFmtId="0" fontId="0" fillId="12" borderId="29" xfId="0" applyFill="1" applyBorder="1" applyAlignment="1">
      <alignment horizontal="left" vertical="center" wrapText="1"/>
    </xf>
    <xf numFmtId="0" fontId="0" fillId="12" borderId="30" xfId="0" applyFill="1" applyBorder="1" applyAlignment="1">
      <alignment horizontal="left" vertical="center" wrapText="1"/>
    </xf>
    <xf numFmtId="0" fontId="2" fillId="6" borderId="32" xfId="0" applyFont="1" applyFill="1" applyBorder="1" applyAlignment="1" applyProtection="1">
      <alignment horizontal="left" vertical="center" wrapText="1"/>
      <protection locked="0"/>
    </xf>
    <xf numFmtId="0" fontId="2" fillId="6" borderId="13" xfId="0" applyFont="1" applyFill="1" applyBorder="1" applyAlignment="1" applyProtection="1">
      <alignment horizontal="left" vertical="center" wrapText="1"/>
      <protection locked="0"/>
    </xf>
    <xf numFmtId="0" fontId="2" fillId="6" borderId="24" xfId="0" applyFont="1" applyFill="1" applyBorder="1" applyAlignment="1" applyProtection="1">
      <alignment horizontal="left" vertical="center" wrapText="1"/>
      <protection locked="0"/>
    </xf>
    <xf numFmtId="0" fontId="2" fillId="6" borderId="1" xfId="0" applyFont="1" applyFill="1" applyBorder="1" applyAlignment="1" applyProtection="1">
      <alignment horizontal="left" vertical="center" wrapText="1"/>
      <protection locked="0"/>
    </xf>
    <xf numFmtId="0" fontId="2" fillId="8" borderId="96" xfId="0" applyFont="1" applyFill="1" applyBorder="1" applyAlignment="1">
      <alignment horizontal="center" vertical="center" wrapText="1"/>
    </xf>
    <xf numFmtId="0" fontId="2" fillId="8" borderId="97" xfId="0" applyFont="1" applyFill="1" applyBorder="1" applyAlignment="1">
      <alignment horizontal="center" vertical="center" wrapText="1"/>
    </xf>
    <xf numFmtId="0" fontId="2" fillId="8" borderId="98" xfId="0" applyFont="1" applyFill="1" applyBorder="1" applyAlignment="1">
      <alignment horizontal="center" vertical="center" wrapText="1"/>
    </xf>
    <xf numFmtId="0" fontId="2" fillId="8" borderId="67" xfId="0" applyFont="1" applyFill="1" applyBorder="1" applyAlignment="1">
      <alignment horizontal="center" vertical="center" wrapText="1"/>
    </xf>
    <xf numFmtId="0" fontId="2" fillId="8" borderId="26"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0" fillId="7" borderId="96" xfId="0" applyFill="1" applyBorder="1" applyAlignment="1">
      <alignment horizontal="center" vertical="center"/>
    </xf>
    <xf numFmtId="0" fontId="0" fillId="7" borderId="97" xfId="0" applyFill="1" applyBorder="1" applyAlignment="1">
      <alignment horizontal="center" vertical="center"/>
    </xf>
    <xf numFmtId="0" fontId="0" fillId="7" borderId="98" xfId="0" applyFill="1" applyBorder="1" applyAlignment="1">
      <alignment horizontal="center" vertical="center"/>
    </xf>
    <xf numFmtId="0" fontId="0" fillId="12" borderId="29" xfId="0" applyFill="1" applyBorder="1" applyAlignment="1">
      <alignment horizontal="left" vertical="top" wrapText="1"/>
    </xf>
    <xf numFmtId="0" fontId="0" fillId="12" borderId="30" xfId="0" applyFill="1" applyBorder="1" applyAlignment="1">
      <alignment horizontal="left" vertical="top" wrapText="1"/>
    </xf>
    <xf numFmtId="0" fontId="24" fillId="8" borderId="96" xfId="2" applyFont="1" applyFill="1" applyBorder="1" applyAlignment="1">
      <alignment horizontal="center" vertical="center"/>
    </xf>
    <xf numFmtId="0" fontId="24" fillId="8" borderId="97" xfId="2" applyFont="1" applyFill="1" applyBorder="1" applyAlignment="1">
      <alignment horizontal="center" vertical="center"/>
    </xf>
    <xf numFmtId="0" fontId="24" fillId="8" borderId="98" xfId="2" applyFont="1" applyFill="1" applyBorder="1" applyAlignment="1">
      <alignment horizontal="center" vertical="center"/>
    </xf>
    <xf numFmtId="10" fontId="6" fillId="8" borderId="96" xfId="2" applyNumberFormat="1" applyFont="1" applyFill="1" applyBorder="1" applyAlignment="1">
      <alignment horizontal="center" vertical="center"/>
    </xf>
    <xf numFmtId="10" fontId="6" fillId="8" borderId="97" xfId="2" applyNumberFormat="1" applyFont="1" applyFill="1" applyBorder="1" applyAlignment="1">
      <alignment horizontal="center" vertical="center"/>
    </xf>
    <xf numFmtId="10" fontId="6" fillId="8" borderId="98" xfId="2" applyNumberFormat="1" applyFont="1" applyFill="1" applyBorder="1" applyAlignment="1">
      <alignment horizontal="center" vertical="center"/>
    </xf>
    <xf numFmtId="0" fontId="2" fillId="6" borderId="75" xfId="0" applyFont="1" applyFill="1" applyBorder="1" applyAlignment="1" applyProtection="1">
      <alignment horizontal="left" vertical="center" wrapText="1"/>
      <protection locked="0"/>
    </xf>
    <xf numFmtId="0" fontId="2" fillId="6" borderId="12" xfId="0" applyFont="1" applyFill="1" applyBorder="1" applyAlignment="1" applyProtection="1">
      <alignment horizontal="left" vertical="center" wrapText="1"/>
      <protection locked="0"/>
    </xf>
    <xf numFmtId="0" fontId="28" fillId="0" borderId="0" xfId="0" applyFont="1" applyAlignment="1">
      <alignment horizontal="center" textRotation="255"/>
    </xf>
    <xf numFmtId="0" fontId="28" fillId="0" borderId="0" xfId="0" applyFont="1" applyAlignment="1">
      <alignment horizontal="center" textRotation="255" wrapText="1"/>
    </xf>
    <xf numFmtId="0" fontId="2" fillId="8" borderId="68" xfId="0" applyFont="1" applyFill="1" applyBorder="1" applyAlignment="1">
      <alignment horizontal="center" vertical="center" wrapText="1"/>
    </xf>
    <xf numFmtId="0" fontId="2" fillId="8" borderId="0" xfId="0" applyFont="1" applyFill="1" applyAlignment="1">
      <alignment horizontal="center" vertical="center" wrapText="1"/>
    </xf>
    <xf numFmtId="0" fontId="2" fillId="0" borderId="1" xfId="0" applyFont="1" applyBorder="1" applyAlignment="1">
      <alignment horizontal="center" vertical="center"/>
    </xf>
    <xf numFmtId="0" fontId="13" fillId="8" borderId="81" xfId="0" applyFont="1" applyFill="1" applyBorder="1" applyAlignment="1">
      <alignment horizontal="center" vertical="center" wrapText="1"/>
    </xf>
    <xf numFmtId="0" fontId="13" fillId="8" borderId="73" xfId="0" applyFont="1" applyFill="1" applyBorder="1" applyAlignment="1">
      <alignment horizontal="center" vertical="center" wrapText="1"/>
    </xf>
    <xf numFmtId="0" fontId="13" fillId="8" borderId="74" xfId="0" applyFont="1" applyFill="1" applyBorder="1" applyAlignment="1">
      <alignment horizontal="center" vertical="center" wrapText="1"/>
    </xf>
    <xf numFmtId="0" fontId="13" fillId="8" borderId="80" xfId="0" applyFont="1" applyFill="1" applyBorder="1" applyAlignment="1">
      <alignment horizontal="center" vertical="center" wrapText="1"/>
    </xf>
    <xf numFmtId="0" fontId="13" fillId="8" borderId="72" xfId="0" applyFont="1" applyFill="1" applyBorder="1" applyAlignment="1">
      <alignment horizontal="center" vertical="center" wrapText="1"/>
    </xf>
    <xf numFmtId="0" fontId="13" fillId="8" borderId="18" xfId="0" applyFont="1" applyFill="1" applyBorder="1" applyAlignment="1">
      <alignment horizontal="center" vertical="center" wrapText="1"/>
    </xf>
    <xf numFmtId="0" fontId="2" fillId="10" borderId="78" xfId="0" applyFont="1" applyFill="1" applyBorder="1" applyAlignment="1">
      <alignment horizontal="center" vertical="center"/>
    </xf>
    <xf numFmtId="0" fontId="2" fillId="10" borderId="39" xfId="0" applyFont="1" applyFill="1" applyBorder="1" applyAlignment="1">
      <alignment horizontal="center" vertical="center"/>
    </xf>
    <xf numFmtId="0" fontId="2" fillId="10" borderId="79" xfId="0" applyFont="1" applyFill="1" applyBorder="1" applyAlignment="1">
      <alignment horizontal="center" vertical="center"/>
    </xf>
    <xf numFmtId="0" fontId="0" fillId="12" borderId="97" xfId="0" applyFill="1" applyBorder="1" applyAlignment="1">
      <alignment horizontal="left" vertical="center" wrapText="1"/>
    </xf>
    <xf numFmtId="0" fontId="0" fillId="12" borderId="98" xfId="0" applyFill="1" applyBorder="1" applyAlignment="1">
      <alignment horizontal="left" vertical="center" wrapText="1"/>
    </xf>
    <xf numFmtId="0" fontId="0" fillId="12" borderId="0" xfId="0" applyFill="1" applyAlignment="1">
      <alignment horizontal="left" vertical="center"/>
    </xf>
    <xf numFmtId="0" fontId="0" fillId="12" borderId="28" xfId="0" applyFill="1" applyBorder="1" applyAlignment="1">
      <alignment horizontal="left" vertical="center"/>
    </xf>
    <xf numFmtId="0" fontId="0" fillId="12" borderId="29" xfId="0" applyFill="1" applyBorder="1" applyAlignment="1">
      <alignment horizontal="left" vertical="center"/>
    </xf>
    <xf numFmtId="0" fontId="0" fillId="12" borderId="30" xfId="0" applyFill="1" applyBorder="1" applyAlignment="1">
      <alignment horizontal="left" vertical="center"/>
    </xf>
    <xf numFmtId="0" fontId="11" fillId="11" borderId="62" xfId="0" applyFont="1" applyFill="1" applyBorder="1" applyAlignment="1">
      <alignment horizontal="center" vertical="center"/>
    </xf>
    <xf numFmtId="0" fontId="11" fillId="11" borderId="66" xfId="0" applyFont="1" applyFill="1" applyBorder="1" applyAlignment="1">
      <alignment horizontal="center" vertical="center"/>
    </xf>
    <xf numFmtId="0" fontId="2" fillId="0" borderId="42" xfId="0" applyFont="1" applyBorder="1" applyAlignment="1">
      <alignment horizontal="center" vertical="center"/>
    </xf>
    <xf numFmtId="0" fontId="2" fillId="0" borderId="12" xfId="0" applyFont="1" applyBorder="1" applyAlignment="1">
      <alignment horizontal="center" vertical="center"/>
    </xf>
    <xf numFmtId="0" fontId="0" fillId="6" borderId="75" xfId="0" applyFill="1" applyBorder="1" applyAlignment="1" applyProtection="1">
      <alignment horizontal="left" vertical="center" wrapText="1"/>
      <protection locked="0"/>
    </xf>
    <xf numFmtId="0" fontId="0" fillId="6" borderId="61" xfId="0" applyFill="1" applyBorder="1" applyAlignment="1" applyProtection="1">
      <alignment horizontal="left" vertical="center" wrapText="1"/>
      <protection locked="0"/>
    </xf>
    <xf numFmtId="0" fontId="2" fillId="8" borderId="38" xfId="0" applyFont="1" applyFill="1" applyBorder="1" applyAlignment="1">
      <alignment horizontal="center" vertical="center" wrapText="1"/>
    </xf>
    <xf numFmtId="0" fontId="2" fillId="8" borderId="39" xfId="0" applyFont="1" applyFill="1" applyBorder="1" applyAlignment="1">
      <alignment horizontal="center" vertical="center" wrapText="1"/>
    </xf>
    <xf numFmtId="0" fontId="2" fillId="8" borderId="77" xfId="0" applyFont="1" applyFill="1" applyBorder="1" applyAlignment="1">
      <alignment horizontal="center" vertical="center" wrapText="1"/>
    </xf>
    <xf numFmtId="0" fontId="13" fillId="9" borderId="22" xfId="0" applyFont="1" applyFill="1" applyBorder="1" applyAlignment="1">
      <alignment horizontal="center" vertical="center"/>
    </xf>
    <xf numFmtId="0" fontId="13" fillId="9" borderId="23" xfId="0" applyFont="1" applyFill="1" applyBorder="1" applyAlignment="1">
      <alignment horizontal="center" vertical="center"/>
    </xf>
    <xf numFmtId="0" fontId="13" fillId="9" borderId="23" xfId="0" applyFont="1" applyFill="1" applyBorder="1" applyAlignment="1">
      <alignment horizontal="center" vertical="center" wrapText="1"/>
    </xf>
    <xf numFmtId="0" fontId="13" fillId="9" borderId="20" xfId="0" applyFont="1" applyFill="1" applyBorder="1" applyAlignment="1">
      <alignment horizontal="center" vertical="center"/>
    </xf>
    <xf numFmtId="0" fontId="13" fillId="9" borderId="21" xfId="0" applyFont="1" applyFill="1" applyBorder="1" applyAlignment="1">
      <alignment horizontal="center" vertical="center" wrapText="1"/>
    </xf>
    <xf numFmtId="0" fontId="13" fillId="9" borderId="102" xfId="0" applyFont="1" applyFill="1" applyBorder="1" applyAlignment="1">
      <alignment horizontal="center" vertical="center" wrapText="1"/>
    </xf>
    <xf numFmtId="0" fontId="2" fillId="8" borderId="78" xfId="0" applyFont="1" applyFill="1" applyBorder="1" applyAlignment="1">
      <alignment horizontal="center" vertical="center"/>
    </xf>
    <xf numFmtId="0" fontId="2" fillId="8" borderId="57" xfId="0" applyFont="1" applyFill="1" applyBorder="1" applyAlignment="1">
      <alignment horizontal="center" vertical="center"/>
    </xf>
    <xf numFmtId="0" fontId="2" fillId="8" borderId="79" xfId="0" applyFont="1" applyFill="1" applyBorder="1" applyAlignment="1">
      <alignment horizontal="center" vertical="center"/>
    </xf>
    <xf numFmtId="0" fontId="13" fillId="9" borderId="105" xfId="0" applyFont="1" applyFill="1" applyBorder="1" applyAlignment="1">
      <alignment horizontal="center" vertical="center"/>
    </xf>
    <xf numFmtId="0" fontId="13" fillId="9" borderId="21" xfId="0" applyFont="1" applyFill="1" applyBorder="1" applyAlignment="1">
      <alignment horizontal="center" vertical="center"/>
    </xf>
    <xf numFmtId="0" fontId="13" fillId="8" borderId="103" xfId="0" applyFont="1" applyFill="1" applyBorder="1" applyAlignment="1">
      <alignment horizontal="center" vertical="center" wrapText="1"/>
    </xf>
    <xf numFmtId="0" fontId="13" fillId="8" borderId="100" xfId="0" applyFont="1" applyFill="1" applyBorder="1" applyAlignment="1">
      <alignment horizontal="center" vertical="center" wrapText="1"/>
    </xf>
    <xf numFmtId="0" fontId="13" fillId="8" borderId="104" xfId="0" applyFont="1" applyFill="1" applyBorder="1" applyAlignment="1">
      <alignment horizontal="center" vertical="center" wrapText="1"/>
    </xf>
    <xf numFmtId="0" fontId="13" fillId="8" borderId="52" xfId="0" applyFont="1" applyFill="1" applyBorder="1" applyAlignment="1">
      <alignment horizontal="center" vertical="center" wrapText="1"/>
    </xf>
    <xf numFmtId="0" fontId="13" fillId="8" borderId="35" xfId="0" applyFont="1" applyFill="1" applyBorder="1" applyAlignment="1">
      <alignment horizontal="center" vertical="center" wrapText="1"/>
    </xf>
    <xf numFmtId="0" fontId="13" fillId="8" borderId="37" xfId="0" applyFont="1" applyFill="1" applyBorder="1" applyAlignment="1">
      <alignment horizontal="center" vertical="center" wrapText="1"/>
    </xf>
    <xf numFmtId="0" fontId="13" fillId="8" borderId="78" xfId="0" applyFont="1" applyFill="1" applyBorder="1" applyAlignment="1">
      <alignment horizontal="center" vertical="center" wrapText="1"/>
    </xf>
    <xf numFmtId="0" fontId="13" fillId="8" borderId="54" xfId="0" applyFont="1" applyFill="1" applyBorder="1" applyAlignment="1">
      <alignment horizontal="center" vertical="center" wrapText="1"/>
    </xf>
    <xf numFmtId="0" fontId="13" fillId="8" borderId="68" xfId="0" applyFont="1" applyFill="1" applyBorder="1" applyAlignment="1">
      <alignment horizontal="center" vertical="center" wrapText="1"/>
    </xf>
    <xf numFmtId="0" fontId="13" fillId="8" borderId="56" xfId="0" applyFont="1" applyFill="1" applyBorder="1" applyAlignment="1">
      <alignment horizontal="center" vertical="center" wrapText="1"/>
    </xf>
    <xf numFmtId="0" fontId="13" fillId="8" borderId="70" xfId="0" applyFont="1" applyFill="1" applyBorder="1" applyAlignment="1">
      <alignment horizontal="center" vertical="center" wrapText="1"/>
    </xf>
    <xf numFmtId="0" fontId="13" fillId="8" borderId="59" xfId="0" applyFont="1" applyFill="1" applyBorder="1" applyAlignment="1">
      <alignment horizontal="center" vertical="center" wrapText="1"/>
    </xf>
    <xf numFmtId="0" fontId="0" fillId="6" borderId="69" xfId="0" applyFill="1" applyBorder="1" applyAlignment="1" applyProtection="1">
      <alignment horizontal="left" vertical="center" wrapText="1"/>
      <protection locked="0"/>
    </xf>
    <xf numFmtId="0" fontId="0" fillId="6" borderId="60" xfId="0" applyFill="1" applyBorder="1" applyAlignment="1" applyProtection="1">
      <alignment horizontal="left" vertical="center" wrapText="1"/>
      <protection locked="0"/>
    </xf>
    <xf numFmtId="0" fontId="2" fillId="0" borderId="0" xfId="0" applyFont="1" applyAlignment="1">
      <alignment horizontal="right" vertical="center"/>
    </xf>
    <xf numFmtId="0" fontId="11" fillId="11" borderId="57" xfId="0" applyFont="1" applyFill="1" applyBorder="1" applyAlignment="1">
      <alignment horizontal="center" vertical="center"/>
    </xf>
    <xf numFmtId="0" fontId="11" fillId="11" borderId="54" xfId="0" applyFont="1" applyFill="1" applyBorder="1" applyAlignment="1">
      <alignment horizontal="center" vertical="center"/>
    </xf>
    <xf numFmtId="0" fontId="13" fillId="9" borderId="71" xfId="0" applyFont="1" applyFill="1" applyBorder="1" applyAlignment="1">
      <alignment horizontal="center" vertical="center" wrapText="1"/>
    </xf>
    <xf numFmtId="0" fontId="13" fillId="9" borderId="74" xfId="0" applyFont="1" applyFill="1" applyBorder="1" applyAlignment="1">
      <alignment horizontal="center" vertical="center" wrapText="1"/>
    </xf>
    <xf numFmtId="0" fontId="13" fillId="8" borderId="82" xfId="0" applyFont="1" applyFill="1" applyBorder="1" applyAlignment="1">
      <alignment horizontal="center" vertical="center" wrapText="1"/>
    </xf>
    <xf numFmtId="0" fontId="13" fillId="8" borderId="64" xfId="0" applyFont="1" applyFill="1" applyBorder="1" applyAlignment="1">
      <alignment horizontal="center" vertical="center" wrapText="1"/>
    </xf>
    <xf numFmtId="0" fontId="13" fillId="8" borderId="65" xfId="0" applyFont="1" applyFill="1" applyBorder="1" applyAlignment="1">
      <alignment horizontal="center" vertical="center" wrapText="1"/>
    </xf>
    <xf numFmtId="0" fontId="14" fillId="11" borderId="53" xfId="0" applyFont="1" applyFill="1" applyBorder="1" applyAlignment="1">
      <alignment horizontal="center" vertical="center" textRotation="255"/>
    </xf>
    <xf numFmtId="0" fontId="14" fillId="11" borderId="55" xfId="0" applyFont="1" applyFill="1" applyBorder="1" applyAlignment="1">
      <alignment horizontal="center" vertical="center" textRotation="255"/>
    </xf>
    <xf numFmtId="0" fontId="14" fillId="11" borderId="44" xfId="0" applyFont="1" applyFill="1" applyBorder="1" applyAlignment="1">
      <alignment horizontal="center" vertical="center" textRotation="255"/>
    </xf>
    <xf numFmtId="0" fontId="13" fillId="9" borderId="47" xfId="0" applyFont="1" applyFill="1" applyBorder="1" applyAlignment="1">
      <alignment horizontal="center" vertical="center" wrapText="1"/>
    </xf>
    <xf numFmtId="0" fontId="13" fillId="9" borderId="48" xfId="0" applyFont="1" applyFill="1" applyBorder="1" applyAlignment="1">
      <alignment horizontal="center" vertical="center"/>
    </xf>
    <xf numFmtId="0" fontId="13" fillId="9" borderId="83" xfId="0" applyFont="1" applyFill="1" applyBorder="1" applyAlignment="1">
      <alignment horizontal="center" vertical="center" wrapText="1"/>
    </xf>
    <xf numFmtId="0" fontId="13" fillId="9" borderId="36" xfId="0" applyFont="1" applyFill="1" applyBorder="1" applyAlignment="1">
      <alignment horizontal="center" vertical="center" wrapText="1"/>
    </xf>
    <xf numFmtId="0" fontId="13" fillId="9" borderId="40" xfId="0" applyFont="1" applyFill="1" applyBorder="1" applyAlignment="1">
      <alignment horizontal="center" vertical="center" wrapText="1"/>
    </xf>
    <xf numFmtId="0" fontId="13" fillId="9" borderId="37" xfId="0" applyFont="1" applyFill="1" applyBorder="1" applyAlignment="1">
      <alignment horizontal="center" vertical="center" wrapText="1"/>
    </xf>
    <xf numFmtId="0" fontId="2" fillId="0" borderId="84" xfId="0" applyFont="1" applyBorder="1" applyAlignment="1">
      <alignment horizontal="center" vertical="center"/>
    </xf>
    <xf numFmtId="0" fontId="2" fillId="0" borderId="33" xfId="0" applyFont="1" applyBorder="1" applyAlignment="1">
      <alignment horizontal="center" vertical="center"/>
    </xf>
    <xf numFmtId="0" fontId="2" fillId="8" borderId="15" xfId="0" applyFont="1" applyFill="1" applyBorder="1" applyAlignment="1">
      <alignment horizontal="center" vertical="center" wrapText="1"/>
    </xf>
    <xf numFmtId="0" fontId="2" fillId="8" borderId="99" xfId="0" applyFont="1" applyFill="1" applyBorder="1" applyAlignment="1">
      <alignment horizontal="center" vertical="center" wrapText="1"/>
    </xf>
    <xf numFmtId="0" fontId="2" fillId="8" borderId="21" xfId="0" applyFont="1" applyFill="1" applyBorder="1" applyAlignment="1">
      <alignment horizontal="center" vertical="center"/>
    </xf>
    <xf numFmtId="0" fontId="2" fillId="8" borderId="23" xfId="0" applyFont="1" applyFill="1" applyBorder="1" applyAlignment="1">
      <alignment horizontal="center" vertical="center"/>
    </xf>
    <xf numFmtId="0" fontId="26" fillId="0" borderId="0" xfId="0" applyFont="1" applyAlignment="1">
      <alignment horizontal="right" vertical="center" indent="1"/>
    </xf>
    <xf numFmtId="0" fontId="2" fillId="8" borderId="14" xfId="0" applyFont="1" applyFill="1" applyBorder="1" applyAlignment="1">
      <alignment horizontal="center" vertical="center"/>
    </xf>
    <xf numFmtId="0" fontId="2" fillId="8" borderId="102" xfId="0" applyFont="1" applyFill="1" applyBorder="1" applyAlignment="1">
      <alignment horizontal="center" vertical="center"/>
    </xf>
    <xf numFmtId="0" fontId="2" fillId="8" borderId="106" xfId="0" applyFont="1" applyFill="1" applyBorder="1" applyAlignment="1">
      <alignment horizontal="center" vertical="center" wrapText="1"/>
    </xf>
    <xf numFmtId="0" fontId="2" fillId="8" borderId="108" xfId="0" applyFont="1" applyFill="1" applyBorder="1" applyAlignment="1">
      <alignment horizontal="center" vertical="center" wrapText="1"/>
    </xf>
    <xf numFmtId="0" fontId="4" fillId="6" borderId="10" xfId="0" applyFont="1" applyFill="1" applyBorder="1" applyAlignment="1">
      <alignment horizontal="left"/>
    </xf>
    <xf numFmtId="0" fontId="4" fillId="6" borderId="11" xfId="0" applyFont="1" applyFill="1" applyBorder="1" applyAlignment="1">
      <alignment horizontal="left"/>
    </xf>
    <xf numFmtId="0" fontId="4" fillId="6" borderId="12" xfId="0" applyFont="1" applyFill="1" applyBorder="1" applyAlignment="1">
      <alignment horizontal="left"/>
    </xf>
    <xf numFmtId="0" fontId="6" fillId="0" borderId="0" xfId="0" applyFont="1" applyAlignment="1">
      <alignment horizontal="center"/>
    </xf>
  </cellXfs>
  <cellStyles count="3">
    <cellStyle name="Normal" xfId="0" builtinId="0"/>
    <cellStyle name="Normal 2" xfId="2" xr:uid="{4757FDF3-F31D-4CF3-9F18-5701FBF4A42B}"/>
    <cellStyle name="Porcentaje" xfId="1" builtinId="5"/>
  </cellStyles>
  <dxfs count="98">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0"/>
      </font>
      <border>
        <left/>
        <right/>
        <top/>
        <bottom/>
        <vertical/>
        <horizontal/>
      </border>
    </dxf>
    <dxf>
      <font>
        <color theme="0"/>
      </font>
      <border>
        <left/>
        <right/>
        <top style="thin">
          <color auto="1"/>
        </top>
        <bottom/>
        <vertical/>
        <horizontal/>
      </border>
    </dxf>
    <dxf>
      <font>
        <color theme="0"/>
      </font>
      <border>
        <left/>
        <right/>
        <top/>
        <bottom/>
        <vertical/>
        <horizontal/>
      </border>
    </dxf>
    <dxf>
      <border>
        <bottom style="thin">
          <color auto="1"/>
        </bottom>
      </border>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border>
        <left/>
        <right/>
        <top/>
        <bottom/>
        <vertical/>
        <horizontal/>
      </border>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border>
    </dxf>
    <dxf>
      <font>
        <b/>
        <i val="0"/>
      </font>
      <fill>
        <patternFill>
          <bgColor rgb="FFFFC000"/>
        </patternFill>
      </fill>
      <border>
        <left style="thin">
          <color auto="1"/>
        </left>
        <right style="thin">
          <color auto="1"/>
        </right>
        <top style="thin">
          <color auto="1"/>
        </top>
        <bottom style="thin">
          <color auto="1"/>
        </bottom>
      </border>
    </dxf>
    <dxf>
      <fill>
        <patternFill>
          <bgColor rgb="FFFF7C80"/>
        </patternFill>
      </fill>
    </dxf>
    <dxf>
      <fill>
        <patternFill>
          <bgColor rgb="FFFF7C80"/>
        </patternFill>
      </fill>
    </dxf>
    <dxf>
      <fill>
        <patternFill>
          <bgColor rgb="FFFF7C80"/>
        </patternFill>
      </fill>
    </dxf>
    <dxf>
      <font>
        <b/>
        <i val="0"/>
      </font>
      <fill>
        <patternFill>
          <bgColor rgb="FFFFC000"/>
        </patternFill>
      </fill>
    </dxf>
    <dxf>
      <font>
        <color theme="0"/>
      </font>
      <fill>
        <patternFill>
          <bgColor theme="0"/>
        </patternFill>
      </fill>
      <border>
        <left style="thin">
          <color theme="0"/>
        </left>
        <right style="thin">
          <color theme="0"/>
        </right>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style="thin">
          <color theme="0"/>
        </left>
        <right style="thin">
          <color theme="0"/>
        </right>
        <bottom style="thin">
          <color theme="0"/>
        </bottom>
        <vertical/>
        <horizontal/>
      </border>
    </dxf>
    <dxf>
      <font>
        <b/>
        <i val="0"/>
      </font>
      <fill>
        <patternFill>
          <bgColor rgb="FFFFC000"/>
        </patternFill>
      </fill>
    </dxf>
    <dxf>
      <font>
        <color theme="0"/>
      </font>
      <fill>
        <patternFill>
          <bgColor theme="0"/>
        </patternFill>
      </fill>
      <border>
        <left/>
        <right/>
        <top/>
        <bottom/>
        <vertical/>
        <horizontal/>
      </border>
    </dxf>
    <dxf>
      <fill>
        <patternFill>
          <bgColor rgb="FFFFE575"/>
        </patternFill>
      </fill>
      <border>
        <left style="thin">
          <color auto="1"/>
        </left>
        <right style="thin">
          <color auto="1"/>
        </right>
        <top style="thin">
          <color auto="1"/>
        </top>
        <bottom style="thin">
          <color auto="1"/>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ont>
        <b/>
        <i val="0"/>
        <color rgb="FFFF0000"/>
      </font>
      <fill>
        <patternFill>
          <bgColor rgb="FFC1D400"/>
        </patternFill>
      </fill>
    </dxf>
    <dxf>
      <font>
        <color theme="0"/>
      </font>
      <fill>
        <patternFill patternType="none">
          <bgColor auto="1"/>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mruColors>
      <color rgb="FFFFE575"/>
      <color rgb="FFCCCCFF"/>
      <color rgb="FFFF7C80"/>
      <color rgb="FFC1D400"/>
      <color rgb="FF9999FF"/>
      <color rgb="FFCC99FF"/>
      <color rgb="FFFFFF00"/>
      <color rgb="FFFF9999"/>
      <color rgb="FFFF99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14284</xdr:colOff>
      <xdr:row>1</xdr:row>
      <xdr:rowOff>4765</xdr:rowOff>
    </xdr:from>
    <xdr:to>
      <xdr:col>2</xdr:col>
      <xdr:colOff>576260</xdr:colOff>
      <xdr:row>6</xdr:row>
      <xdr:rowOff>119985</xdr:rowOff>
    </xdr:to>
    <xdr:pic>
      <xdr:nvPicPr>
        <xdr:cNvPr id="2" name="Imagen 1">
          <a:extLst>
            <a:ext uri="{FF2B5EF4-FFF2-40B4-BE49-F238E27FC236}">
              <a16:creationId xmlns:a16="http://schemas.microsoft.com/office/drawing/2014/main" id="{EBAB2EC3-3B67-4CB2-8EB9-B97BD3B6CDDB}"/>
            </a:ext>
          </a:extLst>
        </xdr:cNvPr>
        <xdr:cNvPicPr>
          <a:picLocks noChangeAspect="1"/>
        </xdr:cNvPicPr>
      </xdr:nvPicPr>
      <xdr:blipFill>
        <a:blip xmlns:r="http://schemas.openxmlformats.org/officeDocument/2006/relationships" r:embed="rId1"/>
        <a:stretch>
          <a:fillRect/>
        </a:stretch>
      </xdr:blipFill>
      <xdr:spPr>
        <a:xfrm>
          <a:off x="385759" y="166690"/>
          <a:ext cx="1695451" cy="10677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816770</xdr:colOff>
      <xdr:row>5</xdr:row>
      <xdr:rowOff>56085</xdr:rowOff>
    </xdr:to>
    <xdr:pic>
      <xdr:nvPicPr>
        <xdr:cNvPr id="2" name="Imagen 1">
          <a:extLst>
            <a:ext uri="{FF2B5EF4-FFF2-40B4-BE49-F238E27FC236}">
              <a16:creationId xmlns:a16="http://schemas.microsoft.com/office/drawing/2014/main" id="{2FCDDEF3-130E-4A25-8E18-3CD54F027C98}"/>
            </a:ext>
          </a:extLst>
        </xdr:cNvPr>
        <xdr:cNvPicPr>
          <a:picLocks noChangeAspect="1"/>
        </xdr:cNvPicPr>
      </xdr:nvPicPr>
      <xdr:blipFill>
        <a:blip xmlns:r="http://schemas.openxmlformats.org/officeDocument/2006/relationships" r:embed="rId1"/>
        <a:stretch>
          <a:fillRect/>
        </a:stretch>
      </xdr:blipFill>
      <xdr:spPr>
        <a:xfrm>
          <a:off x="381000" y="180975"/>
          <a:ext cx="1693070" cy="1072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92870</xdr:colOff>
      <xdr:row>7</xdr:row>
      <xdr:rowOff>43385</xdr:rowOff>
    </xdr:to>
    <xdr:pic>
      <xdr:nvPicPr>
        <xdr:cNvPr id="2" name="Imagen 1">
          <a:extLst>
            <a:ext uri="{FF2B5EF4-FFF2-40B4-BE49-F238E27FC236}">
              <a16:creationId xmlns:a16="http://schemas.microsoft.com/office/drawing/2014/main" id="{E7C84C43-81D3-4FAA-8E2D-C6B6E836BAAA}"/>
            </a:ext>
          </a:extLst>
        </xdr:cNvPr>
        <xdr:cNvPicPr>
          <a:picLocks noChangeAspect="1"/>
        </xdr:cNvPicPr>
      </xdr:nvPicPr>
      <xdr:blipFill>
        <a:blip xmlns:r="http://schemas.openxmlformats.org/officeDocument/2006/relationships" r:embed="rId1"/>
        <a:stretch>
          <a:fillRect/>
        </a:stretch>
      </xdr:blipFill>
      <xdr:spPr>
        <a:xfrm>
          <a:off x="381000" y="180975"/>
          <a:ext cx="1693070" cy="10720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9523</xdr:colOff>
      <xdr:row>1</xdr:row>
      <xdr:rowOff>6350</xdr:rowOff>
    </xdr:from>
    <xdr:to>
      <xdr:col>2</xdr:col>
      <xdr:colOff>790574</xdr:colOff>
      <xdr:row>5</xdr:row>
      <xdr:rowOff>200945</xdr:rowOff>
    </xdr:to>
    <xdr:pic>
      <xdr:nvPicPr>
        <xdr:cNvPr id="2" name="Imagen 1">
          <a:extLst>
            <a:ext uri="{FF2B5EF4-FFF2-40B4-BE49-F238E27FC236}">
              <a16:creationId xmlns:a16="http://schemas.microsoft.com/office/drawing/2014/main" id="{289558EC-2F53-4A11-AA36-68BA5B631895}"/>
            </a:ext>
          </a:extLst>
        </xdr:cNvPr>
        <xdr:cNvPicPr>
          <a:picLocks noChangeAspect="1"/>
        </xdr:cNvPicPr>
      </xdr:nvPicPr>
      <xdr:blipFill>
        <a:blip xmlns:r="http://schemas.openxmlformats.org/officeDocument/2006/relationships" r:embed="rId1"/>
        <a:stretch>
          <a:fillRect/>
        </a:stretch>
      </xdr:blipFill>
      <xdr:spPr>
        <a:xfrm>
          <a:off x="384173" y="196850"/>
          <a:ext cx="1695451" cy="1055020"/>
        </a:xfrm>
        <a:prstGeom prst="rect">
          <a:avLst/>
        </a:prstGeom>
      </xdr:spPr>
    </xdr:pic>
    <xdr:clientData/>
  </xdr:twoCellAnchor>
  <xdr:oneCellAnchor>
    <xdr:from>
      <xdr:col>5</xdr:col>
      <xdr:colOff>9523</xdr:colOff>
      <xdr:row>1</xdr:row>
      <xdr:rowOff>6350</xdr:rowOff>
    </xdr:from>
    <xdr:ext cx="1695451" cy="1061370"/>
    <xdr:pic>
      <xdr:nvPicPr>
        <xdr:cNvPr id="3" name="Imagen 2">
          <a:extLst>
            <a:ext uri="{FF2B5EF4-FFF2-40B4-BE49-F238E27FC236}">
              <a16:creationId xmlns:a16="http://schemas.microsoft.com/office/drawing/2014/main" id="{D81ADB5F-B8D5-4297-BED5-A5095EAC0D42}"/>
            </a:ext>
          </a:extLst>
        </xdr:cNvPr>
        <xdr:cNvPicPr>
          <a:picLocks noChangeAspect="1"/>
        </xdr:cNvPicPr>
      </xdr:nvPicPr>
      <xdr:blipFill>
        <a:blip xmlns:r="http://schemas.openxmlformats.org/officeDocument/2006/relationships" r:embed="rId1"/>
        <a:stretch>
          <a:fillRect/>
        </a:stretch>
      </xdr:blipFill>
      <xdr:spPr>
        <a:xfrm>
          <a:off x="6505573" y="196850"/>
          <a:ext cx="1695451" cy="1061370"/>
        </a:xfrm>
        <a:prstGeom prst="rect">
          <a:avLst/>
        </a:prstGeom>
      </xdr:spPr>
    </xdr:pic>
    <xdr:clientData/>
  </xdr:oneCellAnchor>
  <xdr:twoCellAnchor editAs="oneCell">
    <xdr:from>
      <xdr:col>9</xdr:col>
      <xdr:colOff>6350</xdr:colOff>
      <xdr:row>1</xdr:row>
      <xdr:rowOff>6350</xdr:rowOff>
    </xdr:from>
    <xdr:to>
      <xdr:col>10</xdr:col>
      <xdr:colOff>787401</xdr:colOff>
      <xdr:row>5</xdr:row>
      <xdr:rowOff>200945</xdr:rowOff>
    </xdr:to>
    <xdr:pic>
      <xdr:nvPicPr>
        <xdr:cNvPr id="4" name="Imagen 3">
          <a:extLst>
            <a:ext uri="{FF2B5EF4-FFF2-40B4-BE49-F238E27FC236}">
              <a16:creationId xmlns:a16="http://schemas.microsoft.com/office/drawing/2014/main" id="{572D56BF-9322-4CA2-AAB9-676643EEF37F}"/>
            </a:ext>
          </a:extLst>
        </xdr:cNvPr>
        <xdr:cNvPicPr>
          <a:picLocks noChangeAspect="1"/>
        </xdr:cNvPicPr>
      </xdr:nvPicPr>
      <xdr:blipFill>
        <a:blip xmlns:r="http://schemas.openxmlformats.org/officeDocument/2006/relationships" r:embed="rId1"/>
        <a:stretch>
          <a:fillRect/>
        </a:stretch>
      </xdr:blipFill>
      <xdr:spPr>
        <a:xfrm>
          <a:off x="12623800" y="196850"/>
          <a:ext cx="1695451" cy="1055020"/>
        </a:xfrm>
        <a:prstGeom prst="rect">
          <a:avLst/>
        </a:prstGeom>
      </xdr:spPr>
    </xdr:pic>
    <xdr:clientData/>
  </xdr:twoCellAnchor>
  <xdr:oneCellAnchor>
    <xdr:from>
      <xdr:col>13</xdr:col>
      <xdr:colOff>6350</xdr:colOff>
      <xdr:row>1</xdr:row>
      <xdr:rowOff>6350</xdr:rowOff>
    </xdr:from>
    <xdr:ext cx="1695451" cy="1061370"/>
    <xdr:pic>
      <xdr:nvPicPr>
        <xdr:cNvPr id="5" name="Imagen 4">
          <a:extLst>
            <a:ext uri="{FF2B5EF4-FFF2-40B4-BE49-F238E27FC236}">
              <a16:creationId xmlns:a16="http://schemas.microsoft.com/office/drawing/2014/main" id="{A0FBABEB-78A7-42DC-B65F-EE7C72B14ACE}"/>
            </a:ext>
          </a:extLst>
        </xdr:cNvPr>
        <xdr:cNvPicPr>
          <a:picLocks noChangeAspect="1"/>
        </xdr:cNvPicPr>
      </xdr:nvPicPr>
      <xdr:blipFill>
        <a:blip xmlns:r="http://schemas.openxmlformats.org/officeDocument/2006/relationships" r:embed="rId1"/>
        <a:stretch>
          <a:fillRect/>
        </a:stretch>
      </xdr:blipFill>
      <xdr:spPr>
        <a:xfrm>
          <a:off x="18745200" y="196850"/>
          <a:ext cx="1695451" cy="106137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8</xdr:col>
      <xdr:colOff>19050</xdr:colOff>
      <xdr:row>1</xdr:row>
      <xdr:rowOff>19050</xdr:rowOff>
    </xdr:from>
    <xdr:to>
      <xdr:col>8</xdr:col>
      <xdr:colOff>1714501</xdr:colOff>
      <xdr:row>6</xdr:row>
      <xdr:rowOff>19970</xdr:rowOff>
    </xdr:to>
    <xdr:pic>
      <xdr:nvPicPr>
        <xdr:cNvPr id="3" name="Imagen 2">
          <a:extLst>
            <a:ext uri="{FF2B5EF4-FFF2-40B4-BE49-F238E27FC236}">
              <a16:creationId xmlns:a16="http://schemas.microsoft.com/office/drawing/2014/main" id="{4022A91B-24F5-4844-9E9F-06149A747BC2}"/>
            </a:ext>
          </a:extLst>
        </xdr:cNvPr>
        <xdr:cNvPicPr>
          <a:picLocks noChangeAspect="1"/>
        </xdr:cNvPicPr>
      </xdr:nvPicPr>
      <xdr:blipFill>
        <a:blip xmlns:r="http://schemas.openxmlformats.org/officeDocument/2006/relationships" r:embed="rId1"/>
        <a:stretch>
          <a:fillRect/>
        </a:stretch>
      </xdr:blipFill>
      <xdr:spPr>
        <a:xfrm>
          <a:off x="390525" y="209550"/>
          <a:ext cx="1695451" cy="10677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11905</xdr:colOff>
      <xdr:row>1</xdr:row>
      <xdr:rowOff>10319</xdr:rowOff>
    </xdr:from>
    <xdr:to>
      <xdr:col>3</xdr:col>
      <xdr:colOff>390525</xdr:colOff>
      <xdr:row>5</xdr:row>
      <xdr:rowOff>82279</xdr:rowOff>
    </xdr:to>
    <xdr:pic>
      <xdr:nvPicPr>
        <xdr:cNvPr id="2" name="Imagen 1">
          <a:extLst>
            <a:ext uri="{FF2B5EF4-FFF2-40B4-BE49-F238E27FC236}">
              <a16:creationId xmlns:a16="http://schemas.microsoft.com/office/drawing/2014/main" id="{936587C1-FA07-4AA1-9B09-289F79839284}"/>
            </a:ext>
          </a:extLst>
        </xdr:cNvPr>
        <xdr:cNvPicPr>
          <a:picLocks noChangeAspect="1"/>
        </xdr:cNvPicPr>
      </xdr:nvPicPr>
      <xdr:blipFill>
        <a:blip xmlns:r="http://schemas.openxmlformats.org/officeDocument/2006/relationships" r:embed="rId1"/>
        <a:stretch>
          <a:fillRect/>
        </a:stretch>
      </xdr:blipFill>
      <xdr:spPr>
        <a:xfrm>
          <a:off x="384968" y="184944"/>
          <a:ext cx="1677195" cy="10911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79898</xdr:rowOff>
    </xdr:to>
    <xdr:pic>
      <xdr:nvPicPr>
        <xdr:cNvPr id="2" name="Imagen 1">
          <a:extLst>
            <a:ext uri="{FF2B5EF4-FFF2-40B4-BE49-F238E27FC236}">
              <a16:creationId xmlns:a16="http://schemas.microsoft.com/office/drawing/2014/main" id="{C13AE8FB-4A0B-4617-B56F-6A083BD57C84}"/>
            </a:ext>
          </a:extLst>
        </xdr:cNvPr>
        <xdr:cNvPicPr>
          <a:picLocks noChangeAspect="1"/>
        </xdr:cNvPicPr>
      </xdr:nvPicPr>
      <xdr:blipFill>
        <a:blip xmlns:r="http://schemas.openxmlformats.org/officeDocument/2006/relationships" r:embed="rId1"/>
        <a:stretch>
          <a:fillRect/>
        </a:stretch>
      </xdr:blipFill>
      <xdr:spPr>
        <a:xfrm>
          <a:off x="386554" y="182563"/>
          <a:ext cx="1677195" cy="10974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98948</xdr:rowOff>
    </xdr:to>
    <xdr:pic>
      <xdr:nvPicPr>
        <xdr:cNvPr id="2" name="Imagen 1">
          <a:extLst>
            <a:ext uri="{FF2B5EF4-FFF2-40B4-BE49-F238E27FC236}">
              <a16:creationId xmlns:a16="http://schemas.microsoft.com/office/drawing/2014/main" id="{AD1969A0-F9D7-4698-8281-624F174896D7}"/>
            </a:ext>
          </a:extLst>
        </xdr:cNvPr>
        <xdr:cNvPicPr>
          <a:picLocks noChangeAspect="1"/>
        </xdr:cNvPicPr>
      </xdr:nvPicPr>
      <xdr:blipFill>
        <a:blip xmlns:r="http://schemas.openxmlformats.org/officeDocument/2006/relationships" r:embed="rId1"/>
        <a:stretch>
          <a:fillRect/>
        </a:stretch>
      </xdr:blipFill>
      <xdr:spPr>
        <a:xfrm>
          <a:off x="386554" y="179388"/>
          <a:ext cx="1675607" cy="10816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98948</xdr:rowOff>
    </xdr:to>
    <xdr:pic>
      <xdr:nvPicPr>
        <xdr:cNvPr id="2" name="Imagen 1">
          <a:extLst>
            <a:ext uri="{FF2B5EF4-FFF2-40B4-BE49-F238E27FC236}">
              <a16:creationId xmlns:a16="http://schemas.microsoft.com/office/drawing/2014/main" id="{B05FE217-DDAA-4852-8481-6D9F1DB2D37A}"/>
            </a:ext>
          </a:extLst>
        </xdr:cNvPr>
        <xdr:cNvPicPr>
          <a:picLocks noChangeAspect="1"/>
        </xdr:cNvPicPr>
      </xdr:nvPicPr>
      <xdr:blipFill>
        <a:blip xmlns:r="http://schemas.openxmlformats.org/officeDocument/2006/relationships" r:embed="rId1"/>
        <a:stretch>
          <a:fillRect/>
        </a:stretch>
      </xdr:blipFill>
      <xdr:spPr>
        <a:xfrm>
          <a:off x="386554" y="179388"/>
          <a:ext cx="1675607" cy="10816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105298</xdr:rowOff>
    </xdr:to>
    <xdr:pic>
      <xdr:nvPicPr>
        <xdr:cNvPr id="2" name="Imagen 1">
          <a:extLst>
            <a:ext uri="{FF2B5EF4-FFF2-40B4-BE49-F238E27FC236}">
              <a16:creationId xmlns:a16="http://schemas.microsoft.com/office/drawing/2014/main" id="{DEC2AA58-10C1-448C-84EE-1239891EE677}"/>
            </a:ext>
          </a:extLst>
        </xdr:cNvPr>
        <xdr:cNvPicPr>
          <a:picLocks noChangeAspect="1"/>
        </xdr:cNvPicPr>
      </xdr:nvPicPr>
      <xdr:blipFill>
        <a:blip xmlns:r="http://schemas.openxmlformats.org/officeDocument/2006/relationships" r:embed="rId1"/>
        <a:stretch>
          <a:fillRect/>
        </a:stretch>
      </xdr:blipFill>
      <xdr:spPr>
        <a:xfrm>
          <a:off x="386554" y="179388"/>
          <a:ext cx="1675607" cy="10816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8786-E570-4C30-A49F-F043444089F0}">
  <dimension ref="A1:B78"/>
  <sheetViews>
    <sheetView showGridLines="0" tabSelected="1" zoomScaleNormal="100" workbookViewId="0">
      <selection activeCell="B3" sqref="B3"/>
    </sheetView>
  </sheetViews>
  <sheetFormatPr baseColWidth="10" defaultColWidth="9.140625" defaultRowHeight="13.5" x14ac:dyDescent="0.25"/>
  <cols>
    <col min="1" max="1" width="5.5703125" style="2" customWidth="1"/>
    <col min="2" max="2" width="85.5703125" style="2" customWidth="1"/>
    <col min="3" max="1001" width="10.5703125" style="2" customWidth="1"/>
    <col min="1002" max="16384" width="9.140625" style="2"/>
  </cols>
  <sheetData>
    <row r="1" spans="1:2" ht="15" customHeight="1" x14ac:dyDescent="0.25">
      <c r="A1" s="1" t="s">
        <v>309</v>
      </c>
    </row>
    <row r="3" spans="1:2" ht="39.950000000000003" customHeight="1" x14ac:dyDescent="0.25">
      <c r="B3" s="272" t="s">
        <v>272</v>
      </c>
    </row>
    <row r="5" spans="1:2" ht="26.45" x14ac:dyDescent="0.25">
      <c r="B5" s="3" t="s">
        <v>0</v>
      </c>
    </row>
    <row r="6" spans="1:2" ht="13.15" x14ac:dyDescent="0.25">
      <c r="B6" s="3"/>
    </row>
    <row r="7" spans="1:2" ht="40.5" x14ac:dyDescent="0.25">
      <c r="B7" s="213" t="s">
        <v>144</v>
      </c>
    </row>
    <row r="8" spans="1:2" ht="9.9499999999999993" customHeight="1" x14ac:dyDescent="0.25">
      <c r="B8" s="213"/>
    </row>
    <row r="9" spans="1:2" ht="15" customHeight="1" x14ac:dyDescent="0.25">
      <c r="B9" s="177" t="s">
        <v>146</v>
      </c>
    </row>
    <row r="10" spans="1:2" ht="15" customHeight="1" x14ac:dyDescent="0.25">
      <c r="B10" s="6" t="s">
        <v>3</v>
      </c>
    </row>
    <row r="11" spans="1:2" ht="15" customHeight="1" x14ac:dyDescent="0.25">
      <c r="B11" s="6" t="s">
        <v>4</v>
      </c>
    </row>
    <row r="12" spans="1:2" ht="26.45" x14ac:dyDescent="0.25">
      <c r="B12" s="6" t="s">
        <v>5</v>
      </c>
    </row>
    <row r="13" spans="1:2" ht="30" customHeight="1" x14ac:dyDescent="0.25">
      <c r="B13" s="6" t="s">
        <v>6</v>
      </c>
    </row>
    <row r="14" spans="1:2" ht="40.5" x14ac:dyDescent="0.25">
      <c r="B14" s="6" t="s">
        <v>7</v>
      </c>
    </row>
    <row r="15" spans="1:2" ht="40.5" x14ac:dyDescent="0.25">
      <c r="B15" s="6" t="s">
        <v>8</v>
      </c>
    </row>
    <row r="16" spans="1:2" ht="27" x14ac:dyDescent="0.25">
      <c r="B16" s="6" t="s">
        <v>9</v>
      </c>
    </row>
    <row r="17" spans="2:2" ht="15" customHeight="1" x14ac:dyDescent="0.25">
      <c r="B17" s="176"/>
    </row>
    <row r="18" spans="2:2" ht="15" customHeight="1" x14ac:dyDescent="0.25">
      <c r="B18" s="273" t="s">
        <v>1</v>
      </c>
    </row>
    <row r="19" spans="2:2" ht="9.9499999999999993" customHeight="1" x14ac:dyDescent="0.25"/>
    <row r="20" spans="2:2" ht="15" customHeight="1" x14ac:dyDescent="0.25">
      <c r="B20" s="4" t="s">
        <v>2</v>
      </c>
    </row>
    <row r="21" spans="2:2" ht="15" customHeight="1" x14ac:dyDescent="0.25">
      <c r="B21" s="5" t="s">
        <v>273</v>
      </c>
    </row>
    <row r="22" spans="2:2" ht="15" customHeight="1" x14ac:dyDescent="0.25">
      <c r="B22" s="5" t="s">
        <v>274</v>
      </c>
    </row>
    <row r="23" spans="2:2" ht="40.5" x14ac:dyDescent="0.25">
      <c r="B23" s="6" t="s">
        <v>278</v>
      </c>
    </row>
    <row r="24" spans="2:2" ht="15" customHeight="1" x14ac:dyDescent="0.25">
      <c r="B24" s="3"/>
    </row>
    <row r="25" spans="2:2" ht="15" customHeight="1" x14ac:dyDescent="0.25">
      <c r="B25" s="273" t="s">
        <v>258</v>
      </c>
    </row>
    <row r="26" spans="2:2" ht="9.9499999999999993" customHeight="1" x14ac:dyDescent="0.25"/>
    <row r="27" spans="2:2" ht="27" x14ac:dyDescent="0.25">
      <c r="B27" s="3" t="s">
        <v>259</v>
      </c>
    </row>
    <row r="28" spans="2:2" ht="50.1" customHeight="1" x14ac:dyDescent="0.25">
      <c r="B28" s="213" t="s">
        <v>322</v>
      </c>
    </row>
    <row r="29" spans="2:2" ht="27" x14ac:dyDescent="0.25">
      <c r="B29" s="289" t="s">
        <v>319</v>
      </c>
    </row>
    <row r="30" spans="2:2" ht="27" x14ac:dyDescent="0.25">
      <c r="B30" s="289" t="s">
        <v>320</v>
      </c>
    </row>
    <row r="31" spans="2:2" ht="27" x14ac:dyDescent="0.25">
      <c r="B31" s="289" t="s">
        <v>321</v>
      </c>
    </row>
    <row r="32" spans="2:2" ht="15" customHeight="1" x14ac:dyDescent="0.25">
      <c r="B32" s="3"/>
    </row>
    <row r="33" spans="2:2" ht="15" customHeight="1" x14ac:dyDescent="0.25">
      <c r="B33" s="273" t="s">
        <v>260</v>
      </c>
    </row>
    <row r="34" spans="2:2" ht="9.9499999999999993" customHeight="1" x14ac:dyDescent="0.25"/>
    <row r="35" spans="2:2" ht="27" x14ac:dyDescent="0.25">
      <c r="B35" s="228" t="s">
        <v>261</v>
      </c>
    </row>
    <row r="36" spans="2:2" x14ac:dyDescent="0.25">
      <c r="B36" s="214"/>
    </row>
    <row r="37" spans="2:2" ht="15" customHeight="1" x14ac:dyDescent="0.25">
      <c r="B37" s="273" t="s">
        <v>145</v>
      </c>
    </row>
    <row r="38" spans="2:2" ht="9.9499999999999993" customHeight="1" x14ac:dyDescent="0.25"/>
    <row r="39" spans="2:2" ht="27" x14ac:dyDescent="0.25">
      <c r="B39" s="7" t="s">
        <v>283</v>
      </c>
    </row>
    <row r="40" spans="2:2" ht="50.1" customHeight="1" x14ac:dyDescent="0.25">
      <c r="B40" s="8" t="s">
        <v>279</v>
      </c>
    </row>
    <row r="41" spans="2:2" ht="40.5" x14ac:dyDescent="0.25">
      <c r="B41" s="177" t="s">
        <v>280</v>
      </c>
    </row>
    <row r="42" spans="2:2" ht="60" customHeight="1" x14ac:dyDescent="0.25">
      <c r="B42" s="245" t="s">
        <v>281</v>
      </c>
    </row>
    <row r="43" spans="2:2" ht="15" customHeight="1" x14ac:dyDescent="0.25">
      <c r="B43" s="180" t="s">
        <v>282</v>
      </c>
    </row>
    <row r="44" spans="2:2" ht="30" customHeight="1" x14ac:dyDescent="0.25">
      <c r="B44" s="177" t="s">
        <v>291</v>
      </c>
    </row>
    <row r="45" spans="2:2" ht="27" x14ac:dyDescent="0.25">
      <c r="B45" s="8" t="s">
        <v>292</v>
      </c>
    </row>
    <row r="46" spans="2:2" x14ac:dyDescent="0.25">
      <c r="B46" s="8" t="s">
        <v>293</v>
      </c>
    </row>
    <row r="47" spans="2:2" ht="27" x14ac:dyDescent="0.25">
      <c r="B47" s="7" t="s">
        <v>284</v>
      </c>
    </row>
    <row r="48" spans="2:2" ht="15" customHeight="1" x14ac:dyDescent="0.25"/>
    <row r="49" spans="2:2" ht="15" customHeight="1" x14ac:dyDescent="0.25">
      <c r="B49" s="273" t="s">
        <v>303</v>
      </c>
    </row>
    <row r="50" spans="2:2" ht="9.9499999999999993" customHeight="1" x14ac:dyDescent="0.25"/>
    <row r="51" spans="2:2" ht="15" customHeight="1" x14ac:dyDescent="0.25">
      <c r="B51" s="10" t="s">
        <v>304</v>
      </c>
    </row>
    <row r="52" spans="2:2" ht="15" customHeight="1" x14ac:dyDescent="0.25">
      <c r="B52" s="181" t="s">
        <v>147</v>
      </c>
    </row>
    <row r="53" spans="2:2" ht="15" customHeight="1" x14ac:dyDescent="0.25">
      <c r="B53" s="181" t="s">
        <v>148</v>
      </c>
    </row>
    <row r="54" spans="2:2" ht="15" customHeight="1" x14ac:dyDescent="0.25">
      <c r="B54" s="181" t="s">
        <v>149</v>
      </c>
    </row>
    <row r="55" spans="2:2" ht="15" customHeight="1" x14ac:dyDescent="0.25">
      <c r="B55" s="181" t="s">
        <v>150</v>
      </c>
    </row>
    <row r="56" spans="2:2" ht="9.9499999999999993" customHeight="1" x14ac:dyDescent="0.25"/>
    <row r="57" spans="2:2" ht="15" customHeight="1" x14ac:dyDescent="0.25">
      <c r="B57" s="9" t="s">
        <v>151</v>
      </c>
    </row>
    <row r="58" spans="2:2" ht="15" customHeight="1" x14ac:dyDescent="0.25">
      <c r="B58" s="290" t="s">
        <v>152</v>
      </c>
    </row>
    <row r="59" spans="2:2" ht="15" customHeight="1" x14ac:dyDescent="0.25">
      <c r="B59" s="290"/>
    </row>
    <row r="60" spans="2:2" ht="9.9499999999999993" customHeight="1" x14ac:dyDescent="0.25"/>
    <row r="61" spans="2:2" ht="15" customHeight="1" x14ac:dyDescent="0.25">
      <c r="B61" s="9" t="s">
        <v>153</v>
      </c>
    </row>
    <row r="62" spans="2:2" ht="30" customHeight="1" x14ac:dyDescent="0.25">
      <c r="B62" s="8" t="s">
        <v>285</v>
      </c>
    </row>
    <row r="63" spans="2:2" ht="30" customHeight="1" x14ac:dyDescent="0.25">
      <c r="B63" s="252" t="s">
        <v>286</v>
      </c>
    </row>
    <row r="64" spans="2:2" ht="50.1" customHeight="1" x14ac:dyDescent="0.25">
      <c r="B64" s="8" t="s">
        <v>287</v>
      </c>
    </row>
    <row r="65" spans="2:2" ht="60" customHeight="1" x14ac:dyDescent="0.25">
      <c r="B65" s="8" t="s">
        <v>301</v>
      </c>
    </row>
    <row r="66" spans="2:2" ht="30" customHeight="1" x14ac:dyDescent="0.25">
      <c r="B66" s="8" t="s">
        <v>294</v>
      </c>
    </row>
    <row r="67" spans="2:2" ht="30" customHeight="1" x14ac:dyDescent="0.25">
      <c r="B67" s="8" t="s">
        <v>299</v>
      </c>
    </row>
    <row r="68" spans="2:2" ht="9.9499999999999993" customHeight="1" x14ac:dyDescent="0.25"/>
    <row r="69" spans="2:2" ht="15" customHeight="1" x14ac:dyDescent="0.25">
      <c r="B69" s="9" t="s">
        <v>288</v>
      </c>
    </row>
    <row r="70" spans="2:2" ht="50.1" customHeight="1" x14ac:dyDescent="0.25">
      <c r="B70" s="8" t="s">
        <v>295</v>
      </c>
    </row>
    <row r="71" spans="2:2" ht="27" x14ac:dyDescent="0.25">
      <c r="B71" s="254" t="s">
        <v>135</v>
      </c>
    </row>
    <row r="72" spans="2:2" ht="27" x14ac:dyDescent="0.25">
      <c r="B72" s="254" t="s">
        <v>296</v>
      </c>
    </row>
    <row r="73" spans="2:2" ht="40.5" x14ac:dyDescent="0.25">
      <c r="B73" s="8" t="s">
        <v>297</v>
      </c>
    </row>
    <row r="74" spans="2:2" ht="9.9499999999999993" customHeight="1" x14ac:dyDescent="0.25"/>
    <row r="75" spans="2:2" ht="15" customHeight="1" x14ac:dyDescent="0.25">
      <c r="B75" s="9" t="s">
        <v>298</v>
      </c>
    </row>
    <row r="76" spans="2:2" ht="40.5" x14ac:dyDescent="0.25">
      <c r="B76" s="8" t="s">
        <v>300</v>
      </c>
    </row>
    <row r="77" spans="2:2" ht="27" x14ac:dyDescent="0.25">
      <c r="B77" s="8" t="s">
        <v>302</v>
      </c>
    </row>
    <row r="78" spans="2:2" ht="9.9499999999999993" customHeight="1" x14ac:dyDescent="0.25"/>
  </sheetData>
  <sheetProtection algorithmName="SHA-512" hashValue="OjILrTpby1kfMwJabRlpuouSzSQAgFcw9NmUIJDpv+d9eFN8WdeunPid4bEjya2s1VLC9qHevqs1jIyKmCuMQw==" saltValue="YaXAzQkChxb6TfTqwuuKtw==" spinCount="100000" sheet="1" objects="1" scenarios="1" selectLockedCells="1"/>
  <mergeCells count="1">
    <mergeCell ref="B58:B59"/>
  </mergeCells>
  <pageMargins left="0.7" right="0.7"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D7E1E-C87A-4FF3-9CE2-5961BCDC9A53}">
  <dimension ref="B1:AG40"/>
  <sheetViews>
    <sheetView showGridLines="0" zoomScaleNormal="100" workbookViewId="0"/>
  </sheetViews>
  <sheetFormatPr baseColWidth="10" defaultColWidth="11.42578125" defaultRowHeight="13.5" x14ac:dyDescent="0.25"/>
  <cols>
    <col min="1" max="1" width="5.5703125" style="36" customWidth="1"/>
    <col min="2" max="2" width="12.5703125" style="36" customWidth="1"/>
    <col min="3" max="3" width="13.7109375" style="36" customWidth="1"/>
    <col min="4" max="4" width="15.5703125" style="36" customWidth="1"/>
    <col min="5" max="5" width="11.5703125" style="36" customWidth="1"/>
    <col min="6" max="6" width="15.5703125" style="36" customWidth="1"/>
    <col min="7" max="8" width="11.5703125" style="36" customWidth="1"/>
    <col min="9" max="9" width="15.5703125" style="36" customWidth="1"/>
    <col min="10" max="12" width="11.5703125" style="36" customWidth="1"/>
    <col min="13" max="13" width="15.5703125" style="36" customWidth="1"/>
    <col min="14" max="14" width="17.5703125" style="36" customWidth="1"/>
    <col min="15" max="15" width="18.7109375" style="36" customWidth="1"/>
    <col min="16" max="16" width="17.5703125" style="36" customWidth="1"/>
    <col min="17" max="17" width="5.5703125" style="36" customWidth="1"/>
    <col min="18" max="18" width="69.5703125" style="36" bestFit="1" customWidth="1"/>
    <col min="19" max="21" width="5.5703125" style="36" hidden="1" customWidth="1"/>
    <col min="22" max="33" width="8.5703125" style="36" hidden="1" customWidth="1"/>
    <col min="34" max="16384" width="11.42578125" style="36"/>
  </cols>
  <sheetData>
    <row r="1" spans="2:32" ht="20.100000000000001" customHeight="1" x14ac:dyDescent="0.25"/>
    <row r="2" spans="2:32" ht="20.100000000000001" customHeight="1" x14ac:dyDescent="0.25"/>
    <row r="3" spans="2:32" ht="20.100000000000001" customHeight="1" x14ac:dyDescent="0.25">
      <c r="D3" s="257" t="str">
        <f>'IDENTIFICACIÓN TRABAJADOR'!G3</f>
        <v>Nº DE EXPEDIENTE: 2023.11.ACEE.0000</v>
      </c>
      <c r="E3" s="193"/>
      <c r="F3" s="257"/>
      <c r="T3" s="36" t="s">
        <v>256</v>
      </c>
    </row>
    <row r="4" spans="2:32" ht="20.100000000000001" customHeight="1" x14ac:dyDescent="0.25">
      <c r="E4" s="51"/>
      <c r="F4" s="202"/>
      <c r="T4" s="202">
        <f>COUNTIFS('% DEDICACIÓN TRABAJADOR'!$B$37:$B$96,4,'% DEDICACIÓN TRABAJADOR'!$E$37:$E$96,"&gt;0")</f>
        <v>0</v>
      </c>
    </row>
    <row r="5" spans="2:32" ht="20.100000000000001" customHeight="1" x14ac:dyDescent="0.25">
      <c r="D5" s="258" t="str">
        <f>'LINEAS CON DEDICACIÓN'!C6</f>
        <v xml:space="preserve">TRABAJADOR:   </v>
      </c>
      <c r="E5" s="259"/>
      <c r="F5" s="202"/>
      <c r="T5" s="36" t="s">
        <v>255</v>
      </c>
    </row>
    <row r="6" spans="2:32" ht="20.100000000000001" customHeight="1" x14ac:dyDescent="0.25">
      <c r="D6" s="258" t="str">
        <f>'LINEAS CON DEDICACIÓN'!C7</f>
        <v xml:space="preserve">ACRÓNIMO: </v>
      </c>
      <c r="E6" s="259"/>
      <c r="F6" s="202"/>
      <c r="T6" s="36" t="str">
        <f>IF(COUNTIF(U25:U39,"&gt;1")&gt;0,"SI","NO")</f>
        <v>NO</v>
      </c>
    </row>
    <row r="7" spans="2:32" ht="20.100000000000001" customHeight="1" thickBot="1" x14ac:dyDescent="0.3">
      <c r="D7" s="258"/>
      <c r="E7" s="259"/>
      <c r="F7" s="202"/>
    </row>
    <row r="8" spans="2:32" s="55" customFormat="1" ht="25.5" customHeight="1" x14ac:dyDescent="0.25">
      <c r="B8" s="437">
        <f>EXPEDIENTE!C16</f>
        <v>2023</v>
      </c>
      <c r="C8" s="439" t="s">
        <v>240</v>
      </c>
      <c r="D8" s="434" t="s">
        <v>139</v>
      </c>
      <c r="E8" s="319"/>
      <c r="F8" s="435"/>
      <c r="G8" s="434" t="s">
        <v>142</v>
      </c>
      <c r="H8" s="319"/>
      <c r="I8" s="435"/>
      <c r="J8" s="158" t="s">
        <v>140</v>
      </c>
      <c r="K8" s="434" t="s">
        <v>72</v>
      </c>
      <c r="L8" s="319"/>
      <c r="M8" s="435"/>
      <c r="N8" s="439" t="s">
        <v>311</v>
      </c>
      <c r="O8" s="439" t="s">
        <v>312</v>
      </c>
      <c r="P8" s="432" t="s">
        <v>98</v>
      </c>
      <c r="Q8" s="36"/>
    </row>
    <row r="9" spans="2:32" s="39" customFormat="1" ht="64.5" thickBot="1" x14ac:dyDescent="0.3">
      <c r="B9" s="438"/>
      <c r="C9" s="440"/>
      <c r="D9" s="160" t="s">
        <v>138</v>
      </c>
      <c r="E9" s="151" t="s">
        <v>75</v>
      </c>
      <c r="F9" s="161" t="s">
        <v>99</v>
      </c>
      <c r="G9" s="160" t="s">
        <v>90</v>
      </c>
      <c r="H9" s="151" t="s">
        <v>143</v>
      </c>
      <c r="I9" s="168" t="s">
        <v>91</v>
      </c>
      <c r="J9" s="159" t="s">
        <v>141</v>
      </c>
      <c r="K9" s="160" t="s">
        <v>94</v>
      </c>
      <c r="L9" s="151" t="s">
        <v>86</v>
      </c>
      <c r="M9" s="168" t="s">
        <v>95</v>
      </c>
      <c r="N9" s="440"/>
      <c r="O9" s="440"/>
      <c r="P9" s="433"/>
      <c r="Q9" s="36"/>
      <c r="AA9" s="43"/>
      <c r="AB9" s="43"/>
      <c r="AC9" s="43"/>
      <c r="AD9" s="43"/>
    </row>
    <row r="10" spans="2:32" ht="15" customHeight="1" x14ac:dyDescent="0.25">
      <c r="B10" s="152" t="s">
        <v>52</v>
      </c>
      <c r="C10" s="155">
        <f>ROUND('% DEDICACIÓN TRABAJADOR'!K35,4)</f>
        <v>0</v>
      </c>
      <c r="D10" s="162">
        <f>'GASTOS TRABAJADOR'!F20+'GASTOS TRABAJADOR'!L20</f>
        <v>0</v>
      </c>
      <c r="E10" s="48" t="str">
        <f>IF('GASTOS TRABAJADOR'!AA20="","",'GASTOS TRABAJADOR'!AA20)</f>
        <v/>
      </c>
      <c r="F10" s="163">
        <f>IF(E10&lt;=EXPEDIENTE!$H$29,D10,0)</f>
        <v>0</v>
      </c>
      <c r="G10" s="162">
        <f>'GASTOS TRABAJADOR'!Y20</f>
        <v>0</v>
      </c>
      <c r="H10" s="48" t="str">
        <f>IF('GASTOS TRABAJADOR'!AB20="","",'GASTOS TRABAJADOR'!AB20)</f>
        <v/>
      </c>
      <c r="I10" s="163">
        <f>IF(H10&lt;=EXPEDIENTE!$H$29,G10,0)</f>
        <v>0</v>
      </c>
      <c r="J10" s="169">
        <f>'GASTOS TRABAJADOR'!T62</f>
        <v>0</v>
      </c>
      <c r="K10" s="162">
        <f>'GASTOS TRABAJADOR'!E45-'GASTOS TRABAJADOR'!F45</f>
        <v>0</v>
      </c>
      <c r="L10" s="48" t="str">
        <f>IF('GASTOS TRABAJADOR'!G45="","",'GASTOS TRABAJADOR'!G45)</f>
        <v/>
      </c>
      <c r="M10" s="163">
        <f>IF(L10&lt;=EXPEDIENTE!$H$29,K10,0)</f>
        <v>0</v>
      </c>
      <c r="N10" s="169">
        <f t="shared" ref="N10:N21" si="0">F10+J10+M10+I10</f>
        <v>0</v>
      </c>
      <c r="O10" s="169">
        <f>ROUND(N10*32.72/30,2)</f>
        <v>0</v>
      </c>
      <c r="P10" s="172">
        <f>IF(AND($T$4=0,$T$6="NO"),ROUND(C10*O10,2),0)</f>
        <v>0</v>
      </c>
      <c r="AA10" s="37"/>
      <c r="AB10" s="37"/>
      <c r="AC10" s="43"/>
      <c r="AD10" s="43"/>
      <c r="AE10" s="39"/>
      <c r="AF10" s="39"/>
    </row>
    <row r="11" spans="2:32" ht="15" customHeight="1" x14ac:dyDescent="0.25">
      <c r="B11" s="153" t="s">
        <v>53</v>
      </c>
      <c r="C11" s="156">
        <f>ROUND('% DEDICACIÓN TRABAJADOR'!L35,4)</f>
        <v>0</v>
      </c>
      <c r="D11" s="164">
        <f>'GASTOS TRABAJADOR'!F21+'GASTOS TRABAJADOR'!L21</f>
        <v>0</v>
      </c>
      <c r="E11" s="49" t="str">
        <f>IF('GASTOS TRABAJADOR'!AA21="","",'GASTOS TRABAJADOR'!AA21)</f>
        <v/>
      </c>
      <c r="F11" s="165">
        <f>IF(E11&lt;=EXPEDIENTE!$H$29,D11,0)</f>
        <v>0</v>
      </c>
      <c r="G11" s="164">
        <f>'GASTOS TRABAJADOR'!Y21</f>
        <v>0</v>
      </c>
      <c r="H11" s="49" t="str">
        <f>IF('GASTOS TRABAJADOR'!AB21="","",'GASTOS TRABAJADOR'!AB21)</f>
        <v/>
      </c>
      <c r="I11" s="165">
        <f>IF(H11&lt;=EXPEDIENTE!$H$29,G11,0)</f>
        <v>0</v>
      </c>
      <c r="J11" s="170">
        <f>'GASTOS TRABAJADOR'!T63</f>
        <v>0</v>
      </c>
      <c r="K11" s="164">
        <f>'GASTOS TRABAJADOR'!E46-'GASTOS TRABAJADOR'!F46</f>
        <v>0</v>
      </c>
      <c r="L11" s="49" t="str">
        <f>IF('GASTOS TRABAJADOR'!G46="","",'GASTOS TRABAJADOR'!G46)</f>
        <v/>
      </c>
      <c r="M11" s="165">
        <f>IF(L11&lt;=EXPEDIENTE!$H$29,K11,0)</f>
        <v>0</v>
      </c>
      <c r="N11" s="170">
        <f t="shared" si="0"/>
        <v>0</v>
      </c>
      <c r="O11" s="170">
        <f t="shared" ref="O11:O21" si="1">ROUND(N11*32.72/30,2)</f>
        <v>0</v>
      </c>
      <c r="P11" s="173">
        <f t="shared" ref="P11:P21" si="2">IF(AND($T$4=0,$T$6="NO"),ROUND(C11*O11,2),0)</f>
        <v>0</v>
      </c>
      <c r="AA11" s="37"/>
      <c r="AB11" s="37"/>
      <c r="AC11" s="43"/>
      <c r="AD11" s="43"/>
      <c r="AE11" s="39"/>
      <c r="AF11" s="39"/>
    </row>
    <row r="12" spans="2:32" ht="15" customHeight="1" x14ac:dyDescent="0.25">
      <c r="B12" s="153" t="s">
        <v>54</v>
      </c>
      <c r="C12" s="156">
        <f>ROUND('% DEDICACIÓN TRABAJADOR'!M35,4)</f>
        <v>0</v>
      </c>
      <c r="D12" s="164">
        <f>'GASTOS TRABAJADOR'!F22+'GASTOS TRABAJADOR'!L22</f>
        <v>0</v>
      </c>
      <c r="E12" s="49" t="str">
        <f>IF('GASTOS TRABAJADOR'!AA22="","",'GASTOS TRABAJADOR'!AA22)</f>
        <v/>
      </c>
      <c r="F12" s="165">
        <f>IF(E12&lt;=EXPEDIENTE!$H$29,D12,0)</f>
        <v>0</v>
      </c>
      <c r="G12" s="164">
        <f>'GASTOS TRABAJADOR'!Y22</f>
        <v>0</v>
      </c>
      <c r="H12" s="49" t="str">
        <f>IF('GASTOS TRABAJADOR'!AB22="","",'GASTOS TRABAJADOR'!AB22)</f>
        <v/>
      </c>
      <c r="I12" s="165">
        <f>IF(H12&lt;=EXPEDIENTE!$H$29,G12,0)</f>
        <v>0</v>
      </c>
      <c r="J12" s="170">
        <f>'GASTOS TRABAJADOR'!T64</f>
        <v>0</v>
      </c>
      <c r="K12" s="164">
        <f>'GASTOS TRABAJADOR'!E47-'GASTOS TRABAJADOR'!F47</f>
        <v>0</v>
      </c>
      <c r="L12" s="49" t="str">
        <f>IF('GASTOS TRABAJADOR'!G47="","",'GASTOS TRABAJADOR'!G47)</f>
        <v/>
      </c>
      <c r="M12" s="165">
        <f>IF(L12&lt;=EXPEDIENTE!$H$29,K12,0)</f>
        <v>0</v>
      </c>
      <c r="N12" s="170">
        <f t="shared" si="0"/>
        <v>0</v>
      </c>
      <c r="O12" s="170">
        <f t="shared" si="1"/>
        <v>0</v>
      </c>
      <c r="P12" s="173">
        <f t="shared" si="2"/>
        <v>0</v>
      </c>
      <c r="AA12" s="37"/>
      <c r="AB12" s="37"/>
      <c r="AC12" s="43"/>
      <c r="AD12" s="43"/>
      <c r="AE12" s="39"/>
      <c r="AF12" s="39"/>
    </row>
    <row r="13" spans="2:32" ht="15" customHeight="1" x14ac:dyDescent="0.25">
      <c r="B13" s="153" t="s">
        <v>55</v>
      </c>
      <c r="C13" s="156">
        <f>ROUND('% DEDICACIÓN TRABAJADOR'!N35,4)</f>
        <v>0</v>
      </c>
      <c r="D13" s="164">
        <f>'GASTOS TRABAJADOR'!F23+'GASTOS TRABAJADOR'!L23</f>
        <v>0</v>
      </c>
      <c r="E13" s="49" t="str">
        <f>IF('GASTOS TRABAJADOR'!AA23="","",'GASTOS TRABAJADOR'!AA23)</f>
        <v/>
      </c>
      <c r="F13" s="165">
        <f>IF(E13&lt;=EXPEDIENTE!$H$29,D13,0)</f>
        <v>0</v>
      </c>
      <c r="G13" s="164">
        <f>'GASTOS TRABAJADOR'!Y23</f>
        <v>0</v>
      </c>
      <c r="H13" s="49" t="str">
        <f>IF('GASTOS TRABAJADOR'!AB23="","",'GASTOS TRABAJADOR'!AB23)</f>
        <v/>
      </c>
      <c r="I13" s="165">
        <f>IF(H13&lt;=EXPEDIENTE!$H$29,G13,0)</f>
        <v>0</v>
      </c>
      <c r="J13" s="170">
        <f>'GASTOS TRABAJADOR'!T65</f>
        <v>0</v>
      </c>
      <c r="K13" s="164">
        <f>'GASTOS TRABAJADOR'!E48-'GASTOS TRABAJADOR'!F48</f>
        <v>0</v>
      </c>
      <c r="L13" s="49" t="str">
        <f>IF('GASTOS TRABAJADOR'!G48="","",'GASTOS TRABAJADOR'!G48)</f>
        <v/>
      </c>
      <c r="M13" s="165">
        <f>IF(L13&lt;=EXPEDIENTE!$H$29,K13,0)</f>
        <v>0</v>
      </c>
      <c r="N13" s="170">
        <f t="shared" si="0"/>
        <v>0</v>
      </c>
      <c r="O13" s="170">
        <f t="shared" si="1"/>
        <v>0</v>
      </c>
      <c r="P13" s="173">
        <f t="shared" si="2"/>
        <v>0</v>
      </c>
      <c r="AA13" s="37"/>
      <c r="AB13" s="37"/>
      <c r="AC13" s="43"/>
      <c r="AD13" s="43"/>
      <c r="AE13" s="39"/>
      <c r="AF13" s="39"/>
    </row>
    <row r="14" spans="2:32" ht="15" customHeight="1" x14ac:dyDescent="0.25">
      <c r="B14" s="153" t="s">
        <v>56</v>
      </c>
      <c r="C14" s="156">
        <f>ROUND('% DEDICACIÓN TRABAJADOR'!O35,4)</f>
        <v>0</v>
      </c>
      <c r="D14" s="164">
        <f>'GASTOS TRABAJADOR'!F24+'GASTOS TRABAJADOR'!L24</f>
        <v>0</v>
      </c>
      <c r="E14" s="49" t="str">
        <f>IF('GASTOS TRABAJADOR'!AA24="","",'GASTOS TRABAJADOR'!AA24)</f>
        <v/>
      </c>
      <c r="F14" s="165">
        <f>IF(E14&lt;=EXPEDIENTE!$H$29,D14,0)</f>
        <v>0</v>
      </c>
      <c r="G14" s="164">
        <f>'GASTOS TRABAJADOR'!Y24</f>
        <v>0</v>
      </c>
      <c r="H14" s="49" t="str">
        <f>IF('GASTOS TRABAJADOR'!AB24="","",'GASTOS TRABAJADOR'!AB24)</f>
        <v/>
      </c>
      <c r="I14" s="165">
        <f>IF(H14&lt;=EXPEDIENTE!$H$29,G14,0)</f>
        <v>0</v>
      </c>
      <c r="J14" s="170">
        <f>'GASTOS TRABAJADOR'!T66</f>
        <v>0</v>
      </c>
      <c r="K14" s="164">
        <f>'GASTOS TRABAJADOR'!E49-'GASTOS TRABAJADOR'!F49</f>
        <v>0</v>
      </c>
      <c r="L14" s="49" t="str">
        <f>IF('GASTOS TRABAJADOR'!G49="","",'GASTOS TRABAJADOR'!G49)</f>
        <v/>
      </c>
      <c r="M14" s="165">
        <f>IF(L14&lt;=EXPEDIENTE!$H$29,K14,0)</f>
        <v>0</v>
      </c>
      <c r="N14" s="170">
        <f t="shared" si="0"/>
        <v>0</v>
      </c>
      <c r="O14" s="170">
        <f t="shared" si="1"/>
        <v>0</v>
      </c>
      <c r="P14" s="173">
        <f t="shared" si="2"/>
        <v>0</v>
      </c>
      <c r="AA14" s="37"/>
      <c r="AB14" s="37"/>
      <c r="AC14" s="43"/>
      <c r="AD14" s="43"/>
      <c r="AE14" s="39"/>
      <c r="AF14" s="39"/>
    </row>
    <row r="15" spans="2:32" ht="15" customHeight="1" x14ac:dyDescent="0.25">
      <c r="B15" s="153" t="s">
        <v>57</v>
      </c>
      <c r="C15" s="156">
        <f>ROUND('% DEDICACIÓN TRABAJADOR'!P35,4)</f>
        <v>0</v>
      </c>
      <c r="D15" s="164">
        <f>'GASTOS TRABAJADOR'!F25+'GASTOS TRABAJADOR'!L25</f>
        <v>0</v>
      </c>
      <c r="E15" s="49" t="str">
        <f>IF('GASTOS TRABAJADOR'!AA25="","",'GASTOS TRABAJADOR'!AA25)</f>
        <v/>
      </c>
      <c r="F15" s="165">
        <f>IF(E15&lt;=EXPEDIENTE!$H$29,D15,0)</f>
        <v>0</v>
      </c>
      <c r="G15" s="164">
        <f>'GASTOS TRABAJADOR'!Y25</f>
        <v>0</v>
      </c>
      <c r="H15" s="49" t="str">
        <f>IF('GASTOS TRABAJADOR'!AB25="","",'GASTOS TRABAJADOR'!AB25)</f>
        <v/>
      </c>
      <c r="I15" s="165">
        <f>IF(H15&lt;=EXPEDIENTE!$H$29,G15,0)</f>
        <v>0</v>
      </c>
      <c r="J15" s="170">
        <f>'GASTOS TRABAJADOR'!S67</f>
        <v>0</v>
      </c>
      <c r="K15" s="164">
        <f>'GASTOS TRABAJADOR'!E50-'GASTOS TRABAJADOR'!F50</f>
        <v>0</v>
      </c>
      <c r="L15" s="49" t="str">
        <f>IF('GASTOS TRABAJADOR'!G50="","",'GASTOS TRABAJADOR'!G50)</f>
        <v/>
      </c>
      <c r="M15" s="165">
        <f>IF(L15&lt;=EXPEDIENTE!$H$29,K15,0)</f>
        <v>0</v>
      </c>
      <c r="N15" s="170">
        <f t="shared" si="0"/>
        <v>0</v>
      </c>
      <c r="O15" s="170">
        <f t="shared" si="1"/>
        <v>0</v>
      </c>
      <c r="P15" s="173">
        <f t="shared" si="2"/>
        <v>0</v>
      </c>
      <c r="AA15" s="37"/>
      <c r="AB15" s="37"/>
      <c r="AD15" s="37"/>
    </row>
    <row r="16" spans="2:32" ht="15" customHeight="1" x14ac:dyDescent="0.25">
      <c r="B16" s="153" t="s">
        <v>58</v>
      </c>
      <c r="C16" s="156">
        <f>ROUND('% DEDICACIÓN TRABAJADOR'!Q35,4)</f>
        <v>0</v>
      </c>
      <c r="D16" s="164">
        <f>'GASTOS TRABAJADOR'!F26+'GASTOS TRABAJADOR'!L26</f>
        <v>0</v>
      </c>
      <c r="E16" s="49" t="str">
        <f>IF('GASTOS TRABAJADOR'!AA26="","",'GASTOS TRABAJADOR'!AA26)</f>
        <v/>
      </c>
      <c r="F16" s="165">
        <f>IF(E16&lt;=EXPEDIENTE!$H$29,D16,0)</f>
        <v>0</v>
      </c>
      <c r="G16" s="164">
        <f>'GASTOS TRABAJADOR'!Y26</f>
        <v>0</v>
      </c>
      <c r="H16" s="49" t="str">
        <f>IF('GASTOS TRABAJADOR'!AB26="","",'GASTOS TRABAJADOR'!AB26)</f>
        <v/>
      </c>
      <c r="I16" s="165">
        <f>IF(H16&lt;=EXPEDIENTE!$H$29,G16,0)</f>
        <v>0</v>
      </c>
      <c r="J16" s="170">
        <f>'GASTOS TRABAJADOR'!S68</f>
        <v>0</v>
      </c>
      <c r="K16" s="164">
        <f>'GASTOS TRABAJADOR'!E51-'GASTOS TRABAJADOR'!F51</f>
        <v>0</v>
      </c>
      <c r="L16" s="49" t="str">
        <f>IF('GASTOS TRABAJADOR'!G51="","",'GASTOS TRABAJADOR'!G51)</f>
        <v/>
      </c>
      <c r="M16" s="165">
        <f>IF(L16&lt;=EXPEDIENTE!$H$29,K16,0)</f>
        <v>0</v>
      </c>
      <c r="N16" s="170">
        <f t="shared" si="0"/>
        <v>0</v>
      </c>
      <c r="O16" s="170">
        <f t="shared" si="1"/>
        <v>0</v>
      </c>
      <c r="P16" s="173">
        <f t="shared" si="2"/>
        <v>0</v>
      </c>
      <c r="AA16" s="37"/>
      <c r="AB16" s="37"/>
      <c r="AD16" s="37"/>
    </row>
    <row r="17" spans="2:33" ht="15" customHeight="1" x14ac:dyDescent="0.25">
      <c r="B17" s="153" t="s">
        <v>59</v>
      </c>
      <c r="C17" s="156">
        <f>ROUND('% DEDICACIÓN TRABAJADOR'!R35,4)</f>
        <v>0</v>
      </c>
      <c r="D17" s="164">
        <f>'GASTOS TRABAJADOR'!F27+'GASTOS TRABAJADOR'!L27</f>
        <v>0</v>
      </c>
      <c r="E17" s="49" t="str">
        <f>IF('GASTOS TRABAJADOR'!AA27="","",'GASTOS TRABAJADOR'!AA27)</f>
        <v/>
      </c>
      <c r="F17" s="165">
        <f>IF(E17&lt;=EXPEDIENTE!$H$29,D17,0)</f>
        <v>0</v>
      </c>
      <c r="G17" s="164">
        <f>'GASTOS TRABAJADOR'!Y27</f>
        <v>0</v>
      </c>
      <c r="H17" s="49" t="str">
        <f>IF('GASTOS TRABAJADOR'!AB27="","",'GASTOS TRABAJADOR'!AB27)</f>
        <v/>
      </c>
      <c r="I17" s="165">
        <f>IF(H17&lt;=EXPEDIENTE!$H$29,G17,0)</f>
        <v>0</v>
      </c>
      <c r="J17" s="170">
        <f>'GASTOS TRABAJADOR'!S69</f>
        <v>0</v>
      </c>
      <c r="K17" s="164">
        <f>'GASTOS TRABAJADOR'!E52-'GASTOS TRABAJADOR'!F52</f>
        <v>0</v>
      </c>
      <c r="L17" s="49" t="str">
        <f>IF('GASTOS TRABAJADOR'!G52="","",'GASTOS TRABAJADOR'!G52)</f>
        <v/>
      </c>
      <c r="M17" s="165">
        <f>IF(L17&lt;=EXPEDIENTE!$H$29,K17,0)</f>
        <v>0</v>
      </c>
      <c r="N17" s="170">
        <f t="shared" si="0"/>
        <v>0</v>
      </c>
      <c r="O17" s="170">
        <f t="shared" si="1"/>
        <v>0</v>
      </c>
      <c r="P17" s="173">
        <f t="shared" si="2"/>
        <v>0</v>
      </c>
      <c r="AA17" s="37"/>
      <c r="AB17" s="37"/>
      <c r="AD17" s="37"/>
    </row>
    <row r="18" spans="2:33" ht="15" customHeight="1" x14ac:dyDescent="0.25">
      <c r="B18" s="153" t="s">
        <v>60</v>
      </c>
      <c r="C18" s="156">
        <f>ROUND('% DEDICACIÓN TRABAJADOR'!S35,4)</f>
        <v>0</v>
      </c>
      <c r="D18" s="164">
        <f>'GASTOS TRABAJADOR'!F28+'GASTOS TRABAJADOR'!L28</f>
        <v>0</v>
      </c>
      <c r="E18" s="49" t="str">
        <f>IF('GASTOS TRABAJADOR'!AA28="","",'GASTOS TRABAJADOR'!AA28)</f>
        <v/>
      </c>
      <c r="F18" s="165">
        <f>IF(E18&lt;=EXPEDIENTE!$H$29,D18,0)</f>
        <v>0</v>
      </c>
      <c r="G18" s="164">
        <f>'GASTOS TRABAJADOR'!Y28</f>
        <v>0</v>
      </c>
      <c r="H18" s="49" t="str">
        <f>IF('GASTOS TRABAJADOR'!AB28="","",'GASTOS TRABAJADOR'!AB28)</f>
        <v/>
      </c>
      <c r="I18" s="165">
        <f>IF(H18&lt;=EXPEDIENTE!$H$29,G18,0)</f>
        <v>0</v>
      </c>
      <c r="J18" s="170">
        <f>'GASTOS TRABAJADOR'!S70</f>
        <v>0</v>
      </c>
      <c r="K18" s="164">
        <f>'GASTOS TRABAJADOR'!E53-'GASTOS TRABAJADOR'!F53</f>
        <v>0</v>
      </c>
      <c r="L18" s="49" t="str">
        <f>IF('GASTOS TRABAJADOR'!G53="","",'GASTOS TRABAJADOR'!G53)</f>
        <v/>
      </c>
      <c r="M18" s="165">
        <f>IF(L18&lt;=EXPEDIENTE!$H$29,K18,0)</f>
        <v>0</v>
      </c>
      <c r="N18" s="170">
        <f t="shared" si="0"/>
        <v>0</v>
      </c>
      <c r="O18" s="170">
        <f t="shared" si="1"/>
        <v>0</v>
      </c>
      <c r="P18" s="173">
        <f t="shared" si="2"/>
        <v>0</v>
      </c>
      <c r="AA18" s="37"/>
      <c r="AB18" s="37"/>
      <c r="AD18" s="37"/>
    </row>
    <row r="19" spans="2:33" ht="15" customHeight="1" x14ac:dyDescent="0.25">
      <c r="B19" s="153" t="s">
        <v>61</v>
      </c>
      <c r="C19" s="156">
        <f>ROUND('% DEDICACIÓN TRABAJADOR'!T35,4)</f>
        <v>0</v>
      </c>
      <c r="D19" s="164">
        <f>'GASTOS TRABAJADOR'!F29+'GASTOS TRABAJADOR'!L29</f>
        <v>0</v>
      </c>
      <c r="E19" s="49" t="str">
        <f>IF('GASTOS TRABAJADOR'!AA29="","",'GASTOS TRABAJADOR'!AA29)</f>
        <v/>
      </c>
      <c r="F19" s="165">
        <f>IF(E19&lt;=EXPEDIENTE!$H$29,D19,0)</f>
        <v>0</v>
      </c>
      <c r="G19" s="164">
        <f>'GASTOS TRABAJADOR'!Y29</f>
        <v>0</v>
      </c>
      <c r="H19" s="49" t="str">
        <f>IF('GASTOS TRABAJADOR'!AB29="","",'GASTOS TRABAJADOR'!AB29)</f>
        <v/>
      </c>
      <c r="I19" s="165">
        <f>IF(H19&lt;=EXPEDIENTE!$H$29,G19,0)</f>
        <v>0</v>
      </c>
      <c r="J19" s="170">
        <f>'GASTOS TRABAJADOR'!S71</f>
        <v>0</v>
      </c>
      <c r="K19" s="164">
        <f>'GASTOS TRABAJADOR'!E54-'GASTOS TRABAJADOR'!F54</f>
        <v>0</v>
      </c>
      <c r="L19" s="49" t="str">
        <f>IF('GASTOS TRABAJADOR'!G54="","",'GASTOS TRABAJADOR'!G54)</f>
        <v/>
      </c>
      <c r="M19" s="165">
        <f>IF(L19&lt;=EXPEDIENTE!$H$29,K19,0)</f>
        <v>0</v>
      </c>
      <c r="N19" s="170">
        <f t="shared" si="0"/>
        <v>0</v>
      </c>
      <c r="O19" s="170">
        <f t="shared" si="1"/>
        <v>0</v>
      </c>
      <c r="P19" s="173">
        <f t="shared" si="2"/>
        <v>0</v>
      </c>
      <c r="AA19" s="37"/>
      <c r="AB19" s="37"/>
      <c r="AD19" s="37"/>
    </row>
    <row r="20" spans="2:33" ht="15" customHeight="1" x14ac:dyDescent="0.25">
      <c r="B20" s="153" t="s">
        <v>62</v>
      </c>
      <c r="C20" s="156">
        <f>ROUND('% DEDICACIÓN TRABAJADOR'!U35,4)</f>
        <v>0</v>
      </c>
      <c r="D20" s="164">
        <f>'GASTOS TRABAJADOR'!F30+'GASTOS TRABAJADOR'!L30</f>
        <v>0</v>
      </c>
      <c r="E20" s="49" t="str">
        <f>IF('GASTOS TRABAJADOR'!AA30="","",'GASTOS TRABAJADOR'!AA30)</f>
        <v/>
      </c>
      <c r="F20" s="165">
        <f>IF(E20&lt;=EXPEDIENTE!$H$29,D20,0)</f>
        <v>0</v>
      </c>
      <c r="G20" s="164">
        <f>'GASTOS TRABAJADOR'!Y30</f>
        <v>0</v>
      </c>
      <c r="H20" s="49" t="str">
        <f>IF('GASTOS TRABAJADOR'!AB30="","",'GASTOS TRABAJADOR'!AB30)</f>
        <v/>
      </c>
      <c r="I20" s="165">
        <f>IF(H20&lt;=EXPEDIENTE!$H$29,G20,0)</f>
        <v>0</v>
      </c>
      <c r="J20" s="170">
        <f>'GASTOS TRABAJADOR'!S72</f>
        <v>0</v>
      </c>
      <c r="K20" s="164">
        <f>'GASTOS TRABAJADOR'!E55-'GASTOS TRABAJADOR'!F55</f>
        <v>0</v>
      </c>
      <c r="L20" s="49" t="str">
        <f>IF('GASTOS TRABAJADOR'!G55="","",'GASTOS TRABAJADOR'!G55)</f>
        <v/>
      </c>
      <c r="M20" s="165">
        <f>IF(L20&lt;=EXPEDIENTE!$H$29,K20,0)</f>
        <v>0</v>
      </c>
      <c r="N20" s="170">
        <f t="shared" si="0"/>
        <v>0</v>
      </c>
      <c r="O20" s="170">
        <f t="shared" si="1"/>
        <v>0</v>
      </c>
      <c r="P20" s="173">
        <f t="shared" si="2"/>
        <v>0</v>
      </c>
      <c r="AA20" s="37"/>
      <c r="AB20" s="37"/>
      <c r="AD20" s="37"/>
    </row>
    <row r="21" spans="2:33" ht="15" customHeight="1" thickBot="1" x14ac:dyDescent="0.3">
      <c r="B21" s="154" t="s">
        <v>63</v>
      </c>
      <c r="C21" s="157">
        <f>ROUND('% DEDICACIÓN TRABAJADOR'!V35,4)</f>
        <v>0</v>
      </c>
      <c r="D21" s="166">
        <f>'GASTOS TRABAJADOR'!F31+'GASTOS TRABAJADOR'!L31</f>
        <v>0</v>
      </c>
      <c r="E21" s="50" t="str">
        <f>IF('GASTOS TRABAJADOR'!AA31="","",'GASTOS TRABAJADOR'!AA31)</f>
        <v/>
      </c>
      <c r="F21" s="167">
        <f>IF(E21&lt;=EXPEDIENTE!$H$29,D21,0)</f>
        <v>0</v>
      </c>
      <c r="G21" s="166">
        <f>'GASTOS TRABAJADOR'!Y31</f>
        <v>0</v>
      </c>
      <c r="H21" s="50" t="str">
        <f>IF('GASTOS TRABAJADOR'!AB31="","",'GASTOS TRABAJADOR'!AB31)</f>
        <v/>
      </c>
      <c r="I21" s="167">
        <f>IF(H21&lt;=EXPEDIENTE!$H$29,G21,0)</f>
        <v>0</v>
      </c>
      <c r="J21" s="171">
        <f>'GASTOS TRABAJADOR'!S73</f>
        <v>0</v>
      </c>
      <c r="K21" s="166">
        <f>'GASTOS TRABAJADOR'!E56-'GASTOS TRABAJADOR'!F56</f>
        <v>0</v>
      </c>
      <c r="L21" s="50" t="str">
        <f>IF('GASTOS TRABAJADOR'!G56="","",'GASTOS TRABAJADOR'!G56)</f>
        <v/>
      </c>
      <c r="M21" s="167">
        <f>IF(L21&lt;=EXPEDIENTE!$H$29,K21,0)</f>
        <v>0</v>
      </c>
      <c r="N21" s="171">
        <f t="shared" si="0"/>
        <v>0</v>
      </c>
      <c r="O21" s="171">
        <f t="shared" si="1"/>
        <v>0</v>
      </c>
      <c r="P21" s="174">
        <f t="shared" si="2"/>
        <v>0</v>
      </c>
      <c r="AA21" s="37"/>
      <c r="AB21" s="37"/>
      <c r="AD21" s="37"/>
    </row>
    <row r="22" spans="2:33" ht="14.25" thickBot="1" x14ac:dyDescent="0.3">
      <c r="M22" s="179"/>
      <c r="N22" s="179"/>
      <c r="O22" s="179"/>
      <c r="P22" s="179"/>
      <c r="AA22" s="37"/>
      <c r="AB22" s="37"/>
      <c r="AD22" s="37"/>
    </row>
    <row r="23" spans="2:33" ht="20.100000000000001" customHeight="1" thickBot="1" x14ac:dyDescent="0.3">
      <c r="G23" s="38"/>
      <c r="N23" s="261"/>
      <c r="O23" s="194" t="s">
        <v>241</v>
      </c>
      <c r="P23" s="175">
        <f>SUM(P10:P21)</f>
        <v>0</v>
      </c>
      <c r="Q23" s="262"/>
      <c r="R23" s="36" t="str">
        <f>IF(T4&gt;0,"EXISTE ALGÚN % DE DEDICACIÓN SUPERIOR AL 100% EN ESTA ACTUACIÓN",IF(T6="SI","EXISTEN LÍNEAS REPETIDAS EN ESTA ACTUACIÓN",""))</f>
        <v/>
      </c>
      <c r="T23" s="54" t="s">
        <v>227</v>
      </c>
      <c r="U23" s="54" t="s">
        <v>254</v>
      </c>
      <c r="V23" s="36">
        <v>8</v>
      </c>
      <c r="W23" s="36">
        <v>9</v>
      </c>
      <c r="X23" s="36">
        <v>10</v>
      </c>
      <c r="Y23" s="36">
        <v>11</v>
      </c>
      <c r="Z23" s="36">
        <v>12</v>
      </c>
      <c r="AA23" s="36">
        <v>13</v>
      </c>
      <c r="AB23" s="36">
        <v>14</v>
      </c>
      <c r="AC23" s="36">
        <v>15</v>
      </c>
      <c r="AD23" s="36">
        <v>16</v>
      </c>
      <c r="AE23" s="36">
        <v>17</v>
      </c>
      <c r="AF23" s="36">
        <v>18</v>
      </c>
      <c r="AG23" s="36">
        <v>19</v>
      </c>
    </row>
    <row r="24" spans="2:33" x14ac:dyDescent="0.25">
      <c r="M24" s="179"/>
      <c r="N24" s="179"/>
      <c r="O24" s="179"/>
      <c r="P24" s="179"/>
      <c r="AA24" s="37"/>
      <c r="AB24" s="37"/>
    </row>
    <row r="25" spans="2:33" s="246" customFormat="1" ht="15" customHeight="1" x14ac:dyDescent="0.25">
      <c r="M25" s="436" t="str">
        <f>IF(AUXILIAR!Z71="x","",CONCATENATE("SUBTOTAL ",AUXILIAR!Z71))</f>
        <v/>
      </c>
      <c r="N25" s="436"/>
      <c r="O25" s="436"/>
      <c r="P25" s="248" t="str">
        <f>IF(M25="","",IF($T$4&gt;0,0,IF($T$6="SI",0,IFERROR(ROUND(V25*$O$10+W25*$O$11+X25*$O$12+Y25*$O$13+Z25*$O$14+AA25*$O$15+AB25*$O$16+AC25*$O$17+AD25*$O$18+AE25*$O$19+AF25*$O$20+AG25*$O$21,2),""))))</f>
        <v/>
      </c>
      <c r="Q25" s="260"/>
      <c r="R25" s="246" t="str">
        <f>IF(M25="","",IF(AND(M25&lt;&gt;"",OR($T$4&gt;0,$T$6="SI")),"",IF(AND(M25&lt;&gt;"",P25=""),"SE DIO DE ALTA LA LÍNEA PERO NO SE LE ASIGNÓ % DE DEDICACIÓN",IF(U25&gt;1,"LA LÍNEA SE HA DADO DE ALTA MÁS DE UNA VEZ",IF(SUM(V25:AG25)=0,CONCATENATE("LA SUMA DE LOS % DE DEDICACIÓN DE LA LÍNEA SON DEL 0%"),"")))))</f>
        <v/>
      </c>
      <c r="T25" s="246" t="str">
        <f t="shared" ref="T25:T39" si="3">IF(M25="","",IF(MID(M25,19,1)=":",VALUE(CONCATENATE(MID(M25,16,1),MID(M25,18,1))),VALUE(CONCATENATE(MID(M25,16,1),MID(M25,18,2)))))</f>
        <v/>
      </c>
      <c r="U25" s="246">
        <f>COUNTIF('% DEDICACIÓN TRABAJADOR'!$D$37:$D$96,T25)</f>
        <v>0</v>
      </c>
      <c r="V25" s="249" t="str">
        <f>IFERROR(ROUND(VLOOKUP($T$25,'% DEDICACIÓN TRABAJADOR'!$D$37:$V$96,V$23,FALSE),4),"")</f>
        <v/>
      </c>
      <c r="W25" s="249" t="str">
        <f>IFERROR(ROUND(VLOOKUP($T$25,'% DEDICACIÓN TRABAJADOR'!$D$37:$V$96,W$23,FALSE),4),"")</f>
        <v/>
      </c>
      <c r="X25" s="249" t="str">
        <f>IFERROR(ROUND(VLOOKUP($T$25,'% DEDICACIÓN TRABAJADOR'!$D$37:$V$96,X$23,FALSE),4),"")</f>
        <v/>
      </c>
      <c r="Y25" s="249" t="str">
        <f>IFERROR(ROUND(VLOOKUP($T$25,'% DEDICACIÓN TRABAJADOR'!$D$37:$V$96,Y$23,FALSE),4),"")</f>
        <v/>
      </c>
      <c r="Z25" s="249" t="str">
        <f>IFERROR(ROUND(VLOOKUP($T$25,'% DEDICACIÓN TRABAJADOR'!$D$37:$V$96,Z$23,FALSE),4),"")</f>
        <v/>
      </c>
      <c r="AA25" s="249" t="str">
        <f>IFERROR(ROUND(VLOOKUP($T$25,'% DEDICACIÓN TRABAJADOR'!$D$37:$V$96,AA$23,FALSE),4),"")</f>
        <v/>
      </c>
      <c r="AB25" s="249" t="str">
        <f>IFERROR(ROUND(VLOOKUP($T$25,'% DEDICACIÓN TRABAJADOR'!$D$37:$V$96,AB$23,FALSE),4),"")</f>
        <v/>
      </c>
      <c r="AC25" s="249" t="str">
        <f>IFERROR(ROUND(VLOOKUP($T$25,'% DEDICACIÓN TRABAJADOR'!$D$37:$V$96,AC$23,FALSE),4),"")</f>
        <v/>
      </c>
      <c r="AD25" s="249" t="str">
        <f>IFERROR(ROUND(VLOOKUP($T$25,'% DEDICACIÓN TRABAJADOR'!$D$37:$V$96,AD$23,FALSE),4),"")</f>
        <v/>
      </c>
      <c r="AE25" s="249" t="str">
        <f>IFERROR(ROUND(VLOOKUP($T$25,'% DEDICACIÓN TRABAJADOR'!$D$37:$V$96,AE$23,FALSE),4),"")</f>
        <v/>
      </c>
      <c r="AF25" s="249" t="str">
        <f>IFERROR(ROUND(VLOOKUP($T$25,'% DEDICACIÓN TRABAJADOR'!$D$37:$V$96,AF$23,FALSE),4),"")</f>
        <v/>
      </c>
      <c r="AG25" s="249" t="str">
        <f>IFERROR(ROUND(VLOOKUP($T$25,'% DEDICACIÓN TRABAJADOR'!$D$37:$V$96,AG$23,FALSE),4),"")</f>
        <v/>
      </c>
    </row>
    <row r="26" spans="2:33" s="246" customFormat="1" ht="15" customHeight="1" x14ac:dyDescent="0.25">
      <c r="M26" s="436" t="str">
        <f>IF(AUXILIAR!Z72="x","",CONCATENATE("SUBTOTAL ",AUXILIAR!Z72))</f>
        <v/>
      </c>
      <c r="N26" s="436"/>
      <c r="O26" s="436"/>
      <c r="P26" s="248" t="str">
        <f t="shared" ref="P26:P39" si="4">IF(M26="","",IF($T$4&gt;0,0,IF($T$6="SI",0,IFERROR(ROUND(V26*$O$10+W26*$O$11+X26*$O$12+Y26*$O$13+Z26*$O$14+AA26*$O$15+AB26*$O$16+AC26*$O$17+AD26*$O$18+AE26*$O$19+AF26*$O$20+AG26*$O$21,2),""))))</f>
        <v/>
      </c>
      <c r="Q26" s="260"/>
      <c r="R26" s="246" t="str">
        <f t="shared" ref="R26:R39" si="5">IF(M26="","",IF(AND(M26&lt;&gt;"",OR($T$4&gt;0,$T$6="SI")),"",IF(AND(M26&lt;&gt;"",P26=""),"SE DIO DE ALTA LA LÍNEA PERO NO SE LE ASIGNÓ % DE DEDICACIÓN",IF(U26&gt;1,"LA LÍNEA SE HA DADO DE ALTA MÁS DE UNA VEZ",IF(SUM(V26:AG26)=0,CONCATENATE("LA SUMA DE LOS % DE DEDICACIÓN DE LA LÍNEA SON DEL 0%"),"")))))</f>
        <v/>
      </c>
      <c r="T26" s="246" t="str">
        <f t="shared" si="3"/>
        <v/>
      </c>
      <c r="U26" s="246">
        <f>COUNTIF('% DEDICACIÓN TRABAJADOR'!$D$37:$D$96,T26)</f>
        <v>0</v>
      </c>
      <c r="V26" s="249" t="str">
        <f>IFERROR(ROUND(VLOOKUP($T$26,'% DEDICACIÓN TRABAJADOR'!$D$37:$V$96,V$23,FALSE),4),"")</f>
        <v/>
      </c>
      <c r="W26" s="249" t="str">
        <f>IFERROR(ROUND(VLOOKUP($T$26,'% DEDICACIÓN TRABAJADOR'!$D$37:$V$96,W$23,FALSE),4),"")</f>
        <v/>
      </c>
      <c r="X26" s="249" t="str">
        <f>IFERROR(ROUND(VLOOKUP($T$26,'% DEDICACIÓN TRABAJADOR'!$D$37:$V$96,X$23,FALSE),4),"")</f>
        <v/>
      </c>
      <c r="Y26" s="249" t="str">
        <f>IFERROR(ROUND(VLOOKUP($T$26,'% DEDICACIÓN TRABAJADOR'!$D$37:$V$96,Y$23,FALSE),4),"")</f>
        <v/>
      </c>
      <c r="Z26" s="249" t="str">
        <f>IFERROR(ROUND(VLOOKUP($T$26,'% DEDICACIÓN TRABAJADOR'!$D$37:$V$96,Z$23,FALSE),4),"")</f>
        <v/>
      </c>
      <c r="AA26" s="249" t="str">
        <f>IFERROR(ROUND(VLOOKUP($T$26,'% DEDICACIÓN TRABAJADOR'!$D$37:$V$96,AA$23,FALSE),4),"")</f>
        <v/>
      </c>
      <c r="AB26" s="249" t="str">
        <f>IFERROR(ROUND(VLOOKUP($T$26,'% DEDICACIÓN TRABAJADOR'!$D$37:$V$96,AB$23,FALSE),4),"")</f>
        <v/>
      </c>
      <c r="AC26" s="249" t="str">
        <f>IFERROR(ROUND(VLOOKUP($T$26,'% DEDICACIÓN TRABAJADOR'!$D$37:$V$96,AC$23,FALSE),4),"")</f>
        <v/>
      </c>
      <c r="AD26" s="249" t="str">
        <f>IFERROR(ROUND(VLOOKUP($T$26,'% DEDICACIÓN TRABAJADOR'!$D$37:$V$96,AD$23,FALSE),4),"")</f>
        <v/>
      </c>
      <c r="AE26" s="249" t="str">
        <f>IFERROR(ROUND(VLOOKUP($T$26,'% DEDICACIÓN TRABAJADOR'!$D$37:$V$96,AE$23,FALSE),4),"")</f>
        <v/>
      </c>
      <c r="AF26" s="249" t="str">
        <f>IFERROR(ROUND(VLOOKUP($T$26,'% DEDICACIÓN TRABAJADOR'!$D$37:$V$96,AF$23,FALSE),4),"")</f>
        <v/>
      </c>
      <c r="AG26" s="249" t="str">
        <f>IFERROR(ROUND(VLOOKUP($T$26,'% DEDICACIÓN TRABAJADOR'!$D$37:$V$96,AG$23,FALSE),4),"")</f>
        <v/>
      </c>
    </row>
    <row r="27" spans="2:33" s="246" customFormat="1" ht="15" customHeight="1" x14ac:dyDescent="0.25">
      <c r="M27" s="436" t="str">
        <f>IF(AUXILIAR!Z73="x","",CONCATENATE("SUBTOTAL ",AUXILIAR!Z73))</f>
        <v/>
      </c>
      <c r="N27" s="436"/>
      <c r="O27" s="436"/>
      <c r="P27" s="248" t="str">
        <f t="shared" si="4"/>
        <v/>
      </c>
      <c r="Q27" s="260"/>
      <c r="R27" s="246" t="str">
        <f t="shared" si="5"/>
        <v/>
      </c>
      <c r="T27" s="246" t="str">
        <f t="shared" si="3"/>
        <v/>
      </c>
      <c r="U27" s="246">
        <f>COUNTIF('% DEDICACIÓN TRABAJADOR'!$D$37:$D$96,T27)</f>
        <v>0</v>
      </c>
      <c r="V27" s="249" t="str">
        <f>IFERROR(ROUND(VLOOKUP($T$27,'% DEDICACIÓN TRABAJADOR'!$D$37:$V$96,V$23,FALSE),4),"")</f>
        <v/>
      </c>
      <c r="W27" s="249" t="str">
        <f>IFERROR(ROUND(VLOOKUP($T$27,'% DEDICACIÓN TRABAJADOR'!$D$37:$V$96,W$23,FALSE),4),"")</f>
        <v/>
      </c>
      <c r="X27" s="249" t="str">
        <f>IFERROR(ROUND(VLOOKUP($T$27,'% DEDICACIÓN TRABAJADOR'!$D$37:$V$96,X$23,FALSE),4),"")</f>
        <v/>
      </c>
      <c r="Y27" s="249" t="str">
        <f>IFERROR(ROUND(VLOOKUP($T$27,'% DEDICACIÓN TRABAJADOR'!$D$37:$V$96,Y$23,FALSE),4),"")</f>
        <v/>
      </c>
      <c r="Z27" s="249" t="str">
        <f>IFERROR(ROUND(VLOOKUP($T$27,'% DEDICACIÓN TRABAJADOR'!$D$37:$V$96,Z$23,FALSE),4),"")</f>
        <v/>
      </c>
      <c r="AA27" s="249" t="str">
        <f>IFERROR(ROUND(VLOOKUP($T$27,'% DEDICACIÓN TRABAJADOR'!$D$37:$V$96,AA$23,FALSE),4),"")</f>
        <v/>
      </c>
      <c r="AB27" s="249" t="str">
        <f>IFERROR(ROUND(VLOOKUP($T$27,'% DEDICACIÓN TRABAJADOR'!$D$37:$V$96,AB$23,FALSE),4),"")</f>
        <v/>
      </c>
      <c r="AC27" s="249" t="str">
        <f>IFERROR(ROUND(VLOOKUP($T$27,'% DEDICACIÓN TRABAJADOR'!$D$37:$V$96,AC$23,FALSE),4),"")</f>
        <v/>
      </c>
      <c r="AD27" s="249" t="str">
        <f>IFERROR(ROUND(VLOOKUP($T$27,'% DEDICACIÓN TRABAJADOR'!$D$37:$V$96,AD$23,FALSE),4),"")</f>
        <v/>
      </c>
      <c r="AE27" s="249" t="str">
        <f>IFERROR(ROUND(VLOOKUP($T$27,'% DEDICACIÓN TRABAJADOR'!$D$37:$V$96,AE$23,FALSE),4),"")</f>
        <v/>
      </c>
      <c r="AF27" s="249" t="str">
        <f>IFERROR(ROUND(VLOOKUP($T$27,'% DEDICACIÓN TRABAJADOR'!$D$37:$V$96,AF$23,FALSE),4),"")</f>
        <v/>
      </c>
      <c r="AG27" s="249" t="str">
        <f>IFERROR(ROUND(VLOOKUP($T$27,'% DEDICACIÓN TRABAJADOR'!$D$37:$V$96,AG$23,FALSE),4),"")</f>
        <v/>
      </c>
    </row>
    <row r="28" spans="2:33" s="246" customFormat="1" ht="15" customHeight="1" x14ac:dyDescent="0.25">
      <c r="M28" s="436" t="str">
        <f>IF(AUXILIAR!Z74="x","",CONCATENATE("SUBTOTAL ",AUXILIAR!Z74))</f>
        <v/>
      </c>
      <c r="N28" s="436"/>
      <c r="O28" s="436"/>
      <c r="P28" s="248" t="str">
        <f t="shared" si="4"/>
        <v/>
      </c>
      <c r="Q28" s="260"/>
      <c r="R28" s="246" t="str">
        <f t="shared" si="5"/>
        <v/>
      </c>
      <c r="T28" s="246" t="str">
        <f t="shared" si="3"/>
        <v/>
      </c>
      <c r="U28" s="246">
        <f>COUNTIF('% DEDICACIÓN TRABAJADOR'!$D$37:$D$96,T28)</f>
        <v>0</v>
      </c>
      <c r="V28" s="249" t="str">
        <f>IFERROR(ROUND(VLOOKUP($T$28,'% DEDICACIÓN TRABAJADOR'!$D$37:$V$96,V$23,FALSE),4),"")</f>
        <v/>
      </c>
      <c r="W28" s="249" t="str">
        <f>IFERROR(ROUND(VLOOKUP($T$28,'% DEDICACIÓN TRABAJADOR'!$D$37:$V$96,W$23,FALSE),4),"")</f>
        <v/>
      </c>
      <c r="X28" s="249" t="str">
        <f>IFERROR(ROUND(VLOOKUP($T$28,'% DEDICACIÓN TRABAJADOR'!$D$37:$V$96,X$23,FALSE),4),"")</f>
        <v/>
      </c>
      <c r="Y28" s="249" t="str">
        <f>IFERROR(ROUND(VLOOKUP($T$28,'% DEDICACIÓN TRABAJADOR'!$D$37:$V$96,Y$23,FALSE),4),"")</f>
        <v/>
      </c>
      <c r="Z28" s="249" t="str">
        <f>IFERROR(ROUND(VLOOKUP($T$28,'% DEDICACIÓN TRABAJADOR'!$D$37:$V$96,Z$23,FALSE),4),"")</f>
        <v/>
      </c>
      <c r="AA28" s="249" t="str">
        <f>IFERROR(ROUND(VLOOKUP($T$28,'% DEDICACIÓN TRABAJADOR'!$D$37:$V$96,AA$23,FALSE),4),"")</f>
        <v/>
      </c>
      <c r="AB28" s="249" t="str">
        <f>IFERROR(ROUND(VLOOKUP($T$28,'% DEDICACIÓN TRABAJADOR'!$D$37:$V$96,AB$23,FALSE),4),"")</f>
        <v/>
      </c>
      <c r="AC28" s="249" t="str">
        <f>IFERROR(ROUND(VLOOKUP($T$28,'% DEDICACIÓN TRABAJADOR'!$D$37:$V$96,AC$23,FALSE),4),"")</f>
        <v/>
      </c>
      <c r="AD28" s="249" t="str">
        <f>IFERROR(ROUND(VLOOKUP($T$28,'% DEDICACIÓN TRABAJADOR'!$D$37:$V$96,AD$23,FALSE),4),"")</f>
        <v/>
      </c>
      <c r="AE28" s="249" t="str">
        <f>IFERROR(ROUND(VLOOKUP($T$28,'% DEDICACIÓN TRABAJADOR'!$D$37:$V$96,AE$23,FALSE),4),"")</f>
        <v/>
      </c>
      <c r="AF28" s="249" t="str">
        <f>IFERROR(ROUND(VLOOKUP($T$28,'% DEDICACIÓN TRABAJADOR'!$D$37:$V$96,AF$23,FALSE),4),"")</f>
        <v/>
      </c>
      <c r="AG28" s="249" t="str">
        <f>IFERROR(ROUND(VLOOKUP($T$28,'% DEDICACIÓN TRABAJADOR'!$D$37:$V$96,AG$23,FALSE),4),"")</f>
        <v/>
      </c>
    </row>
    <row r="29" spans="2:33" s="246" customFormat="1" ht="15" customHeight="1" x14ac:dyDescent="0.25">
      <c r="M29" s="436" t="str">
        <f>IF(AUXILIAR!Z75="x","",CONCATENATE("SUBTOTAL ",AUXILIAR!Z75))</f>
        <v/>
      </c>
      <c r="N29" s="436"/>
      <c r="O29" s="436"/>
      <c r="P29" s="248" t="str">
        <f t="shared" si="4"/>
        <v/>
      </c>
      <c r="Q29" s="260"/>
      <c r="R29" s="246" t="str">
        <f t="shared" si="5"/>
        <v/>
      </c>
      <c r="T29" s="246" t="str">
        <f t="shared" si="3"/>
        <v/>
      </c>
      <c r="U29" s="246">
        <f>COUNTIF('% DEDICACIÓN TRABAJADOR'!$D$37:$D$96,T29)</f>
        <v>0</v>
      </c>
      <c r="V29" s="249" t="str">
        <f>IFERROR(ROUND(VLOOKUP($T$29,'% DEDICACIÓN TRABAJADOR'!$D$37:$V$96,V$23,FALSE),4),"")</f>
        <v/>
      </c>
      <c r="W29" s="249" t="str">
        <f>IFERROR(ROUND(VLOOKUP($T$29,'% DEDICACIÓN TRABAJADOR'!$D$37:$V$96,W$23,FALSE),4),"")</f>
        <v/>
      </c>
      <c r="X29" s="249" t="str">
        <f>IFERROR(ROUND(VLOOKUP($T$29,'% DEDICACIÓN TRABAJADOR'!$D$37:$V$96,X$23,FALSE),4),"")</f>
        <v/>
      </c>
      <c r="Y29" s="249" t="str">
        <f>IFERROR(ROUND(VLOOKUP($T$29,'% DEDICACIÓN TRABAJADOR'!$D$37:$V$96,Y$23,FALSE),4),"")</f>
        <v/>
      </c>
      <c r="Z29" s="249" t="str">
        <f>IFERROR(ROUND(VLOOKUP($T$29,'% DEDICACIÓN TRABAJADOR'!$D$37:$V$96,Z$23,FALSE),4),"")</f>
        <v/>
      </c>
      <c r="AA29" s="249" t="str">
        <f>IFERROR(ROUND(VLOOKUP($T$29,'% DEDICACIÓN TRABAJADOR'!$D$37:$V$96,AA$23,FALSE),4),"")</f>
        <v/>
      </c>
      <c r="AB29" s="249" t="str">
        <f>IFERROR(ROUND(VLOOKUP($T$29,'% DEDICACIÓN TRABAJADOR'!$D$37:$V$96,AB$23,FALSE),4),"")</f>
        <v/>
      </c>
      <c r="AC29" s="249" t="str">
        <f>IFERROR(ROUND(VLOOKUP($T$29,'% DEDICACIÓN TRABAJADOR'!$D$37:$V$96,AC$23,FALSE),4),"")</f>
        <v/>
      </c>
      <c r="AD29" s="249" t="str">
        <f>IFERROR(ROUND(VLOOKUP($T$29,'% DEDICACIÓN TRABAJADOR'!$D$37:$V$96,AD$23,FALSE),4),"")</f>
        <v/>
      </c>
      <c r="AE29" s="249" t="str">
        <f>IFERROR(ROUND(VLOOKUP($T$29,'% DEDICACIÓN TRABAJADOR'!$D$37:$V$96,AE$23,FALSE),4),"")</f>
        <v/>
      </c>
      <c r="AF29" s="249" t="str">
        <f>IFERROR(ROUND(VLOOKUP($T$29,'% DEDICACIÓN TRABAJADOR'!$D$37:$V$96,AF$23,FALSE),4),"")</f>
        <v/>
      </c>
      <c r="AG29" s="249" t="str">
        <f>IFERROR(ROUND(VLOOKUP($T$29,'% DEDICACIÓN TRABAJADOR'!$D$37:$V$96,AG$23,FALSE),4),"")</f>
        <v/>
      </c>
    </row>
    <row r="30" spans="2:33" s="246" customFormat="1" ht="15" customHeight="1" x14ac:dyDescent="0.25">
      <c r="M30" s="436" t="str">
        <f>IF(AUXILIAR!Z76="x","",CONCATENATE("SUBTOTAL ",AUXILIAR!Z76))</f>
        <v/>
      </c>
      <c r="N30" s="436"/>
      <c r="O30" s="436"/>
      <c r="P30" s="248" t="str">
        <f t="shared" si="4"/>
        <v/>
      </c>
      <c r="Q30" s="260"/>
      <c r="R30" s="246" t="str">
        <f t="shared" si="5"/>
        <v/>
      </c>
      <c r="T30" s="246" t="str">
        <f t="shared" si="3"/>
        <v/>
      </c>
      <c r="U30" s="246">
        <f>COUNTIF('% DEDICACIÓN TRABAJADOR'!$D$37:$D$96,T30)</f>
        <v>0</v>
      </c>
      <c r="V30" s="249" t="str">
        <f>IFERROR(ROUND(VLOOKUP($T$30,'% DEDICACIÓN TRABAJADOR'!$D$37:$V$96,V$23,FALSE),4),"")</f>
        <v/>
      </c>
      <c r="W30" s="249" t="str">
        <f>IFERROR(ROUND(VLOOKUP($T$30,'% DEDICACIÓN TRABAJADOR'!$D$37:$V$96,W$23,FALSE),4),"")</f>
        <v/>
      </c>
      <c r="X30" s="249" t="str">
        <f>IFERROR(ROUND(VLOOKUP($T$30,'% DEDICACIÓN TRABAJADOR'!$D$37:$V$96,X$23,FALSE),4),"")</f>
        <v/>
      </c>
      <c r="Y30" s="249" t="str">
        <f>IFERROR(ROUND(VLOOKUP($T$30,'% DEDICACIÓN TRABAJADOR'!$D$37:$V$96,Y$23,FALSE),4),"")</f>
        <v/>
      </c>
      <c r="Z30" s="249" t="str">
        <f>IFERROR(ROUND(VLOOKUP($T$30,'% DEDICACIÓN TRABAJADOR'!$D$37:$V$96,Z$23,FALSE),4),"")</f>
        <v/>
      </c>
      <c r="AA30" s="249" t="str">
        <f>IFERROR(ROUND(VLOOKUP($T$30,'% DEDICACIÓN TRABAJADOR'!$D$37:$V$96,AA$23,FALSE),4),"")</f>
        <v/>
      </c>
      <c r="AB30" s="249" t="str">
        <f>IFERROR(ROUND(VLOOKUP($T$30,'% DEDICACIÓN TRABAJADOR'!$D$37:$V$96,AB$23,FALSE),4),"")</f>
        <v/>
      </c>
      <c r="AC30" s="249" t="str">
        <f>IFERROR(ROUND(VLOOKUP($T$30,'% DEDICACIÓN TRABAJADOR'!$D$37:$V$96,AC$23,FALSE),4),"")</f>
        <v/>
      </c>
      <c r="AD30" s="249" t="str">
        <f>IFERROR(ROUND(VLOOKUP($T$30,'% DEDICACIÓN TRABAJADOR'!$D$37:$V$96,AD$23,FALSE),4),"")</f>
        <v/>
      </c>
      <c r="AE30" s="249" t="str">
        <f>IFERROR(ROUND(VLOOKUP($T$30,'% DEDICACIÓN TRABAJADOR'!$D$37:$V$96,AE$23,FALSE),4),"")</f>
        <v/>
      </c>
      <c r="AF30" s="249" t="str">
        <f>IFERROR(ROUND(VLOOKUP($T$30,'% DEDICACIÓN TRABAJADOR'!$D$37:$V$96,AF$23,FALSE),4),"")</f>
        <v/>
      </c>
      <c r="AG30" s="249" t="str">
        <f>IFERROR(ROUND(VLOOKUP($T$30,'% DEDICACIÓN TRABAJADOR'!$D$37:$V$96,AG$23,FALSE),4),"")</f>
        <v/>
      </c>
    </row>
    <row r="31" spans="2:33" s="246" customFormat="1" ht="15" customHeight="1" x14ac:dyDescent="0.25">
      <c r="M31" s="436" t="str">
        <f>IF(AUXILIAR!Z77="x","",CONCATENATE("SUBTOTAL ",AUXILIAR!Z77))</f>
        <v/>
      </c>
      <c r="N31" s="436"/>
      <c r="O31" s="436"/>
      <c r="P31" s="248" t="str">
        <f t="shared" si="4"/>
        <v/>
      </c>
      <c r="Q31" s="260"/>
      <c r="R31" s="246" t="str">
        <f t="shared" si="5"/>
        <v/>
      </c>
      <c r="T31" s="246" t="str">
        <f t="shared" si="3"/>
        <v/>
      </c>
      <c r="U31" s="246">
        <f>COUNTIF('% DEDICACIÓN TRABAJADOR'!$D$37:$D$96,T31)</f>
        <v>0</v>
      </c>
      <c r="V31" s="249" t="str">
        <f>IFERROR(ROUND(VLOOKUP($T$31,'% DEDICACIÓN TRABAJADOR'!$D$37:$V$96,V$23,FALSE),4),"")</f>
        <v/>
      </c>
      <c r="W31" s="249" t="str">
        <f>IFERROR(ROUND(VLOOKUP($T$31,'% DEDICACIÓN TRABAJADOR'!$D$37:$V$96,W$23,FALSE),4),"")</f>
        <v/>
      </c>
      <c r="X31" s="249" t="str">
        <f>IFERROR(ROUND(VLOOKUP($T$31,'% DEDICACIÓN TRABAJADOR'!$D$37:$V$96,X$23,FALSE),4),"")</f>
        <v/>
      </c>
      <c r="Y31" s="249" t="str">
        <f>IFERROR(ROUND(VLOOKUP($T$31,'% DEDICACIÓN TRABAJADOR'!$D$37:$V$96,Y$23,FALSE),4),"")</f>
        <v/>
      </c>
      <c r="Z31" s="249" t="str">
        <f>IFERROR(ROUND(VLOOKUP($T$31,'% DEDICACIÓN TRABAJADOR'!$D$37:$V$96,Z$23,FALSE),4),"")</f>
        <v/>
      </c>
      <c r="AA31" s="249" t="str">
        <f>IFERROR(ROUND(VLOOKUP($T$31,'% DEDICACIÓN TRABAJADOR'!$D$37:$V$96,AA$23,FALSE),4),"")</f>
        <v/>
      </c>
      <c r="AB31" s="249" t="str">
        <f>IFERROR(ROUND(VLOOKUP($T$31,'% DEDICACIÓN TRABAJADOR'!$D$37:$V$96,AB$23,FALSE),4),"")</f>
        <v/>
      </c>
      <c r="AC31" s="249" t="str">
        <f>IFERROR(ROUND(VLOOKUP($T$31,'% DEDICACIÓN TRABAJADOR'!$D$37:$V$96,AC$23,FALSE),4),"")</f>
        <v/>
      </c>
      <c r="AD31" s="249" t="str">
        <f>IFERROR(ROUND(VLOOKUP($T$31,'% DEDICACIÓN TRABAJADOR'!$D$37:$V$96,AD$23,FALSE),4),"")</f>
        <v/>
      </c>
      <c r="AE31" s="249" t="str">
        <f>IFERROR(ROUND(VLOOKUP($T$31,'% DEDICACIÓN TRABAJADOR'!$D$37:$V$96,AE$23,FALSE),4),"")</f>
        <v/>
      </c>
      <c r="AF31" s="249" t="str">
        <f>IFERROR(ROUND(VLOOKUP($T$31,'% DEDICACIÓN TRABAJADOR'!$D$37:$V$96,AF$23,FALSE),4),"")</f>
        <v/>
      </c>
      <c r="AG31" s="249" t="str">
        <f>IFERROR(ROUND(VLOOKUP($T$31,'% DEDICACIÓN TRABAJADOR'!$D$37:$V$96,AG$23,FALSE),4),"")</f>
        <v/>
      </c>
    </row>
    <row r="32" spans="2:33" s="246" customFormat="1" ht="15" customHeight="1" x14ac:dyDescent="0.25">
      <c r="M32" s="436" t="str">
        <f>IF(AUXILIAR!Z78="x","",CONCATENATE("SUBTOTAL ",AUXILIAR!Z78))</f>
        <v/>
      </c>
      <c r="N32" s="436"/>
      <c r="O32" s="436"/>
      <c r="P32" s="248" t="str">
        <f t="shared" si="4"/>
        <v/>
      </c>
      <c r="Q32" s="260"/>
      <c r="R32" s="246" t="str">
        <f t="shared" si="5"/>
        <v/>
      </c>
      <c r="T32" s="246" t="str">
        <f t="shared" si="3"/>
        <v/>
      </c>
      <c r="U32" s="246">
        <f>COUNTIF('% DEDICACIÓN TRABAJADOR'!$D$37:$D$96,T32)</f>
        <v>0</v>
      </c>
      <c r="V32" s="249" t="str">
        <f>IFERROR(ROUND(VLOOKUP($T$32,'% DEDICACIÓN TRABAJADOR'!$D$37:$V$96,V$23,FALSE),4),"")</f>
        <v/>
      </c>
      <c r="W32" s="249" t="str">
        <f>IFERROR(ROUND(VLOOKUP($T$32,'% DEDICACIÓN TRABAJADOR'!$D$37:$V$96,W$23,FALSE),4),"")</f>
        <v/>
      </c>
      <c r="X32" s="249" t="str">
        <f>IFERROR(ROUND(VLOOKUP($T$32,'% DEDICACIÓN TRABAJADOR'!$D$37:$V$96,X$23,FALSE),4),"")</f>
        <v/>
      </c>
      <c r="Y32" s="249" t="str">
        <f>IFERROR(ROUND(VLOOKUP($T$32,'% DEDICACIÓN TRABAJADOR'!$D$37:$V$96,Y$23,FALSE),4),"")</f>
        <v/>
      </c>
      <c r="Z32" s="249" t="str">
        <f>IFERROR(ROUND(VLOOKUP($T$32,'% DEDICACIÓN TRABAJADOR'!$D$37:$V$96,Z$23,FALSE),4),"")</f>
        <v/>
      </c>
      <c r="AA32" s="249" t="str">
        <f>IFERROR(ROUND(VLOOKUP($T$32,'% DEDICACIÓN TRABAJADOR'!$D$37:$V$96,AA$23,FALSE),4),"")</f>
        <v/>
      </c>
      <c r="AB32" s="249" t="str">
        <f>IFERROR(ROUND(VLOOKUP($T$32,'% DEDICACIÓN TRABAJADOR'!$D$37:$V$96,AB$23,FALSE),4),"")</f>
        <v/>
      </c>
      <c r="AC32" s="249" t="str">
        <f>IFERROR(ROUND(VLOOKUP($T$32,'% DEDICACIÓN TRABAJADOR'!$D$37:$V$96,AC$23,FALSE),4),"")</f>
        <v/>
      </c>
      <c r="AD32" s="249" t="str">
        <f>IFERROR(ROUND(VLOOKUP($T$32,'% DEDICACIÓN TRABAJADOR'!$D$37:$V$96,AD$23,FALSE),4),"")</f>
        <v/>
      </c>
      <c r="AE32" s="249" t="str">
        <f>IFERROR(ROUND(VLOOKUP($T$32,'% DEDICACIÓN TRABAJADOR'!$D$37:$V$96,AE$23,FALSE),4),"")</f>
        <v/>
      </c>
      <c r="AF32" s="249" t="str">
        <f>IFERROR(ROUND(VLOOKUP($T$32,'% DEDICACIÓN TRABAJADOR'!$D$37:$V$96,AF$23,FALSE),4),"")</f>
        <v/>
      </c>
      <c r="AG32" s="249" t="str">
        <f>IFERROR(ROUND(VLOOKUP($T$32,'% DEDICACIÓN TRABAJADOR'!$D$37:$V$96,AG$23,FALSE),4),"")</f>
        <v/>
      </c>
    </row>
    <row r="33" spans="13:33" s="246" customFormat="1" ht="15" customHeight="1" x14ac:dyDescent="0.25">
      <c r="M33" s="436" t="str">
        <f>IF(AUXILIAR!Z79="x","",CONCATENATE("SUBTOTAL ",AUXILIAR!Z79))</f>
        <v/>
      </c>
      <c r="N33" s="436"/>
      <c r="O33" s="436"/>
      <c r="P33" s="248" t="str">
        <f t="shared" si="4"/>
        <v/>
      </c>
      <c r="Q33" s="260"/>
      <c r="R33" s="246" t="str">
        <f t="shared" si="5"/>
        <v/>
      </c>
      <c r="T33" s="246" t="str">
        <f t="shared" si="3"/>
        <v/>
      </c>
      <c r="U33" s="246">
        <f>COUNTIF('% DEDICACIÓN TRABAJADOR'!$D$37:$D$96,T33)</f>
        <v>0</v>
      </c>
      <c r="V33" s="249" t="str">
        <f>IFERROR(ROUND(VLOOKUP($T$33,'% DEDICACIÓN TRABAJADOR'!$D$37:$V$96,V$23,FALSE),4),"")</f>
        <v/>
      </c>
      <c r="W33" s="249" t="str">
        <f>IFERROR(ROUND(VLOOKUP($T$33,'% DEDICACIÓN TRABAJADOR'!$D$37:$V$96,W$23,FALSE),4),"")</f>
        <v/>
      </c>
      <c r="X33" s="249" t="str">
        <f>IFERROR(ROUND(VLOOKUP($T$33,'% DEDICACIÓN TRABAJADOR'!$D$37:$V$96,X$23,FALSE),4),"")</f>
        <v/>
      </c>
      <c r="Y33" s="249" t="str">
        <f>IFERROR(ROUND(VLOOKUP($T$33,'% DEDICACIÓN TRABAJADOR'!$D$37:$V$96,Y$23,FALSE),4),"")</f>
        <v/>
      </c>
      <c r="Z33" s="249" t="str">
        <f>IFERROR(ROUND(VLOOKUP($T$33,'% DEDICACIÓN TRABAJADOR'!$D$37:$V$96,Z$23,FALSE),4),"")</f>
        <v/>
      </c>
      <c r="AA33" s="249" t="str">
        <f>IFERROR(ROUND(VLOOKUP($T$33,'% DEDICACIÓN TRABAJADOR'!$D$37:$V$96,AA$23,FALSE),4),"")</f>
        <v/>
      </c>
      <c r="AB33" s="249" t="str">
        <f>IFERROR(ROUND(VLOOKUP($T$33,'% DEDICACIÓN TRABAJADOR'!$D$37:$V$96,AB$23,FALSE),4),"")</f>
        <v/>
      </c>
      <c r="AC33" s="249" t="str">
        <f>IFERROR(ROUND(VLOOKUP($T$33,'% DEDICACIÓN TRABAJADOR'!$D$37:$V$96,AC$23,FALSE),4),"")</f>
        <v/>
      </c>
      <c r="AD33" s="249" t="str">
        <f>IFERROR(ROUND(VLOOKUP($T$33,'% DEDICACIÓN TRABAJADOR'!$D$37:$V$96,AD$23,FALSE),4),"")</f>
        <v/>
      </c>
      <c r="AE33" s="249" t="str">
        <f>IFERROR(ROUND(VLOOKUP($T$33,'% DEDICACIÓN TRABAJADOR'!$D$37:$V$96,AE$23,FALSE),4),"")</f>
        <v/>
      </c>
      <c r="AF33" s="249" t="str">
        <f>IFERROR(ROUND(VLOOKUP($T$33,'% DEDICACIÓN TRABAJADOR'!$D$37:$V$96,AF$23,FALSE),4),"")</f>
        <v/>
      </c>
      <c r="AG33" s="249" t="str">
        <f>IFERROR(ROUND(VLOOKUP($T$33,'% DEDICACIÓN TRABAJADOR'!$D$37:$V$96,AG$23,FALSE),4),"")</f>
        <v/>
      </c>
    </row>
    <row r="34" spans="13:33" s="246" customFormat="1" ht="15" customHeight="1" x14ac:dyDescent="0.25">
      <c r="M34" s="436" t="str">
        <f>IF(AUXILIAR!Z80="x","",CONCATENATE("SUBTOTAL ",AUXILIAR!Z80))</f>
        <v/>
      </c>
      <c r="N34" s="436"/>
      <c r="O34" s="436"/>
      <c r="P34" s="248" t="str">
        <f t="shared" si="4"/>
        <v/>
      </c>
      <c r="Q34" s="260"/>
      <c r="R34" s="246" t="str">
        <f t="shared" si="5"/>
        <v/>
      </c>
      <c r="T34" s="246" t="str">
        <f t="shared" si="3"/>
        <v/>
      </c>
      <c r="U34" s="246">
        <f>COUNTIF('% DEDICACIÓN TRABAJADOR'!$D$37:$D$96,T34)</f>
        <v>0</v>
      </c>
      <c r="V34" s="249" t="str">
        <f>IFERROR(ROUND(VLOOKUP($T$34,'% DEDICACIÓN TRABAJADOR'!$D$37:$V$96,V$23,FALSE),4),"")</f>
        <v/>
      </c>
      <c r="W34" s="249" t="str">
        <f>IFERROR(ROUND(VLOOKUP($T$34,'% DEDICACIÓN TRABAJADOR'!$D$37:$V$96,W$23,FALSE),4),"")</f>
        <v/>
      </c>
      <c r="X34" s="249" t="str">
        <f>IFERROR(ROUND(VLOOKUP($T$34,'% DEDICACIÓN TRABAJADOR'!$D$37:$V$96,X$23,FALSE),4),"")</f>
        <v/>
      </c>
      <c r="Y34" s="249" t="str">
        <f>IFERROR(ROUND(VLOOKUP($T$34,'% DEDICACIÓN TRABAJADOR'!$D$37:$V$96,Y$23,FALSE),4),"")</f>
        <v/>
      </c>
      <c r="Z34" s="249" t="str">
        <f>IFERROR(ROUND(VLOOKUP($T$34,'% DEDICACIÓN TRABAJADOR'!$D$37:$V$96,Z$23,FALSE),4),"")</f>
        <v/>
      </c>
      <c r="AA34" s="249" t="str">
        <f>IFERROR(ROUND(VLOOKUP($T$34,'% DEDICACIÓN TRABAJADOR'!$D$37:$V$96,AA$23,FALSE),4),"")</f>
        <v/>
      </c>
      <c r="AB34" s="249" t="str">
        <f>IFERROR(ROUND(VLOOKUP($T$34,'% DEDICACIÓN TRABAJADOR'!$D$37:$V$96,AB$23,FALSE),4),"")</f>
        <v/>
      </c>
      <c r="AC34" s="249" t="str">
        <f>IFERROR(ROUND(VLOOKUP($T$34,'% DEDICACIÓN TRABAJADOR'!$D$37:$V$96,AC$23,FALSE),4),"")</f>
        <v/>
      </c>
      <c r="AD34" s="249" t="str">
        <f>IFERROR(ROUND(VLOOKUP($T$34,'% DEDICACIÓN TRABAJADOR'!$D$37:$V$96,AD$23,FALSE),4),"")</f>
        <v/>
      </c>
      <c r="AE34" s="249" t="str">
        <f>IFERROR(ROUND(VLOOKUP($T$34,'% DEDICACIÓN TRABAJADOR'!$D$37:$V$96,AE$23,FALSE),4),"")</f>
        <v/>
      </c>
      <c r="AF34" s="249" t="str">
        <f>IFERROR(ROUND(VLOOKUP($T$34,'% DEDICACIÓN TRABAJADOR'!$D$37:$V$96,AF$23,FALSE),4),"")</f>
        <v/>
      </c>
      <c r="AG34" s="249" t="str">
        <f>IFERROR(ROUND(VLOOKUP($T$34,'% DEDICACIÓN TRABAJADOR'!$D$37:$V$96,AG$23,FALSE),4),"")</f>
        <v/>
      </c>
    </row>
    <row r="35" spans="13:33" s="246" customFormat="1" ht="15" customHeight="1" x14ac:dyDescent="0.25">
      <c r="M35" s="436" t="str">
        <f>IF(AUXILIAR!Z81="x","",CONCATENATE("SUBTOTAL ",AUXILIAR!Z81))</f>
        <v/>
      </c>
      <c r="N35" s="436"/>
      <c r="O35" s="436"/>
      <c r="P35" s="248" t="str">
        <f t="shared" si="4"/>
        <v/>
      </c>
      <c r="Q35" s="260"/>
      <c r="R35" s="246" t="str">
        <f t="shared" si="5"/>
        <v/>
      </c>
      <c r="T35" s="246" t="str">
        <f t="shared" si="3"/>
        <v/>
      </c>
      <c r="U35" s="246">
        <f>COUNTIF('% DEDICACIÓN TRABAJADOR'!$D$37:$D$96,T35)</f>
        <v>0</v>
      </c>
      <c r="V35" s="249" t="str">
        <f>IFERROR(ROUND(VLOOKUP($T$35,'% DEDICACIÓN TRABAJADOR'!$D$37:$V$96,V$23,FALSE),4),"")</f>
        <v/>
      </c>
      <c r="W35" s="249" t="str">
        <f>IFERROR(ROUND(VLOOKUP($T$35,'% DEDICACIÓN TRABAJADOR'!$D$37:$V$96,W$23,FALSE),4),"")</f>
        <v/>
      </c>
      <c r="X35" s="249" t="str">
        <f>IFERROR(ROUND(VLOOKUP($T$35,'% DEDICACIÓN TRABAJADOR'!$D$37:$V$96,X$23,FALSE),4),"")</f>
        <v/>
      </c>
      <c r="Y35" s="249" t="str">
        <f>IFERROR(ROUND(VLOOKUP($T$35,'% DEDICACIÓN TRABAJADOR'!$D$37:$V$96,Y$23,FALSE),4),"")</f>
        <v/>
      </c>
      <c r="Z35" s="249" t="str">
        <f>IFERROR(ROUND(VLOOKUP($T$35,'% DEDICACIÓN TRABAJADOR'!$D$37:$V$96,Z$23,FALSE),4),"")</f>
        <v/>
      </c>
      <c r="AA35" s="249" t="str">
        <f>IFERROR(ROUND(VLOOKUP($T$35,'% DEDICACIÓN TRABAJADOR'!$D$37:$V$96,AA$23,FALSE),4),"")</f>
        <v/>
      </c>
      <c r="AB35" s="249" t="str">
        <f>IFERROR(ROUND(VLOOKUP($T$35,'% DEDICACIÓN TRABAJADOR'!$D$37:$V$96,AB$23,FALSE),4),"")</f>
        <v/>
      </c>
      <c r="AC35" s="249" t="str">
        <f>IFERROR(ROUND(VLOOKUP($T$35,'% DEDICACIÓN TRABAJADOR'!$D$37:$V$96,AC$23,FALSE),4),"")</f>
        <v/>
      </c>
      <c r="AD35" s="249" t="str">
        <f>IFERROR(ROUND(VLOOKUP($T$35,'% DEDICACIÓN TRABAJADOR'!$D$37:$V$96,AD$23,FALSE),4),"")</f>
        <v/>
      </c>
      <c r="AE35" s="249" t="str">
        <f>IFERROR(ROUND(VLOOKUP($T$35,'% DEDICACIÓN TRABAJADOR'!$D$37:$V$96,AE$23,FALSE),4),"")</f>
        <v/>
      </c>
      <c r="AF35" s="249" t="str">
        <f>IFERROR(ROUND(VLOOKUP($T$35,'% DEDICACIÓN TRABAJADOR'!$D$37:$V$96,AF$23,FALSE),4),"")</f>
        <v/>
      </c>
      <c r="AG35" s="249" t="str">
        <f>IFERROR(ROUND(VLOOKUP($T$35,'% DEDICACIÓN TRABAJADOR'!$D$37:$V$96,AG$23,FALSE),4),"")</f>
        <v/>
      </c>
    </row>
    <row r="36" spans="13:33" s="246" customFormat="1" ht="15" customHeight="1" x14ac:dyDescent="0.25">
      <c r="M36" s="436" t="str">
        <f>IF(AUXILIAR!Z82="x","",CONCATENATE("SUBTOTAL ",AUXILIAR!Z82))</f>
        <v/>
      </c>
      <c r="N36" s="436"/>
      <c r="O36" s="436"/>
      <c r="P36" s="248" t="str">
        <f t="shared" si="4"/>
        <v/>
      </c>
      <c r="Q36" s="260"/>
      <c r="R36" s="246" t="str">
        <f t="shared" si="5"/>
        <v/>
      </c>
      <c r="T36" s="246" t="str">
        <f t="shared" si="3"/>
        <v/>
      </c>
      <c r="U36" s="246">
        <f>COUNTIF('% DEDICACIÓN TRABAJADOR'!$D$37:$D$96,T36)</f>
        <v>0</v>
      </c>
      <c r="V36" s="249" t="str">
        <f>IFERROR(ROUND(VLOOKUP($T$36,'% DEDICACIÓN TRABAJADOR'!$D$37:$V$96,V$23,FALSE),4),"")</f>
        <v/>
      </c>
      <c r="W36" s="249" t="str">
        <f>IFERROR(ROUND(VLOOKUP($T$36,'% DEDICACIÓN TRABAJADOR'!$D$37:$V$96,W$23,FALSE),4),"")</f>
        <v/>
      </c>
      <c r="X36" s="249" t="str">
        <f>IFERROR(ROUND(VLOOKUP($T$36,'% DEDICACIÓN TRABAJADOR'!$D$37:$V$96,X$23,FALSE),4),"")</f>
        <v/>
      </c>
      <c r="Y36" s="249" t="str">
        <f>IFERROR(ROUND(VLOOKUP($T$36,'% DEDICACIÓN TRABAJADOR'!$D$37:$V$96,Y$23,FALSE),4),"")</f>
        <v/>
      </c>
      <c r="Z36" s="249" t="str">
        <f>IFERROR(ROUND(VLOOKUP($T$36,'% DEDICACIÓN TRABAJADOR'!$D$37:$V$96,Z$23,FALSE),4),"")</f>
        <v/>
      </c>
      <c r="AA36" s="249" t="str">
        <f>IFERROR(ROUND(VLOOKUP($T$36,'% DEDICACIÓN TRABAJADOR'!$D$37:$V$96,AA$23,FALSE),4),"")</f>
        <v/>
      </c>
      <c r="AB36" s="249" t="str">
        <f>IFERROR(ROUND(VLOOKUP($T$36,'% DEDICACIÓN TRABAJADOR'!$D$37:$V$96,AB$23,FALSE),4),"")</f>
        <v/>
      </c>
      <c r="AC36" s="249" t="str">
        <f>IFERROR(ROUND(VLOOKUP($T$36,'% DEDICACIÓN TRABAJADOR'!$D$37:$V$96,AC$23,FALSE),4),"")</f>
        <v/>
      </c>
      <c r="AD36" s="249" t="str">
        <f>IFERROR(ROUND(VLOOKUP($T$36,'% DEDICACIÓN TRABAJADOR'!$D$37:$V$96,AD$23,FALSE),4),"")</f>
        <v/>
      </c>
      <c r="AE36" s="249" t="str">
        <f>IFERROR(ROUND(VLOOKUP($T$36,'% DEDICACIÓN TRABAJADOR'!$D$37:$V$96,AE$23,FALSE),4),"")</f>
        <v/>
      </c>
      <c r="AF36" s="249" t="str">
        <f>IFERROR(ROUND(VLOOKUP($T$36,'% DEDICACIÓN TRABAJADOR'!$D$37:$V$96,AF$23,FALSE),4),"")</f>
        <v/>
      </c>
      <c r="AG36" s="249" t="str">
        <f>IFERROR(ROUND(VLOOKUP($T$36,'% DEDICACIÓN TRABAJADOR'!$D$37:$V$96,AG$23,FALSE),4),"")</f>
        <v/>
      </c>
    </row>
    <row r="37" spans="13:33" s="246" customFormat="1" ht="15" customHeight="1" x14ac:dyDescent="0.25">
      <c r="M37" s="436" t="str">
        <f>IF(AUXILIAR!Z83="x","",CONCATENATE("SUBTOTAL ",AUXILIAR!Z83))</f>
        <v/>
      </c>
      <c r="N37" s="436"/>
      <c r="O37" s="436"/>
      <c r="P37" s="248" t="str">
        <f t="shared" si="4"/>
        <v/>
      </c>
      <c r="Q37" s="260"/>
      <c r="R37" s="246" t="str">
        <f t="shared" si="5"/>
        <v/>
      </c>
      <c r="T37" s="246" t="str">
        <f t="shared" si="3"/>
        <v/>
      </c>
      <c r="U37" s="246">
        <f>COUNTIF('% DEDICACIÓN TRABAJADOR'!$D$37:$D$96,T37)</f>
        <v>0</v>
      </c>
      <c r="V37" s="249" t="str">
        <f>IFERROR(ROUND(VLOOKUP($T$37,'% DEDICACIÓN TRABAJADOR'!$D$37:$V$96,V$23,FALSE),4),"")</f>
        <v/>
      </c>
      <c r="W37" s="249" t="str">
        <f>IFERROR(ROUND(VLOOKUP($T$37,'% DEDICACIÓN TRABAJADOR'!$D$37:$V$96,W$23,FALSE),4),"")</f>
        <v/>
      </c>
      <c r="X37" s="249" t="str">
        <f>IFERROR(ROUND(VLOOKUP($T$37,'% DEDICACIÓN TRABAJADOR'!$D$37:$V$96,X$23,FALSE),4),"")</f>
        <v/>
      </c>
      <c r="Y37" s="249" t="str">
        <f>IFERROR(ROUND(VLOOKUP($T$37,'% DEDICACIÓN TRABAJADOR'!$D$37:$V$96,Y$23,FALSE),4),"")</f>
        <v/>
      </c>
      <c r="Z37" s="249" t="str">
        <f>IFERROR(ROUND(VLOOKUP($T$37,'% DEDICACIÓN TRABAJADOR'!$D$37:$V$96,Z$23,FALSE),4),"")</f>
        <v/>
      </c>
      <c r="AA37" s="249" t="str">
        <f>IFERROR(ROUND(VLOOKUP($T$37,'% DEDICACIÓN TRABAJADOR'!$D$37:$V$96,AA$23,FALSE),4),"")</f>
        <v/>
      </c>
      <c r="AB37" s="249" t="str">
        <f>IFERROR(ROUND(VLOOKUP($T$37,'% DEDICACIÓN TRABAJADOR'!$D$37:$V$96,AB$23,FALSE),4),"")</f>
        <v/>
      </c>
      <c r="AC37" s="249" t="str">
        <f>IFERROR(ROUND(VLOOKUP($T$37,'% DEDICACIÓN TRABAJADOR'!$D$37:$V$96,AC$23,FALSE),4),"")</f>
        <v/>
      </c>
      <c r="AD37" s="249" t="str">
        <f>IFERROR(ROUND(VLOOKUP($T$37,'% DEDICACIÓN TRABAJADOR'!$D$37:$V$96,AD$23,FALSE),4),"")</f>
        <v/>
      </c>
      <c r="AE37" s="249" t="str">
        <f>IFERROR(ROUND(VLOOKUP($T$37,'% DEDICACIÓN TRABAJADOR'!$D$37:$V$96,AE$23,FALSE),4),"")</f>
        <v/>
      </c>
      <c r="AF37" s="249" t="str">
        <f>IFERROR(ROUND(VLOOKUP($T$37,'% DEDICACIÓN TRABAJADOR'!$D$37:$V$96,AF$23,FALSE),4),"")</f>
        <v/>
      </c>
      <c r="AG37" s="249" t="str">
        <f>IFERROR(ROUND(VLOOKUP($T$37,'% DEDICACIÓN TRABAJADOR'!$D$37:$V$96,AG$23,FALSE),4),"")</f>
        <v/>
      </c>
    </row>
    <row r="38" spans="13:33" s="246" customFormat="1" ht="15" customHeight="1" x14ac:dyDescent="0.25">
      <c r="M38" s="436" t="str">
        <f>IF(AUXILIAR!Z84="x","",CONCATENATE("SUBTOTAL ",AUXILIAR!Z84))</f>
        <v/>
      </c>
      <c r="N38" s="436"/>
      <c r="O38" s="436"/>
      <c r="P38" s="248" t="str">
        <f t="shared" si="4"/>
        <v/>
      </c>
      <c r="Q38" s="260"/>
      <c r="R38" s="246" t="str">
        <f t="shared" si="5"/>
        <v/>
      </c>
      <c r="T38" s="246" t="str">
        <f t="shared" si="3"/>
        <v/>
      </c>
      <c r="U38" s="246">
        <f>COUNTIF('% DEDICACIÓN TRABAJADOR'!$D$37:$D$96,T38)</f>
        <v>0</v>
      </c>
      <c r="V38" s="249" t="str">
        <f>IFERROR(ROUND(VLOOKUP($T$38,'% DEDICACIÓN TRABAJADOR'!$D$37:$V$96,V$23,FALSE),4),"")</f>
        <v/>
      </c>
      <c r="W38" s="249" t="str">
        <f>IFERROR(ROUND(VLOOKUP($T$38,'% DEDICACIÓN TRABAJADOR'!$D$37:$V$96,W$23,FALSE),4),"")</f>
        <v/>
      </c>
      <c r="X38" s="249" t="str">
        <f>IFERROR(ROUND(VLOOKUP($T$38,'% DEDICACIÓN TRABAJADOR'!$D$37:$V$96,X$23,FALSE),4),"")</f>
        <v/>
      </c>
      <c r="Y38" s="249" t="str">
        <f>IFERROR(ROUND(VLOOKUP($T$38,'% DEDICACIÓN TRABAJADOR'!$D$37:$V$96,Y$23,FALSE),4),"")</f>
        <v/>
      </c>
      <c r="Z38" s="249" t="str">
        <f>IFERROR(ROUND(VLOOKUP($T$38,'% DEDICACIÓN TRABAJADOR'!$D$37:$V$96,Z$23,FALSE),4),"")</f>
        <v/>
      </c>
      <c r="AA38" s="249" t="str">
        <f>IFERROR(ROUND(VLOOKUP($T$38,'% DEDICACIÓN TRABAJADOR'!$D$37:$V$96,AA$23,FALSE),4),"")</f>
        <v/>
      </c>
      <c r="AB38" s="249" t="str">
        <f>IFERROR(ROUND(VLOOKUP($T$38,'% DEDICACIÓN TRABAJADOR'!$D$37:$V$96,AB$23,FALSE),4),"")</f>
        <v/>
      </c>
      <c r="AC38" s="249" t="str">
        <f>IFERROR(ROUND(VLOOKUP($T$38,'% DEDICACIÓN TRABAJADOR'!$D$37:$V$96,AC$23,FALSE),4),"")</f>
        <v/>
      </c>
      <c r="AD38" s="249" t="str">
        <f>IFERROR(ROUND(VLOOKUP($T$38,'% DEDICACIÓN TRABAJADOR'!$D$37:$V$96,AD$23,FALSE),4),"")</f>
        <v/>
      </c>
      <c r="AE38" s="249" t="str">
        <f>IFERROR(ROUND(VLOOKUP($T$38,'% DEDICACIÓN TRABAJADOR'!$D$37:$V$96,AE$23,FALSE),4),"")</f>
        <v/>
      </c>
      <c r="AF38" s="249" t="str">
        <f>IFERROR(ROUND(VLOOKUP($T$38,'% DEDICACIÓN TRABAJADOR'!$D$37:$V$96,AF$23,FALSE),4),"")</f>
        <v/>
      </c>
      <c r="AG38" s="249" t="str">
        <f>IFERROR(ROUND(VLOOKUP($T$38,'% DEDICACIÓN TRABAJADOR'!$D$37:$V$96,AG$23,FALSE),4),"")</f>
        <v/>
      </c>
    </row>
    <row r="39" spans="13:33" s="246" customFormat="1" ht="15" customHeight="1" x14ac:dyDescent="0.25">
      <c r="M39" s="436" t="str">
        <f>IF(AUXILIAR!Z85="x","",CONCATENATE("SUBTOTAL ",AUXILIAR!Z85))</f>
        <v/>
      </c>
      <c r="N39" s="436"/>
      <c r="O39" s="436"/>
      <c r="P39" s="248" t="str">
        <f t="shared" si="4"/>
        <v/>
      </c>
      <c r="Q39" s="260"/>
      <c r="R39" s="246" t="str">
        <f t="shared" si="5"/>
        <v/>
      </c>
      <c r="T39" s="246" t="str">
        <f t="shared" si="3"/>
        <v/>
      </c>
      <c r="U39" s="246">
        <f>COUNTIF('% DEDICACIÓN TRABAJADOR'!$D$37:$D$96,T39)</f>
        <v>0</v>
      </c>
      <c r="V39" s="249" t="str">
        <f>IFERROR(ROUND(VLOOKUP($T$39,'% DEDICACIÓN TRABAJADOR'!$D$37:$V$96,V$23,FALSE),4),"")</f>
        <v/>
      </c>
      <c r="W39" s="249" t="str">
        <f>IFERROR(ROUND(VLOOKUP($T$39,'% DEDICACIÓN TRABAJADOR'!$D$37:$V$96,W$23,FALSE),4),"")</f>
        <v/>
      </c>
      <c r="X39" s="249" t="str">
        <f>IFERROR(ROUND(VLOOKUP($T$39,'% DEDICACIÓN TRABAJADOR'!$D$37:$V$96,X$23,FALSE),4),"")</f>
        <v/>
      </c>
      <c r="Y39" s="249" t="str">
        <f>IFERROR(ROUND(VLOOKUP($T$39,'% DEDICACIÓN TRABAJADOR'!$D$37:$V$96,Y$23,FALSE),4),"")</f>
        <v/>
      </c>
      <c r="Z39" s="249" t="str">
        <f>IFERROR(ROUND(VLOOKUP($T$39,'% DEDICACIÓN TRABAJADOR'!$D$37:$V$96,Z$23,FALSE),4),"")</f>
        <v/>
      </c>
      <c r="AA39" s="249" t="str">
        <f>IFERROR(ROUND(VLOOKUP($T$39,'% DEDICACIÓN TRABAJADOR'!$D$37:$V$96,AA$23,FALSE),4),"")</f>
        <v/>
      </c>
      <c r="AB39" s="249" t="str">
        <f>IFERROR(ROUND(VLOOKUP($T$39,'% DEDICACIÓN TRABAJADOR'!$D$37:$V$96,AB$23,FALSE),4),"")</f>
        <v/>
      </c>
      <c r="AC39" s="249" t="str">
        <f>IFERROR(ROUND(VLOOKUP($T$39,'% DEDICACIÓN TRABAJADOR'!$D$37:$V$96,AC$23,FALSE),4),"")</f>
        <v/>
      </c>
      <c r="AD39" s="249" t="str">
        <f>IFERROR(ROUND(VLOOKUP($T$39,'% DEDICACIÓN TRABAJADOR'!$D$37:$V$96,AD$23,FALSE),4),"")</f>
        <v/>
      </c>
      <c r="AE39" s="249" t="str">
        <f>IFERROR(ROUND(VLOOKUP($T$39,'% DEDICACIÓN TRABAJADOR'!$D$37:$V$96,AE$23,FALSE),4),"")</f>
        <v/>
      </c>
      <c r="AF39" s="249" t="str">
        <f>IFERROR(ROUND(VLOOKUP($T$39,'% DEDICACIÓN TRABAJADOR'!$D$37:$V$96,AF$23,FALSE),4),"")</f>
        <v/>
      </c>
      <c r="AG39" s="249" t="str">
        <f>IFERROR(ROUND(VLOOKUP($T$39,'% DEDICACIÓN TRABAJADOR'!$D$37:$V$96,AG$23,FALSE),4),"")</f>
        <v/>
      </c>
    </row>
    <row r="40" spans="13:33" ht="14.25" x14ac:dyDescent="0.25">
      <c r="Q40" s="260"/>
    </row>
  </sheetData>
  <sheetProtection algorithmName="SHA-512" hashValue="1MJSU9ylfm+9gZk6u2cs5Tfr/CHh/80UaLQzLb1/jXfejjmrVvEeGJDPPrD2mw9IdF7btE3GZmERMBVIpQLB5A==" saltValue="xvDURrm3rPk+PIpsraUbdA==" spinCount="100000" sheet="1" objects="1" scenarios="1" selectLockedCells="1" selectUnlockedCells="1"/>
  <mergeCells count="23">
    <mergeCell ref="M29:O29"/>
    <mergeCell ref="B8:B9"/>
    <mergeCell ref="C8:C9"/>
    <mergeCell ref="D8:F8"/>
    <mergeCell ref="G8:I8"/>
    <mergeCell ref="K8:M8"/>
    <mergeCell ref="N8:N9"/>
    <mergeCell ref="O8:O9"/>
    <mergeCell ref="P8:P9"/>
    <mergeCell ref="M25:O25"/>
    <mergeCell ref="M26:O26"/>
    <mergeCell ref="M27:O27"/>
    <mergeCell ref="M28:O28"/>
    <mergeCell ref="M36:O36"/>
    <mergeCell ref="M37:O37"/>
    <mergeCell ref="M38:O38"/>
    <mergeCell ref="M39:O39"/>
    <mergeCell ref="M30:O30"/>
    <mergeCell ref="M31:O31"/>
    <mergeCell ref="M32:O32"/>
    <mergeCell ref="M33:O33"/>
    <mergeCell ref="M34:O34"/>
    <mergeCell ref="M35:O35"/>
  </mergeCells>
  <conditionalFormatting sqref="P23">
    <cfRule type="expression" dxfId="9" priority="19">
      <formula>OR($T$4&gt;0,$T$6="SI")</formula>
    </cfRule>
  </conditionalFormatting>
  <conditionalFormatting sqref="R23">
    <cfRule type="cellIs" dxfId="8" priority="2" operator="notEqual">
      <formula>""</formula>
    </cfRule>
  </conditionalFormatting>
  <conditionalFormatting sqref="R25:R39">
    <cfRule type="cellIs" dxfId="7" priority="1" operator="notEqual">
      <formula>""</formula>
    </cfRule>
  </conditionalFormatting>
  <printOptions horizontalCentered="1"/>
  <pageMargins left="0.39370078740157483" right="0.39370078740157483" top="0.59055118110236227" bottom="0.39370078740157483" header="0.19685039370078741" footer="0.19685039370078741"/>
  <pageSetup paperSize="9" scale="6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7" id="{0D08FE06-C1C1-4AB6-A037-F8D1A9633D30}">
            <xm:f>'% DEDICACIÓN TRABAJADOR'!$K$31=0</xm:f>
            <x14:dxf>
              <font>
                <color theme="0"/>
              </font>
            </x14:dxf>
          </x14:cfRule>
          <xm:sqref>D10:O10</xm:sqref>
        </x14:conditionalFormatting>
        <x14:conditionalFormatting xmlns:xm="http://schemas.microsoft.com/office/excel/2006/main">
          <x14:cfRule type="expression" priority="8" id="{38D99ECE-1182-476C-B9F4-99E4E1A0DC1C}">
            <xm:f>'% DEDICACIÓN TRABAJADOR'!$L$31=0</xm:f>
            <x14:dxf>
              <font>
                <color theme="0"/>
              </font>
            </x14:dxf>
          </x14:cfRule>
          <xm:sqref>D11:O11</xm:sqref>
        </x14:conditionalFormatting>
        <x14:conditionalFormatting xmlns:xm="http://schemas.microsoft.com/office/excel/2006/main">
          <x14:cfRule type="expression" priority="9" id="{36FD0A64-A44D-4CBC-96AF-63EB5B495479}">
            <xm:f>'% DEDICACIÓN TRABAJADOR'!$M$31=0</xm:f>
            <x14:dxf>
              <font>
                <color theme="0"/>
              </font>
            </x14:dxf>
          </x14:cfRule>
          <xm:sqref>D12:O12</xm:sqref>
        </x14:conditionalFormatting>
        <x14:conditionalFormatting xmlns:xm="http://schemas.microsoft.com/office/excel/2006/main">
          <x14:cfRule type="expression" priority="10" id="{CAAB4262-33FC-4159-919E-AC18C66FE6CF}">
            <xm:f>'% DEDICACIÓN TRABAJADOR'!$N$31=0</xm:f>
            <x14:dxf>
              <font>
                <color theme="0"/>
              </font>
            </x14:dxf>
          </x14:cfRule>
          <xm:sqref>D13:O13</xm:sqref>
        </x14:conditionalFormatting>
        <x14:conditionalFormatting xmlns:xm="http://schemas.microsoft.com/office/excel/2006/main">
          <x14:cfRule type="expression" priority="11" id="{3225A2F2-4A3F-4045-9812-C586D390E351}">
            <xm:f>'% DEDICACIÓN TRABAJADOR'!$O$31=0</xm:f>
            <x14:dxf>
              <font>
                <color theme="0"/>
              </font>
            </x14:dxf>
          </x14:cfRule>
          <xm:sqref>D14:O14</xm:sqref>
        </x14:conditionalFormatting>
        <x14:conditionalFormatting xmlns:xm="http://schemas.microsoft.com/office/excel/2006/main">
          <x14:cfRule type="expression" priority="12" id="{E0FD7153-F38F-4E21-A7FA-C16DCAE7B4F8}">
            <xm:f>'% DEDICACIÓN TRABAJADOR'!$P$31=0</xm:f>
            <x14:dxf>
              <font>
                <color theme="0"/>
              </font>
            </x14:dxf>
          </x14:cfRule>
          <xm:sqref>D15:O15</xm:sqref>
        </x14:conditionalFormatting>
        <x14:conditionalFormatting xmlns:xm="http://schemas.microsoft.com/office/excel/2006/main">
          <x14:cfRule type="expression" priority="13" id="{EAAA175F-4390-442C-917A-28D1BF9F0216}">
            <xm:f>'% DEDICACIÓN TRABAJADOR'!$Q$31=0</xm:f>
            <x14:dxf>
              <font>
                <color theme="0"/>
              </font>
            </x14:dxf>
          </x14:cfRule>
          <xm:sqref>D16:O16</xm:sqref>
        </x14:conditionalFormatting>
        <x14:conditionalFormatting xmlns:xm="http://schemas.microsoft.com/office/excel/2006/main">
          <x14:cfRule type="expression" priority="14" id="{447958F3-C4C2-4232-9924-37BD4D8E9676}">
            <xm:f>'% DEDICACIÓN TRABAJADOR'!$R$31=0</xm:f>
            <x14:dxf>
              <font>
                <color theme="0"/>
              </font>
            </x14:dxf>
          </x14:cfRule>
          <xm:sqref>D17:O17</xm:sqref>
        </x14:conditionalFormatting>
        <x14:conditionalFormatting xmlns:xm="http://schemas.microsoft.com/office/excel/2006/main">
          <x14:cfRule type="expression" priority="15" id="{7F169AFD-0ED0-4F8A-8929-AE30635E7339}">
            <xm:f>'% DEDICACIÓN TRABAJADOR'!$S$31=0</xm:f>
            <x14:dxf>
              <font>
                <color theme="0"/>
              </font>
            </x14:dxf>
          </x14:cfRule>
          <xm:sqref>D18:O18</xm:sqref>
        </x14:conditionalFormatting>
        <x14:conditionalFormatting xmlns:xm="http://schemas.microsoft.com/office/excel/2006/main">
          <x14:cfRule type="expression" priority="16" id="{998281A1-707B-4A8D-A4CE-147D1B22912F}">
            <xm:f>'% DEDICACIÓN TRABAJADOR'!$T$31=0</xm:f>
            <x14:dxf>
              <font>
                <color theme="0"/>
              </font>
            </x14:dxf>
          </x14:cfRule>
          <xm:sqref>D19:O19</xm:sqref>
        </x14:conditionalFormatting>
        <x14:conditionalFormatting xmlns:xm="http://schemas.microsoft.com/office/excel/2006/main">
          <x14:cfRule type="expression" priority="17" id="{093D0E8A-5084-4294-9F42-569940691203}">
            <xm:f>'% DEDICACIÓN TRABAJADOR'!$U$31=0</xm:f>
            <x14:dxf>
              <font>
                <color theme="0"/>
              </font>
            </x14:dxf>
          </x14:cfRule>
          <xm:sqref>D20:O20</xm:sqref>
        </x14:conditionalFormatting>
        <x14:conditionalFormatting xmlns:xm="http://schemas.microsoft.com/office/excel/2006/main">
          <x14:cfRule type="expression" priority="18" id="{503A9217-2FB9-4A2C-9AA6-6A256F3DBF35}">
            <xm:f>'% DEDICACIÓN TRABAJADOR'!$V$31=0</xm:f>
            <x14:dxf>
              <font>
                <color theme="0"/>
              </font>
            </x14:dxf>
          </x14:cfRule>
          <xm:sqref>D21:O21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8BD-40F6-4404-93F2-6167CB5230DB}">
  <dimension ref="B2:Q74"/>
  <sheetViews>
    <sheetView showGridLines="0" zoomScaleNormal="100" workbookViewId="0">
      <selection activeCell="B15" sqref="B15"/>
    </sheetView>
  </sheetViews>
  <sheetFormatPr baseColWidth="10" defaultRowHeight="13.5" x14ac:dyDescent="0.25"/>
  <cols>
    <col min="1" max="1" width="5.5703125" customWidth="1"/>
    <col min="2" max="2" width="13.42578125" bestFit="1" customWidth="1"/>
    <col min="3" max="3" width="12.42578125" bestFit="1" customWidth="1"/>
    <col min="4" max="4" width="65.5703125" customWidth="1"/>
    <col min="5" max="5" width="13.5703125" style="197" customWidth="1"/>
    <col min="6" max="6" width="5.5703125" customWidth="1"/>
    <col min="7" max="7" width="59" bestFit="1" customWidth="1"/>
    <col min="8" max="10" width="0" hidden="1" customWidth="1"/>
    <col min="11" max="16" width="0" style="238" hidden="1" customWidth="1"/>
    <col min="17" max="17" width="0" hidden="1" customWidth="1"/>
  </cols>
  <sheetData>
    <row r="2" spans="2:17" ht="20.100000000000001" customHeight="1" x14ac:dyDescent="0.25">
      <c r="B2" s="191"/>
      <c r="C2" s="191"/>
      <c r="E2" s="196"/>
      <c r="F2" s="192"/>
      <c r="G2" s="36"/>
    </row>
    <row r="3" spans="2:17" ht="20.100000000000001" customHeight="1" x14ac:dyDescent="0.25">
      <c r="B3" s="179"/>
      <c r="C3" s="179"/>
      <c r="D3" s="179"/>
      <c r="E3" s="207" t="str">
        <f>'LINEAS CON DEDICACIÓN'!C4</f>
        <v>Nº DE EXPEDIENTE: 2023.11.ACEE.0000</v>
      </c>
      <c r="F3" s="36"/>
      <c r="H3" s="36" t="s">
        <v>263</v>
      </c>
      <c r="K3" s="238">
        <f>SUM(L3:Q3)</f>
        <v>0</v>
      </c>
      <c r="L3" s="238">
        <f>'% DEDICACIÓN TRABAJADOR'!E31</f>
        <v>0</v>
      </c>
      <c r="M3" s="238">
        <f>SUM('% DEDICACIÓN TRABAJADOR'!E32:E35)</f>
        <v>0</v>
      </c>
      <c r="N3" s="238">
        <f>'RESUMEN TRABAJADOR ACTUACIÓN 1'!T4</f>
        <v>0</v>
      </c>
      <c r="O3" s="238">
        <f>'RESUMEN TRABAJADOR ACTUACIÓN 2'!T4</f>
        <v>0</v>
      </c>
      <c r="P3" s="238">
        <f>'RESUMEN TRABAJADOR ACTUACIÓN 3'!T4</f>
        <v>0</v>
      </c>
      <c r="Q3" s="238">
        <f>'RESUMEN TRABAJADOR ACTUACIÓN 4'!T4</f>
        <v>0</v>
      </c>
    </row>
    <row r="4" spans="2:17" ht="20.100000000000001" customHeight="1" x14ac:dyDescent="0.25">
      <c r="F4" s="178"/>
      <c r="H4" s="36" t="s">
        <v>264</v>
      </c>
      <c r="K4" s="238">
        <f>IF(OR(N4="SI",O4="SI",P4="SI",Q4="SI"),1,0)</f>
        <v>0</v>
      </c>
      <c r="N4" s="238" t="str">
        <f>'RESUMEN TRABAJADOR ACTUACIÓN 1'!T6</f>
        <v>NO</v>
      </c>
      <c r="O4" s="238" t="str">
        <f>'RESUMEN TRABAJADOR ACTUACIÓN 2'!T6</f>
        <v>NO</v>
      </c>
      <c r="P4" s="238" t="str">
        <f>'RESUMEN TRABAJADOR ACTUACIÓN 3'!T6</f>
        <v>NO</v>
      </c>
      <c r="Q4" s="238" t="str">
        <f>'RESUMEN TRABAJADOR ACTUACIÓN 4'!T6</f>
        <v>NO</v>
      </c>
    </row>
    <row r="5" spans="2:17" ht="20.100000000000001" customHeight="1" x14ac:dyDescent="0.25">
      <c r="E5" s="46" t="str">
        <f>'LINEAS CON DEDICACIÓN'!C6</f>
        <v xml:space="preserve">TRABAJADOR:   </v>
      </c>
      <c r="F5" s="178"/>
      <c r="G5" s="36"/>
    </row>
    <row r="6" spans="2:17" ht="20.100000000000001" customHeight="1" x14ac:dyDescent="0.25">
      <c r="E6" s="46" t="str">
        <f>'LINEAS CON DEDICACIÓN'!C7</f>
        <v xml:space="preserve">ACRÓNIMO: </v>
      </c>
    </row>
    <row r="7" spans="2:17" ht="20.100000000000001" customHeight="1" x14ac:dyDescent="0.25"/>
    <row r="8" spans="2:17" ht="20.100000000000001" customHeight="1" x14ac:dyDescent="0.25">
      <c r="D8" s="199" t="s">
        <v>97</v>
      </c>
      <c r="E8" s="198">
        <f>IF(OR($K$3&gt;0,$K$4&gt;0),0,SUM(E15:E74))</f>
        <v>0</v>
      </c>
      <c r="G8" t="str">
        <f>IF(K3&gt;0,"EXISTE ALGÚN PORCENTAJE DE DEDICACIÓN SUPERIOR AL 100%",IF(K4&gt;0,"EXISTEN LÍNEAS SELECCIONADAS EN MÁS DE UNA OCASIÓN",""))</f>
        <v/>
      </c>
    </row>
    <row r="9" spans="2:17" ht="20.100000000000001" customHeight="1" x14ac:dyDescent="0.25">
      <c r="D9" s="200" t="s">
        <v>248</v>
      </c>
      <c r="E9" s="197">
        <f>IF(OR($K$3&gt;0,$K$4&gt;0),0,'RESUMEN TRABAJADOR ACTUACIÓN 1'!P23)</f>
        <v>0</v>
      </c>
    </row>
    <row r="10" spans="2:17" ht="20.100000000000001" customHeight="1" x14ac:dyDescent="0.25">
      <c r="D10" s="200" t="s">
        <v>249</v>
      </c>
      <c r="E10" s="197">
        <f>IF(OR($K$3&gt;0,$K$4&gt;0),0,'RESUMEN TRABAJADOR ACTUACIÓN 2'!P23)</f>
        <v>0</v>
      </c>
    </row>
    <row r="11" spans="2:17" ht="20.100000000000001" customHeight="1" x14ac:dyDescent="0.25">
      <c r="D11" s="200" t="s">
        <v>250</v>
      </c>
      <c r="E11" s="197">
        <f>IF(OR($K$3&gt;0,$K$4&gt;0),0,'RESUMEN TRABAJADOR ACTUACIÓN 3'!P23)</f>
        <v>0</v>
      </c>
    </row>
    <row r="12" spans="2:17" ht="20.100000000000001" customHeight="1" x14ac:dyDescent="0.25">
      <c r="D12" s="200" t="s">
        <v>251</v>
      </c>
      <c r="E12" s="197">
        <f>IF(OR($K$3&gt;0,$K$4&gt;0),0,'RESUMEN TRABAJADOR ACTUACIÓN 4'!P23)</f>
        <v>0</v>
      </c>
    </row>
    <row r="13" spans="2:17" ht="20.100000000000001" customHeight="1" x14ac:dyDescent="0.25"/>
    <row r="14" spans="2:17" s="44" customFormat="1" ht="20.100000000000001" customHeight="1" x14ac:dyDescent="0.25">
      <c r="B14" s="45" t="s">
        <v>257</v>
      </c>
      <c r="C14" s="45" t="s">
        <v>252</v>
      </c>
      <c r="D14" s="45" t="s">
        <v>242</v>
      </c>
      <c r="E14" s="201" t="s">
        <v>243</v>
      </c>
      <c r="F14"/>
    </row>
    <row r="15" spans="2:17" ht="35.1" customHeight="1" x14ac:dyDescent="0.25">
      <c r="B15" s="208" t="str">
        <f>IF(C15="","",'IDENTIFICACIÓN TRABAJADOR'!$D$14)</f>
        <v/>
      </c>
      <c r="C15" s="203" t="str">
        <f>IF(AUXILIAR!J88="X","",AUXILIAR!J88)</f>
        <v/>
      </c>
      <c r="D15" s="209" t="str">
        <f>IF(C15="","",IF(VALUE(MID(C15,7,1))=1,VLOOKUP(C15,'LINEAS CON DEDICACIÓN'!$B$17:$C$31,2,FALSE),IF(VALUE(MID(C15,7,1))=2,VLOOKUP(C15,'LINEAS CON DEDICACIÓN'!$F$17:$G$31,2,FALSE),IF(VALUE(MID(C15,7,1))=3,VLOOKUP(C15,'LINEAS CON DEDICACIÓN'!$J$17:$K$31,2,FALSE),IF(VALUE(MID(C15,7,1))=4,VLOOKUP(C15,'LINEAS CON DEDICACIÓN'!$N$17:$O$31,2,FALSE))))))</f>
        <v/>
      </c>
      <c r="E15" s="210" t="str">
        <f>IF(OR($K$3&gt;0,$K$4&gt;0),"",IF(AUXILIAR!J88="X","",IF(AND(AUXILIAR!J88&lt;&gt;"X",AUXILIAR!K88=""),0,AUXILIAR!K88)))</f>
        <v/>
      </c>
    </row>
    <row r="16" spans="2:17" ht="35.1" customHeight="1" x14ac:dyDescent="0.25">
      <c r="B16" s="208" t="str">
        <f>IF(C16="","",'IDENTIFICACIÓN TRABAJADOR'!$D$14)</f>
        <v/>
      </c>
      <c r="C16" s="203" t="str">
        <f>IF(AUXILIAR!J89="X","",AUXILIAR!J89)</f>
        <v/>
      </c>
      <c r="D16" s="209" t="str">
        <f>IF(C16="","",IF(VALUE(MID(C16,7,1))=1,VLOOKUP(C16,'LINEAS CON DEDICACIÓN'!$B$17:$C$31,2,FALSE),IF(VALUE(MID(C16,7,1))=2,VLOOKUP(C16,'LINEAS CON DEDICACIÓN'!$F$17:$G$31,2,FALSE),IF(VALUE(MID(C16,7,1))=3,VLOOKUP(C16,'LINEAS CON DEDICACIÓN'!$J$17:$K$31,2,FALSE),IF(VALUE(MID(C16,7,1))=4,VLOOKUP(C16,'LINEAS CON DEDICACIÓN'!$N$17:$O$31,2,FALSE))))))</f>
        <v/>
      </c>
      <c r="E16" s="210" t="str">
        <f>IF(OR($K$3&gt;0,$K$4&gt;0),"",IF(AUXILIAR!J89="X","",IF(AND(AUXILIAR!J89&lt;&gt;"X",AUXILIAR!K89=""),0,AUXILIAR!K89)))</f>
        <v/>
      </c>
    </row>
    <row r="17" spans="2:5" ht="35.1" customHeight="1" x14ac:dyDescent="0.25">
      <c r="B17" s="208" t="str">
        <f>IF(C17="","",'IDENTIFICACIÓN TRABAJADOR'!$D$14)</f>
        <v/>
      </c>
      <c r="C17" s="203" t="str">
        <f>IF(AUXILIAR!J90="X","",AUXILIAR!J90)</f>
        <v/>
      </c>
      <c r="D17" s="209" t="str">
        <f>IF(C17="","",IF(VALUE(MID(C17,7,1))=1,VLOOKUP(C17,'LINEAS CON DEDICACIÓN'!$B$17:$C$31,2,FALSE),IF(VALUE(MID(C17,7,1))=2,VLOOKUP(C17,'LINEAS CON DEDICACIÓN'!$F$17:$G$31,2,FALSE),IF(VALUE(MID(C17,7,1))=3,VLOOKUP(C17,'LINEAS CON DEDICACIÓN'!$J$17:$K$31,2,FALSE),IF(VALUE(MID(C17,7,1))=4,VLOOKUP(C17,'LINEAS CON DEDICACIÓN'!$N$17:$O$31,2,FALSE))))))</f>
        <v/>
      </c>
      <c r="E17" s="210" t="str">
        <f>IF(OR($K$3&gt;0,$K$4&gt;0),"",IF(AUXILIAR!J90="X","",IF(AND(AUXILIAR!J90&lt;&gt;"X",AUXILIAR!K90=""),0,AUXILIAR!K90)))</f>
        <v/>
      </c>
    </row>
    <row r="18" spans="2:5" ht="35.1" customHeight="1" x14ac:dyDescent="0.25">
      <c r="B18" s="208" t="str">
        <f>IF(C18="","",'IDENTIFICACIÓN TRABAJADOR'!$D$14)</f>
        <v/>
      </c>
      <c r="C18" s="203" t="str">
        <f>IF(AUXILIAR!J91="X","",AUXILIAR!J91)</f>
        <v/>
      </c>
      <c r="D18" s="209" t="str">
        <f>IF(C18="","",IF(VALUE(MID(C18,7,1))=1,VLOOKUP(C18,'LINEAS CON DEDICACIÓN'!$B$17:$C$31,2,FALSE),IF(VALUE(MID(C18,7,1))=2,VLOOKUP(C18,'LINEAS CON DEDICACIÓN'!$F$17:$G$31,2,FALSE),IF(VALUE(MID(C18,7,1))=3,VLOOKUP(C18,'LINEAS CON DEDICACIÓN'!$J$17:$K$31,2,FALSE),IF(VALUE(MID(C18,7,1))=4,VLOOKUP(C18,'LINEAS CON DEDICACIÓN'!$N$17:$O$31,2,FALSE))))))</f>
        <v/>
      </c>
      <c r="E18" s="210" t="str">
        <f>IF(OR($K$3&gt;0,$K$4&gt;0),"",IF(AUXILIAR!J91="X","",IF(AND(AUXILIAR!J91&lt;&gt;"X",AUXILIAR!K91=""),0,AUXILIAR!K91)))</f>
        <v/>
      </c>
    </row>
    <row r="19" spans="2:5" ht="35.1" customHeight="1" x14ac:dyDescent="0.25">
      <c r="B19" s="208" t="str">
        <f>IF(C19="","",'IDENTIFICACIÓN TRABAJADOR'!$D$14)</f>
        <v/>
      </c>
      <c r="C19" s="203" t="str">
        <f>IF(AUXILIAR!J92="X","",AUXILIAR!J92)</f>
        <v/>
      </c>
      <c r="D19" s="209" t="str">
        <f>IF(C19="","",IF(VALUE(MID(C19,7,1))=1,VLOOKUP(C19,'LINEAS CON DEDICACIÓN'!$B$17:$C$31,2,FALSE),IF(VALUE(MID(C19,7,1))=2,VLOOKUP(C19,'LINEAS CON DEDICACIÓN'!$F$17:$G$31,2,FALSE),IF(VALUE(MID(C19,7,1))=3,VLOOKUP(C19,'LINEAS CON DEDICACIÓN'!$J$17:$K$31,2,FALSE),IF(VALUE(MID(C19,7,1))=4,VLOOKUP(C19,'LINEAS CON DEDICACIÓN'!$N$17:$O$31,2,FALSE))))))</f>
        <v/>
      </c>
      <c r="E19" s="210" t="str">
        <f>IF(OR($K$3&gt;0,$K$4&gt;0),"",IF(AUXILIAR!J92="X","",IF(AND(AUXILIAR!J92&lt;&gt;"X",AUXILIAR!K92=""),0,AUXILIAR!K92)))</f>
        <v/>
      </c>
    </row>
    <row r="20" spans="2:5" ht="35.1" customHeight="1" x14ac:dyDescent="0.25">
      <c r="B20" s="208" t="str">
        <f>IF(C20="","",'IDENTIFICACIÓN TRABAJADOR'!$D$14)</f>
        <v/>
      </c>
      <c r="C20" s="203" t="str">
        <f>IF(AUXILIAR!J93="X","",AUXILIAR!J93)</f>
        <v/>
      </c>
      <c r="D20" s="209" t="str">
        <f>IF(C20="","",IF(VALUE(MID(C20,7,1))=1,VLOOKUP(C20,'LINEAS CON DEDICACIÓN'!$B$17:$C$31,2,FALSE),IF(VALUE(MID(C20,7,1))=2,VLOOKUP(C20,'LINEAS CON DEDICACIÓN'!$F$17:$G$31,2,FALSE),IF(VALUE(MID(C20,7,1))=3,VLOOKUP(C20,'LINEAS CON DEDICACIÓN'!$J$17:$K$31,2,FALSE),IF(VALUE(MID(C20,7,1))=4,VLOOKUP(C20,'LINEAS CON DEDICACIÓN'!$N$17:$O$31,2,FALSE))))))</f>
        <v/>
      </c>
      <c r="E20" s="210" t="str">
        <f>IF(OR($K$3&gt;0,$K$4&gt;0),"",IF(AUXILIAR!J93="X","",IF(AND(AUXILIAR!J93&lt;&gt;"X",AUXILIAR!K93=""),0,AUXILIAR!K93)))</f>
        <v/>
      </c>
    </row>
    <row r="21" spans="2:5" ht="35.1" customHeight="1" x14ac:dyDescent="0.25">
      <c r="B21" s="208" t="str">
        <f>IF(C21="","",'IDENTIFICACIÓN TRABAJADOR'!$D$14)</f>
        <v/>
      </c>
      <c r="C21" s="203" t="str">
        <f>IF(AUXILIAR!J94="X","",AUXILIAR!J94)</f>
        <v/>
      </c>
      <c r="D21" s="209" t="str">
        <f>IF(C21="","",IF(VALUE(MID(C21,7,1))=1,VLOOKUP(C21,'LINEAS CON DEDICACIÓN'!$B$17:$C$31,2,FALSE),IF(VALUE(MID(C21,7,1))=2,VLOOKUP(C21,'LINEAS CON DEDICACIÓN'!$F$17:$G$31,2,FALSE),IF(VALUE(MID(C21,7,1))=3,VLOOKUP(C21,'LINEAS CON DEDICACIÓN'!$J$17:$K$31,2,FALSE),IF(VALUE(MID(C21,7,1))=4,VLOOKUP(C21,'LINEAS CON DEDICACIÓN'!$N$17:$O$31,2,FALSE))))))</f>
        <v/>
      </c>
      <c r="E21" s="210" t="str">
        <f>IF(OR($K$3&gt;0,$K$4&gt;0),"",IF(AUXILIAR!J94="X","",IF(AND(AUXILIAR!J94&lt;&gt;"X",AUXILIAR!K94=""),0,AUXILIAR!K94)))</f>
        <v/>
      </c>
    </row>
    <row r="22" spans="2:5" ht="35.1" customHeight="1" x14ac:dyDescent="0.25">
      <c r="B22" s="208" t="str">
        <f>IF(C22="","",'IDENTIFICACIÓN TRABAJADOR'!$D$14)</f>
        <v/>
      </c>
      <c r="C22" s="203" t="str">
        <f>IF(AUXILIAR!J95="X","",AUXILIAR!J95)</f>
        <v/>
      </c>
      <c r="D22" s="209" t="str">
        <f>IF(C22="","",IF(VALUE(MID(C22,7,1))=1,VLOOKUP(C22,'LINEAS CON DEDICACIÓN'!$B$17:$C$31,2,FALSE),IF(VALUE(MID(C22,7,1))=2,VLOOKUP(C22,'LINEAS CON DEDICACIÓN'!$F$17:$G$31,2,FALSE),IF(VALUE(MID(C22,7,1))=3,VLOOKUP(C22,'LINEAS CON DEDICACIÓN'!$J$17:$K$31,2,FALSE),IF(VALUE(MID(C22,7,1))=4,VLOOKUP(C22,'LINEAS CON DEDICACIÓN'!$N$17:$O$31,2,FALSE))))))</f>
        <v/>
      </c>
      <c r="E22" s="210" t="str">
        <f>IF(OR($K$3&gt;0,$K$4&gt;0),"",IF(AUXILIAR!J95="X","",IF(AND(AUXILIAR!J95&lt;&gt;"X",AUXILIAR!K95=""),0,AUXILIAR!K95)))</f>
        <v/>
      </c>
    </row>
    <row r="23" spans="2:5" ht="35.1" customHeight="1" x14ac:dyDescent="0.25">
      <c r="B23" s="208" t="str">
        <f>IF(C23="","",'IDENTIFICACIÓN TRABAJADOR'!$D$14)</f>
        <v/>
      </c>
      <c r="C23" s="203" t="str">
        <f>IF(AUXILIAR!J96="X","",AUXILIAR!J96)</f>
        <v/>
      </c>
      <c r="D23" s="209" t="str">
        <f>IF(C23="","",IF(VALUE(MID(C23,7,1))=1,VLOOKUP(C23,'LINEAS CON DEDICACIÓN'!$B$17:$C$31,2,FALSE),IF(VALUE(MID(C23,7,1))=2,VLOOKUP(C23,'LINEAS CON DEDICACIÓN'!$F$17:$G$31,2,FALSE),IF(VALUE(MID(C23,7,1))=3,VLOOKUP(C23,'LINEAS CON DEDICACIÓN'!$J$17:$K$31,2,FALSE),IF(VALUE(MID(C23,7,1))=4,VLOOKUP(C23,'LINEAS CON DEDICACIÓN'!$N$17:$O$31,2,FALSE))))))</f>
        <v/>
      </c>
      <c r="E23" s="210" t="str">
        <f>IF(OR($K$3&gt;0,$K$4&gt;0),"",IF(AUXILIAR!J96="X","",IF(AND(AUXILIAR!J96&lt;&gt;"X",AUXILIAR!K96=""),0,AUXILIAR!K96)))</f>
        <v/>
      </c>
    </row>
    <row r="24" spans="2:5" ht="35.1" customHeight="1" x14ac:dyDescent="0.25">
      <c r="B24" s="208" t="str">
        <f>IF(C24="","",'IDENTIFICACIÓN TRABAJADOR'!$D$14)</f>
        <v/>
      </c>
      <c r="C24" s="203" t="str">
        <f>IF(AUXILIAR!J97="X","",AUXILIAR!J97)</f>
        <v/>
      </c>
      <c r="D24" s="209" t="str">
        <f>IF(C24="","",IF(VALUE(MID(C24,7,1))=1,VLOOKUP(C24,'LINEAS CON DEDICACIÓN'!$B$17:$C$31,2,FALSE),IF(VALUE(MID(C24,7,1))=2,VLOOKUP(C24,'LINEAS CON DEDICACIÓN'!$F$17:$G$31,2,FALSE),IF(VALUE(MID(C24,7,1))=3,VLOOKUP(C24,'LINEAS CON DEDICACIÓN'!$J$17:$K$31,2,FALSE),IF(VALUE(MID(C24,7,1))=4,VLOOKUP(C24,'LINEAS CON DEDICACIÓN'!$N$17:$O$31,2,FALSE))))))</f>
        <v/>
      </c>
      <c r="E24" s="210" t="str">
        <f>IF(OR($K$3&gt;0,$K$4&gt;0),"",IF(AUXILIAR!J97="X","",IF(AND(AUXILIAR!J97&lt;&gt;"X",AUXILIAR!K97=""),0,AUXILIAR!K97)))</f>
        <v/>
      </c>
    </row>
    <row r="25" spans="2:5" ht="35.1" customHeight="1" x14ac:dyDescent="0.25">
      <c r="B25" s="208" t="str">
        <f>IF(C25="","",'IDENTIFICACIÓN TRABAJADOR'!$D$14)</f>
        <v/>
      </c>
      <c r="C25" s="203" t="str">
        <f>IF(AUXILIAR!J98="X","",AUXILIAR!J98)</f>
        <v/>
      </c>
      <c r="D25" s="209" t="str">
        <f>IF(C25="","",IF(VALUE(MID(C25,7,1))=1,VLOOKUP(C25,'LINEAS CON DEDICACIÓN'!$B$17:$C$31,2,FALSE),IF(VALUE(MID(C25,7,1))=2,VLOOKUP(C25,'LINEAS CON DEDICACIÓN'!$F$17:$G$31,2,FALSE),IF(VALUE(MID(C25,7,1))=3,VLOOKUP(C25,'LINEAS CON DEDICACIÓN'!$J$17:$K$31,2,FALSE),IF(VALUE(MID(C25,7,1))=4,VLOOKUP(C25,'LINEAS CON DEDICACIÓN'!$N$17:$O$31,2,FALSE))))))</f>
        <v/>
      </c>
      <c r="E25" s="210" t="str">
        <f>IF(OR($K$3&gt;0,$K$4&gt;0),"",IF(AUXILIAR!J98="X","",IF(AND(AUXILIAR!J98&lt;&gt;"X",AUXILIAR!K98=""),0,AUXILIAR!K98)))</f>
        <v/>
      </c>
    </row>
    <row r="26" spans="2:5" ht="35.1" customHeight="1" x14ac:dyDescent="0.25">
      <c r="B26" s="208" t="str">
        <f>IF(C26="","",'IDENTIFICACIÓN TRABAJADOR'!$D$14)</f>
        <v/>
      </c>
      <c r="C26" s="203" t="str">
        <f>IF(AUXILIAR!J99="X","",AUXILIAR!J99)</f>
        <v/>
      </c>
      <c r="D26" s="209" t="str">
        <f>IF(C26="","",IF(VALUE(MID(C26,7,1))=1,VLOOKUP(C26,'LINEAS CON DEDICACIÓN'!$B$17:$C$31,2,FALSE),IF(VALUE(MID(C26,7,1))=2,VLOOKUP(C26,'LINEAS CON DEDICACIÓN'!$F$17:$G$31,2,FALSE),IF(VALUE(MID(C26,7,1))=3,VLOOKUP(C26,'LINEAS CON DEDICACIÓN'!$J$17:$K$31,2,FALSE),IF(VALUE(MID(C26,7,1))=4,VLOOKUP(C26,'LINEAS CON DEDICACIÓN'!$N$17:$O$31,2,FALSE))))))</f>
        <v/>
      </c>
      <c r="E26" s="210" t="str">
        <f>IF(OR($K$3&gt;0,$K$4&gt;0),"",IF(AUXILIAR!J99="X","",IF(AND(AUXILIAR!J99&lt;&gt;"X",AUXILIAR!K99=""),0,AUXILIAR!K99)))</f>
        <v/>
      </c>
    </row>
    <row r="27" spans="2:5" ht="35.1" customHeight="1" x14ac:dyDescent="0.25">
      <c r="B27" s="208" t="str">
        <f>IF(C27="","",'IDENTIFICACIÓN TRABAJADOR'!$D$14)</f>
        <v/>
      </c>
      <c r="C27" s="203" t="str">
        <f>IF(AUXILIAR!J100="X","",AUXILIAR!J100)</f>
        <v/>
      </c>
      <c r="D27" s="209" t="str">
        <f>IF(C27="","",IF(VALUE(MID(C27,7,1))=1,VLOOKUP(C27,'LINEAS CON DEDICACIÓN'!$B$17:$C$31,2,FALSE),IF(VALUE(MID(C27,7,1))=2,VLOOKUP(C27,'LINEAS CON DEDICACIÓN'!$F$17:$G$31,2,FALSE),IF(VALUE(MID(C27,7,1))=3,VLOOKUP(C27,'LINEAS CON DEDICACIÓN'!$J$17:$K$31,2,FALSE),IF(VALUE(MID(C27,7,1))=4,VLOOKUP(C27,'LINEAS CON DEDICACIÓN'!$N$17:$O$31,2,FALSE))))))</f>
        <v/>
      </c>
      <c r="E27" s="210" t="str">
        <f>IF(OR($K$3&gt;0,$K$4&gt;0),"",IF(AUXILIAR!J100="X","",IF(AND(AUXILIAR!J100&lt;&gt;"X",AUXILIAR!K100=""),0,AUXILIAR!K100)))</f>
        <v/>
      </c>
    </row>
    <row r="28" spans="2:5" ht="35.1" customHeight="1" x14ac:dyDescent="0.25">
      <c r="B28" s="208" t="str">
        <f>IF(C28="","",'IDENTIFICACIÓN TRABAJADOR'!$D$14)</f>
        <v/>
      </c>
      <c r="C28" s="203" t="str">
        <f>IF(AUXILIAR!J101="X","",AUXILIAR!J101)</f>
        <v/>
      </c>
      <c r="D28" s="209" t="str">
        <f>IF(C28="","",IF(VALUE(MID(C28,7,1))=1,VLOOKUP(C28,'LINEAS CON DEDICACIÓN'!$B$17:$C$31,2,FALSE),IF(VALUE(MID(C28,7,1))=2,VLOOKUP(C28,'LINEAS CON DEDICACIÓN'!$F$17:$G$31,2,FALSE),IF(VALUE(MID(C28,7,1))=3,VLOOKUP(C28,'LINEAS CON DEDICACIÓN'!$J$17:$K$31,2,FALSE),IF(VALUE(MID(C28,7,1))=4,VLOOKUP(C28,'LINEAS CON DEDICACIÓN'!$N$17:$O$31,2,FALSE))))))</f>
        <v/>
      </c>
      <c r="E28" s="210" t="str">
        <f>IF(OR($K$3&gt;0,$K$4&gt;0),"",IF(AUXILIAR!J101="X","",IF(AND(AUXILIAR!J101&lt;&gt;"X",AUXILIAR!K101=""),0,AUXILIAR!K101)))</f>
        <v/>
      </c>
    </row>
    <row r="29" spans="2:5" ht="35.1" customHeight="1" x14ac:dyDescent="0.25">
      <c r="B29" s="208" t="str">
        <f>IF(C29="","",'IDENTIFICACIÓN TRABAJADOR'!$D$14)</f>
        <v/>
      </c>
      <c r="C29" s="203" t="str">
        <f>IF(AUXILIAR!J102="X","",AUXILIAR!J102)</f>
        <v/>
      </c>
      <c r="D29" s="209" t="str">
        <f>IF(C29="","",IF(VALUE(MID(C29,7,1))=1,VLOOKUP(C29,'LINEAS CON DEDICACIÓN'!$B$17:$C$31,2,FALSE),IF(VALUE(MID(C29,7,1))=2,VLOOKUP(C29,'LINEAS CON DEDICACIÓN'!$F$17:$G$31,2,FALSE),IF(VALUE(MID(C29,7,1))=3,VLOOKUP(C29,'LINEAS CON DEDICACIÓN'!$J$17:$K$31,2,FALSE),IF(VALUE(MID(C29,7,1))=4,VLOOKUP(C29,'LINEAS CON DEDICACIÓN'!$N$17:$O$31,2,FALSE))))))</f>
        <v/>
      </c>
      <c r="E29" s="210" t="str">
        <f>IF(OR($K$3&gt;0,$K$4&gt;0),"",IF(AUXILIAR!J102="X","",IF(AND(AUXILIAR!J102&lt;&gt;"X",AUXILIAR!K102=""),0,AUXILIAR!K102)))</f>
        <v/>
      </c>
    </row>
    <row r="30" spans="2:5" ht="35.1" customHeight="1" x14ac:dyDescent="0.25">
      <c r="B30" s="208" t="str">
        <f>IF(C30="","",'IDENTIFICACIÓN TRABAJADOR'!$D$14)</f>
        <v/>
      </c>
      <c r="C30" s="203" t="str">
        <f>IF(AUXILIAR!J103="X","",AUXILIAR!J103)</f>
        <v/>
      </c>
      <c r="D30" s="209" t="str">
        <f>IF(C30="","",IF(VALUE(MID(C30,7,1))=1,VLOOKUP(C30,'LINEAS CON DEDICACIÓN'!$B$17:$C$31,2,FALSE),IF(VALUE(MID(C30,7,1))=2,VLOOKUP(C30,'LINEAS CON DEDICACIÓN'!$F$17:$G$31,2,FALSE),IF(VALUE(MID(C30,7,1))=3,VLOOKUP(C30,'LINEAS CON DEDICACIÓN'!$J$17:$K$31,2,FALSE),IF(VALUE(MID(C30,7,1))=4,VLOOKUP(C30,'LINEAS CON DEDICACIÓN'!$N$17:$O$31,2,FALSE))))))</f>
        <v/>
      </c>
      <c r="E30" s="210" t="str">
        <f>IF(OR($K$3&gt;0,$K$4&gt;0),"",IF(AUXILIAR!J103="X","",IF(AND(AUXILIAR!J103&lt;&gt;"X",AUXILIAR!K103=""),0,AUXILIAR!K103)))</f>
        <v/>
      </c>
    </row>
    <row r="31" spans="2:5" ht="35.1" customHeight="1" x14ac:dyDescent="0.25">
      <c r="B31" s="208" t="str">
        <f>IF(C31="","",'IDENTIFICACIÓN TRABAJADOR'!$D$14)</f>
        <v/>
      </c>
      <c r="C31" s="203" t="str">
        <f>IF(AUXILIAR!J104="X","",AUXILIAR!J104)</f>
        <v/>
      </c>
      <c r="D31" s="209" t="str">
        <f>IF(C31="","",IF(VALUE(MID(C31,7,1))=1,VLOOKUP(C31,'LINEAS CON DEDICACIÓN'!$B$17:$C$31,2,FALSE),IF(VALUE(MID(C31,7,1))=2,VLOOKUP(C31,'LINEAS CON DEDICACIÓN'!$F$17:$G$31,2,FALSE),IF(VALUE(MID(C31,7,1))=3,VLOOKUP(C31,'LINEAS CON DEDICACIÓN'!$J$17:$K$31,2,FALSE),IF(VALUE(MID(C31,7,1))=4,VLOOKUP(C31,'LINEAS CON DEDICACIÓN'!$N$17:$O$31,2,FALSE))))))</f>
        <v/>
      </c>
      <c r="E31" s="210" t="str">
        <f>IF(OR($K$3&gt;0,$K$4&gt;0),"",IF(AUXILIAR!J104="X","",IF(AND(AUXILIAR!J104&lt;&gt;"X",AUXILIAR!K104=""),0,AUXILIAR!K104)))</f>
        <v/>
      </c>
    </row>
    <row r="32" spans="2:5" ht="35.1" customHeight="1" x14ac:dyDescent="0.25">
      <c r="B32" s="208" t="str">
        <f>IF(C32="","",'IDENTIFICACIÓN TRABAJADOR'!$D$14)</f>
        <v/>
      </c>
      <c r="C32" s="203" t="str">
        <f>IF(AUXILIAR!J105="X","",AUXILIAR!J105)</f>
        <v/>
      </c>
      <c r="D32" s="209" t="str">
        <f>IF(C32="","",IF(VALUE(MID(C32,7,1))=1,VLOOKUP(C32,'LINEAS CON DEDICACIÓN'!$B$17:$C$31,2,FALSE),IF(VALUE(MID(C32,7,1))=2,VLOOKUP(C32,'LINEAS CON DEDICACIÓN'!$F$17:$G$31,2,FALSE),IF(VALUE(MID(C32,7,1))=3,VLOOKUP(C32,'LINEAS CON DEDICACIÓN'!$J$17:$K$31,2,FALSE),IF(VALUE(MID(C32,7,1))=4,VLOOKUP(C32,'LINEAS CON DEDICACIÓN'!$N$17:$O$31,2,FALSE))))))</f>
        <v/>
      </c>
      <c r="E32" s="210" t="str">
        <f>IF(OR($K$3&gt;0,$K$4&gt;0),"",IF(AUXILIAR!J105="X","",IF(AND(AUXILIAR!J105&lt;&gt;"X",AUXILIAR!K105=""),0,AUXILIAR!K105)))</f>
        <v/>
      </c>
    </row>
    <row r="33" spans="2:5" ht="35.1" customHeight="1" x14ac:dyDescent="0.25">
      <c r="B33" s="208" t="str">
        <f>IF(C33="","",'IDENTIFICACIÓN TRABAJADOR'!$D$14)</f>
        <v/>
      </c>
      <c r="C33" s="203" t="str">
        <f>IF(AUXILIAR!J106="X","",AUXILIAR!J106)</f>
        <v/>
      </c>
      <c r="D33" s="209" t="str">
        <f>IF(C33="","",IF(VALUE(MID(C33,7,1))=1,VLOOKUP(C33,'LINEAS CON DEDICACIÓN'!$B$17:$C$31,2,FALSE),IF(VALUE(MID(C33,7,1))=2,VLOOKUP(C33,'LINEAS CON DEDICACIÓN'!$F$17:$G$31,2,FALSE),IF(VALUE(MID(C33,7,1))=3,VLOOKUP(C33,'LINEAS CON DEDICACIÓN'!$J$17:$K$31,2,FALSE),IF(VALUE(MID(C33,7,1))=4,VLOOKUP(C33,'LINEAS CON DEDICACIÓN'!$N$17:$O$31,2,FALSE))))))</f>
        <v/>
      </c>
      <c r="E33" s="210" t="str">
        <f>IF(OR($K$3&gt;0,$K$4&gt;0),"",IF(AUXILIAR!J106="X","",IF(AND(AUXILIAR!J106&lt;&gt;"X",AUXILIAR!K106=""),0,AUXILIAR!K106)))</f>
        <v/>
      </c>
    </row>
    <row r="34" spans="2:5" ht="35.1" customHeight="1" x14ac:dyDescent="0.25">
      <c r="B34" s="208" t="str">
        <f>IF(C34="","",'IDENTIFICACIÓN TRABAJADOR'!$D$14)</f>
        <v/>
      </c>
      <c r="C34" s="203" t="str">
        <f>IF(AUXILIAR!J107="X","",AUXILIAR!J107)</f>
        <v/>
      </c>
      <c r="D34" s="209" t="str">
        <f>IF(C34="","",IF(VALUE(MID(C34,7,1))=1,VLOOKUP(C34,'LINEAS CON DEDICACIÓN'!$B$17:$C$31,2,FALSE),IF(VALUE(MID(C34,7,1))=2,VLOOKUP(C34,'LINEAS CON DEDICACIÓN'!$F$17:$G$31,2,FALSE),IF(VALUE(MID(C34,7,1))=3,VLOOKUP(C34,'LINEAS CON DEDICACIÓN'!$J$17:$K$31,2,FALSE),IF(VALUE(MID(C34,7,1))=4,VLOOKUP(C34,'LINEAS CON DEDICACIÓN'!$N$17:$O$31,2,FALSE))))))</f>
        <v/>
      </c>
      <c r="E34" s="210" t="str">
        <f>IF(OR($K$3&gt;0,$K$4&gt;0),"",IF(AUXILIAR!J107="X","",IF(AND(AUXILIAR!J107&lt;&gt;"X",AUXILIAR!K107=""),0,AUXILIAR!K107)))</f>
        <v/>
      </c>
    </row>
    <row r="35" spans="2:5" ht="35.1" customHeight="1" x14ac:dyDescent="0.25">
      <c r="B35" s="208" t="str">
        <f>IF(C35="","",'IDENTIFICACIÓN TRABAJADOR'!$D$14)</f>
        <v/>
      </c>
      <c r="C35" s="203" t="str">
        <f>IF(AUXILIAR!J108="X","",AUXILIAR!J108)</f>
        <v/>
      </c>
      <c r="D35" s="209" t="str">
        <f>IF(C35="","",IF(VALUE(MID(C35,7,1))=1,VLOOKUP(C35,'LINEAS CON DEDICACIÓN'!$B$17:$C$31,2,FALSE),IF(VALUE(MID(C35,7,1))=2,VLOOKUP(C35,'LINEAS CON DEDICACIÓN'!$F$17:$G$31,2,FALSE),IF(VALUE(MID(C35,7,1))=3,VLOOKUP(C35,'LINEAS CON DEDICACIÓN'!$J$17:$K$31,2,FALSE),IF(VALUE(MID(C35,7,1))=4,VLOOKUP(C35,'LINEAS CON DEDICACIÓN'!$N$17:$O$31,2,FALSE))))))</f>
        <v/>
      </c>
      <c r="E35" s="210" t="str">
        <f>IF(OR($K$3&gt;0,$K$4&gt;0),"",IF(AUXILIAR!J108="X","",IF(AND(AUXILIAR!J108&lt;&gt;"X",AUXILIAR!K108=""),0,AUXILIAR!K108)))</f>
        <v/>
      </c>
    </row>
    <row r="36" spans="2:5" ht="35.1" customHeight="1" x14ac:dyDescent="0.25">
      <c r="B36" s="208" t="str">
        <f>IF(C36="","",'IDENTIFICACIÓN TRABAJADOR'!$D$14)</f>
        <v/>
      </c>
      <c r="C36" s="203" t="str">
        <f>IF(AUXILIAR!J109="X","",AUXILIAR!J109)</f>
        <v/>
      </c>
      <c r="D36" s="209" t="str">
        <f>IF(C36="","",IF(VALUE(MID(C36,7,1))=1,VLOOKUP(C36,'LINEAS CON DEDICACIÓN'!$B$17:$C$31,2,FALSE),IF(VALUE(MID(C36,7,1))=2,VLOOKUP(C36,'LINEAS CON DEDICACIÓN'!$F$17:$G$31,2,FALSE),IF(VALUE(MID(C36,7,1))=3,VLOOKUP(C36,'LINEAS CON DEDICACIÓN'!$J$17:$K$31,2,FALSE),IF(VALUE(MID(C36,7,1))=4,VLOOKUP(C36,'LINEAS CON DEDICACIÓN'!$N$17:$O$31,2,FALSE))))))</f>
        <v/>
      </c>
      <c r="E36" s="210" t="str">
        <f>IF(OR($K$3&gt;0,$K$4&gt;0),"",IF(AUXILIAR!J109="X","",IF(AND(AUXILIAR!J109&lt;&gt;"X",AUXILIAR!K109=""),0,AUXILIAR!K109)))</f>
        <v/>
      </c>
    </row>
    <row r="37" spans="2:5" ht="35.1" customHeight="1" x14ac:dyDescent="0.25">
      <c r="B37" s="208" t="str">
        <f>IF(C37="","",'IDENTIFICACIÓN TRABAJADOR'!$D$14)</f>
        <v/>
      </c>
      <c r="C37" s="203" t="str">
        <f>IF(AUXILIAR!J110="X","",AUXILIAR!J110)</f>
        <v/>
      </c>
      <c r="D37" s="209" t="str">
        <f>IF(C37="","",IF(VALUE(MID(C37,7,1))=1,VLOOKUP(C37,'LINEAS CON DEDICACIÓN'!$B$17:$C$31,2,FALSE),IF(VALUE(MID(C37,7,1))=2,VLOOKUP(C37,'LINEAS CON DEDICACIÓN'!$F$17:$G$31,2,FALSE),IF(VALUE(MID(C37,7,1))=3,VLOOKUP(C37,'LINEAS CON DEDICACIÓN'!$J$17:$K$31,2,FALSE),IF(VALUE(MID(C37,7,1))=4,VLOOKUP(C37,'LINEAS CON DEDICACIÓN'!$N$17:$O$31,2,FALSE))))))</f>
        <v/>
      </c>
      <c r="E37" s="210" t="str">
        <f>IF(OR($K$3&gt;0,$K$4&gt;0),"",IF(AUXILIAR!J110="X","",IF(AND(AUXILIAR!J110&lt;&gt;"X",AUXILIAR!K110=""),0,AUXILIAR!K110)))</f>
        <v/>
      </c>
    </row>
    <row r="38" spans="2:5" ht="35.1" customHeight="1" x14ac:dyDescent="0.25">
      <c r="B38" s="208" t="str">
        <f>IF(C38="","",'IDENTIFICACIÓN TRABAJADOR'!$D$14)</f>
        <v/>
      </c>
      <c r="C38" s="203" t="str">
        <f>IF(AUXILIAR!J111="X","",AUXILIAR!J111)</f>
        <v/>
      </c>
      <c r="D38" s="209" t="str">
        <f>IF(C38="","",IF(VALUE(MID(C38,7,1))=1,VLOOKUP(C38,'LINEAS CON DEDICACIÓN'!$B$17:$C$31,2,FALSE),IF(VALUE(MID(C38,7,1))=2,VLOOKUP(C38,'LINEAS CON DEDICACIÓN'!$F$17:$G$31,2,FALSE),IF(VALUE(MID(C38,7,1))=3,VLOOKUP(C38,'LINEAS CON DEDICACIÓN'!$J$17:$K$31,2,FALSE),IF(VALUE(MID(C38,7,1))=4,VLOOKUP(C38,'LINEAS CON DEDICACIÓN'!$N$17:$O$31,2,FALSE))))))</f>
        <v/>
      </c>
      <c r="E38" s="210" t="str">
        <f>IF(OR($K$3&gt;0,$K$4&gt;0),"",IF(AUXILIAR!J111="X","",IF(AND(AUXILIAR!J111&lt;&gt;"X",AUXILIAR!K111=""),0,AUXILIAR!K111)))</f>
        <v/>
      </c>
    </row>
    <row r="39" spans="2:5" ht="35.1" customHeight="1" x14ac:dyDescent="0.25">
      <c r="B39" s="208" t="str">
        <f>IF(C39="","",'IDENTIFICACIÓN TRABAJADOR'!$D$14)</f>
        <v/>
      </c>
      <c r="C39" s="203" t="str">
        <f>IF(AUXILIAR!J112="X","",AUXILIAR!J112)</f>
        <v/>
      </c>
      <c r="D39" s="209" t="str">
        <f>IF(C39="","",IF(VALUE(MID(C39,7,1))=1,VLOOKUP(C39,'LINEAS CON DEDICACIÓN'!$B$17:$C$31,2,FALSE),IF(VALUE(MID(C39,7,1))=2,VLOOKUP(C39,'LINEAS CON DEDICACIÓN'!$F$17:$G$31,2,FALSE),IF(VALUE(MID(C39,7,1))=3,VLOOKUP(C39,'LINEAS CON DEDICACIÓN'!$J$17:$K$31,2,FALSE),IF(VALUE(MID(C39,7,1))=4,VLOOKUP(C39,'LINEAS CON DEDICACIÓN'!$N$17:$O$31,2,FALSE))))))</f>
        <v/>
      </c>
      <c r="E39" s="210" t="str">
        <f>IF(OR($K$3&gt;0,$K$4&gt;0),"",IF(AUXILIAR!J112="X","",IF(AND(AUXILIAR!J112&lt;&gt;"X",AUXILIAR!K112=""),0,AUXILIAR!K112)))</f>
        <v/>
      </c>
    </row>
    <row r="40" spans="2:5" ht="35.1" customHeight="1" x14ac:dyDescent="0.25">
      <c r="B40" s="208" t="str">
        <f>IF(C40="","",'IDENTIFICACIÓN TRABAJADOR'!$D$14)</f>
        <v/>
      </c>
      <c r="C40" s="203" t="str">
        <f>IF(AUXILIAR!J113="X","",AUXILIAR!J113)</f>
        <v/>
      </c>
      <c r="D40" s="209" t="str">
        <f>IF(C40="","",IF(VALUE(MID(C40,7,1))=1,VLOOKUP(C40,'LINEAS CON DEDICACIÓN'!$B$17:$C$31,2,FALSE),IF(VALUE(MID(C40,7,1))=2,VLOOKUP(C40,'LINEAS CON DEDICACIÓN'!$F$17:$G$31,2,FALSE),IF(VALUE(MID(C40,7,1))=3,VLOOKUP(C40,'LINEAS CON DEDICACIÓN'!$J$17:$K$31,2,FALSE),IF(VALUE(MID(C40,7,1))=4,VLOOKUP(C40,'LINEAS CON DEDICACIÓN'!$N$17:$O$31,2,FALSE))))))</f>
        <v/>
      </c>
      <c r="E40" s="210" t="str">
        <f>IF(OR($K$3&gt;0,$K$4&gt;0),"",IF(AUXILIAR!J113="X","",IF(AND(AUXILIAR!J113&lt;&gt;"X",AUXILIAR!K113=""),0,AUXILIAR!K113)))</f>
        <v/>
      </c>
    </row>
    <row r="41" spans="2:5" ht="35.1" customHeight="1" x14ac:dyDescent="0.25">
      <c r="B41" s="208" t="str">
        <f>IF(C41="","",'IDENTIFICACIÓN TRABAJADOR'!$D$14)</f>
        <v/>
      </c>
      <c r="C41" s="203" t="str">
        <f>IF(AUXILIAR!J114="X","",AUXILIAR!J114)</f>
        <v/>
      </c>
      <c r="D41" s="209" t="str">
        <f>IF(C41="","",IF(VALUE(MID(C41,7,1))=1,VLOOKUP(C41,'LINEAS CON DEDICACIÓN'!$B$17:$C$31,2,FALSE),IF(VALUE(MID(C41,7,1))=2,VLOOKUP(C41,'LINEAS CON DEDICACIÓN'!$F$17:$G$31,2,FALSE),IF(VALUE(MID(C41,7,1))=3,VLOOKUP(C41,'LINEAS CON DEDICACIÓN'!$J$17:$K$31,2,FALSE),IF(VALUE(MID(C41,7,1))=4,VLOOKUP(C41,'LINEAS CON DEDICACIÓN'!$N$17:$O$31,2,FALSE))))))</f>
        <v/>
      </c>
      <c r="E41" s="210" t="str">
        <f>IF(OR($K$3&gt;0,$K$4&gt;0),"",IF(AUXILIAR!J114="X","",IF(AND(AUXILIAR!J114&lt;&gt;"X",AUXILIAR!K114=""),0,AUXILIAR!K114)))</f>
        <v/>
      </c>
    </row>
    <row r="42" spans="2:5" ht="35.1" customHeight="1" x14ac:dyDescent="0.25">
      <c r="B42" s="208" t="str">
        <f>IF(C42="","",'IDENTIFICACIÓN TRABAJADOR'!$D$14)</f>
        <v/>
      </c>
      <c r="C42" s="203" t="str">
        <f>IF(AUXILIAR!J115="X","",AUXILIAR!J115)</f>
        <v/>
      </c>
      <c r="D42" s="209" t="str">
        <f>IF(C42="","",IF(VALUE(MID(C42,7,1))=1,VLOOKUP(C42,'LINEAS CON DEDICACIÓN'!$B$17:$C$31,2,FALSE),IF(VALUE(MID(C42,7,1))=2,VLOOKUP(C42,'LINEAS CON DEDICACIÓN'!$F$17:$G$31,2,FALSE),IF(VALUE(MID(C42,7,1))=3,VLOOKUP(C42,'LINEAS CON DEDICACIÓN'!$J$17:$K$31,2,FALSE),IF(VALUE(MID(C42,7,1))=4,VLOOKUP(C42,'LINEAS CON DEDICACIÓN'!$N$17:$O$31,2,FALSE))))))</f>
        <v/>
      </c>
      <c r="E42" s="210" t="str">
        <f>IF(OR($K$3&gt;0,$K$4&gt;0),"",IF(AUXILIAR!J115="X","",IF(AND(AUXILIAR!J115&lt;&gt;"X",AUXILIAR!K115=""),0,AUXILIAR!K115)))</f>
        <v/>
      </c>
    </row>
    <row r="43" spans="2:5" ht="35.1" customHeight="1" x14ac:dyDescent="0.25">
      <c r="B43" s="208" t="str">
        <f>IF(C43="","",'IDENTIFICACIÓN TRABAJADOR'!$D$14)</f>
        <v/>
      </c>
      <c r="C43" s="203" t="str">
        <f>IF(AUXILIAR!J116="X","",AUXILIAR!J116)</f>
        <v/>
      </c>
      <c r="D43" s="209" t="str">
        <f>IF(C43="","",IF(VALUE(MID(C43,7,1))=1,VLOOKUP(C43,'LINEAS CON DEDICACIÓN'!$B$17:$C$31,2,FALSE),IF(VALUE(MID(C43,7,1))=2,VLOOKUP(C43,'LINEAS CON DEDICACIÓN'!$F$17:$G$31,2,FALSE),IF(VALUE(MID(C43,7,1))=3,VLOOKUP(C43,'LINEAS CON DEDICACIÓN'!$J$17:$K$31,2,FALSE),IF(VALUE(MID(C43,7,1))=4,VLOOKUP(C43,'LINEAS CON DEDICACIÓN'!$N$17:$O$31,2,FALSE))))))</f>
        <v/>
      </c>
      <c r="E43" s="210" t="str">
        <f>IF(OR($K$3&gt;0,$K$4&gt;0),"",IF(AUXILIAR!J116="X","",IF(AND(AUXILIAR!J116&lt;&gt;"X",AUXILIAR!K116=""),0,AUXILIAR!K116)))</f>
        <v/>
      </c>
    </row>
    <row r="44" spans="2:5" ht="35.1" customHeight="1" x14ac:dyDescent="0.25">
      <c r="B44" s="208" t="str">
        <f>IF(C44="","",'IDENTIFICACIÓN TRABAJADOR'!$D$14)</f>
        <v/>
      </c>
      <c r="C44" s="203" t="str">
        <f>IF(AUXILIAR!J117="X","",AUXILIAR!J117)</f>
        <v/>
      </c>
      <c r="D44" s="209" t="str">
        <f>IF(C44="","",IF(VALUE(MID(C44,7,1))=1,VLOOKUP(C44,'LINEAS CON DEDICACIÓN'!$B$17:$C$31,2,FALSE),IF(VALUE(MID(C44,7,1))=2,VLOOKUP(C44,'LINEAS CON DEDICACIÓN'!$F$17:$G$31,2,FALSE),IF(VALUE(MID(C44,7,1))=3,VLOOKUP(C44,'LINEAS CON DEDICACIÓN'!$J$17:$K$31,2,FALSE),IF(VALUE(MID(C44,7,1))=4,VLOOKUP(C44,'LINEAS CON DEDICACIÓN'!$N$17:$O$31,2,FALSE))))))</f>
        <v/>
      </c>
      <c r="E44" s="210" t="str">
        <f>IF(OR($K$3&gt;0,$K$4&gt;0),"",IF(AUXILIAR!J117="X","",IF(AND(AUXILIAR!J117&lt;&gt;"X",AUXILIAR!K117=""),0,AUXILIAR!K117)))</f>
        <v/>
      </c>
    </row>
    <row r="45" spans="2:5" ht="35.1" customHeight="1" x14ac:dyDescent="0.25">
      <c r="B45" s="208" t="str">
        <f>IF(C45="","",'IDENTIFICACIÓN TRABAJADOR'!$D$14)</f>
        <v/>
      </c>
      <c r="C45" s="203" t="str">
        <f>IF(AUXILIAR!J118="X","",AUXILIAR!J118)</f>
        <v/>
      </c>
      <c r="D45" s="209" t="str">
        <f>IF(C45="","",IF(VALUE(MID(C45,7,1))=1,VLOOKUP(C45,'LINEAS CON DEDICACIÓN'!$B$17:$C$31,2,FALSE),IF(VALUE(MID(C45,7,1))=2,VLOOKUP(C45,'LINEAS CON DEDICACIÓN'!$F$17:$G$31,2,FALSE),IF(VALUE(MID(C45,7,1))=3,VLOOKUP(C45,'LINEAS CON DEDICACIÓN'!$J$17:$K$31,2,FALSE),IF(VALUE(MID(C45,7,1))=4,VLOOKUP(C45,'LINEAS CON DEDICACIÓN'!$N$17:$O$31,2,FALSE))))))</f>
        <v/>
      </c>
      <c r="E45" s="210" t="str">
        <f>IF(OR($K$3&gt;0,$K$4&gt;0),"",IF(AUXILIAR!J118="X","",IF(AND(AUXILIAR!J118&lt;&gt;"X",AUXILIAR!K118=""),0,AUXILIAR!K118)))</f>
        <v/>
      </c>
    </row>
    <row r="46" spans="2:5" ht="35.1" customHeight="1" x14ac:dyDescent="0.25">
      <c r="B46" s="208" t="str">
        <f>IF(C46="","",'IDENTIFICACIÓN TRABAJADOR'!$D$14)</f>
        <v/>
      </c>
      <c r="C46" s="203" t="str">
        <f>IF(AUXILIAR!J119="X","",AUXILIAR!J119)</f>
        <v/>
      </c>
      <c r="D46" s="209" t="str">
        <f>IF(C46="","",IF(VALUE(MID(C46,7,1))=1,VLOOKUP(C46,'LINEAS CON DEDICACIÓN'!$B$17:$C$31,2,FALSE),IF(VALUE(MID(C46,7,1))=2,VLOOKUP(C46,'LINEAS CON DEDICACIÓN'!$F$17:$G$31,2,FALSE),IF(VALUE(MID(C46,7,1))=3,VLOOKUP(C46,'LINEAS CON DEDICACIÓN'!$J$17:$K$31,2,FALSE),IF(VALUE(MID(C46,7,1))=4,VLOOKUP(C46,'LINEAS CON DEDICACIÓN'!$N$17:$O$31,2,FALSE))))))</f>
        <v/>
      </c>
      <c r="E46" s="210" t="str">
        <f>IF(OR($K$3&gt;0,$K$4&gt;0),"",IF(AUXILIAR!J119="X","",IF(AND(AUXILIAR!J119&lt;&gt;"X",AUXILIAR!K119=""),0,AUXILIAR!K119)))</f>
        <v/>
      </c>
    </row>
    <row r="47" spans="2:5" ht="35.1" customHeight="1" x14ac:dyDescent="0.25">
      <c r="B47" s="208" t="str">
        <f>IF(C47="","",'IDENTIFICACIÓN TRABAJADOR'!$D$14)</f>
        <v/>
      </c>
      <c r="C47" s="203" t="str">
        <f>IF(AUXILIAR!J120="X","",AUXILIAR!J120)</f>
        <v/>
      </c>
      <c r="D47" s="209" t="str">
        <f>IF(C47="","",IF(VALUE(MID(C47,7,1))=1,VLOOKUP(C47,'LINEAS CON DEDICACIÓN'!$B$17:$C$31,2,FALSE),IF(VALUE(MID(C47,7,1))=2,VLOOKUP(C47,'LINEAS CON DEDICACIÓN'!$F$17:$G$31,2,FALSE),IF(VALUE(MID(C47,7,1))=3,VLOOKUP(C47,'LINEAS CON DEDICACIÓN'!$J$17:$K$31,2,FALSE),IF(VALUE(MID(C47,7,1))=4,VLOOKUP(C47,'LINEAS CON DEDICACIÓN'!$N$17:$O$31,2,FALSE))))))</f>
        <v/>
      </c>
      <c r="E47" s="210" t="str">
        <f>IF(OR($K$3&gt;0,$K$4&gt;0),"",IF(AUXILIAR!J120="X","",IF(AND(AUXILIAR!J120&lt;&gt;"X",AUXILIAR!K120=""),0,AUXILIAR!K120)))</f>
        <v/>
      </c>
    </row>
    <row r="48" spans="2:5" ht="35.1" customHeight="1" x14ac:dyDescent="0.25">
      <c r="B48" s="208" t="str">
        <f>IF(C48="","",'IDENTIFICACIÓN TRABAJADOR'!$D$14)</f>
        <v/>
      </c>
      <c r="C48" s="203" t="str">
        <f>IF(AUXILIAR!J121="X","",AUXILIAR!J121)</f>
        <v/>
      </c>
      <c r="D48" s="209" t="str">
        <f>IF(C48="","",IF(VALUE(MID(C48,7,1))=1,VLOOKUP(C48,'LINEAS CON DEDICACIÓN'!$B$17:$C$31,2,FALSE),IF(VALUE(MID(C48,7,1))=2,VLOOKUP(C48,'LINEAS CON DEDICACIÓN'!$F$17:$G$31,2,FALSE),IF(VALUE(MID(C48,7,1))=3,VLOOKUP(C48,'LINEAS CON DEDICACIÓN'!$J$17:$K$31,2,FALSE),IF(VALUE(MID(C48,7,1))=4,VLOOKUP(C48,'LINEAS CON DEDICACIÓN'!$N$17:$O$31,2,FALSE))))))</f>
        <v/>
      </c>
      <c r="E48" s="210" t="str">
        <f>IF(OR($K$3&gt;0,$K$4&gt;0),"",IF(AUXILIAR!J121="X","",IF(AND(AUXILIAR!J121&lt;&gt;"X",AUXILIAR!K121=""),0,AUXILIAR!K121)))</f>
        <v/>
      </c>
    </row>
    <row r="49" spans="2:5" ht="35.1" customHeight="1" x14ac:dyDescent="0.25">
      <c r="B49" s="208" t="str">
        <f>IF(C49="","",'IDENTIFICACIÓN TRABAJADOR'!$D$14)</f>
        <v/>
      </c>
      <c r="C49" s="203" t="str">
        <f>IF(AUXILIAR!J122="X","",AUXILIAR!J122)</f>
        <v/>
      </c>
      <c r="D49" s="209" t="str">
        <f>IF(C49="","",IF(VALUE(MID(C49,7,1))=1,VLOOKUP(C49,'LINEAS CON DEDICACIÓN'!$B$17:$C$31,2,FALSE),IF(VALUE(MID(C49,7,1))=2,VLOOKUP(C49,'LINEAS CON DEDICACIÓN'!$F$17:$G$31,2,FALSE),IF(VALUE(MID(C49,7,1))=3,VLOOKUP(C49,'LINEAS CON DEDICACIÓN'!$J$17:$K$31,2,FALSE),IF(VALUE(MID(C49,7,1))=4,VLOOKUP(C49,'LINEAS CON DEDICACIÓN'!$N$17:$O$31,2,FALSE))))))</f>
        <v/>
      </c>
      <c r="E49" s="210" t="str">
        <f>IF(OR($K$3&gt;0,$K$4&gt;0),"",IF(AUXILIAR!J122="X","",IF(AND(AUXILIAR!J122&lt;&gt;"X",AUXILIAR!K122=""),0,AUXILIAR!K122)))</f>
        <v/>
      </c>
    </row>
    <row r="50" spans="2:5" ht="35.1" customHeight="1" x14ac:dyDescent="0.25">
      <c r="B50" s="208" t="str">
        <f>IF(C50="","",'IDENTIFICACIÓN TRABAJADOR'!$D$14)</f>
        <v/>
      </c>
      <c r="C50" s="203" t="str">
        <f>IF(AUXILIAR!J123="X","",AUXILIAR!J123)</f>
        <v/>
      </c>
      <c r="D50" s="209" t="str">
        <f>IF(C50="","",IF(VALUE(MID(C50,7,1))=1,VLOOKUP(C50,'LINEAS CON DEDICACIÓN'!$B$17:$C$31,2,FALSE),IF(VALUE(MID(C50,7,1))=2,VLOOKUP(C50,'LINEAS CON DEDICACIÓN'!$F$17:$G$31,2,FALSE),IF(VALUE(MID(C50,7,1))=3,VLOOKUP(C50,'LINEAS CON DEDICACIÓN'!$J$17:$K$31,2,FALSE),IF(VALUE(MID(C50,7,1))=4,VLOOKUP(C50,'LINEAS CON DEDICACIÓN'!$N$17:$O$31,2,FALSE))))))</f>
        <v/>
      </c>
      <c r="E50" s="210" t="str">
        <f>IF(OR($K$3&gt;0,$K$4&gt;0),"",IF(AUXILIAR!J123="X","",IF(AND(AUXILIAR!J123&lt;&gt;"X",AUXILIAR!K123=""),0,AUXILIAR!K123)))</f>
        <v/>
      </c>
    </row>
    <row r="51" spans="2:5" ht="35.1" customHeight="1" x14ac:dyDescent="0.25">
      <c r="B51" s="208" t="str">
        <f>IF(C51="","",'IDENTIFICACIÓN TRABAJADOR'!$D$14)</f>
        <v/>
      </c>
      <c r="C51" s="203" t="str">
        <f>IF(AUXILIAR!J124="X","",AUXILIAR!J124)</f>
        <v/>
      </c>
      <c r="D51" s="209" t="str">
        <f>IF(C51="","",IF(VALUE(MID(C51,7,1))=1,VLOOKUP(C51,'LINEAS CON DEDICACIÓN'!$B$17:$C$31,2,FALSE),IF(VALUE(MID(C51,7,1))=2,VLOOKUP(C51,'LINEAS CON DEDICACIÓN'!$F$17:$G$31,2,FALSE),IF(VALUE(MID(C51,7,1))=3,VLOOKUP(C51,'LINEAS CON DEDICACIÓN'!$J$17:$K$31,2,FALSE),IF(VALUE(MID(C51,7,1))=4,VLOOKUP(C51,'LINEAS CON DEDICACIÓN'!$N$17:$O$31,2,FALSE))))))</f>
        <v/>
      </c>
      <c r="E51" s="210" t="str">
        <f>IF(OR($K$3&gt;0,$K$4&gt;0),"",IF(AUXILIAR!J124="X","",IF(AND(AUXILIAR!J124&lt;&gt;"X",AUXILIAR!K124=""),0,AUXILIAR!K124)))</f>
        <v/>
      </c>
    </row>
    <row r="52" spans="2:5" ht="35.1" customHeight="1" x14ac:dyDescent="0.25">
      <c r="B52" s="208" t="str">
        <f>IF(C52="","",'IDENTIFICACIÓN TRABAJADOR'!$D$14)</f>
        <v/>
      </c>
      <c r="C52" s="203" t="str">
        <f>IF(AUXILIAR!J125="X","",AUXILIAR!J125)</f>
        <v/>
      </c>
      <c r="D52" s="209" t="str">
        <f>IF(C52="","",IF(VALUE(MID(C52,7,1))=1,VLOOKUP(C52,'LINEAS CON DEDICACIÓN'!$B$17:$C$31,2,FALSE),IF(VALUE(MID(C52,7,1))=2,VLOOKUP(C52,'LINEAS CON DEDICACIÓN'!$F$17:$G$31,2,FALSE),IF(VALUE(MID(C52,7,1))=3,VLOOKUP(C52,'LINEAS CON DEDICACIÓN'!$J$17:$K$31,2,FALSE),IF(VALUE(MID(C52,7,1))=4,VLOOKUP(C52,'LINEAS CON DEDICACIÓN'!$N$17:$O$31,2,FALSE))))))</f>
        <v/>
      </c>
      <c r="E52" s="210" t="str">
        <f>IF(OR($K$3&gt;0,$K$4&gt;0),"",IF(AUXILIAR!J125="X","",IF(AND(AUXILIAR!J125&lt;&gt;"X",AUXILIAR!K125=""),0,AUXILIAR!K125)))</f>
        <v/>
      </c>
    </row>
    <row r="53" spans="2:5" ht="35.1" customHeight="1" x14ac:dyDescent="0.25">
      <c r="B53" s="208" t="str">
        <f>IF(C53="","",'IDENTIFICACIÓN TRABAJADOR'!$D$14)</f>
        <v/>
      </c>
      <c r="C53" s="203" t="str">
        <f>IF(AUXILIAR!J126="X","",AUXILIAR!J126)</f>
        <v/>
      </c>
      <c r="D53" s="209" t="str">
        <f>IF(C53="","",IF(VALUE(MID(C53,7,1))=1,VLOOKUP(C53,'LINEAS CON DEDICACIÓN'!$B$17:$C$31,2,FALSE),IF(VALUE(MID(C53,7,1))=2,VLOOKUP(C53,'LINEAS CON DEDICACIÓN'!$F$17:$G$31,2,FALSE),IF(VALUE(MID(C53,7,1))=3,VLOOKUP(C53,'LINEAS CON DEDICACIÓN'!$J$17:$K$31,2,FALSE),IF(VALUE(MID(C53,7,1))=4,VLOOKUP(C53,'LINEAS CON DEDICACIÓN'!$N$17:$O$31,2,FALSE))))))</f>
        <v/>
      </c>
      <c r="E53" s="210" t="str">
        <f>IF(OR($K$3&gt;0,$K$4&gt;0),"",IF(AUXILIAR!J126="X","",IF(AND(AUXILIAR!J126&lt;&gt;"X",AUXILIAR!K126=""),0,AUXILIAR!K126)))</f>
        <v/>
      </c>
    </row>
    <row r="54" spans="2:5" ht="35.1" customHeight="1" x14ac:dyDescent="0.25">
      <c r="B54" s="208" t="str">
        <f>IF(C54="","",'IDENTIFICACIÓN TRABAJADOR'!$D$14)</f>
        <v/>
      </c>
      <c r="C54" s="203" t="str">
        <f>IF(AUXILIAR!J127="X","",AUXILIAR!J127)</f>
        <v/>
      </c>
      <c r="D54" s="209" t="str">
        <f>IF(C54="","",IF(VALUE(MID(C54,7,1))=1,VLOOKUP(C54,'LINEAS CON DEDICACIÓN'!$B$17:$C$31,2,FALSE),IF(VALUE(MID(C54,7,1))=2,VLOOKUP(C54,'LINEAS CON DEDICACIÓN'!$F$17:$G$31,2,FALSE),IF(VALUE(MID(C54,7,1))=3,VLOOKUP(C54,'LINEAS CON DEDICACIÓN'!$J$17:$K$31,2,FALSE),IF(VALUE(MID(C54,7,1))=4,VLOOKUP(C54,'LINEAS CON DEDICACIÓN'!$N$17:$O$31,2,FALSE))))))</f>
        <v/>
      </c>
      <c r="E54" s="210" t="str">
        <f>IF(OR($K$3&gt;0,$K$4&gt;0),"",IF(AUXILIAR!J127="X","",IF(AND(AUXILIAR!J127&lt;&gt;"X",AUXILIAR!K127=""),0,AUXILIAR!K127)))</f>
        <v/>
      </c>
    </row>
    <row r="55" spans="2:5" ht="35.1" customHeight="1" x14ac:dyDescent="0.25">
      <c r="B55" s="208" t="str">
        <f>IF(C55="","",'IDENTIFICACIÓN TRABAJADOR'!$D$14)</f>
        <v/>
      </c>
      <c r="C55" s="203" t="str">
        <f>IF(AUXILIAR!J128="X","",AUXILIAR!J128)</f>
        <v/>
      </c>
      <c r="D55" s="209" t="str">
        <f>IF(C55="","",IF(VALUE(MID(C55,7,1))=1,VLOOKUP(C55,'LINEAS CON DEDICACIÓN'!$B$17:$C$31,2,FALSE),IF(VALUE(MID(C55,7,1))=2,VLOOKUP(C55,'LINEAS CON DEDICACIÓN'!$F$17:$G$31,2,FALSE),IF(VALUE(MID(C55,7,1))=3,VLOOKUP(C55,'LINEAS CON DEDICACIÓN'!$J$17:$K$31,2,FALSE),IF(VALUE(MID(C55,7,1))=4,VLOOKUP(C55,'LINEAS CON DEDICACIÓN'!$N$17:$O$31,2,FALSE))))))</f>
        <v/>
      </c>
      <c r="E55" s="210" t="str">
        <f>IF(OR($K$3&gt;0,$K$4&gt;0),"",IF(AUXILIAR!J128="X","",IF(AND(AUXILIAR!J128&lt;&gt;"X",AUXILIAR!K128=""),0,AUXILIAR!K128)))</f>
        <v/>
      </c>
    </row>
    <row r="56" spans="2:5" ht="35.1" customHeight="1" x14ac:dyDescent="0.25">
      <c r="B56" s="208" t="str">
        <f>IF(C56="","",'IDENTIFICACIÓN TRABAJADOR'!$D$14)</f>
        <v/>
      </c>
      <c r="C56" s="203" t="str">
        <f>IF(AUXILIAR!J129="X","",AUXILIAR!J129)</f>
        <v/>
      </c>
      <c r="D56" s="209" t="str">
        <f>IF(C56="","",IF(VALUE(MID(C56,7,1))=1,VLOOKUP(C56,'LINEAS CON DEDICACIÓN'!$B$17:$C$31,2,FALSE),IF(VALUE(MID(C56,7,1))=2,VLOOKUP(C56,'LINEAS CON DEDICACIÓN'!$F$17:$G$31,2,FALSE),IF(VALUE(MID(C56,7,1))=3,VLOOKUP(C56,'LINEAS CON DEDICACIÓN'!$J$17:$K$31,2,FALSE),IF(VALUE(MID(C56,7,1))=4,VLOOKUP(C56,'LINEAS CON DEDICACIÓN'!$N$17:$O$31,2,FALSE))))))</f>
        <v/>
      </c>
      <c r="E56" s="210" t="str">
        <f>IF(OR($K$3&gt;0,$K$4&gt;0),"",IF(AUXILIAR!J129="X","",IF(AND(AUXILIAR!J129&lt;&gt;"X",AUXILIAR!K129=""),0,AUXILIAR!K129)))</f>
        <v/>
      </c>
    </row>
    <row r="57" spans="2:5" ht="35.1" customHeight="1" x14ac:dyDescent="0.25">
      <c r="B57" s="208" t="str">
        <f>IF(C57="","",'IDENTIFICACIÓN TRABAJADOR'!$D$14)</f>
        <v/>
      </c>
      <c r="C57" s="203" t="str">
        <f>IF(AUXILIAR!J130="X","",AUXILIAR!J130)</f>
        <v/>
      </c>
      <c r="D57" s="209" t="str">
        <f>IF(C57="","",IF(VALUE(MID(C57,7,1))=1,VLOOKUP(C57,'LINEAS CON DEDICACIÓN'!$B$17:$C$31,2,FALSE),IF(VALUE(MID(C57,7,1))=2,VLOOKUP(C57,'LINEAS CON DEDICACIÓN'!$F$17:$G$31,2,FALSE),IF(VALUE(MID(C57,7,1))=3,VLOOKUP(C57,'LINEAS CON DEDICACIÓN'!$J$17:$K$31,2,FALSE),IF(VALUE(MID(C57,7,1))=4,VLOOKUP(C57,'LINEAS CON DEDICACIÓN'!$N$17:$O$31,2,FALSE))))))</f>
        <v/>
      </c>
      <c r="E57" s="210" t="str">
        <f>IF(OR($K$3&gt;0,$K$4&gt;0),"",IF(AUXILIAR!J130="X","",IF(AND(AUXILIAR!J130&lt;&gt;"X",AUXILIAR!K130=""),0,AUXILIAR!K130)))</f>
        <v/>
      </c>
    </row>
    <row r="58" spans="2:5" ht="35.1" customHeight="1" x14ac:dyDescent="0.25">
      <c r="B58" s="208" t="str">
        <f>IF(C58="","",'IDENTIFICACIÓN TRABAJADOR'!$D$14)</f>
        <v/>
      </c>
      <c r="C58" s="203" t="str">
        <f>IF(AUXILIAR!J131="X","",AUXILIAR!J131)</f>
        <v/>
      </c>
      <c r="D58" s="209" t="str">
        <f>IF(C58="","",IF(VALUE(MID(C58,7,1))=1,VLOOKUP(C58,'LINEAS CON DEDICACIÓN'!$B$17:$C$31,2,FALSE),IF(VALUE(MID(C58,7,1))=2,VLOOKUP(C58,'LINEAS CON DEDICACIÓN'!$F$17:$G$31,2,FALSE),IF(VALUE(MID(C58,7,1))=3,VLOOKUP(C58,'LINEAS CON DEDICACIÓN'!$J$17:$K$31,2,FALSE),IF(VALUE(MID(C58,7,1))=4,VLOOKUP(C58,'LINEAS CON DEDICACIÓN'!$N$17:$O$31,2,FALSE))))))</f>
        <v/>
      </c>
      <c r="E58" s="210" t="str">
        <f>IF(OR($K$3&gt;0,$K$4&gt;0),"",IF(AUXILIAR!J131="X","",IF(AND(AUXILIAR!J131&lt;&gt;"X",AUXILIAR!K131=""),0,AUXILIAR!K131)))</f>
        <v/>
      </c>
    </row>
    <row r="59" spans="2:5" ht="35.1" customHeight="1" x14ac:dyDescent="0.25">
      <c r="B59" s="208" t="str">
        <f>IF(C59="","",'IDENTIFICACIÓN TRABAJADOR'!$D$14)</f>
        <v/>
      </c>
      <c r="C59" s="203" t="str">
        <f>IF(AUXILIAR!J132="X","",AUXILIAR!J132)</f>
        <v/>
      </c>
      <c r="D59" s="209" t="str">
        <f>IF(C59="","",IF(VALUE(MID(C59,7,1))=1,VLOOKUP(C59,'LINEAS CON DEDICACIÓN'!$B$17:$C$31,2,FALSE),IF(VALUE(MID(C59,7,1))=2,VLOOKUP(C59,'LINEAS CON DEDICACIÓN'!$F$17:$G$31,2,FALSE),IF(VALUE(MID(C59,7,1))=3,VLOOKUP(C59,'LINEAS CON DEDICACIÓN'!$J$17:$K$31,2,FALSE),IF(VALUE(MID(C59,7,1))=4,VLOOKUP(C59,'LINEAS CON DEDICACIÓN'!$N$17:$O$31,2,FALSE))))))</f>
        <v/>
      </c>
      <c r="E59" s="210" t="str">
        <f>IF(OR($K$3&gt;0,$K$4&gt;0),"",IF(AUXILIAR!J132="X","",IF(AND(AUXILIAR!J132&lt;&gt;"X",AUXILIAR!K132=""),0,AUXILIAR!K132)))</f>
        <v/>
      </c>
    </row>
    <row r="60" spans="2:5" ht="35.1" customHeight="1" x14ac:dyDescent="0.25">
      <c r="B60" s="208" t="str">
        <f>IF(C60="","",'IDENTIFICACIÓN TRABAJADOR'!$D$14)</f>
        <v/>
      </c>
      <c r="C60" s="203" t="str">
        <f>IF(AUXILIAR!J133="X","",AUXILIAR!J133)</f>
        <v/>
      </c>
      <c r="D60" s="209" t="str">
        <f>IF(C60="","",IF(VALUE(MID(C60,7,1))=1,VLOOKUP(C60,'LINEAS CON DEDICACIÓN'!$B$17:$C$31,2,FALSE),IF(VALUE(MID(C60,7,1))=2,VLOOKUP(C60,'LINEAS CON DEDICACIÓN'!$F$17:$G$31,2,FALSE),IF(VALUE(MID(C60,7,1))=3,VLOOKUP(C60,'LINEAS CON DEDICACIÓN'!$J$17:$K$31,2,FALSE),IF(VALUE(MID(C60,7,1))=4,VLOOKUP(C60,'LINEAS CON DEDICACIÓN'!$N$17:$O$31,2,FALSE))))))</f>
        <v/>
      </c>
      <c r="E60" s="210" t="str">
        <f>IF(OR($K$3&gt;0,$K$4&gt;0),"",IF(AUXILIAR!J133="X","",IF(AND(AUXILIAR!J133&lt;&gt;"X",AUXILIAR!K133=""),0,AUXILIAR!K133)))</f>
        <v/>
      </c>
    </row>
    <row r="61" spans="2:5" ht="35.1" customHeight="1" x14ac:dyDescent="0.25">
      <c r="B61" s="208" t="str">
        <f>IF(C61="","",'IDENTIFICACIÓN TRABAJADOR'!$D$14)</f>
        <v/>
      </c>
      <c r="C61" s="203" t="str">
        <f>IF(AUXILIAR!J134="X","",AUXILIAR!J134)</f>
        <v/>
      </c>
      <c r="D61" s="209" t="str">
        <f>IF(C61="","",IF(VALUE(MID(C61,7,1))=1,VLOOKUP(C61,'LINEAS CON DEDICACIÓN'!$B$17:$C$31,2,FALSE),IF(VALUE(MID(C61,7,1))=2,VLOOKUP(C61,'LINEAS CON DEDICACIÓN'!$F$17:$G$31,2,FALSE),IF(VALUE(MID(C61,7,1))=3,VLOOKUP(C61,'LINEAS CON DEDICACIÓN'!$J$17:$K$31,2,FALSE),IF(VALUE(MID(C61,7,1))=4,VLOOKUP(C61,'LINEAS CON DEDICACIÓN'!$N$17:$O$31,2,FALSE))))))</f>
        <v/>
      </c>
      <c r="E61" s="210" t="str">
        <f>IF(OR($K$3&gt;0,$K$4&gt;0),"",IF(AUXILIAR!J134="X","",IF(AND(AUXILIAR!J134&lt;&gt;"X",AUXILIAR!K134=""),0,AUXILIAR!K134)))</f>
        <v/>
      </c>
    </row>
    <row r="62" spans="2:5" ht="35.1" customHeight="1" x14ac:dyDescent="0.25">
      <c r="B62" s="208" t="str">
        <f>IF(C62="","",'IDENTIFICACIÓN TRABAJADOR'!$D$14)</f>
        <v/>
      </c>
      <c r="C62" s="203" t="str">
        <f>IF(AUXILIAR!J135="X","",AUXILIAR!J135)</f>
        <v/>
      </c>
      <c r="D62" s="209" t="str">
        <f>IF(C62="","",IF(VALUE(MID(C62,7,1))=1,VLOOKUP(C62,'LINEAS CON DEDICACIÓN'!$B$17:$C$31,2,FALSE),IF(VALUE(MID(C62,7,1))=2,VLOOKUP(C62,'LINEAS CON DEDICACIÓN'!$F$17:$G$31,2,FALSE),IF(VALUE(MID(C62,7,1))=3,VLOOKUP(C62,'LINEAS CON DEDICACIÓN'!$J$17:$K$31,2,FALSE),IF(VALUE(MID(C62,7,1))=4,VLOOKUP(C62,'LINEAS CON DEDICACIÓN'!$N$17:$O$31,2,FALSE))))))</f>
        <v/>
      </c>
      <c r="E62" s="210" t="str">
        <f>IF(OR($K$3&gt;0,$K$4&gt;0),"",IF(AUXILIAR!J135="X","",IF(AND(AUXILIAR!J135&lt;&gt;"X",AUXILIAR!K135=""),0,AUXILIAR!K135)))</f>
        <v/>
      </c>
    </row>
    <row r="63" spans="2:5" ht="35.1" customHeight="1" x14ac:dyDescent="0.25">
      <c r="B63" s="208" t="str">
        <f>IF(C63="","",'IDENTIFICACIÓN TRABAJADOR'!$D$14)</f>
        <v/>
      </c>
      <c r="C63" s="203" t="str">
        <f>IF(AUXILIAR!J136="X","",AUXILIAR!J136)</f>
        <v/>
      </c>
      <c r="D63" s="209" t="str">
        <f>IF(C63="","",IF(VALUE(MID(C63,7,1))=1,VLOOKUP(C63,'LINEAS CON DEDICACIÓN'!$B$17:$C$31,2,FALSE),IF(VALUE(MID(C63,7,1))=2,VLOOKUP(C63,'LINEAS CON DEDICACIÓN'!$F$17:$G$31,2,FALSE),IF(VALUE(MID(C63,7,1))=3,VLOOKUP(C63,'LINEAS CON DEDICACIÓN'!$J$17:$K$31,2,FALSE),IF(VALUE(MID(C63,7,1))=4,VLOOKUP(C63,'LINEAS CON DEDICACIÓN'!$N$17:$O$31,2,FALSE))))))</f>
        <v/>
      </c>
      <c r="E63" s="210" t="str">
        <f>IF(OR($K$3&gt;0,$K$4&gt;0),"",IF(AUXILIAR!J136="X","",IF(AND(AUXILIAR!J136&lt;&gt;"X",AUXILIAR!K136=""),0,AUXILIAR!K136)))</f>
        <v/>
      </c>
    </row>
    <row r="64" spans="2:5" ht="35.1" customHeight="1" x14ac:dyDescent="0.25">
      <c r="B64" s="208" t="str">
        <f>IF(C64="","",'IDENTIFICACIÓN TRABAJADOR'!$D$14)</f>
        <v/>
      </c>
      <c r="C64" s="203" t="str">
        <f>IF(AUXILIAR!J137="X","",AUXILIAR!J137)</f>
        <v/>
      </c>
      <c r="D64" s="209" t="str">
        <f>IF(C64="","",IF(VALUE(MID(C64,7,1))=1,VLOOKUP(C64,'LINEAS CON DEDICACIÓN'!$B$17:$C$31,2,FALSE),IF(VALUE(MID(C64,7,1))=2,VLOOKUP(C64,'LINEAS CON DEDICACIÓN'!$F$17:$G$31,2,FALSE),IF(VALUE(MID(C64,7,1))=3,VLOOKUP(C64,'LINEAS CON DEDICACIÓN'!$J$17:$K$31,2,FALSE),IF(VALUE(MID(C64,7,1))=4,VLOOKUP(C64,'LINEAS CON DEDICACIÓN'!$N$17:$O$31,2,FALSE))))))</f>
        <v/>
      </c>
      <c r="E64" s="210" t="str">
        <f>IF(OR($K$3&gt;0,$K$4&gt;0),"",IF(AUXILIAR!J137="X","",IF(AND(AUXILIAR!J137&lt;&gt;"X",AUXILIAR!K137=""),0,AUXILIAR!K137)))</f>
        <v/>
      </c>
    </row>
    <row r="65" spans="2:5" ht="35.1" customHeight="1" x14ac:dyDescent="0.25">
      <c r="B65" s="208" t="str">
        <f>IF(C65="","",'IDENTIFICACIÓN TRABAJADOR'!$D$14)</f>
        <v/>
      </c>
      <c r="C65" s="203" t="str">
        <f>IF(AUXILIAR!J138="X","",AUXILIAR!J138)</f>
        <v/>
      </c>
      <c r="D65" s="209" t="str">
        <f>IF(C65="","",IF(VALUE(MID(C65,7,1))=1,VLOOKUP(C65,'LINEAS CON DEDICACIÓN'!$B$17:$C$31,2,FALSE),IF(VALUE(MID(C65,7,1))=2,VLOOKUP(C65,'LINEAS CON DEDICACIÓN'!$F$17:$G$31,2,FALSE),IF(VALUE(MID(C65,7,1))=3,VLOOKUP(C65,'LINEAS CON DEDICACIÓN'!$J$17:$K$31,2,FALSE),IF(VALUE(MID(C65,7,1))=4,VLOOKUP(C65,'LINEAS CON DEDICACIÓN'!$N$17:$O$31,2,FALSE))))))</f>
        <v/>
      </c>
      <c r="E65" s="210" t="str">
        <f>IF(OR($K$3&gt;0,$K$4&gt;0),"",IF(AUXILIAR!J138="X","",IF(AND(AUXILIAR!J138&lt;&gt;"X",AUXILIAR!K138=""),0,AUXILIAR!K138)))</f>
        <v/>
      </c>
    </row>
    <row r="66" spans="2:5" ht="35.1" customHeight="1" x14ac:dyDescent="0.25">
      <c r="B66" s="208" t="str">
        <f>IF(C66="","",'IDENTIFICACIÓN TRABAJADOR'!$D$14)</f>
        <v/>
      </c>
      <c r="C66" s="203" t="str">
        <f>IF(AUXILIAR!J139="X","",AUXILIAR!J139)</f>
        <v/>
      </c>
      <c r="D66" s="209" t="str">
        <f>IF(C66="","",IF(VALUE(MID(C66,7,1))=1,VLOOKUP(C66,'LINEAS CON DEDICACIÓN'!$B$17:$C$31,2,FALSE),IF(VALUE(MID(C66,7,1))=2,VLOOKUP(C66,'LINEAS CON DEDICACIÓN'!$F$17:$G$31,2,FALSE),IF(VALUE(MID(C66,7,1))=3,VLOOKUP(C66,'LINEAS CON DEDICACIÓN'!$J$17:$K$31,2,FALSE),IF(VALUE(MID(C66,7,1))=4,VLOOKUP(C66,'LINEAS CON DEDICACIÓN'!$N$17:$O$31,2,FALSE))))))</f>
        <v/>
      </c>
      <c r="E66" s="210" t="str">
        <f>IF(OR($K$3&gt;0,$K$4&gt;0),"",IF(AUXILIAR!J139="X","",IF(AND(AUXILIAR!J139&lt;&gt;"X",AUXILIAR!K139=""),0,AUXILIAR!K139)))</f>
        <v/>
      </c>
    </row>
    <row r="67" spans="2:5" ht="35.1" customHeight="1" x14ac:dyDescent="0.25">
      <c r="B67" s="208" t="str">
        <f>IF(C67="","",'IDENTIFICACIÓN TRABAJADOR'!$D$14)</f>
        <v/>
      </c>
      <c r="C67" s="203" t="str">
        <f>IF(AUXILIAR!J140="X","",AUXILIAR!J140)</f>
        <v/>
      </c>
      <c r="D67" s="209" t="str">
        <f>IF(C67="","",IF(VALUE(MID(C67,7,1))=1,VLOOKUP(C67,'LINEAS CON DEDICACIÓN'!$B$17:$C$31,2,FALSE),IF(VALUE(MID(C67,7,1))=2,VLOOKUP(C67,'LINEAS CON DEDICACIÓN'!$F$17:$G$31,2,FALSE),IF(VALUE(MID(C67,7,1))=3,VLOOKUP(C67,'LINEAS CON DEDICACIÓN'!$J$17:$K$31,2,FALSE),IF(VALUE(MID(C67,7,1))=4,VLOOKUP(C67,'LINEAS CON DEDICACIÓN'!$N$17:$O$31,2,FALSE))))))</f>
        <v/>
      </c>
      <c r="E67" s="210" t="str">
        <f>IF(OR($K$3&gt;0,$K$4&gt;0),"",IF(AUXILIAR!J140="X","",IF(AND(AUXILIAR!J140&lt;&gt;"X",AUXILIAR!K140=""),0,AUXILIAR!K140)))</f>
        <v/>
      </c>
    </row>
    <row r="68" spans="2:5" ht="35.1" customHeight="1" x14ac:dyDescent="0.25">
      <c r="B68" s="208" t="str">
        <f>IF(C68="","",'IDENTIFICACIÓN TRABAJADOR'!$D$14)</f>
        <v/>
      </c>
      <c r="C68" s="203" t="str">
        <f>IF(AUXILIAR!J141="X","",AUXILIAR!J141)</f>
        <v/>
      </c>
      <c r="D68" s="209" t="str">
        <f>IF(C68="","",IF(VALUE(MID(C68,7,1))=1,VLOOKUP(C68,'LINEAS CON DEDICACIÓN'!$B$17:$C$31,2,FALSE),IF(VALUE(MID(C68,7,1))=2,VLOOKUP(C68,'LINEAS CON DEDICACIÓN'!$F$17:$G$31,2,FALSE),IF(VALUE(MID(C68,7,1))=3,VLOOKUP(C68,'LINEAS CON DEDICACIÓN'!$J$17:$K$31,2,FALSE),IF(VALUE(MID(C68,7,1))=4,VLOOKUP(C68,'LINEAS CON DEDICACIÓN'!$N$17:$O$31,2,FALSE))))))</f>
        <v/>
      </c>
      <c r="E68" s="210" t="str">
        <f>IF(OR($K$3&gt;0,$K$4&gt;0),"",IF(AUXILIAR!J141="X","",IF(AND(AUXILIAR!J141&lt;&gt;"X",AUXILIAR!K141=""),0,AUXILIAR!K141)))</f>
        <v/>
      </c>
    </row>
    <row r="69" spans="2:5" ht="35.1" customHeight="1" x14ac:dyDescent="0.25">
      <c r="B69" s="208" t="str">
        <f>IF(C69="","",'IDENTIFICACIÓN TRABAJADOR'!$D$14)</f>
        <v/>
      </c>
      <c r="C69" s="203" t="str">
        <f>IF(AUXILIAR!J142="X","",AUXILIAR!J142)</f>
        <v/>
      </c>
      <c r="D69" s="209" t="str">
        <f>IF(C69="","",IF(VALUE(MID(C69,7,1))=1,VLOOKUP(C69,'LINEAS CON DEDICACIÓN'!$B$17:$C$31,2,FALSE),IF(VALUE(MID(C69,7,1))=2,VLOOKUP(C69,'LINEAS CON DEDICACIÓN'!$F$17:$G$31,2,FALSE),IF(VALUE(MID(C69,7,1))=3,VLOOKUP(C69,'LINEAS CON DEDICACIÓN'!$J$17:$K$31,2,FALSE),IF(VALUE(MID(C69,7,1))=4,VLOOKUP(C69,'LINEAS CON DEDICACIÓN'!$N$17:$O$31,2,FALSE))))))</f>
        <v/>
      </c>
      <c r="E69" s="210" t="str">
        <f>IF(OR($K$3&gt;0,$K$4&gt;0),"",IF(AUXILIAR!J142="X","",IF(AND(AUXILIAR!J142&lt;&gt;"X",AUXILIAR!K142=""),0,AUXILIAR!K142)))</f>
        <v/>
      </c>
    </row>
    <row r="70" spans="2:5" ht="35.1" customHeight="1" x14ac:dyDescent="0.25">
      <c r="B70" s="208" t="str">
        <f>IF(C70="","",'IDENTIFICACIÓN TRABAJADOR'!$D$14)</f>
        <v/>
      </c>
      <c r="C70" s="203" t="str">
        <f>IF(AUXILIAR!J143="X","",AUXILIAR!J143)</f>
        <v/>
      </c>
      <c r="D70" s="209" t="str">
        <f>IF(C70="","",IF(VALUE(MID(C70,7,1))=1,VLOOKUP(C70,'LINEAS CON DEDICACIÓN'!$B$17:$C$31,2,FALSE),IF(VALUE(MID(C70,7,1))=2,VLOOKUP(C70,'LINEAS CON DEDICACIÓN'!$F$17:$G$31,2,FALSE),IF(VALUE(MID(C70,7,1))=3,VLOOKUP(C70,'LINEAS CON DEDICACIÓN'!$J$17:$K$31,2,FALSE),IF(VALUE(MID(C70,7,1))=4,VLOOKUP(C70,'LINEAS CON DEDICACIÓN'!$N$17:$O$31,2,FALSE))))))</f>
        <v/>
      </c>
      <c r="E70" s="210" t="str">
        <f>IF(OR($K$3&gt;0,$K$4&gt;0),"",IF(AUXILIAR!J143="X","",IF(AND(AUXILIAR!J143&lt;&gt;"X",AUXILIAR!K143=""),0,AUXILIAR!K143)))</f>
        <v/>
      </c>
    </row>
    <row r="71" spans="2:5" ht="35.1" customHeight="1" x14ac:dyDescent="0.25">
      <c r="B71" s="208" t="str">
        <f>IF(C71="","",'IDENTIFICACIÓN TRABAJADOR'!$D$14)</f>
        <v/>
      </c>
      <c r="C71" s="203" t="str">
        <f>IF(AUXILIAR!J144="X","",AUXILIAR!J144)</f>
        <v/>
      </c>
      <c r="D71" s="209" t="str">
        <f>IF(C71="","",IF(VALUE(MID(C71,7,1))=1,VLOOKUP(C71,'LINEAS CON DEDICACIÓN'!$B$17:$C$31,2,FALSE),IF(VALUE(MID(C71,7,1))=2,VLOOKUP(C71,'LINEAS CON DEDICACIÓN'!$F$17:$G$31,2,FALSE),IF(VALUE(MID(C71,7,1))=3,VLOOKUP(C71,'LINEAS CON DEDICACIÓN'!$J$17:$K$31,2,FALSE),IF(VALUE(MID(C71,7,1))=4,VLOOKUP(C71,'LINEAS CON DEDICACIÓN'!$N$17:$O$31,2,FALSE))))))</f>
        <v/>
      </c>
      <c r="E71" s="210" t="str">
        <f>IF(OR($K$3&gt;0,$K$4&gt;0),"",IF(AUXILIAR!J144="X","",IF(AND(AUXILIAR!J144&lt;&gt;"X",AUXILIAR!K144=""),0,AUXILIAR!K144)))</f>
        <v/>
      </c>
    </row>
    <row r="72" spans="2:5" ht="35.1" customHeight="1" x14ac:dyDescent="0.25">
      <c r="B72" s="208" t="str">
        <f>IF(C72="","",'IDENTIFICACIÓN TRABAJADOR'!$D$14)</f>
        <v/>
      </c>
      <c r="C72" s="203" t="str">
        <f>IF(AUXILIAR!J145="X","",AUXILIAR!J145)</f>
        <v/>
      </c>
      <c r="D72" s="209" t="str">
        <f>IF(C72="","",IF(VALUE(MID(C72,7,1))=1,VLOOKUP(C72,'LINEAS CON DEDICACIÓN'!$B$17:$C$31,2,FALSE),IF(VALUE(MID(C72,7,1))=2,VLOOKUP(C72,'LINEAS CON DEDICACIÓN'!$F$17:$G$31,2,FALSE),IF(VALUE(MID(C72,7,1))=3,VLOOKUP(C72,'LINEAS CON DEDICACIÓN'!$J$17:$K$31,2,FALSE),IF(VALUE(MID(C72,7,1))=4,VLOOKUP(C72,'LINEAS CON DEDICACIÓN'!$N$17:$O$31,2,FALSE))))))</f>
        <v/>
      </c>
      <c r="E72" s="210" t="str">
        <f>IF(OR($K$3&gt;0,$K$4&gt;0),"",IF(AUXILIAR!J145="X","",IF(AND(AUXILIAR!J145&lt;&gt;"X",AUXILIAR!K145=""),0,AUXILIAR!K145)))</f>
        <v/>
      </c>
    </row>
    <row r="73" spans="2:5" ht="35.1" customHeight="1" x14ac:dyDescent="0.25">
      <c r="B73" s="208" t="str">
        <f>IF(C73="","",'IDENTIFICACIÓN TRABAJADOR'!$D$14)</f>
        <v/>
      </c>
      <c r="C73" s="203" t="str">
        <f>IF(AUXILIAR!J146="X","",AUXILIAR!J146)</f>
        <v/>
      </c>
      <c r="D73" s="209" t="str">
        <f>IF(C73="","",IF(VALUE(MID(C73,7,1))=1,VLOOKUP(C73,'LINEAS CON DEDICACIÓN'!$B$17:$C$31,2,FALSE),IF(VALUE(MID(C73,7,1))=2,VLOOKUP(C73,'LINEAS CON DEDICACIÓN'!$F$17:$G$31,2,FALSE),IF(VALUE(MID(C73,7,1))=3,VLOOKUP(C73,'LINEAS CON DEDICACIÓN'!$J$17:$K$31,2,FALSE),IF(VALUE(MID(C73,7,1))=4,VLOOKUP(C73,'LINEAS CON DEDICACIÓN'!$N$17:$O$31,2,FALSE))))))</f>
        <v/>
      </c>
      <c r="E73" s="210" t="str">
        <f>IF(OR($K$3&gt;0,$K$4&gt;0),"",IF(AUXILIAR!J146="X","",IF(AND(AUXILIAR!J146&lt;&gt;"X",AUXILIAR!K146=""),0,AUXILIAR!K146)))</f>
        <v/>
      </c>
    </row>
    <row r="74" spans="2:5" ht="35.1" customHeight="1" x14ac:dyDescent="0.25">
      <c r="B74" s="208" t="str">
        <f>IF(C74="","",'IDENTIFICACIÓN TRABAJADOR'!$D$14)</f>
        <v/>
      </c>
      <c r="C74" s="203" t="str">
        <f>IF(AUXILIAR!J147="X","",AUXILIAR!J147)</f>
        <v/>
      </c>
      <c r="D74" s="209" t="str">
        <f>IF(C74="","",IF(VALUE(MID(C74,7,1))=1,VLOOKUP(C74,'LINEAS CON DEDICACIÓN'!$B$17:$C$31,2,FALSE),IF(VALUE(MID(C74,7,1))=2,VLOOKUP(C74,'LINEAS CON DEDICACIÓN'!$F$17:$G$31,2,FALSE),IF(VALUE(MID(C74,7,1))=3,VLOOKUP(C74,'LINEAS CON DEDICACIÓN'!$J$17:$K$31,2,FALSE),IF(VALUE(MID(C74,7,1))=4,VLOOKUP(C74,'LINEAS CON DEDICACIÓN'!$N$17:$O$31,2,FALSE))))))</f>
        <v/>
      </c>
      <c r="E74" s="210" t="str">
        <f>IF(OR($K$3&gt;0,$K$4&gt;0),"",IF(AUXILIAR!J147="X","",IF(AND(AUXILIAR!J147&lt;&gt;"X",AUXILIAR!K147=""),0,AUXILIAR!K147)))</f>
        <v/>
      </c>
    </row>
  </sheetData>
  <sheetProtection algorithmName="SHA-512" hashValue="NDc1PlxuCSHy/TOpoP+Z2NreGwU8IEa6PZD2GMucqJDhT7BS6lzrwq/NYhSQUuySxhDizeJuMLD+gM/zNlR1Uw==" saltValue="Li9FWj/vIELhiQhKDp5y2A==" spinCount="100000" sheet="1" objects="1" scenarios="1"/>
  <phoneticPr fontId="10" type="noConversion"/>
  <conditionalFormatting sqref="B15:E74">
    <cfRule type="expression" dxfId="6" priority="2">
      <formula>AND($C15&lt;&gt;"",$C16="")</formula>
    </cfRule>
    <cfRule type="expression" dxfId="5" priority="29">
      <formula>$C15=""</formula>
    </cfRule>
  </conditionalFormatting>
  <conditionalFormatting sqref="D74:E74">
    <cfRule type="expression" dxfId="4" priority="24" stopIfTrue="1">
      <formula>AND($C74&lt;&gt;"",$B75="")</formula>
    </cfRule>
    <cfRule type="expression" dxfId="3" priority="25">
      <formula>$C74=""</formula>
    </cfRule>
  </conditionalFormatting>
  <conditionalFormatting sqref="G8">
    <cfRule type="cellIs" dxfId="2" priority="1" operator="notEqual">
      <formula>""</formula>
    </cfRule>
  </conditionalFormatting>
  <printOptions horizontalCentered="1"/>
  <pageMargins left="0.59055118110236227" right="0.59055118110236227" top="0.59055118110236227" bottom="0.39370078740157483" header="0.19685039370078741" footer="0.19685039370078741"/>
  <pageSetup paperSize="9" scale="7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1A1-9D42-46A6-8A0E-54069675B253}">
  <dimension ref="B1:Z174"/>
  <sheetViews>
    <sheetView showGridLines="0" zoomScaleNormal="100" workbookViewId="0"/>
  </sheetViews>
  <sheetFormatPr baseColWidth="10" defaultColWidth="11.42578125" defaultRowHeight="13.5" x14ac:dyDescent="0.25"/>
  <cols>
    <col min="1" max="1" width="5.5703125" style="26" customWidth="1"/>
    <col min="2" max="2" width="5.42578125" style="26" bestFit="1" customWidth="1"/>
    <col min="3" max="3" width="25.5703125" style="27" customWidth="1"/>
    <col min="4" max="5" width="30.5703125" style="26" customWidth="1"/>
    <col min="6" max="6" width="5.5703125" style="26" customWidth="1"/>
    <col min="7" max="7" width="30.5703125" style="26" customWidth="1"/>
    <col min="8" max="8" width="5.5703125" style="26" customWidth="1"/>
    <col min="9" max="9" width="5.5703125" style="27" customWidth="1"/>
    <col min="10" max="10" width="27.42578125" style="26" customWidth="1"/>
    <col min="11" max="11" width="9.140625" style="26" bestFit="1" customWidth="1"/>
    <col min="12" max="12" width="9.5703125" style="26" customWidth="1"/>
    <col min="13" max="13" width="5.5703125" style="26" customWidth="1"/>
    <col min="14" max="14" width="9.5703125" style="26" customWidth="1"/>
    <col min="15" max="15" width="5.5703125" style="26" customWidth="1"/>
    <col min="16" max="16" width="9.5703125" style="26" customWidth="1"/>
    <col min="17" max="17" width="5.5703125" style="26" customWidth="1"/>
    <col min="18" max="18" width="9.5703125" style="26" customWidth="1"/>
    <col min="19" max="19" width="5.5703125" style="26" customWidth="1"/>
    <col min="20" max="20" width="9.5703125" style="26" customWidth="1"/>
    <col min="21" max="21" width="5.5703125" style="26" customWidth="1"/>
    <col min="22" max="22" width="9.5703125" style="26" customWidth="1"/>
    <col min="23" max="23" width="5.5703125" style="26" customWidth="1"/>
    <col min="24" max="24" width="9.5703125" style="26" customWidth="1"/>
    <col min="25" max="25" width="5.5703125" style="26" customWidth="1"/>
    <col min="26" max="26" width="9.5703125" style="26" customWidth="1"/>
    <col min="27" max="16384" width="11.42578125" style="26"/>
  </cols>
  <sheetData>
    <row r="1" spans="2:23" x14ac:dyDescent="0.25">
      <c r="B1" s="26">
        <f>EXPEDIENTE!A1</f>
        <v>0</v>
      </c>
    </row>
    <row r="3" spans="2:23" x14ac:dyDescent="0.25">
      <c r="C3" s="275" t="s">
        <v>11</v>
      </c>
      <c r="D3" s="441" t="s">
        <v>111</v>
      </c>
      <c r="E3" s="442"/>
      <c r="F3" s="442"/>
      <c r="G3" s="442"/>
      <c r="H3" s="442"/>
      <c r="I3" s="442"/>
      <c r="J3" s="443"/>
      <c r="W3" s="190"/>
    </row>
    <row r="5" spans="2:23" x14ac:dyDescent="0.25">
      <c r="C5" s="275" t="s">
        <v>12</v>
      </c>
      <c r="D5" s="28">
        <v>2023</v>
      </c>
      <c r="F5" s="29" t="s">
        <v>21</v>
      </c>
      <c r="G5" s="28" t="s">
        <v>109</v>
      </c>
    </row>
    <row r="6" spans="2:23" x14ac:dyDescent="0.25">
      <c r="F6" s="30"/>
    </row>
    <row r="7" spans="2:23" x14ac:dyDescent="0.25">
      <c r="C7" s="275" t="s">
        <v>14</v>
      </c>
      <c r="D7" s="31">
        <v>11</v>
      </c>
      <c r="F7" s="29" t="s">
        <v>22</v>
      </c>
      <c r="G7" s="28" t="s">
        <v>110</v>
      </c>
    </row>
    <row r="9" spans="2:23" x14ac:dyDescent="0.25">
      <c r="C9" s="275" t="s">
        <v>16</v>
      </c>
      <c r="D9" s="32" t="s">
        <v>100</v>
      </c>
    </row>
    <row r="11" spans="2:23" x14ac:dyDescent="0.25">
      <c r="I11" s="26"/>
    </row>
    <row r="12" spans="2:23" x14ac:dyDescent="0.25">
      <c r="C12" s="444" t="s">
        <v>23</v>
      </c>
      <c r="D12" s="444"/>
      <c r="E12" s="444"/>
      <c r="I12" s="26"/>
    </row>
    <row r="13" spans="2:23" x14ac:dyDescent="0.25">
      <c r="I13" s="26"/>
    </row>
    <row r="14" spans="2:23" x14ac:dyDescent="0.25">
      <c r="C14" s="33">
        <v>2</v>
      </c>
      <c r="D14" s="26" t="s">
        <v>24</v>
      </c>
      <c r="I14" s="26"/>
    </row>
    <row r="15" spans="2:23" x14ac:dyDescent="0.25">
      <c r="I15" s="26"/>
    </row>
    <row r="16" spans="2:23" x14ac:dyDescent="0.25">
      <c r="C16" s="27" t="s">
        <v>25</v>
      </c>
      <c r="E16" s="35">
        <f>EXPEDIENTE!F27</f>
        <v>0</v>
      </c>
      <c r="I16" s="26"/>
    </row>
    <row r="17" spans="2:14" x14ac:dyDescent="0.25">
      <c r="C17" s="27" t="s">
        <v>26</v>
      </c>
      <c r="E17" s="26">
        <f>DAY(E16)</f>
        <v>0</v>
      </c>
      <c r="I17" s="26"/>
    </row>
    <row r="18" spans="2:14" x14ac:dyDescent="0.25">
      <c r="C18" s="27" t="s">
        <v>27</v>
      </c>
      <c r="E18" s="26">
        <f>MONTH(E16)</f>
        <v>1</v>
      </c>
      <c r="I18" s="26"/>
    </row>
    <row r="19" spans="2:14" x14ac:dyDescent="0.25">
      <c r="C19" s="27" t="s">
        <v>28</v>
      </c>
      <c r="E19" s="26">
        <f>YEAR(E16)</f>
        <v>1900</v>
      </c>
      <c r="I19" s="26"/>
    </row>
    <row r="20" spans="2:14" x14ac:dyDescent="0.25">
      <c r="I20" s="26"/>
    </row>
    <row r="21" spans="2:14" x14ac:dyDescent="0.25">
      <c r="C21" s="27" t="s">
        <v>29</v>
      </c>
      <c r="E21" s="35">
        <f>DATE(YEAR(E16),MONTH(E16)+C14,DAY(E16))</f>
        <v>60</v>
      </c>
      <c r="I21" s="26"/>
    </row>
    <row r="22" spans="2:14" x14ac:dyDescent="0.25">
      <c r="C22" s="27" t="s">
        <v>30</v>
      </c>
      <c r="E22" s="35">
        <f>IF(DAY(E16)=DAY(E21),E21,DATE(YEAR(E21),MONTH(E21),1)-1)</f>
        <v>31</v>
      </c>
      <c r="I22" s="26"/>
    </row>
    <row r="23" spans="2:14" x14ac:dyDescent="0.25">
      <c r="I23" s="26"/>
    </row>
    <row r="24" spans="2:14" x14ac:dyDescent="0.25">
      <c r="I24" s="26"/>
    </row>
    <row r="25" spans="2:14" x14ac:dyDescent="0.25">
      <c r="I25" s="26"/>
    </row>
    <row r="26" spans="2:14" x14ac:dyDescent="0.25">
      <c r="B26" s="26">
        <v>1</v>
      </c>
      <c r="C26" s="279" t="str">
        <f>'LINEAS CON DEDICACIÓN'!B17</f>
        <v>Línea 1.1:</v>
      </c>
      <c r="D26" s="183">
        <f>'LINEAS CON DEDICACIÓN'!C17</f>
        <v>0</v>
      </c>
      <c r="E26" s="183" t="str">
        <f>IF(D26=0,"",CONCATENATE(C26," ",D26))</f>
        <v/>
      </c>
      <c r="G26" s="183">
        <f>IF(D26=0,61,E26)</f>
        <v>61</v>
      </c>
      <c r="I26" s="34">
        <f>IF(G26&lt;&gt;61,B26,61)</f>
        <v>61</v>
      </c>
      <c r="J26" s="26" t="str">
        <f>IFERROR(VLOOKUP(SMALL($I$26:$I$85,B26),$B$26:$E$85,4,FALSE),"X")</f>
        <v>X</v>
      </c>
      <c r="K26" s="26">
        <v>1</v>
      </c>
      <c r="L26" s="26" t="str">
        <f t="shared" ref="L26:L40" si="0">IF(D26&lt;&gt;0,C26,"")</f>
        <v/>
      </c>
      <c r="M26" s="26">
        <f>IF(L26="",16,K26)</f>
        <v>16</v>
      </c>
      <c r="N26" s="26" t="str">
        <f>IFERROR(VLOOKUP(SMALL($M$26:$M$40,K26),$K$26:$L$40,2,FALSE),"X")</f>
        <v>X</v>
      </c>
    </row>
    <row r="27" spans="2:14" x14ac:dyDescent="0.25">
      <c r="B27" s="26">
        <v>2</v>
      </c>
      <c r="C27" s="279" t="str">
        <f>'LINEAS CON DEDICACIÓN'!B18</f>
        <v>Línea 1.2:</v>
      </c>
      <c r="D27" s="183">
        <f>'LINEAS CON DEDICACIÓN'!C18</f>
        <v>0</v>
      </c>
      <c r="E27" s="183" t="str">
        <f t="shared" ref="E27:E85" si="1">IF(D27=0,"",CONCATENATE(C27," ",D27))</f>
        <v/>
      </c>
      <c r="G27" s="183">
        <f t="shared" ref="G27:G85" si="2">IF(D27=0,61,E27)</f>
        <v>61</v>
      </c>
      <c r="I27" s="34">
        <f t="shared" ref="I27:I85" si="3">IF(G27&lt;&gt;61,B27,61)</f>
        <v>61</v>
      </c>
      <c r="J27" s="26" t="str">
        <f t="shared" ref="J27:J85" si="4">IFERROR(VLOOKUP(SMALL($I$26:$I$85,B27),$B$26:$E$85,4,FALSE),"X")</f>
        <v>X</v>
      </c>
      <c r="K27" s="26">
        <v>2</v>
      </c>
      <c r="L27" s="26" t="str">
        <f t="shared" si="0"/>
        <v/>
      </c>
      <c r="M27" s="26">
        <f t="shared" ref="M27:M40" si="5">IF(L27="",16,K27)</f>
        <v>16</v>
      </c>
      <c r="N27" s="26" t="str">
        <f t="shared" ref="N27:N40" si="6">IFERROR(VLOOKUP(SMALL($M$26:$M$40,K27),$K$26:$L$40,2,FALSE),"X")</f>
        <v>X</v>
      </c>
    </row>
    <row r="28" spans="2:14" x14ac:dyDescent="0.25">
      <c r="B28" s="26">
        <v>3</v>
      </c>
      <c r="C28" s="279" t="str">
        <f>'LINEAS CON DEDICACIÓN'!B19</f>
        <v>Línea 1.3:</v>
      </c>
      <c r="D28" s="183">
        <f>'LINEAS CON DEDICACIÓN'!C19</f>
        <v>0</v>
      </c>
      <c r="E28" s="183" t="str">
        <f t="shared" si="1"/>
        <v/>
      </c>
      <c r="G28" s="183">
        <f t="shared" si="2"/>
        <v>61</v>
      </c>
      <c r="I28" s="34">
        <f t="shared" si="3"/>
        <v>61</v>
      </c>
      <c r="J28" s="26" t="str">
        <f t="shared" si="4"/>
        <v>X</v>
      </c>
      <c r="K28" s="26">
        <v>3</v>
      </c>
      <c r="L28" s="26" t="str">
        <f t="shared" si="0"/>
        <v/>
      </c>
      <c r="M28" s="26">
        <f t="shared" si="5"/>
        <v>16</v>
      </c>
      <c r="N28" s="26" t="str">
        <f t="shared" si="6"/>
        <v>X</v>
      </c>
    </row>
    <row r="29" spans="2:14" x14ac:dyDescent="0.25">
      <c r="B29" s="26">
        <v>4</v>
      </c>
      <c r="C29" s="279" t="str">
        <f>'LINEAS CON DEDICACIÓN'!B20</f>
        <v>Línea 1.4:</v>
      </c>
      <c r="D29" s="183">
        <f>'LINEAS CON DEDICACIÓN'!C20</f>
        <v>0</v>
      </c>
      <c r="E29" s="183" t="str">
        <f t="shared" si="1"/>
        <v/>
      </c>
      <c r="G29" s="183">
        <f t="shared" si="2"/>
        <v>61</v>
      </c>
      <c r="I29" s="34">
        <f t="shared" si="3"/>
        <v>61</v>
      </c>
      <c r="J29" s="26" t="str">
        <f t="shared" si="4"/>
        <v>X</v>
      </c>
      <c r="K29" s="26">
        <v>4</v>
      </c>
      <c r="L29" s="26" t="str">
        <f t="shared" si="0"/>
        <v/>
      </c>
      <c r="M29" s="26">
        <f t="shared" si="5"/>
        <v>16</v>
      </c>
      <c r="N29" s="26" t="str">
        <f t="shared" si="6"/>
        <v>X</v>
      </c>
    </row>
    <row r="30" spans="2:14" x14ac:dyDescent="0.25">
      <c r="B30" s="26">
        <v>5</v>
      </c>
      <c r="C30" s="279" t="str">
        <f>'LINEAS CON DEDICACIÓN'!B21</f>
        <v>Línea 1.5:</v>
      </c>
      <c r="D30" s="183">
        <f>'LINEAS CON DEDICACIÓN'!C21</f>
        <v>0</v>
      </c>
      <c r="E30" s="183" t="str">
        <f t="shared" si="1"/>
        <v/>
      </c>
      <c r="G30" s="183">
        <f t="shared" si="2"/>
        <v>61</v>
      </c>
      <c r="I30" s="34">
        <f t="shared" si="3"/>
        <v>61</v>
      </c>
      <c r="J30" s="26" t="str">
        <f t="shared" si="4"/>
        <v>X</v>
      </c>
      <c r="K30" s="26">
        <v>5</v>
      </c>
      <c r="L30" s="26" t="str">
        <f t="shared" si="0"/>
        <v/>
      </c>
      <c r="M30" s="26">
        <f t="shared" si="5"/>
        <v>16</v>
      </c>
      <c r="N30" s="26" t="str">
        <f t="shared" si="6"/>
        <v>X</v>
      </c>
    </row>
    <row r="31" spans="2:14" x14ac:dyDescent="0.25">
      <c r="B31" s="26">
        <v>6</v>
      </c>
      <c r="C31" s="279" t="str">
        <f>'LINEAS CON DEDICACIÓN'!B22</f>
        <v>Línea 1.6:</v>
      </c>
      <c r="D31" s="183">
        <f>'LINEAS CON DEDICACIÓN'!C22</f>
        <v>0</v>
      </c>
      <c r="E31" s="183" t="str">
        <f t="shared" si="1"/>
        <v/>
      </c>
      <c r="G31" s="183">
        <f t="shared" si="2"/>
        <v>61</v>
      </c>
      <c r="I31" s="34">
        <f t="shared" si="3"/>
        <v>61</v>
      </c>
      <c r="J31" s="26" t="str">
        <f t="shared" si="4"/>
        <v>X</v>
      </c>
      <c r="K31" s="26">
        <v>6</v>
      </c>
      <c r="L31" s="26" t="str">
        <f t="shared" si="0"/>
        <v/>
      </c>
      <c r="M31" s="26">
        <f t="shared" si="5"/>
        <v>16</v>
      </c>
      <c r="N31" s="26" t="str">
        <f t="shared" si="6"/>
        <v>X</v>
      </c>
    </row>
    <row r="32" spans="2:14" x14ac:dyDescent="0.25">
      <c r="B32" s="26">
        <v>7</v>
      </c>
      <c r="C32" s="279" t="str">
        <f>'LINEAS CON DEDICACIÓN'!B23</f>
        <v>Línea 1.7:</v>
      </c>
      <c r="D32" s="183">
        <f>'LINEAS CON DEDICACIÓN'!C23</f>
        <v>0</v>
      </c>
      <c r="E32" s="183" t="str">
        <f t="shared" si="1"/>
        <v/>
      </c>
      <c r="G32" s="183">
        <f t="shared" si="2"/>
        <v>61</v>
      </c>
      <c r="I32" s="34">
        <f t="shared" si="3"/>
        <v>61</v>
      </c>
      <c r="J32" s="26" t="str">
        <f t="shared" si="4"/>
        <v>X</v>
      </c>
      <c r="K32" s="26">
        <v>7</v>
      </c>
      <c r="L32" s="26" t="str">
        <f t="shared" si="0"/>
        <v/>
      </c>
      <c r="M32" s="26">
        <f t="shared" si="5"/>
        <v>16</v>
      </c>
      <c r="N32" s="26" t="str">
        <f t="shared" si="6"/>
        <v>X</v>
      </c>
    </row>
    <row r="33" spans="2:18" x14ac:dyDescent="0.25">
      <c r="B33" s="26">
        <v>8</v>
      </c>
      <c r="C33" s="279" t="str">
        <f>'LINEAS CON DEDICACIÓN'!B24</f>
        <v>Línea 1.8:</v>
      </c>
      <c r="D33" s="183">
        <f>'LINEAS CON DEDICACIÓN'!C24</f>
        <v>0</v>
      </c>
      <c r="E33" s="183" t="str">
        <f t="shared" si="1"/>
        <v/>
      </c>
      <c r="G33" s="183">
        <f t="shared" si="2"/>
        <v>61</v>
      </c>
      <c r="I33" s="34">
        <f t="shared" si="3"/>
        <v>61</v>
      </c>
      <c r="J33" s="26" t="str">
        <f t="shared" si="4"/>
        <v>X</v>
      </c>
      <c r="K33" s="26">
        <v>8</v>
      </c>
      <c r="L33" s="26" t="str">
        <f t="shared" si="0"/>
        <v/>
      </c>
      <c r="M33" s="26">
        <f t="shared" si="5"/>
        <v>16</v>
      </c>
      <c r="N33" s="26" t="str">
        <f t="shared" si="6"/>
        <v>X</v>
      </c>
    </row>
    <row r="34" spans="2:18" x14ac:dyDescent="0.25">
      <c r="B34" s="26">
        <v>9</v>
      </c>
      <c r="C34" s="279" t="str">
        <f>'LINEAS CON DEDICACIÓN'!B25</f>
        <v>Línea 1.9:</v>
      </c>
      <c r="D34" s="183">
        <f>'LINEAS CON DEDICACIÓN'!C25</f>
        <v>0</v>
      </c>
      <c r="E34" s="183" t="str">
        <f t="shared" si="1"/>
        <v/>
      </c>
      <c r="G34" s="183">
        <f t="shared" si="2"/>
        <v>61</v>
      </c>
      <c r="I34" s="34">
        <f t="shared" si="3"/>
        <v>61</v>
      </c>
      <c r="J34" s="26" t="str">
        <f t="shared" si="4"/>
        <v>X</v>
      </c>
      <c r="K34" s="26">
        <v>9</v>
      </c>
      <c r="L34" s="26" t="str">
        <f t="shared" si="0"/>
        <v/>
      </c>
      <c r="M34" s="26">
        <f t="shared" si="5"/>
        <v>16</v>
      </c>
      <c r="N34" s="26" t="str">
        <f t="shared" si="6"/>
        <v>X</v>
      </c>
    </row>
    <row r="35" spans="2:18" x14ac:dyDescent="0.25">
      <c r="B35" s="26">
        <v>10</v>
      </c>
      <c r="C35" s="279" t="str">
        <f>'LINEAS CON DEDICACIÓN'!B26</f>
        <v>Línea 1.10:</v>
      </c>
      <c r="D35" s="183">
        <f>'LINEAS CON DEDICACIÓN'!C26</f>
        <v>0</v>
      </c>
      <c r="E35" s="183" t="str">
        <f t="shared" si="1"/>
        <v/>
      </c>
      <c r="G35" s="183">
        <f t="shared" si="2"/>
        <v>61</v>
      </c>
      <c r="I35" s="34">
        <f t="shared" si="3"/>
        <v>61</v>
      </c>
      <c r="J35" s="26" t="str">
        <f t="shared" si="4"/>
        <v>X</v>
      </c>
      <c r="K35" s="26">
        <v>10</v>
      </c>
      <c r="L35" s="26" t="str">
        <f t="shared" si="0"/>
        <v/>
      </c>
      <c r="M35" s="26">
        <f t="shared" si="5"/>
        <v>16</v>
      </c>
      <c r="N35" s="26" t="str">
        <f t="shared" si="6"/>
        <v>X</v>
      </c>
    </row>
    <row r="36" spans="2:18" x14ac:dyDescent="0.25">
      <c r="B36" s="26">
        <v>11</v>
      </c>
      <c r="C36" s="279" t="str">
        <f>'LINEAS CON DEDICACIÓN'!B27</f>
        <v>Línea 1.11:</v>
      </c>
      <c r="D36" s="183">
        <f>'LINEAS CON DEDICACIÓN'!C27</f>
        <v>0</v>
      </c>
      <c r="E36" s="183" t="str">
        <f t="shared" si="1"/>
        <v/>
      </c>
      <c r="G36" s="183">
        <f t="shared" si="2"/>
        <v>61</v>
      </c>
      <c r="I36" s="34">
        <f t="shared" si="3"/>
        <v>61</v>
      </c>
      <c r="J36" s="26" t="str">
        <f t="shared" si="4"/>
        <v>X</v>
      </c>
      <c r="K36" s="26">
        <v>11</v>
      </c>
      <c r="L36" s="26" t="str">
        <f t="shared" si="0"/>
        <v/>
      </c>
      <c r="M36" s="26">
        <f t="shared" si="5"/>
        <v>16</v>
      </c>
      <c r="N36" s="26" t="str">
        <f t="shared" si="6"/>
        <v>X</v>
      </c>
    </row>
    <row r="37" spans="2:18" x14ac:dyDescent="0.25">
      <c r="B37" s="26">
        <v>12</v>
      </c>
      <c r="C37" s="279" t="str">
        <f>'LINEAS CON DEDICACIÓN'!B28</f>
        <v>Línea 1.12:</v>
      </c>
      <c r="D37" s="183">
        <f>'LINEAS CON DEDICACIÓN'!C28</f>
        <v>0</v>
      </c>
      <c r="E37" s="183" t="str">
        <f t="shared" si="1"/>
        <v/>
      </c>
      <c r="G37" s="183">
        <f t="shared" si="2"/>
        <v>61</v>
      </c>
      <c r="I37" s="34">
        <f t="shared" si="3"/>
        <v>61</v>
      </c>
      <c r="J37" s="26" t="str">
        <f t="shared" si="4"/>
        <v>X</v>
      </c>
      <c r="K37" s="26">
        <v>12</v>
      </c>
      <c r="L37" s="26" t="str">
        <f t="shared" si="0"/>
        <v/>
      </c>
      <c r="M37" s="26">
        <f t="shared" si="5"/>
        <v>16</v>
      </c>
      <c r="N37" s="26" t="str">
        <f t="shared" si="6"/>
        <v>X</v>
      </c>
    </row>
    <row r="38" spans="2:18" x14ac:dyDescent="0.25">
      <c r="B38" s="26">
        <v>13</v>
      </c>
      <c r="C38" s="279" t="str">
        <f>'LINEAS CON DEDICACIÓN'!B29</f>
        <v>Línea 1.13:</v>
      </c>
      <c r="D38" s="183">
        <f>'LINEAS CON DEDICACIÓN'!C29</f>
        <v>0</v>
      </c>
      <c r="E38" s="183" t="str">
        <f t="shared" si="1"/>
        <v/>
      </c>
      <c r="G38" s="183">
        <f t="shared" si="2"/>
        <v>61</v>
      </c>
      <c r="I38" s="34">
        <f t="shared" si="3"/>
        <v>61</v>
      </c>
      <c r="J38" s="26" t="str">
        <f t="shared" si="4"/>
        <v>X</v>
      </c>
      <c r="K38" s="26">
        <v>13</v>
      </c>
      <c r="L38" s="26" t="str">
        <f t="shared" si="0"/>
        <v/>
      </c>
      <c r="M38" s="26">
        <f t="shared" si="5"/>
        <v>16</v>
      </c>
      <c r="N38" s="26" t="str">
        <f t="shared" si="6"/>
        <v>X</v>
      </c>
    </row>
    <row r="39" spans="2:18" x14ac:dyDescent="0.25">
      <c r="B39" s="26">
        <v>14</v>
      </c>
      <c r="C39" s="279" t="str">
        <f>'LINEAS CON DEDICACIÓN'!B30</f>
        <v>Línea 1.14:</v>
      </c>
      <c r="D39" s="183">
        <f>'LINEAS CON DEDICACIÓN'!C30</f>
        <v>0</v>
      </c>
      <c r="E39" s="183" t="str">
        <f t="shared" si="1"/>
        <v/>
      </c>
      <c r="G39" s="183">
        <f t="shared" si="2"/>
        <v>61</v>
      </c>
      <c r="I39" s="34">
        <f t="shared" si="3"/>
        <v>61</v>
      </c>
      <c r="J39" s="26" t="str">
        <f t="shared" si="4"/>
        <v>X</v>
      </c>
      <c r="K39" s="26">
        <v>14</v>
      </c>
      <c r="L39" s="26" t="str">
        <f t="shared" si="0"/>
        <v/>
      </c>
      <c r="M39" s="26">
        <f t="shared" si="5"/>
        <v>16</v>
      </c>
      <c r="N39" s="26" t="str">
        <f t="shared" si="6"/>
        <v>X</v>
      </c>
    </row>
    <row r="40" spans="2:18" x14ac:dyDescent="0.25">
      <c r="B40" s="26">
        <v>15</v>
      </c>
      <c r="C40" s="279" t="str">
        <f>'LINEAS CON DEDICACIÓN'!B31</f>
        <v>Línea 1.15:</v>
      </c>
      <c r="D40" s="183">
        <f>'LINEAS CON DEDICACIÓN'!C31</f>
        <v>0</v>
      </c>
      <c r="E40" s="183" t="str">
        <f t="shared" si="1"/>
        <v/>
      </c>
      <c r="G40" s="183">
        <f t="shared" si="2"/>
        <v>61</v>
      </c>
      <c r="I40" s="34">
        <f t="shared" si="3"/>
        <v>61</v>
      </c>
      <c r="J40" s="26" t="str">
        <f t="shared" si="4"/>
        <v>X</v>
      </c>
      <c r="K40" s="26">
        <v>15</v>
      </c>
      <c r="L40" s="26" t="str">
        <f t="shared" si="0"/>
        <v/>
      </c>
      <c r="M40" s="26">
        <f t="shared" si="5"/>
        <v>16</v>
      </c>
      <c r="N40" s="26" t="str">
        <f t="shared" si="6"/>
        <v>X</v>
      </c>
    </row>
    <row r="41" spans="2:18" x14ac:dyDescent="0.25">
      <c r="B41" s="26">
        <v>16</v>
      </c>
      <c r="C41" s="279" t="str">
        <f>'LINEAS CON DEDICACIÓN'!F17</f>
        <v>Línea 2.1:</v>
      </c>
      <c r="D41" s="183">
        <f>'LINEAS CON DEDICACIÓN'!G17</f>
        <v>0</v>
      </c>
      <c r="E41" s="183" t="str">
        <f t="shared" si="1"/>
        <v/>
      </c>
      <c r="G41" s="183">
        <f t="shared" si="2"/>
        <v>61</v>
      </c>
      <c r="I41" s="34">
        <f t="shared" si="3"/>
        <v>61</v>
      </c>
      <c r="J41" s="26" t="str">
        <f t="shared" si="4"/>
        <v>X</v>
      </c>
      <c r="O41" s="26">
        <v>1</v>
      </c>
      <c r="P41" s="26" t="str">
        <f>IF(D41&lt;&gt;0,C41,"")</f>
        <v/>
      </c>
      <c r="Q41" s="26">
        <f>IF(P41="",16,O41)</f>
        <v>16</v>
      </c>
      <c r="R41" s="26" t="str">
        <f>IFERROR(VLOOKUP(SMALL($Q$41:$Q$55,O41),$O$41:$P$55,2,FALSE),"X")</f>
        <v>X</v>
      </c>
    </row>
    <row r="42" spans="2:18" x14ac:dyDescent="0.25">
      <c r="B42" s="26">
        <v>17</v>
      </c>
      <c r="C42" s="279" t="str">
        <f>'LINEAS CON DEDICACIÓN'!F18</f>
        <v>Línea 2.2:</v>
      </c>
      <c r="D42" s="183">
        <f>'LINEAS CON DEDICACIÓN'!G18</f>
        <v>0</v>
      </c>
      <c r="E42" s="183" t="str">
        <f t="shared" si="1"/>
        <v/>
      </c>
      <c r="G42" s="183">
        <f t="shared" si="2"/>
        <v>61</v>
      </c>
      <c r="I42" s="34">
        <f t="shared" si="3"/>
        <v>61</v>
      </c>
      <c r="J42" s="26" t="str">
        <f t="shared" si="4"/>
        <v>X</v>
      </c>
      <c r="O42" s="26">
        <v>2</v>
      </c>
      <c r="P42" s="26" t="str">
        <f t="shared" ref="P42:P55" si="7">IF(D42&lt;&gt;0,C42,"")</f>
        <v/>
      </c>
      <c r="Q42" s="26">
        <f t="shared" ref="Q42:Q55" si="8">IF(P42="",16,O42)</f>
        <v>16</v>
      </c>
      <c r="R42" s="26" t="str">
        <f t="shared" ref="R42:R55" si="9">IFERROR(VLOOKUP(SMALL($Q$41:$Q$55,O42),$O$41:$P$55,2,FALSE),"X")</f>
        <v>X</v>
      </c>
    </row>
    <row r="43" spans="2:18" x14ac:dyDescent="0.25">
      <c r="B43" s="26">
        <v>18</v>
      </c>
      <c r="C43" s="279" t="str">
        <f>'LINEAS CON DEDICACIÓN'!F19</f>
        <v>Línea 2.3:</v>
      </c>
      <c r="D43" s="183">
        <f>'LINEAS CON DEDICACIÓN'!G19</f>
        <v>0</v>
      </c>
      <c r="E43" s="183" t="str">
        <f t="shared" si="1"/>
        <v/>
      </c>
      <c r="G43" s="183">
        <f t="shared" si="2"/>
        <v>61</v>
      </c>
      <c r="I43" s="34">
        <f t="shared" si="3"/>
        <v>61</v>
      </c>
      <c r="J43" s="26" t="str">
        <f t="shared" si="4"/>
        <v>X</v>
      </c>
      <c r="O43" s="26">
        <v>3</v>
      </c>
      <c r="P43" s="26" t="str">
        <f t="shared" si="7"/>
        <v/>
      </c>
      <c r="Q43" s="26">
        <f t="shared" si="8"/>
        <v>16</v>
      </c>
      <c r="R43" s="26" t="str">
        <f t="shared" si="9"/>
        <v>X</v>
      </c>
    </row>
    <row r="44" spans="2:18" x14ac:dyDescent="0.25">
      <c r="B44" s="26">
        <v>19</v>
      </c>
      <c r="C44" s="279" t="str">
        <f>'LINEAS CON DEDICACIÓN'!F20</f>
        <v>Línea 2.4:</v>
      </c>
      <c r="D44" s="183">
        <f>'LINEAS CON DEDICACIÓN'!G20</f>
        <v>0</v>
      </c>
      <c r="E44" s="183" t="str">
        <f t="shared" si="1"/>
        <v/>
      </c>
      <c r="G44" s="183">
        <f t="shared" si="2"/>
        <v>61</v>
      </c>
      <c r="I44" s="34">
        <f t="shared" si="3"/>
        <v>61</v>
      </c>
      <c r="J44" s="26" t="str">
        <f t="shared" si="4"/>
        <v>X</v>
      </c>
      <c r="O44" s="26">
        <v>4</v>
      </c>
      <c r="P44" s="26" t="str">
        <f t="shared" si="7"/>
        <v/>
      </c>
      <c r="Q44" s="26">
        <f t="shared" si="8"/>
        <v>16</v>
      </c>
      <c r="R44" s="26" t="str">
        <f t="shared" si="9"/>
        <v>X</v>
      </c>
    </row>
    <row r="45" spans="2:18" x14ac:dyDescent="0.25">
      <c r="B45" s="26">
        <v>20</v>
      </c>
      <c r="C45" s="279" t="str">
        <f>'LINEAS CON DEDICACIÓN'!F21</f>
        <v>Línea 2.5:</v>
      </c>
      <c r="D45" s="183">
        <f>'LINEAS CON DEDICACIÓN'!G21</f>
        <v>0</v>
      </c>
      <c r="E45" s="183" t="str">
        <f t="shared" si="1"/>
        <v/>
      </c>
      <c r="G45" s="183">
        <f t="shared" si="2"/>
        <v>61</v>
      </c>
      <c r="I45" s="34">
        <f t="shared" si="3"/>
        <v>61</v>
      </c>
      <c r="J45" s="26" t="str">
        <f t="shared" si="4"/>
        <v>X</v>
      </c>
      <c r="O45" s="26">
        <v>5</v>
      </c>
      <c r="P45" s="26" t="str">
        <f t="shared" si="7"/>
        <v/>
      </c>
      <c r="Q45" s="26">
        <f t="shared" si="8"/>
        <v>16</v>
      </c>
      <c r="R45" s="26" t="str">
        <f t="shared" si="9"/>
        <v>X</v>
      </c>
    </row>
    <row r="46" spans="2:18" x14ac:dyDescent="0.25">
      <c r="B46" s="26">
        <v>21</v>
      </c>
      <c r="C46" s="279" t="str">
        <f>'LINEAS CON DEDICACIÓN'!F22</f>
        <v>Línea 2.6:</v>
      </c>
      <c r="D46" s="183">
        <f>'LINEAS CON DEDICACIÓN'!G22</f>
        <v>0</v>
      </c>
      <c r="E46" s="183" t="str">
        <f t="shared" si="1"/>
        <v/>
      </c>
      <c r="G46" s="183">
        <f t="shared" si="2"/>
        <v>61</v>
      </c>
      <c r="I46" s="34">
        <f t="shared" si="3"/>
        <v>61</v>
      </c>
      <c r="J46" s="26" t="str">
        <f t="shared" si="4"/>
        <v>X</v>
      </c>
      <c r="O46" s="26">
        <v>6</v>
      </c>
      <c r="P46" s="26" t="str">
        <f t="shared" si="7"/>
        <v/>
      </c>
      <c r="Q46" s="26">
        <f t="shared" si="8"/>
        <v>16</v>
      </c>
      <c r="R46" s="26" t="str">
        <f t="shared" si="9"/>
        <v>X</v>
      </c>
    </row>
    <row r="47" spans="2:18" x14ac:dyDescent="0.25">
      <c r="B47" s="26">
        <v>22</v>
      </c>
      <c r="C47" s="279" t="str">
        <f>'LINEAS CON DEDICACIÓN'!F23</f>
        <v>Línea 2.7:</v>
      </c>
      <c r="D47" s="183">
        <f>'LINEAS CON DEDICACIÓN'!G23</f>
        <v>0</v>
      </c>
      <c r="E47" s="183" t="str">
        <f t="shared" si="1"/>
        <v/>
      </c>
      <c r="G47" s="183">
        <f t="shared" si="2"/>
        <v>61</v>
      </c>
      <c r="I47" s="34">
        <f t="shared" si="3"/>
        <v>61</v>
      </c>
      <c r="J47" s="26" t="str">
        <f t="shared" si="4"/>
        <v>X</v>
      </c>
      <c r="O47" s="26">
        <v>7</v>
      </c>
      <c r="P47" s="26" t="str">
        <f t="shared" si="7"/>
        <v/>
      </c>
      <c r="Q47" s="26">
        <f t="shared" si="8"/>
        <v>16</v>
      </c>
      <c r="R47" s="26" t="str">
        <f t="shared" si="9"/>
        <v>X</v>
      </c>
    </row>
    <row r="48" spans="2:18" x14ac:dyDescent="0.25">
      <c r="B48" s="26">
        <v>23</v>
      </c>
      <c r="C48" s="279" t="str">
        <f>'LINEAS CON DEDICACIÓN'!F24</f>
        <v>Línea 2.8:</v>
      </c>
      <c r="D48" s="183">
        <f>'LINEAS CON DEDICACIÓN'!G24</f>
        <v>0</v>
      </c>
      <c r="E48" s="183" t="str">
        <f t="shared" si="1"/>
        <v/>
      </c>
      <c r="G48" s="183">
        <f t="shared" si="2"/>
        <v>61</v>
      </c>
      <c r="I48" s="34">
        <f t="shared" si="3"/>
        <v>61</v>
      </c>
      <c r="J48" s="26" t="str">
        <f t="shared" si="4"/>
        <v>X</v>
      </c>
      <c r="O48" s="26">
        <v>8</v>
      </c>
      <c r="P48" s="26" t="str">
        <f t="shared" si="7"/>
        <v/>
      </c>
      <c r="Q48" s="26">
        <f t="shared" si="8"/>
        <v>16</v>
      </c>
      <c r="R48" s="26" t="str">
        <f t="shared" si="9"/>
        <v>X</v>
      </c>
    </row>
    <row r="49" spans="2:24" x14ac:dyDescent="0.25">
      <c r="B49" s="26">
        <v>24</v>
      </c>
      <c r="C49" s="279" t="str">
        <f>'LINEAS CON DEDICACIÓN'!F25</f>
        <v>Línea 2.9:</v>
      </c>
      <c r="D49" s="183">
        <f>'LINEAS CON DEDICACIÓN'!G25</f>
        <v>0</v>
      </c>
      <c r="E49" s="183" t="str">
        <f t="shared" si="1"/>
        <v/>
      </c>
      <c r="G49" s="183">
        <f t="shared" si="2"/>
        <v>61</v>
      </c>
      <c r="I49" s="34">
        <f t="shared" si="3"/>
        <v>61</v>
      </c>
      <c r="J49" s="26" t="str">
        <f t="shared" si="4"/>
        <v>X</v>
      </c>
      <c r="O49" s="26">
        <v>9</v>
      </c>
      <c r="P49" s="26" t="str">
        <f t="shared" si="7"/>
        <v/>
      </c>
      <c r="Q49" s="26">
        <f t="shared" si="8"/>
        <v>16</v>
      </c>
      <c r="R49" s="26" t="str">
        <f t="shared" si="9"/>
        <v>X</v>
      </c>
    </row>
    <row r="50" spans="2:24" x14ac:dyDescent="0.25">
      <c r="B50" s="26">
        <v>25</v>
      </c>
      <c r="C50" s="279" t="str">
        <f>'LINEAS CON DEDICACIÓN'!F26</f>
        <v>Línea 2.10:</v>
      </c>
      <c r="D50" s="183">
        <f>'LINEAS CON DEDICACIÓN'!G26</f>
        <v>0</v>
      </c>
      <c r="E50" s="183" t="str">
        <f t="shared" si="1"/>
        <v/>
      </c>
      <c r="G50" s="183">
        <f t="shared" si="2"/>
        <v>61</v>
      </c>
      <c r="I50" s="34">
        <f t="shared" si="3"/>
        <v>61</v>
      </c>
      <c r="J50" s="26" t="str">
        <f t="shared" si="4"/>
        <v>X</v>
      </c>
      <c r="O50" s="26">
        <v>10</v>
      </c>
      <c r="P50" s="26" t="str">
        <f t="shared" si="7"/>
        <v/>
      </c>
      <c r="Q50" s="26">
        <f t="shared" si="8"/>
        <v>16</v>
      </c>
      <c r="R50" s="26" t="str">
        <f t="shared" si="9"/>
        <v>X</v>
      </c>
    </row>
    <row r="51" spans="2:24" x14ac:dyDescent="0.25">
      <c r="B51" s="26">
        <v>26</v>
      </c>
      <c r="C51" s="279" t="str">
        <f>'LINEAS CON DEDICACIÓN'!F27</f>
        <v>Línea 2.11:</v>
      </c>
      <c r="D51" s="183">
        <f>'LINEAS CON DEDICACIÓN'!G27</f>
        <v>0</v>
      </c>
      <c r="E51" s="183" t="str">
        <f t="shared" si="1"/>
        <v/>
      </c>
      <c r="G51" s="183">
        <f t="shared" si="2"/>
        <v>61</v>
      </c>
      <c r="I51" s="34">
        <f t="shared" si="3"/>
        <v>61</v>
      </c>
      <c r="J51" s="26" t="str">
        <f t="shared" si="4"/>
        <v>X</v>
      </c>
      <c r="O51" s="26">
        <v>11</v>
      </c>
      <c r="P51" s="26" t="str">
        <f t="shared" si="7"/>
        <v/>
      </c>
      <c r="Q51" s="26">
        <f t="shared" si="8"/>
        <v>16</v>
      </c>
      <c r="R51" s="26" t="str">
        <f t="shared" si="9"/>
        <v>X</v>
      </c>
    </row>
    <row r="52" spans="2:24" x14ac:dyDescent="0.25">
      <c r="B52" s="26">
        <v>27</v>
      </c>
      <c r="C52" s="279" t="str">
        <f>'LINEAS CON DEDICACIÓN'!F28</f>
        <v>Línea 2.12:</v>
      </c>
      <c r="D52" s="183">
        <f>'LINEAS CON DEDICACIÓN'!G28</f>
        <v>0</v>
      </c>
      <c r="E52" s="183" t="str">
        <f t="shared" si="1"/>
        <v/>
      </c>
      <c r="G52" s="183">
        <f t="shared" si="2"/>
        <v>61</v>
      </c>
      <c r="I52" s="34">
        <f t="shared" si="3"/>
        <v>61</v>
      </c>
      <c r="J52" s="26" t="str">
        <f t="shared" si="4"/>
        <v>X</v>
      </c>
      <c r="O52" s="26">
        <v>12</v>
      </c>
      <c r="P52" s="26" t="str">
        <f t="shared" si="7"/>
        <v/>
      </c>
      <c r="Q52" s="26">
        <f t="shared" si="8"/>
        <v>16</v>
      </c>
      <c r="R52" s="26" t="str">
        <f t="shared" si="9"/>
        <v>X</v>
      </c>
    </row>
    <row r="53" spans="2:24" x14ac:dyDescent="0.25">
      <c r="B53" s="26">
        <v>28</v>
      </c>
      <c r="C53" s="279" t="str">
        <f>'LINEAS CON DEDICACIÓN'!F29</f>
        <v>Línea 2.13:</v>
      </c>
      <c r="D53" s="183">
        <f>'LINEAS CON DEDICACIÓN'!G29</f>
        <v>0</v>
      </c>
      <c r="E53" s="183" t="str">
        <f t="shared" si="1"/>
        <v/>
      </c>
      <c r="G53" s="183">
        <f t="shared" si="2"/>
        <v>61</v>
      </c>
      <c r="I53" s="34">
        <f t="shared" si="3"/>
        <v>61</v>
      </c>
      <c r="J53" s="26" t="str">
        <f t="shared" si="4"/>
        <v>X</v>
      </c>
      <c r="O53" s="26">
        <v>13</v>
      </c>
      <c r="P53" s="26" t="str">
        <f t="shared" si="7"/>
        <v/>
      </c>
      <c r="Q53" s="26">
        <f t="shared" si="8"/>
        <v>16</v>
      </c>
      <c r="R53" s="26" t="str">
        <f t="shared" si="9"/>
        <v>X</v>
      </c>
    </row>
    <row r="54" spans="2:24" x14ac:dyDescent="0.25">
      <c r="B54" s="26">
        <v>29</v>
      </c>
      <c r="C54" s="279" t="str">
        <f>'LINEAS CON DEDICACIÓN'!F30</f>
        <v>Línea 2.14:</v>
      </c>
      <c r="D54" s="183">
        <f>'LINEAS CON DEDICACIÓN'!G30</f>
        <v>0</v>
      </c>
      <c r="E54" s="183" t="str">
        <f t="shared" si="1"/>
        <v/>
      </c>
      <c r="G54" s="183">
        <f t="shared" si="2"/>
        <v>61</v>
      </c>
      <c r="I54" s="34">
        <f t="shared" si="3"/>
        <v>61</v>
      </c>
      <c r="J54" s="26" t="str">
        <f t="shared" si="4"/>
        <v>X</v>
      </c>
      <c r="O54" s="26">
        <v>14</v>
      </c>
      <c r="P54" s="26" t="str">
        <f t="shared" si="7"/>
        <v/>
      </c>
      <c r="Q54" s="26">
        <f t="shared" si="8"/>
        <v>16</v>
      </c>
      <c r="R54" s="26" t="str">
        <f t="shared" si="9"/>
        <v>X</v>
      </c>
    </row>
    <row r="55" spans="2:24" x14ac:dyDescent="0.25">
      <c r="B55" s="26">
        <v>30</v>
      </c>
      <c r="C55" s="279" t="str">
        <f>'LINEAS CON DEDICACIÓN'!F31</f>
        <v>Línea 2.15:</v>
      </c>
      <c r="D55" s="183">
        <f>'LINEAS CON DEDICACIÓN'!G31</f>
        <v>0</v>
      </c>
      <c r="E55" s="183" t="str">
        <f t="shared" si="1"/>
        <v/>
      </c>
      <c r="G55" s="183">
        <f t="shared" si="2"/>
        <v>61</v>
      </c>
      <c r="I55" s="34">
        <f t="shared" si="3"/>
        <v>61</v>
      </c>
      <c r="J55" s="26" t="str">
        <f t="shared" si="4"/>
        <v>X</v>
      </c>
      <c r="O55" s="26">
        <v>15</v>
      </c>
      <c r="P55" s="26" t="str">
        <f t="shared" si="7"/>
        <v/>
      </c>
      <c r="Q55" s="26">
        <f t="shared" si="8"/>
        <v>16</v>
      </c>
      <c r="R55" s="26" t="str">
        <f t="shared" si="9"/>
        <v>X</v>
      </c>
    </row>
    <row r="56" spans="2:24" x14ac:dyDescent="0.25">
      <c r="B56" s="26">
        <v>31</v>
      </c>
      <c r="C56" s="279" t="str">
        <f>'LINEAS CON DEDICACIÓN'!J17</f>
        <v>Línea 3.1:</v>
      </c>
      <c r="D56" s="183">
        <f>'LINEAS CON DEDICACIÓN'!K17</f>
        <v>0</v>
      </c>
      <c r="E56" s="183" t="str">
        <f t="shared" si="1"/>
        <v/>
      </c>
      <c r="G56" s="183">
        <f t="shared" si="2"/>
        <v>61</v>
      </c>
      <c r="I56" s="34">
        <f t="shared" si="3"/>
        <v>61</v>
      </c>
      <c r="J56" s="26" t="str">
        <f t="shared" si="4"/>
        <v>X</v>
      </c>
      <c r="S56" s="26">
        <v>1</v>
      </c>
      <c r="T56" s="26" t="str">
        <f>IF(D56&lt;&gt;0,C56,"")</f>
        <v/>
      </c>
      <c r="U56" s="26">
        <f>IF(T56="",16,S56)</f>
        <v>16</v>
      </c>
      <c r="V56" s="26" t="str">
        <f>IFERROR(VLOOKUP(SMALL($U$56:$U$70,S56),$S$56:$T$70,2,FALSE),"X")</f>
        <v>X</v>
      </c>
    </row>
    <row r="57" spans="2:24" x14ac:dyDescent="0.25">
      <c r="B57" s="26">
        <v>32</v>
      </c>
      <c r="C57" s="279" t="str">
        <f>'LINEAS CON DEDICACIÓN'!J18</f>
        <v>Línea 3.2:</v>
      </c>
      <c r="D57" s="183">
        <f>'LINEAS CON DEDICACIÓN'!K18</f>
        <v>0</v>
      </c>
      <c r="E57" s="183" t="str">
        <f t="shared" si="1"/>
        <v/>
      </c>
      <c r="G57" s="183">
        <f t="shared" si="2"/>
        <v>61</v>
      </c>
      <c r="I57" s="34">
        <f t="shared" si="3"/>
        <v>61</v>
      </c>
      <c r="J57" s="26" t="str">
        <f t="shared" si="4"/>
        <v>X</v>
      </c>
      <c r="S57" s="26">
        <v>2</v>
      </c>
      <c r="T57" s="26" t="str">
        <f t="shared" ref="T57:T70" si="10">IF(D57&lt;&gt;0,C57,"")</f>
        <v/>
      </c>
      <c r="U57" s="26">
        <f t="shared" ref="U57:U70" si="11">IF(T57="",16,S57)</f>
        <v>16</v>
      </c>
      <c r="V57" s="26" t="str">
        <f t="shared" ref="V57:V70" si="12">IFERROR(VLOOKUP(SMALL($U$56:$U$70,S57),$S$56:$T$70,2,FALSE),"X")</f>
        <v>X</v>
      </c>
      <c r="X57" s="26" t="str">
        <f t="shared" ref="X57:X70" si="13">IF(H57&lt;&gt;0,G57,"")</f>
        <v/>
      </c>
    </row>
    <row r="58" spans="2:24" x14ac:dyDescent="0.25">
      <c r="B58" s="26">
        <v>33</v>
      </c>
      <c r="C58" s="279" t="str">
        <f>'LINEAS CON DEDICACIÓN'!J19</f>
        <v>Línea 3.3:</v>
      </c>
      <c r="D58" s="183">
        <f>'LINEAS CON DEDICACIÓN'!K19</f>
        <v>0</v>
      </c>
      <c r="E58" s="183" t="str">
        <f t="shared" si="1"/>
        <v/>
      </c>
      <c r="G58" s="183">
        <f t="shared" si="2"/>
        <v>61</v>
      </c>
      <c r="I58" s="34">
        <f t="shared" si="3"/>
        <v>61</v>
      </c>
      <c r="J58" s="26" t="str">
        <f t="shared" si="4"/>
        <v>X</v>
      </c>
      <c r="S58" s="26">
        <v>3</v>
      </c>
      <c r="T58" s="26" t="str">
        <f t="shared" si="10"/>
        <v/>
      </c>
      <c r="U58" s="26">
        <f t="shared" si="11"/>
        <v>16</v>
      </c>
      <c r="V58" s="26" t="str">
        <f t="shared" si="12"/>
        <v>X</v>
      </c>
      <c r="X58" s="26" t="str">
        <f t="shared" si="13"/>
        <v/>
      </c>
    </row>
    <row r="59" spans="2:24" x14ac:dyDescent="0.25">
      <c r="B59" s="26">
        <v>34</v>
      </c>
      <c r="C59" s="279" t="str">
        <f>'LINEAS CON DEDICACIÓN'!J20</f>
        <v>Línea 3.4:</v>
      </c>
      <c r="D59" s="183">
        <f>'LINEAS CON DEDICACIÓN'!K20</f>
        <v>0</v>
      </c>
      <c r="E59" s="183" t="str">
        <f t="shared" si="1"/>
        <v/>
      </c>
      <c r="G59" s="183">
        <f t="shared" si="2"/>
        <v>61</v>
      </c>
      <c r="I59" s="34">
        <f t="shared" si="3"/>
        <v>61</v>
      </c>
      <c r="J59" s="26" t="str">
        <f t="shared" si="4"/>
        <v>X</v>
      </c>
      <c r="S59" s="26">
        <v>4</v>
      </c>
      <c r="T59" s="26" t="str">
        <f t="shared" si="10"/>
        <v/>
      </c>
      <c r="U59" s="26">
        <f t="shared" si="11"/>
        <v>16</v>
      </c>
      <c r="V59" s="26" t="str">
        <f t="shared" si="12"/>
        <v>X</v>
      </c>
      <c r="X59" s="26" t="str">
        <f t="shared" si="13"/>
        <v/>
      </c>
    </row>
    <row r="60" spans="2:24" x14ac:dyDescent="0.25">
      <c r="B60" s="26">
        <v>35</v>
      </c>
      <c r="C60" s="279" t="str">
        <f>'LINEAS CON DEDICACIÓN'!J21</f>
        <v>Línea 3.5:</v>
      </c>
      <c r="D60" s="183">
        <f>'LINEAS CON DEDICACIÓN'!K21</f>
        <v>0</v>
      </c>
      <c r="E60" s="183" t="str">
        <f t="shared" si="1"/>
        <v/>
      </c>
      <c r="G60" s="183">
        <f t="shared" si="2"/>
        <v>61</v>
      </c>
      <c r="I60" s="34">
        <f t="shared" si="3"/>
        <v>61</v>
      </c>
      <c r="J60" s="26" t="str">
        <f t="shared" si="4"/>
        <v>X</v>
      </c>
      <c r="S60" s="26">
        <v>5</v>
      </c>
      <c r="T60" s="26" t="str">
        <f t="shared" si="10"/>
        <v/>
      </c>
      <c r="U60" s="26">
        <f t="shared" si="11"/>
        <v>16</v>
      </c>
      <c r="V60" s="26" t="str">
        <f t="shared" si="12"/>
        <v>X</v>
      </c>
      <c r="X60" s="26" t="str">
        <f t="shared" si="13"/>
        <v/>
      </c>
    </row>
    <row r="61" spans="2:24" x14ac:dyDescent="0.25">
      <c r="B61" s="26">
        <v>36</v>
      </c>
      <c r="C61" s="279" t="str">
        <f>'LINEAS CON DEDICACIÓN'!J22</f>
        <v>Línea 3.6:</v>
      </c>
      <c r="D61" s="183">
        <f>'LINEAS CON DEDICACIÓN'!K22</f>
        <v>0</v>
      </c>
      <c r="E61" s="183" t="str">
        <f t="shared" si="1"/>
        <v/>
      </c>
      <c r="G61" s="183">
        <f t="shared" si="2"/>
        <v>61</v>
      </c>
      <c r="I61" s="34">
        <f t="shared" si="3"/>
        <v>61</v>
      </c>
      <c r="J61" s="26" t="str">
        <f t="shared" si="4"/>
        <v>X</v>
      </c>
      <c r="S61" s="26">
        <v>6</v>
      </c>
      <c r="T61" s="26" t="str">
        <f t="shared" si="10"/>
        <v/>
      </c>
      <c r="U61" s="26">
        <f t="shared" si="11"/>
        <v>16</v>
      </c>
      <c r="V61" s="26" t="str">
        <f t="shared" si="12"/>
        <v>X</v>
      </c>
      <c r="X61" s="26" t="str">
        <f t="shared" si="13"/>
        <v/>
      </c>
    </row>
    <row r="62" spans="2:24" x14ac:dyDescent="0.25">
      <c r="B62" s="26">
        <v>37</v>
      </c>
      <c r="C62" s="279" t="str">
        <f>'LINEAS CON DEDICACIÓN'!J23</f>
        <v>Línea 3.7:</v>
      </c>
      <c r="D62" s="183">
        <f>'LINEAS CON DEDICACIÓN'!K23</f>
        <v>0</v>
      </c>
      <c r="E62" s="183" t="str">
        <f t="shared" si="1"/>
        <v/>
      </c>
      <c r="G62" s="183">
        <f t="shared" si="2"/>
        <v>61</v>
      </c>
      <c r="I62" s="34">
        <f t="shared" si="3"/>
        <v>61</v>
      </c>
      <c r="J62" s="26" t="str">
        <f t="shared" si="4"/>
        <v>X</v>
      </c>
      <c r="S62" s="26">
        <v>7</v>
      </c>
      <c r="T62" s="26" t="str">
        <f t="shared" si="10"/>
        <v/>
      </c>
      <c r="U62" s="26">
        <f t="shared" si="11"/>
        <v>16</v>
      </c>
      <c r="V62" s="26" t="str">
        <f t="shared" si="12"/>
        <v>X</v>
      </c>
      <c r="X62" s="26" t="str">
        <f t="shared" si="13"/>
        <v/>
      </c>
    </row>
    <row r="63" spans="2:24" x14ac:dyDescent="0.25">
      <c r="B63" s="26">
        <v>38</v>
      </c>
      <c r="C63" s="279" t="str">
        <f>'LINEAS CON DEDICACIÓN'!J24</f>
        <v>Línea 3.8:</v>
      </c>
      <c r="D63" s="183">
        <f>'LINEAS CON DEDICACIÓN'!K24</f>
        <v>0</v>
      </c>
      <c r="E63" s="183" t="str">
        <f t="shared" si="1"/>
        <v/>
      </c>
      <c r="G63" s="183">
        <f t="shared" si="2"/>
        <v>61</v>
      </c>
      <c r="I63" s="34">
        <f t="shared" si="3"/>
        <v>61</v>
      </c>
      <c r="J63" s="26" t="str">
        <f t="shared" si="4"/>
        <v>X</v>
      </c>
      <c r="S63" s="26">
        <v>8</v>
      </c>
      <c r="T63" s="26" t="str">
        <f t="shared" si="10"/>
        <v/>
      </c>
      <c r="U63" s="26">
        <f t="shared" si="11"/>
        <v>16</v>
      </c>
      <c r="V63" s="26" t="str">
        <f t="shared" si="12"/>
        <v>X</v>
      </c>
      <c r="X63" s="26" t="str">
        <f t="shared" si="13"/>
        <v/>
      </c>
    </row>
    <row r="64" spans="2:24" x14ac:dyDescent="0.25">
      <c r="B64" s="26">
        <v>39</v>
      </c>
      <c r="C64" s="279" t="str">
        <f>'LINEAS CON DEDICACIÓN'!J25</f>
        <v>Línea 3.9:</v>
      </c>
      <c r="D64" s="183">
        <f>'LINEAS CON DEDICACIÓN'!K25</f>
        <v>0</v>
      </c>
      <c r="E64" s="183" t="str">
        <f t="shared" si="1"/>
        <v/>
      </c>
      <c r="G64" s="183">
        <f t="shared" si="2"/>
        <v>61</v>
      </c>
      <c r="I64" s="34">
        <f t="shared" si="3"/>
        <v>61</v>
      </c>
      <c r="J64" s="26" t="str">
        <f t="shared" si="4"/>
        <v>X</v>
      </c>
      <c r="S64" s="26">
        <v>9</v>
      </c>
      <c r="T64" s="26" t="str">
        <f t="shared" si="10"/>
        <v/>
      </c>
      <c r="U64" s="26">
        <f t="shared" si="11"/>
        <v>16</v>
      </c>
      <c r="V64" s="26" t="str">
        <f t="shared" si="12"/>
        <v>X</v>
      </c>
      <c r="X64" s="26" t="str">
        <f t="shared" si="13"/>
        <v/>
      </c>
    </row>
    <row r="65" spans="2:26" x14ac:dyDescent="0.25">
      <c r="B65" s="26">
        <v>40</v>
      </c>
      <c r="C65" s="279" t="str">
        <f>'LINEAS CON DEDICACIÓN'!J26</f>
        <v>Línea 3.10:</v>
      </c>
      <c r="D65" s="183">
        <f>'LINEAS CON DEDICACIÓN'!K26</f>
        <v>0</v>
      </c>
      <c r="E65" s="183" t="str">
        <f t="shared" si="1"/>
        <v/>
      </c>
      <c r="G65" s="183">
        <f t="shared" si="2"/>
        <v>61</v>
      </c>
      <c r="I65" s="34">
        <f t="shared" si="3"/>
        <v>61</v>
      </c>
      <c r="J65" s="26" t="str">
        <f t="shared" si="4"/>
        <v>X</v>
      </c>
      <c r="S65" s="26">
        <v>10</v>
      </c>
      <c r="T65" s="26" t="str">
        <f t="shared" si="10"/>
        <v/>
      </c>
      <c r="U65" s="26">
        <f t="shared" si="11"/>
        <v>16</v>
      </c>
      <c r="V65" s="26" t="str">
        <f t="shared" si="12"/>
        <v>X</v>
      </c>
      <c r="X65" s="26" t="str">
        <f t="shared" si="13"/>
        <v/>
      </c>
    </row>
    <row r="66" spans="2:26" x14ac:dyDescent="0.25">
      <c r="B66" s="26">
        <v>41</v>
      </c>
      <c r="C66" s="279" t="str">
        <f>'LINEAS CON DEDICACIÓN'!J27</f>
        <v>Línea 3.11:</v>
      </c>
      <c r="D66" s="183">
        <f>'LINEAS CON DEDICACIÓN'!K27</f>
        <v>0</v>
      </c>
      <c r="E66" s="183" t="str">
        <f t="shared" si="1"/>
        <v/>
      </c>
      <c r="G66" s="183">
        <f t="shared" si="2"/>
        <v>61</v>
      </c>
      <c r="I66" s="34">
        <f t="shared" si="3"/>
        <v>61</v>
      </c>
      <c r="J66" s="26" t="str">
        <f t="shared" si="4"/>
        <v>X</v>
      </c>
      <c r="S66" s="26">
        <v>11</v>
      </c>
      <c r="T66" s="26" t="str">
        <f t="shared" si="10"/>
        <v/>
      </c>
      <c r="U66" s="26">
        <f t="shared" si="11"/>
        <v>16</v>
      </c>
      <c r="V66" s="26" t="str">
        <f t="shared" si="12"/>
        <v>X</v>
      </c>
      <c r="X66" s="26" t="str">
        <f t="shared" si="13"/>
        <v/>
      </c>
    </row>
    <row r="67" spans="2:26" x14ac:dyDescent="0.25">
      <c r="B67" s="26">
        <v>42</v>
      </c>
      <c r="C67" s="279" t="str">
        <f>'LINEAS CON DEDICACIÓN'!J28</f>
        <v>Línea 3.12:</v>
      </c>
      <c r="D67" s="183">
        <f>'LINEAS CON DEDICACIÓN'!K28</f>
        <v>0</v>
      </c>
      <c r="E67" s="183" t="str">
        <f t="shared" si="1"/>
        <v/>
      </c>
      <c r="G67" s="183">
        <f t="shared" si="2"/>
        <v>61</v>
      </c>
      <c r="I67" s="34">
        <f t="shared" si="3"/>
        <v>61</v>
      </c>
      <c r="J67" s="26" t="str">
        <f t="shared" si="4"/>
        <v>X</v>
      </c>
      <c r="S67" s="26">
        <v>12</v>
      </c>
      <c r="T67" s="26" t="str">
        <f t="shared" si="10"/>
        <v/>
      </c>
      <c r="U67" s="26">
        <f t="shared" si="11"/>
        <v>16</v>
      </c>
      <c r="V67" s="26" t="str">
        <f t="shared" si="12"/>
        <v>X</v>
      </c>
      <c r="X67" s="26" t="str">
        <f t="shared" si="13"/>
        <v/>
      </c>
    </row>
    <row r="68" spans="2:26" x14ac:dyDescent="0.25">
      <c r="B68" s="26">
        <v>43</v>
      </c>
      <c r="C68" s="279" t="str">
        <f>'LINEAS CON DEDICACIÓN'!J29</f>
        <v>Línea 3.13:</v>
      </c>
      <c r="D68" s="183">
        <f>'LINEAS CON DEDICACIÓN'!K29</f>
        <v>0</v>
      </c>
      <c r="E68" s="183" t="str">
        <f t="shared" si="1"/>
        <v/>
      </c>
      <c r="G68" s="183">
        <f t="shared" si="2"/>
        <v>61</v>
      </c>
      <c r="I68" s="34">
        <f t="shared" si="3"/>
        <v>61</v>
      </c>
      <c r="J68" s="26" t="str">
        <f t="shared" si="4"/>
        <v>X</v>
      </c>
      <c r="S68" s="26">
        <v>13</v>
      </c>
      <c r="T68" s="26" t="str">
        <f t="shared" si="10"/>
        <v/>
      </c>
      <c r="U68" s="26">
        <f t="shared" si="11"/>
        <v>16</v>
      </c>
      <c r="V68" s="26" t="str">
        <f t="shared" si="12"/>
        <v>X</v>
      </c>
      <c r="X68" s="26" t="str">
        <f t="shared" si="13"/>
        <v/>
      </c>
    </row>
    <row r="69" spans="2:26" x14ac:dyDescent="0.25">
      <c r="B69" s="26">
        <v>44</v>
      </c>
      <c r="C69" s="279" t="str">
        <f>'LINEAS CON DEDICACIÓN'!J30</f>
        <v>Línea 3.14:</v>
      </c>
      <c r="D69" s="183">
        <f>'LINEAS CON DEDICACIÓN'!K30</f>
        <v>0</v>
      </c>
      <c r="E69" s="183" t="str">
        <f t="shared" si="1"/>
        <v/>
      </c>
      <c r="G69" s="183">
        <f t="shared" si="2"/>
        <v>61</v>
      </c>
      <c r="I69" s="34">
        <f t="shared" si="3"/>
        <v>61</v>
      </c>
      <c r="J69" s="26" t="str">
        <f t="shared" si="4"/>
        <v>X</v>
      </c>
      <c r="S69" s="26">
        <v>14</v>
      </c>
      <c r="T69" s="26" t="str">
        <f t="shared" si="10"/>
        <v/>
      </c>
      <c r="U69" s="26">
        <f t="shared" si="11"/>
        <v>16</v>
      </c>
      <c r="V69" s="26" t="str">
        <f t="shared" si="12"/>
        <v>X</v>
      </c>
      <c r="X69" s="26" t="str">
        <f t="shared" si="13"/>
        <v/>
      </c>
    </row>
    <row r="70" spans="2:26" x14ac:dyDescent="0.25">
      <c r="B70" s="26">
        <v>45</v>
      </c>
      <c r="C70" s="279" t="str">
        <f>'LINEAS CON DEDICACIÓN'!J31</f>
        <v>Línea 3.15:</v>
      </c>
      <c r="D70" s="183">
        <f>'LINEAS CON DEDICACIÓN'!K31</f>
        <v>0</v>
      </c>
      <c r="E70" s="183" t="str">
        <f t="shared" si="1"/>
        <v/>
      </c>
      <c r="G70" s="183">
        <f t="shared" si="2"/>
        <v>61</v>
      </c>
      <c r="I70" s="34">
        <f t="shared" si="3"/>
        <v>61</v>
      </c>
      <c r="J70" s="26" t="str">
        <f t="shared" si="4"/>
        <v>X</v>
      </c>
      <c r="S70" s="26">
        <v>15</v>
      </c>
      <c r="T70" s="26" t="str">
        <f t="shared" si="10"/>
        <v/>
      </c>
      <c r="U70" s="26">
        <f t="shared" si="11"/>
        <v>16</v>
      </c>
      <c r="V70" s="26" t="str">
        <f t="shared" si="12"/>
        <v>X</v>
      </c>
      <c r="X70" s="26" t="str">
        <f t="shared" si="13"/>
        <v/>
      </c>
    </row>
    <row r="71" spans="2:26" x14ac:dyDescent="0.25">
      <c r="B71" s="26">
        <v>46</v>
      </c>
      <c r="C71" s="279" t="str">
        <f>'LINEAS CON DEDICACIÓN'!N17</f>
        <v>Línea 4.1:</v>
      </c>
      <c r="D71" s="183">
        <f>'LINEAS CON DEDICACIÓN'!O17</f>
        <v>0</v>
      </c>
      <c r="E71" s="183" t="str">
        <f t="shared" si="1"/>
        <v/>
      </c>
      <c r="G71" s="183">
        <f t="shared" si="2"/>
        <v>61</v>
      </c>
      <c r="I71" s="34">
        <f t="shared" si="3"/>
        <v>61</v>
      </c>
      <c r="J71" s="26" t="str">
        <f t="shared" si="4"/>
        <v>X</v>
      </c>
      <c r="W71" s="26">
        <v>1</v>
      </c>
      <c r="X71" s="26" t="str">
        <f>IF(D71&lt;&gt;0,C71,"")</f>
        <v/>
      </c>
      <c r="Y71" s="26">
        <f>IF(X71="",16,W71)</f>
        <v>16</v>
      </c>
      <c r="Z71" s="26" t="str">
        <f>IFERROR(VLOOKUP(SMALL($Y$71:$Y$85,W71),$W$71:$X$85,2,FALSE),"X")</f>
        <v>X</v>
      </c>
    </row>
    <row r="72" spans="2:26" x14ac:dyDescent="0.25">
      <c r="B72" s="26">
        <v>47</v>
      </c>
      <c r="C72" s="279" t="str">
        <f>'LINEAS CON DEDICACIÓN'!N18</f>
        <v>Línea 4.2:</v>
      </c>
      <c r="D72" s="183">
        <f>'LINEAS CON DEDICACIÓN'!O18</f>
        <v>0</v>
      </c>
      <c r="E72" s="183" t="str">
        <f t="shared" si="1"/>
        <v/>
      </c>
      <c r="G72" s="183">
        <f t="shared" si="2"/>
        <v>61</v>
      </c>
      <c r="I72" s="34">
        <f t="shared" si="3"/>
        <v>61</v>
      </c>
      <c r="J72" s="26" t="str">
        <f t="shared" si="4"/>
        <v>X</v>
      </c>
      <c r="W72" s="26">
        <v>2</v>
      </c>
      <c r="X72" s="26" t="str">
        <f t="shared" ref="X72:X85" si="14">IF(D72&lt;&gt;0,C72,"")</f>
        <v/>
      </c>
      <c r="Y72" s="26">
        <f t="shared" ref="Y72:Y85" si="15">IF(X72="",16,W72)</f>
        <v>16</v>
      </c>
      <c r="Z72" s="26" t="str">
        <f t="shared" ref="Z72:Z85" si="16">IFERROR(VLOOKUP(SMALL($Y$71:$Y$85,W72),$W$71:$X$85,2,FALSE),"X")</f>
        <v>X</v>
      </c>
    </row>
    <row r="73" spans="2:26" x14ac:dyDescent="0.25">
      <c r="B73" s="26">
        <v>48</v>
      </c>
      <c r="C73" s="279" t="str">
        <f>'LINEAS CON DEDICACIÓN'!N19</f>
        <v>Línea 4.3:</v>
      </c>
      <c r="D73" s="183">
        <f>'LINEAS CON DEDICACIÓN'!O19</f>
        <v>0</v>
      </c>
      <c r="E73" s="183" t="str">
        <f t="shared" si="1"/>
        <v/>
      </c>
      <c r="G73" s="183">
        <f t="shared" si="2"/>
        <v>61</v>
      </c>
      <c r="I73" s="34">
        <f t="shared" si="3"/>
        <v>61</v>
      </c>
      <c r="J73" s="26" t="str">
        <f t="shared" si="4"/>
        <v>X</v>
      </c>
      <c r="W73" s="26">
        <v>3</v>
      </c>
      <c r="X73" s="26" t="str">
        <f t="shared" si="14"/>
        <v/>
      </c>
      <c r="Y73" s="26">
        <f t="shared" si="15"/>
        <v>16</v>
      </c>
      <c r="Z73" s="26" t="str">
        <f t="shared" si="16"/>
        <v>X</v>
      </c>
    </row>
    <row r="74" spans="2:26" x14ac:dyDescent="0.25">
      <c r="B74" s="26">
        <v>49</v>
      </c>
      <c r="C74" s="279" t="str">
        <f>'LINEAS CON DEDICACIÓN'!N20</f>
        <v>Línea 4.4:</v>
      </c>
      <c r="D74" s="183">
        <f>'LINEAS CON DEDICACIÓN'!O20</f>
        <v>0</v>
      </c>
      <c r="E74" s="183" t="str">
        <f t="shared" si="1"/>
        <v/>
      </c>
      <c r="G74" s="183">
        <f t="shared" si="2"/>
        <v>61</v>
      </c>
      <c r="I74" s="34">
        <f t="shared" si="3"/>
        <v>61</v>
      </c>
      <c r="J74" s="26" t="str">
        <f t="shared" si="4"/>
        <v>X</v>
      </c>
      <c r="W74" s="26">
        <v>4</v>
      </c>
      <c r="X74" s="26" t="str">
        <f t="shared" si="14"/>
        <v/>
      </c>
      <c r="Y74" s="26">
        <f t="shared" si="15"/>
        <v>16</v>
      </c>
      <c r="Z74" s="26" t="str">
        <f t="shared" si="16"/>
        <v>X</v>
      </c>
    </row>
    <row r="75" spans="2:26" x14ac:dyDescent="0.25">
      <c r="B75" s="26">
        <v>50</v>
      </c>
      <c r="C75" s="279" t="str">
        <f>'LINEAS CON DEDICACIÓN'!N21</f>
        <v>Línea 4.5:</v>
      </c>
      <c r="D75" s="183">
        <f>'LINEAS CON DEDICACIÓN'!O21</f>
        <v>0</v>
      </c>
      <c r="E75" s="183" t="str">
        <f t="shared" si="1"/>
        <v/>
      </c>
      <c r="G75" s="183">
        <f t="shared" si="2"/>
        <v>61</v>
      </c>
      <c r="I75" s="34">
        <f t="shared" si="3"/>
        <v>61</v>
      </c>
      <c r="J75" s="26" t="str">
        <f t="shared" si="4"/>
        <v>X</v>
      </c>
      <c r="W75" s="26">
        <v>5</v>
      </c>
      <c r="X75" s="26" t="str">
        <f t="shared" si="14"/>
        <v/>
      </c>
      <c r="Y75" s="26">
        <f t="shared" si="15"/>
        <v>16</v>
      </c>
      <c r="Z75" s="26" t="str">
        <f t="shared" si="16"/>
        <v>X</v>
      </c>
    </row>
    <row r="76" spans="2:26" x14ac:dyDescent="0.25">
      <c r="B76" s="26">
        <v>51</v>
      </c>
      <c r="C76" s="279" t="str">
        <f>'LINEAS CON DEDICACIÓN'!N22</f>
        <v>Línea 4.6:</v>
      </c>
      <c r="D76" s="183">
        <f>'LINEAS CON DEDICACIÓN'!O22</f>
        <v>0</v>
      </c>
      <c r="E76" s="183" t="str">
        <f t="shared" si="1"/>
        <v/>
      </c>
      <c r="G76" s="183">
        <f t="shared" si="2"/>
        <v>61</v>
      </c>
      <c r="I76" s="34">
        <f t="shared" si="3"/>
        <v>61</v>
      </c>
      <c r="J76" s="26" t="str">
        <f t="shared" si="4"/>
        <v>X</v>
      </c>
      <c r="W76" s="26">
        <v>6</v>
      </c>
      <c r="X76" s="26" t="str">
        <f t="shared" si="14"/>
        <v/>
      </c>
      <c r="Y76" s="26">
        <f t="shared" si="15"/>
        <v>16</v>
      </c>
      <c r="Z76" s="26" t="str">
        <f t="shared" si="16"/>
        <v>X</v>
      </c>
    </row>
    <row r="77" spans="2:26" x14ac:dyDescent="0.25">
      <c r="B77" s="26">
        <v>52</v>
      </c>
      <c r="C77" s="279" t="str">
        <f>'LINEAS CON DEDICACIÓN'!N23</f>
        <v>Línea 4.7:</v>
      </c>
      <c r="D77" s="183">
        <f>'LINEAS CON DEDICACIÓN'!O23</f>
        <v>0</v>
      </c>
      <c r="E77" s="183" t="str">
        <f t="shared" si="1"/>
        <v/>
      </c>
      <c r="G77" s="183">
        <f t="shared" si="2"/>
        <v>61</v>
      </c>
      <c r="I77" s="34">
        <f t="shared" si="3"/>
        <v>61</v>
      </c>
      <c r="J77" s="26" t="str">
        <f t="shared" si="4"/>
        <v>X</v>
      </c>
      <c r="W77" s="26">
        <v>7</v>
      </c>
      <c r="X77" s="26" t="str">
        <f t="shared" si="14"/>
        <v/>
      </c>
      <c r="Y77" s="26">
        <f t="shared" si="15"/>
        <v>16</v>
      </c>
      <c r="Z77" s="26" t="str">
        <f t="shared" si="16"/>
        <v>X</v>
      </c>
    </row>
    <row r="78" spans="2:26" x14ac:dyDescent="0.25">
      <c r="B78" s="26">
        <v>53</v>
      </c>
      <c r="C78" s="279" t="str">
        <f>'LINEAS CON DEDICACIÓN'!N24</f>
        <v>Línea 4.8:</v>
      </c>
      <c r="D78" s="183">
        <f>'LINEAS CON DEDICACIÓN'!O24</f>
        <v>0</v>
      </c>
      <c r="E78" s="183" t="str">
        <f t="shared" si="1"/>
        <v/>
      </c>
      <c r="G78" s="183">
        <f t="shared" si="2"/>
        <v>61</v>
      </c>
      <c r="I78" s="34">
        <f t="shared" si="3"/>
        <v>61</v>
      </c>
      <c r="J78" s="26" t="str">
        <f t="shared" si="4"/>
        <v>X</v>
      </c>
      <c r="W78" s="26">
        <v>8</v>
      </c>
      <c r="X78" s="26" t="str">
        <f t="shared" si="14"/>
        <v/>
      </c>
      <c r="Y78" s="26">
        <f t="shared" si="15"/>
        <v>16</v>
      </c>
      <c r="Z78" s="26" t="str">
        <f t="shared" si="16"/>
        <v>X</v>
      </c>
    </row>
    <row r="79" spans="2:26" x14ac:dyDescent="0.25">
      <c r="B79" s="26">
        <v>54</v>
      </c>
      <c r="C79" s="279" t="str">
        <f>'LINEAS CON DEDICACIÓN'!N25</f>
        <v>Línea 4.9:</v>
      </c>
      <c r="D79" s="183">
        <f>'LINEAS CON DEDICACIÓN'!O25</f>
        <v>0</v>
      </c>
      <c r="E79" s="183" t="str">
        <f t="shared" si="1"/>
        <v/>
      </c>
      <c r="G79" s="183">
        <f t="shared" si="2"/>
        <v>61</v>
      </c>
      <c r="I79" s="34">
        <f t="shared" si="3"/>
        <v>61</v>
      </c>
      <c r="J79" s="26" t="str">
        <f t="shared" si="4"/>
        <v>X</v>
      </c>
      <c r="W79" s="26">
        <v>9</v>
      </c>
      <c r="X79" s="26" t="str">
        <f t="shared" si="14"/>
        <v/>
      </c>
      <c r="Y79" s="26">
        <f t="shared" si="15"/>
        <v>16</v>
      </c>
      <c r="Z79" s="26" t="str">
        <f t="shared" si="16"/>
        <v>X</v>
      </c>
    </row>
    <row r="80" spans="2:26" x14ac:dyDescent="0.25">
      <c r="B80" s="26">
        <v>55</v>
      </c>
      <c r="C80" s="279" t="str">
        <f>'LINEAS CON DEDICACIÓN'!N26</f>
        <v>Línea 4.10:</v>
      </c>
      <c r="D80" s="183">
        <f>'LINEAS CON DEDICACIÓN'!O26</f>
        <v>0</v>
      </c>
      <c r="E80" s="183" t="str">
        <f t="shared" si="1"/>
        <v/>
      </c>
      <c r="G80" s="183">
        <f t="shared" si="2"/>
        <v>61</v>
      </c>
      <c r="I80" s="34">
        <f t="shared" si="3"/>
        <v>61</v>
      </c>
      <c r="J80" s="26" t="str">
        <f t="shared" si="4"/>
        <v>X</v>
      </c>
      <c r="W80" s="26">
        <v>10</v>
      </c>
      <c r="X80" s="26" t="str">
        <f t="shared" si="14"/>
        <v/>
      </c>
      <c r="Y80" s="26">
        <f t="shared" si="15"/>
        <v>16</v>
      </c>
      <c r="Z80" s="26" t="str">
        <f t="shared" si="16"/>
        <v>X</v>
      </c>
    </row>
    <row r="81" spans="2:26" x14ac:dyDescent="0.25">
      <c r="B81" s="26">
        <v>56</v>
      </c>
      <c r="C81" s="279" t="str">
        <f>'LINEAS CON DEDICACIÓN'!N27</f>
        <v>Línea 4.11:</v>
      </c>
      <c r="D81" s="183">
        <f>'LINEAS CON DEDICACIÓN'!O27</f>
        <v>0</v>
      </c>
      <c r="E81" s="183" t="str">
        <f t="shared" si="1"/>
        <v/>
      </c>
      <c r="G81" s="183">
        <f t="shared" si="2"/>
        <v>61</v>
      </c>
      <c r="I81" s="34">
        <f t="shared" si="3"/>
        <v>61</v>
      </c>
      <c r="J81" s="26" t="str">
        <f t="shared" si="4"/>
        <v>X</v>
      </c>
      <c r="W81" s="26">
        <v>11</v>
      </c>
      <c r="X81" s="26" t="str">
        <f t="shared" si="14"/>
        <v/>
      </c>
      <c r="Y81" s="26">
        <f t="shared" si="15"/>
        <v>16</v>
      </c>
      <c r="Z81" s="26" t="str">
        <f t="shared" si="16"/>
        <v>X</v>
      </c>
    </row>
    <row r="82" spans="2:26" x14ac:dyDescent="0.25">
      <c r="B82" s="26">
        <v>57</v>
      </c>
      <c r="C82" s="279" t="str">
        <f>'LINEAS CON DEDICACIÓN'!N28</f>
        <v>Línea 4.12:</v>
      </c>
      <c r="D82" s="183">
        <f>'LINEAS CON DEDICACIÓN'!O28</f>
        <v>0</v>
      </c>
      <c r="E82" s="183" t="str">
        <f t="shared" si="1"/>
        <v/>
      </c>
      <c r="G82" s="183">
        <f t="shared" si="2"/>
        <v>61</v>
      </c>
      <c r="I82" s="34">
        <f t="shared" si="3"/>
        <v>61</v>
      </c>
      <c r="J82" s="26" t="str">
        <f t="shared" si="4"/>
        <v>X</v>
      </c>
      <c r="W82" s="26">
        <v>12</v>
      </c>
      <c r="X82" s="26" t="str">
        <f t="shared" si="14"/>
        <v/>
      </c>
      <c r="Y82" s="26">
        <f t="shared" si="15"/>
        <v>16</v>
      </c>
      <c r="Z82" s="26" t="str">
        <f t="shared" si="16"/>
        <v>X</v>
      </c>
    </row>
    <row r="83" spans="2:26" x14ac:dyDescent="0.25">
      <c r="B83" s="26">
        <v>58</v>
      </c>
      <c r="C83" s="279" t="str">
        <f>'LINEAS CON DEDICACIÓN'!N29</f>
        <v>Línea 4.13:</v>
      </c>
      <c r="D83" s="183">
        <f>'LINEAS CON DEDICACIÓN'!O29</f>
        <v>0</v>
      </c>
      <c r="E83" s="183" t="str">
        <f t="shared" si="1"/>
        <v/>
      </c>
      <c r="G83" s="183">
        <f t="shared" si="2"/>
        <v>61</v>
      </c>
      <c r="I83" s="34">
        <f t="shared" si="3"/>
        <v>61</v>
      </c>
      <c r="J83" s="26" t="str">
        <f t="shared" si="4"/>
        <v>X</v>
      </c>
      <c r="W83" s="26">
        <v>13</v>
      </c>
      <c r="X83" s="26" t="str">
        <f t="shared" si="14"/>
        <v/>
      </c>
      <c r="Y83" s="26">
        <f t="shared" si="15"/>
        <v>16</v>
      </c>
      <c r="Z83" s="26" t="str">
        <f t="shared" si="16"/>
        <v>X</v>
      </c>
    </row>
    <row r="84" spans="2:26" x14ac:dyDescent="0.25">
      <c r="B84" s="26">
        <v>59</v>
      </c>
      <c r="C84" s="279" t="str">
        <f>'LINEAS CON DEDICACIÓN'!N30</f>
        <v>Línea 4.14:</v>
      </c>
      <c r="D84" s="183">
        <f>'LINEAS CON DEDICACIÓN'!O30</f>
        <v>0</v>
      </c>
      <c r="E84" s="183" t="str">
        <f t="shared" si="1"/>
        <v/>
      </c>
      <c r="G84" s="183">
        <f t="shared" si="2"/>
        <v>61</v>
      </c>
      <c r="I84" s="34">
        <f t="shared" si="3"/>
        <v>61</v>
      </c>
      <c r="J84" s="26" t="str">
        <f t="shared" si="4"/>
        <v>X</v>
      </c>
      <c r="W84" s="26">
        <v>14</v>
      </c>
      <c r="X84" s="26" t="str">
        <f t="shared" si="14"/>
        <v/>
      </c>
      <c r="Y84" s="26">
        <f t="shared" si="15"/>
        <v>16</v>
      </c>
      <c r="Z84" s="26" t="str">
        <f t="shared" si="16"/>
        <v>X</v>
      </c>
    </row>
    <row r="85" spans="2:26" x14ac:dyDescent="0.25">
      <c r="B85" s="26">
        <v>60</v>
      </c>
      <c r="C85" s="279" t="str">
        <f>'LINEAS CON DEDICACIÓN'!N31</f>
        <v>Línea 4.15:</v>
      </c>
      <c r="D85" s="183">
        <f>'LINEAS CON DEDICACIÓN'!O31</f>
        <v>0</v>
      </c>
      <c r="E85" s="183" t="str">
        <f t="shared" si="1"/>
        <v/>
      </c>
      <c r="G85" s="183">
        <f t="shared" si="2"/>
        <v>61</v>
      </c>
      <c r="I85" s="34">
        <f t="shared" si="3"/>
        <v>61</v>
      </c>
      <c r="J85" s="26" t="str">
        <f t="shared" si="4"/>
        <v>X</v>
      </c>
      <c r="W85" s="26">
        <v>15</v>
      </c>
      <c r="X85" s="26" t="str">
        <f t="shared" si="14"/>
        <v/>
      </c>
      <c r="Y85" s="26">
        <f t="shared" si="15"/>
        <v>16</v>
      </c>
      <c r="Z85" s="26" t="str">
        <f t="shared" si="16"/>
        <v>X</v>
      </c>
    </row>
    <row r="88" spans="2:26" x14ac:dyDescent="0.25">
      <c r="B88" s="26">
        <v>1</v>
      </c>
      <c r="C88" s="27" t="str">
        <f>N26</f>
        <v>X</v>
      </c>
      <c r="D88" s="195" t="str">
        <f>'RESUMEN TRABAJADOR ACTUACIÓN 1'!P25</f>
        <v/>
      </c>
      <c r="I88" s="34">
        <f>IF(C88="X",61,B88)</f>
        <v>61</v>
      </c>
      <c r="J88" s="26" t="str">
        <f>IFERROR(VLOOKUP(SMALL($I$88:$I$147,B88),$B$88:$E$147,2,FALSE),"X")</f>
        <v>X</v>
      </c>
      <c r="K88" s="195" t="str">
        <f>VLOOKUP(J88,$C$88:$D$147,2,FALSE)</f>
        <v/>
      </c>
      <c r="N88" s="26" t="str" cm="1">
        <f t="array" ref="N88:N147">MID($J$88:$J$147,7,1)</f>
        <v/>
      </c>
      <c r="O88" s="26" t="s">
        <v>244</v>
      </c>
      <c r="P88" s="195">
        <f>ROUND(SUMIF(_xlfn.ANCHORARRAY(N88),1,K88:K147),2)</f>
        <v>0</v>
      </c>
    </row>
    <row r="89" spans="2:26" x14ac:dyDescent="0.25">
      <c r="B89" s="26">
        <v>2</v>
      </c>
      <c r="C89" s="27" t="str">
        <f t="shared" ref="C89:C102" si="17">N27</f>
        <v>X</v>
      </c>
      <c r="D89" s="195" t="str">
        <f>'RESUMEN TRABAJADOR ACTUACIÓN 1'!P26</f>
        <v/>
      </c>
      <c r="I89" s="34">
        <f t="shared" ref="I89:I147" si="18">IF(C89="X",61,B89)</f>
        <v>61</v>
      </c>
      <c r="J89" s="26" t="str">
        <f t="shared" ref="J89:J147" si="19">IFERROR(VLOOKUP(SMALL($I$88:$I$147,B89),$B$88:$E$147,2,FALSE),"X")</f>
        <v>X</v>
      </c>
      <c r="K89" s="195" t="str">
        <f t="shared" ref="K89:K147" si="20">VLOOKUP(J89,$C$88:$D$147,2,FALSE)</f>
        <v/>
      </c>
      <c r="N89" s="26" t="str">
        <v/>
      </c>
      <c r="O89" s="26" t="s">
        <v>245</v>
      </c>
      <c r="P89" s="195">
        <f>ROUND(SUMIF(_xlfn.ANCHORARRAY(N88),2,K88:K147),2)</f>
        <v>0</v>
      </c>
    </row>
    <row r="90" spans="2:26" x14ac:dyDescent="0.25">
      <c r="B90" s="26">
        <v>3</v>
      </c>
      <c r="C90" s="27" t="str">
        <f t="shared" si="17"/>
        <v>X</v>
      </c>
      <c r="D90" s="195" t="str">
        <f>'RESUMEN TRABAJADOR ACTUACIÓN 1'!P27</f>
        <v/>
      </c>
      <c r="I90" s="34">
        <f t="shared" si="18"/>
        <v>61</v>
      </c>
      <c r="J90" s="26" t="str">
        <f t="shared" si="19"/>
        <v>X</v>
      </c>
      <c r="K90" s="195" t="str">
        <f t="shared" si="20"/>
        <v/>
      </c>
      <c r="N90" s="26" t="str">
        <v/>
      </c>
      <c r="O90" s="26" t="s">
        <v>246</v>
      </c>
      <c r="P90" s="195">
        <f>ROUND(SUMIF(_xlfn.ANCHORARRAY(N88),3,K88:K147),2)</f>
        <v>0</v>
      </c>
    </row>
    <row r="91" spans="2:26" x14ac:dyDescent="0.25">
      <c r="B91" s="26">
        <v>4</v>
      </c>
      <c r="C91" s="27" t="str">
        <f t="shared" si="17"/>
        <v>X</v>
      </c>
      <c r="D91" s="195" t="str">
        <f>'RESUMEN TRABAJADOR ACTUACIÓN 1'!P28</f>
        <v/>
      </c>
      <c r="I91" s="34">
        <f t="shared" si="18"/>
        <v>61</v>
      </c>
      <c r="J91" s="26" t="str">
        <f t="shared" si="19"/>
        <v>X</v>
      </c>
      <c r="K91" s="195" t="str">
        <f t="shared" si="20"/>
        <v/>
      </c>
      <c r="N91" s="26" t="str">
        <v/>
      </c>
      <c r="O91" s="26" t="s">
        <v>247</v>
      </c>
      <c r="P91" s="195">
        <f>ROUND(SUMIF(_xlfn.ANCHORARRAY(N88),4,K88:K147),2)</f>
        <v>0</v>
      </c>
    </row>
    <row r="92" spans="2:26" x14ac:dyDescent="0.25">
      <c r="B92" s="26">
        <v>5</v>
      </c>
      <c r="C92" s="27" t="str">
        <f t="shared" si="17"/>
        <v>X</v>
      </c>
      <c r="D92" s="195" t="str">
        <f>'RESUMEN TRABAJADOR ACTUACIÓN 1'!P29</f>
        <v/>
      </c>
      <c r="I92" s="34">
        <f t="shared" si="18"/>
        <v>61</v>
      </c>
      <c r="J92" s="26" t="str">
        <f t="shared" si="19"/>
        <v>X</v>
      </c>
      <c r="K92" s="195" t="str">
        <f t="shared" si="20"/>
        <v/>
      </c>
      <c r="N92" s="26" t="str">
        <v/>
      </c>
    </row>
    <row r="93" spans="2:26" x14ac:dyDescent="0.25">
      <c r="B93" s="26">
        <v>6</v>
      </c>
      <c r="C93" s="27" t="str">
        <f t="shared" si="17"/>
        <v>X</v>
      </c>
      <c r="D93" s="195" t="str">
        <f>'RESUMEN TRABAJADOR ACTUACIÓN 1'!P30</f>
        <v/>
      </c>
      <c r="I93" s="34">
        <f t="shared" si="18"/>
        <v>61</v>
      </c>
      <c r="J93" s="26" t="str">
        <f t="shared" si="19"/>
        <v>X</v>
      </c>
      <c r="K93" s="195" t="str">
        <f t="shared" si="20"/>
        <v/>
      </c>
      <c r="N93" s="26" t="str">
        <v/>
      </c>
    </row>
    <row r="94" spans="2:26" x14ac:dyDescent="0.25">
      <c r="B94" s="26">
        <v>7</v>
      </c>
      <c r="C94" s="27" t="str">
        <f t="shared" si="17"/>
        <v>X</v>
      </c>
      <c r="D94" s="195" t="str">
        <f>'RESUMEN TRABAJADOR ACTUACIÓN 1'!P31</f>
        <v/>
      </c>
      <c r="I94" s="34">
        <f t="shared" si="18"/>
        <v>61</v>
      </c>
      <c r="J94" s="26" t="str">
        <f t="shared" si="19"/>
        <v>X</v>
      </c>
      <c r="K94" s="195" t="str">
        <f t="shared" si="20"/>
        <v/>
      </c>
      <c r="N94" s="26" t="str">
        <v/>
      </c>
    </row>
    <row r="95" spans="2:26" x14ac:dyDescent="0.25">
      <c r="B95" s="26">
        <v>8</v>
      </c>
      <c r="C95" s="27" t="str">
        <f t="shared" si="17"/>
        <v>X</v>
      </c>
      <c r="D95" s="195" t="str">
        <f>'RESUMEN TRABAJADOR ACTUACIÓN 1'!P32</f>
        <v/>
      </c>
      <c r="I95" s="34">
        <f t="shared" si="18"/>
        <v>61</v>
      </c>
      <c r="J95" s="26" t="str">
        <f t="shared" si="19"/>
        <v>X</v>
      </c>
      <c r="K95" s="195" t="str">
        <f t="shared" si="20"/>
        <v/>
      </c>
      <c r="N95" s="26" t="str">
        <v/>
      </c>
    </row>
    <row r="96" spans="2:26" x14ac:dyDescent="0.25">
      <c r="B96" s="26">
        <v>9</v>
      </c>
      <c r="C96" s="27" t="str">
        <f t="shared" si="17"/>
        <v>X</v>
      </c>
      <c r="D96" s="195" t="str">
        <f>'RESUMEN TRABAJADOR ACTUACIÓN 1'!P33</f>
        <v/>
      </c>
      <c r="I96" s="34">
        <f t="shared" si="18"/>
        <v>61</v>
      </c>
      <c r="J96" s="26" t="str">
        <f t="shared" si="19"/>
        <v>X</v>
      </c>
      <c r="K96" s="195" t="str">
        <f t="shared" si="20"/>
        <v/>
      </c>
      <c r="N96" s="26" t="str">
        <v/>
      </c>
    </row>
    <row r="97" spans="2:14" x14ac:dyDescent="0.25">
      <c r="B97" s="26">
        <v>10</v>
      </c>
      <c r="C97" s="27" t="str">
        <f t="shared" si="17"/>
        <v>X</v>
      </c>
      <c r="D97" s="195" t="str">
        <f>'RESUMEN TRABAJADOR ACTUACIÓN 1'!P34</f>
        <v/>
      </c>
      <c r="I97" s="34">
        <f t="shared" si="18"/>
        <v>61</v>
      </c>
      <c r="J97" s="26" t="str">
        <f t="shared" si="19"/>
        <v>X</v>
      </c>
      <c r="K97" s="195" t="str">
        <f t="shared" si="20"/>
        <v/>
      </c>
      <c r="N97" s="26" t="str">
        <v/>
      </c>
    </row>
    <row r="98" spans="2:14" x14ac:dyDescent="0.25">
      <c r="B98" s="26">
        <v>11</v>
      </c>
      <c r="C98" s="27" t="str">
        <f t="shared" si="17"/>
        <v>X</v>
      </c>
      <c r="D98" s="195" t="str">
        <f>'RESUMEN TRABAJADOR ACTUACIÓN 1'!P35</f>
        <v/>
      </c>
      <c r="I98" s="34">
        <f t="shared" si="18"/>
        <v>61</v>
      </c>
      <c r="J98" s="26" t="str">
        <f t="shared" si="19"/>
        <v>X</v>
      </c>
      <c r="K98" s="195" t="str">
        <f t="shared" si="20"/>
        <v/>
      </c>
      <c r="N98" s="26" t="str">
        <v/>
      </c>
    </row>
    <row r="99" spans="2:14" x14ac:dyDescent="0.25">
      <c r="B99" s="26">
        <v>12</v>
      </c>
      <c r="C99" s="27" t="str">
        <f t="shared" si="17"/>
        <v>X</v>
      </c>
      <c r="D99" s="195" t="str">
        <f>'RESUMEN TRABAJADOR ACTUACIÓN 1'!P36</f>
        <v/>
      </c>
      <c r="I99" s="34">
        <f t="shared" si="18"/>
        <v>61</v>
      </c>
      <c r="J99" s="26" t="str">
        <f t="shared" si="19"/>
        <v>X</v>
      </c>
      <c r="K99" s="195" t="str">
        <f t="shared" si="20"/>
        <v/>
      </c>
      <c r="N99" s="26" t="str">
        <v/>
      </c>
    </row>
    <row r="100" spans="2:14" x14ac:dyDescent="0.25">
      <c r="B100" s="26">
        <v>13</v>
      </c>
      <c r="C100" s="27" t="str">
        <f t="shared" si="17"/>
        <v>X</v>
      </c>
      <c r="D100" s="195" t="str">
        <f>'RESUMEN TRABAJADOR ACTUACIÓN 1'!P37</f>
        <v/>
      </c>
      <c r="I100" s="34">
        <f t="shared" si="18"/>
        <v>61</v>
      </c>
      <c r="J100" s="26" t="str">
        <f t="shared" si="19"/>
        <v>X</v>
      </c>
      <c r="K100" s="195" t="str">
        <f t="shared" si="20"/>
        <v/>
      </c>
      <c r="N100" s="26" t="str">
        <v/>
      </c>
    </row>
    <row r="101" spans="2:14" x14ac:dyDescent="0.25">
      <c r="B101" s="26">
        <v>14</v>
      </c>
      <c r="C101" s="27" t="str">
        <f t="shared" si="17"/>
        <v>X</v>
      </c>
      <c r="D101" s="195" t="str">
        <f>'RESUMEN TRABAJADOR ACTUACIÓN 1'!P38</f>
        <v/>
      </c>
      <c r="I101" s="34">
        <f t="shared" si="18"/>
        <v>61</v>
      </c>
      <c r="J101" s="26" t="str">
        <f t="shared" si="19"/>
        <v>X</v>
      </c>
      <c r="K101" s="195" t="str">
        <f t="shared" si="20"/>
        <v/>
      </c>
      <c r="N101" s="26" t="str">
        <v/>
      </c>
    </row>
    <row r="102" spans="2:14" x14ac:dyDescent="0.25">
      <c r="B102" s="26">
        <v>15</v>
      </c>
      <c r="C102" s="27" t="str">
        <f t="shared" si="17"/>
        <v>X</v>
      </c>
      <c r="D102" s="195" t="str">
        <f>'RESUMEN TRABAJADOR ACTUACIÓN 1'!P39</f>
        <v/>
      </c>
      <c r="I102" s="34">
        <f t="shared" si="18"/>
        <v>61</v>
      </c>
      <c r="J102" s="26" t="str">
        <f t="shared" si="19"/>
        <v>X</v>
      </c>
      <c r="K102" s="195" t="str">
        <f t="shared" si="20"/>
        <v/>
      </c>
      <c r="N102" s="26" t="str">
        <v/>
      </c>
    </row>
    <row r="103" spans="2:14" x14ac:dyDescent="0.25">
      <c r="B103" s="26">
        <v>16</v>
      </c>
      <c r="C103" s="27" t="str">
        <f>R41</f>
        <v>X</v>
      </c>
      <c r="D103" s="195" t="str">
        <f>'RESUMEN TRABAJADOR ACTUACIÓN 2'!P25</f>
        <v/>
      </c>
      <c r="I103" s="34">
        <f t="shared" si="18"/>
        <v>61</v>
      </c>
      <c r="J103" s="26" t="str">
        <f t="shared" si="19"/>
        <v>X</v>
      </c>
      <c r="K103" s="195" t="str">
        <f t="shared" si="20"/>
        <v/>
      </c>
      <c r="N103" s="26" t="str">
        <v/>
      </c>
    </row>
    <row r="104" spans="2:14" x14ac:dyDescent="0.25">
      <c r="B104" s="26">
        <v>17</v>
      </c>
      <c r="C104" s="27" t="str">
        <f t="shared" ref="C104:C117" si="21">R42</f>
        <v>X</v>
      </c>
      <c r="D104" s="195" t="str">
        <f>'RESUMEN TRABAJADOR ACTUACIÓN 2'!P26</f>
        <v/>
      </c>
      <c r="I104" s="34">
        <f t="shared" si="18"/>
        <v>61</v>
      </c>
      <c r="J104" s="26" t="str">
        <f t="shared" si="19"/>
        <v>X</v>
      </c>
      <c r="K104" s="195" t="str">
        <f t="shared" si="20"/>
        <v/>
      </c>
      <c r="N104" s="26" t="str">
        <v/>
      </c>
    </row>
    <row r="105" spans="2:14" x14ac:dyDescent="0.25">
      <c r="B105" s="26">
        <v>18</v>
      </c>
      <c r="C105" s="27" t="str">
        <f t="shared" si="21"/>
        <v>X</v>
      </c>
      <c r="D105" s="195" t="str">
        <f>'RESUMEN TRABAJADOR ACTUACIÓN 2'!P27</f>
        <v/>
      </c>
      <c r="I105" s="34">
        <f t="shared" si="18"/>
        <v>61</v>
      </c>
      <c r="J105" s="26" t="str">
        <f t="shared" si="19"/>
        <v>X</v>
      </c>
      <c r="K105" s="195" t="str">
        <f t="shared" si="20"/>
        <v/>
      </c>
      <c r="N105" s="26" t="str">
        <v/>
      </c>
    </row>
    <row r="106" spans="2:14" x14ac:dyDescent="0.25">
      <c r="B106" s="26">
        <v>19</v>
      </c>
      <c r="C106" s="27" t="str">
        <f t="shared" si="21"/>
        <v>X</v>
      </c>
      <c r="D106" s="195" t="str">
        <f>'RESUMEN TRABAJADOR ACTUACIÓN 2'!P28</f>
        <v/>
      </c>
      <c r="I106" s="34">
        <f t="shared" si="18"/>
        <v>61</v>
      </c>
      <c r="J106" s="26" t="str">
        <f t="shared" si="19"/>
        <v>X</v>
      </c>
      <c r="K106" s="195" t="str">
        <f t="shared" si="20"/>
        <v/>
      </c>
      <c r="N106" s="26" t="str">
        <v/>
      </c>
    </row>
    <row r="107" spans="2:14" x14ac:dyDescent="0.25">
      <c r="B107" s="26">
        <v>20</v>
      </c>
      <c r="C107" s="27" t="str">
        <f t="shared" si="21"/>
        <v>X</v>
      </c>
      <c r="D107" s="195" t="str">
        <f>'RESUMEN TRABAJADOR ACTUACIÓN 2'!P29</f>
        <v/>
      </c>
      <c r="I107" s="34">
        <f t="shared" si="18"/>
        <v>61</v>
      </c>
      <c r="J107" s="26" t="str">
        <f t="shared" si="19"/>
        <v>X</v>
      </c>
      <c r="K107" s="195" t="str">
        <f t="shared" si="20"/>
        <v/>
      </c>
      <c r="N107" s="26" t="str">
        <v/>
      </c>
    </row>
    <row r="108" spans="2:14" x14ac:dyDescent="0.25">
      <c r="B108" s="26">
        <v>21</v>
      </c>
      <c r="C108" s="27" t="str">
        <f t="shared" si="21"/>
        <v>X</v>
      </c>
      <c r="D108" s="195" t="str">
        <f>'RESUMEN TRABAJADOR ACTUACIÓN 2'!P30</f>
        <v/>
      </c>
      <c r="I108" s="34">
        <f t="shared" si="18"/>
        <v>61</v>
      </c>
      <c r="J108" s="26" t="str">
        <f t="shared" si="19"/>
        <v>X</v>
      </c>
      <c r="K108" s="195" t="str">
        <f t="shared" si="20"/>
        <v/>
      </c>
      <c r="N108" s="26" t="str">
        <v/>
      </c>
    </row>
    <row r="109" spans="2:14" x14ac:dyDescent="0.25">
      <c r="B109" s="26">
        <v>22</v>
      </c>
      <c r="C109" s="27" t="str">
        <f t="shared" si="21"/>
        <v>X</v>
      </c>
      <c r="D109" s="195" t="str">
        <f>'RESUMEN TRABAJADOR ACTUACIÓN 2'!P31</f>
        <v/>
      </c>
      <c r="I109" s="34">
        <f t="shared" si="18"/>
        <v>61</v>
      </c>
      <c r="J109" s="26" t="str">
        <f t="shared" si="19"/>
        <v>X</v>
      </c>
      <c r="K109" s="195" t="str">
        <f t="shared" si="20"/>
        <v/>
      </c>
      <c r="N109" s="26" t="str">
        <v/>
      </c>
    </row>
    <row r="110" spans="2:14" x14ac:dyDescent="0.25">
      <c r="B110" s="26">
        <v>23</v>
      </c>
      <c r="C110" s="27" t="str">
        <f t="shared" si="21"/>
        <v>X</v>
      </c>
      <c r="D110" s="195" t="str">
        <f>'RESUMEN TRABAJADOR ACTUACIÓN 2'!P32</f>
        <v/>
      </c>
      <c r="I110" s="34">
        <f t="shared" si="18"/>
        <v>61</v>
      </c>
      <c r="J110" s="26" t="str">
        <f t="shared" si="19"/>
        <v>X</v>
      </c>
      <c r="K110" s="195" t="str">
        <f t="shared" si="20"/>
        <v/>
      </c>
      <c r="N110" s="26" t="str">
        <v/>
      </c>
    </row>
    <row r="111" spans="2:14" x14ac:dyDescent="0.25">
      <c r="B111" s="26">
        <v>24</v>
      </c>
      <c r="C111" s="27" t="str">
        <f t="shared" si="21"/>
        <v>X</v>
      </c>
      <c r="D111" s="195" t="str">
        <f>'RESUMEN TRABAJADOR ACTUACIÓN 2'!P33</f>
        <v/>
      </c>
      <c r="I111" s="34">
        <f t="shared" si="18"/>
        <v>61</v>
      </c>
      <c r="J111" s="26" t="str">
        <f t="shared" si="19"/>
        <v>X</v>
      </c>
      <c r="K111" s="195" t="str">
        <f t="shared" si="20"/>
        <v/>
      </c>
      <c r="N111" s="26" t="str">
        <v/>
      </c>
    </row>
    <row r="112" spans="2:14" x14ac:dyDescent="0.25">
      <c r="B112" s="26">
        <v>25</v>
      </c>
      <c r="C112" s="27" t="str">
        <f t="shared" si="21"/>
        <v>X</v>
      </c>
      <c r="D112" s="195" t="str">
        <f>'RESUMEN TRABAJADOR ACTUACIÓN 2'!P34</f>
        <v/>
      </c>
      <c r="I112" s="34">
        <f t="shared" si="18"/>
        <v>61</v>
      </c>
      <c r="J112" s="26" t="str">
        <f t="shared" si="19"/>
        <v>X</v>
      </c>
      <c r="K112" s="195" t="str">
        <f t="shared" si="20"/>
        <v/>
      </c>
      <c r="N112" s="26" t="str">
        <v/>
      </c>
    </row>
    <row r="113" spans="2:14" x14ac:dyDescent="0.25">
      <c r="B113" s="26">
        <v>26</v>
      </c>
      <c r="C113" s="27" t="str">
        <f t="shared" si="21"/>
        <v>X</v>
      </c>
      <c r="D113" s="195" t="str">
        <f>'RESUMEN TRABAJADOR ACTUACIÓN 2'!P35</f>
        <v/>
      </c>
      <c r="I113" s="34">
        <f t="shared" si="18"/>
        <v>61</v>
      </c>
      <c r="J113" s="26" t="str">
        <f t="shared" si="19"/>
        <v>X</v>
      </c>
      <c r="K113" s="195" t="str">
        <f t="shared" si="20"/>
        <v/>
      </c>
      <c r="N113" s="26" t="str">
        <v/>
      </c>
    </row>
    <row r="114" spans="2:14" x14ac:dyDescent="0.25">
      <c r="B114" s="26">
        <v>27</v>
      </c>
      <c r="C114" s="27" t="str">
        <f t="shared" si="21"/>
        <v>X</v>
      </c>
      <c r="D114" s="195" t="str">
        <f>'RESUMEN TRABAJADOR ACTUACIÓN 2'!P36</f>
        <v/>
      </c>
      <c r="I114" s="34">
        <f t="shared" si="18"/>
        <v>61</v>
      </c>
      <c r="J114" s="26" t="str">
        <f t="shared" si="19"/>
        <v>X</v>
      </c>
      <c r="K114" s="195" t="str">
        <f t="shared" si="20"/>
        <v/>
      </c>
      <c r="N114" s="26" t="str">
        <v/>
      </c>
    </row>
    <row r="115" spans="2:14" x14ac:dyDescent="0.25">
      <c r="B115" s="26">
        <v>28</v>
      </c>
      <c r="C115" s="27" t="str">
        <f t="shared" si="21"/>
        <v>X</v>
      </c>
      <c r="D115" s="195" t="str">
        <f>'RESUMEN TRABAJADOR ACTUACIÓN 2'!P37</f>
        <v/>
      </c>
      <c r="I115" s="34">
        <f t="shared" si="18"/>
        <v>61</v>
      </c>
      <c r="J115" s="26" t="str">
        <f t="shared" si="19"/>
        <v>X</v>
      </c>
      <c r="K115" s="195" t="str">
        <f t="shared" si="20"/>
        <v/>
      </c>
      <c r="N115" s="26" t="str">
        <v/>
      </c>
    </row>
    <row r="116" spans="2:14" x14ac:dyDescent="0.25">
      <c r="B116" s="26">
        <v>29</v>
      </c>
      <c r="C116" s="27" t="str">
        <f t="shared" si="21"/>
        <v>X</v>
      </c>
      <c r="D116" s="195" t="str">
        <f>'RESUMEN TRABAJADOR ACTUACIÓN 2'!P38</f>
        <v/>
      </c>
      <c r="I116" s="34">
        <f t="shared" si="18"/>
        <v>61</v>
      </c>
      <c r="J116" s="26" t="str">
        <f t="shared" si="19"/>
        <v>X</v>
      </c>
      <c r="K116" s="195" t="str">
        <f t="shared" si="20"/>
        <v/>
      </c>
      <c r="N116" s="26" t="str">
        <v/>
      </c>
    </row>
    <row r="117" spans="2:14" x14ac:dyDescent="0.25">
      <c r="B117" s="26">
        <v>30</v>
      </c>
      <c r="C117" s="27" t="str">
        <f t="shared" si="21"/>
        <v>X</v>
      </c>
      <c r="D117" s="195" t="str">
        <f>'RESUMEN TRABAJADOR ACTUACIÓN 2'!P39</f>
        <v/>
      </c>
      <c r="I117" s="34">
        <f t="shared" si="18"/>
        <v>61</v>
      </c>
      <c r="J117" s="26" t="str">
        <f t="shared" si="19"/>
        <v>X</v>
      </c>
      <c r="K117" s="195" t="str">
        <f t="shared" si="20"/>
        <v/>
      </c>
      <c r="N117" s="26" t="str">
        <v/>
      </c>
    </row>
    <row r="118" spans="2:14" x14ac:dyDescent="0.25">
      <c r="B118" s="26">
        <v>31</v>
      </c>
      <c r="C118" s="27" t="str">
        <f>V56</f>
        <v>X</v>
      </c>
      <c r="D118" s="195" t="str">
        <f>'RESUMEN TRABAJADOR ACTUACIÓN 3'!P25</f>
        <v/>
      </c>
      <c r="I118" s="34">
        <f t="shared" si="18"/>
        <v>61</v>
      </c>
      <c r="J118" s="26" t="str">
        <f t="shared" si="19"/>
        <v>X</v>
      </c>
      <c r="K118" s="195" t="str">
        <f t="shared" si="20"/>
        <v/>
      </c>
      <c r="N118" s="26" t="str">
        <v/>
      </c>
    </row>
    <row r="119" spans="2:14" x14ac:dyDescent="0.25">
      <c r="B119" s="26">
        <v>32</v>
      </c>
      <c r="C119" s="27" t="str">
        <f t="shared" ref="C119:C132" si="22">V57</f>
        <v>X</v>
      </c>
      <c r="D119" s="195" t="str">
        <f>'RESUMEN TRABAJADOR ACTUACIÓN 3'!P26</f>
        <v/>
      </c>
      <c r="I119" s="34">
        <f t="shared" si="18"/>
        <v>61</v>
      </c>
      <c r="J119" s="26" t="str">
        <f t="shared" si="19"/>
        <v>X</v>
      </c>
      <c r="K119" s="195" t="str">
        <f t="shared" si="20"/>
        <v/>
      </c>
      <c r="N119" s="26" t="str">
        <v/>
      </c>
    </row>
    <row r="120" spans="2:14" x14ac:dyDescent="0.25">
      <c r="B120" s="26">
        <v>33</v>
      </c>
      <c r="C120" s="27" t="str">
        <f t="shared" si="22"/>
        <v>X</v>
      </c>
      <c r="D120" s="195" t="str">
        <f>'RESUMEN TRABAJADOR ACTUACIÓN 3'!P27</f>
        <v/>
      </c>
      <c r="I120" s="34">
        <f t="shared" si="18"/>
        <v>61</v>
      </c>
      <c r="J120" s="26" t="str">
        <f t="shared" si="19"/>
        <v>X</v>
      </c>
      <c r="K120" s="195" t="str">
        <f t="shared" si="20"/>
        <v/>
      </c>
      <c r="N120" s="26" t="str">
        <v/>
      </c>
    </row>
    <row r="121" spans="2:14" x14ac:dyDescent="0.25">
      <c r="B121" s="26">
        <v>34</v>
      </c>
      <c r="C121" s="27" t="str">
        <f t="shared" si="22"/>
        <v>X</v>
      </c>
      <c r="D121" s="195" t="str">
        <f>'RESUMEN TRABAJADOR ACTUACIÓN 3'!P28</f>
        <v/>
      </c>
      <c r="I121" s="34">
        <f t="shared" si="18"/>
        <v>61</v>
      </c>
      <c r="J121" s="26" t="str">
        <f t="shared" si="19"/>
        <v>X</v>
      </c>
      <c r="K121" s="195" t="str">
        <f t="shared" si="20"/>
        <v/>
      </c>
      <c r="N121" s="26" t="str">
        <v/>
      </c>
    </row>
    <row r="122" spans="2:14" x14ac:dyDescent="0.25">
      <c r="B122" s="26">
        <v>35</v>
      </c>
      <c r="C122" s="27" t="str">
        <f t="shared" si="22"/>
        <v>X</v>
      </c>
      <c r="D122" s="195" t="str">
        <f>'RESUMEN TRABAJADOR ACTUACIÓN 3'!P29</f>
        <v/>
      </c>
      <c r="I122" s="34">
        <f t="shared" si="18"/>
        <v>61</v>
      </c>
      <c r="J122" s="26" t="str">
        <f t="shared" si="19"/>
        <v>X</v>
      </c>
      <c r="K122" s="195" t="str">
        <f t="shared" si="20"/>
        <v/>
      </c>
      <c r="N122" s="26" t="str">
        <v/>
      </c>
    </row>
    <row r="123" spans="2:14" x14ac:dyDescent="0.25">
      <c r="B123" s="26">
        <v>36</v>
      </c>
      <c r="C123" s="27" t="str">
        <f t="shared" si="22"/>
        <v>X</v>
      </c>
      <c r="D123" s="195" t="str">
        <f>'RESUMEN TRABAJADOR ACTUACIÓN 3'!P30</f>
        <v/>
      </c>
      <c r="I123" s="34">
        <f t="shared" si="18"/>
        <v>61</v>
      </c>
      <c r="J123" s="26" t="str">
        <f t="shared" si="19"/>
        <v>X</v>
      </c>
      <c r="K123" s="195" t="str">
        <f t="shared" si="20"/>
        <v/>
      </c>
      <c r="N123" s="26" t="str">
        <v/>
      </c>
    </row>
    <row r="124" spans="2:14" x14ac:dyDescent="0.25">
      <c r="B124" s="26">
        <v>37</v>
      </c>
      <c r="C124" s="27" t="str">
        <f t="shared" si="22"/>
        <v>X</v>
      </c>
      <c r="D124" s="195" t="str">
        <f>'RESUMEN TRABAJADOR ACTUACIÓN 3'!P31</f>
        <v/>
      </c>
      <c r="I124" s="34">
        <f t="shared" si="18"/>
        <v>61</v>
      </c>
      <c r="J124" s="26" t="str">
        <f t="shared" si="19"/>
        <v>X</v>
      </c>
      <c r="K124" s="195" t="str">
        <f t="shared" si="20"/>
        <v/>
      </c>
      <c r="N124" s="26" t="str">
        <v/>
      </c>
    </row>
    <row r="125" spans="2:14" x14ac:dyDescent="0.25">
      <c r="B125" s="26">
        <v>38</v>
      </c>
      <c r="C125" s="27" t="str">
        <f t="shared" si="22"/>
        <v>X</v>
      </c>
      <c r="D125" s="195" t="str">
        <f>'RESUMEN TRABAJADOR ACTUACIÓN 3'!P32</f>
        <v/>
      </c>
      <c r="I125" s="34">
        <f t="shared" si="18"/>
        <v>61</v>
      </c>
      <c r="J125" s="26" t="str">
        <f t="shared" si="19"/>
        <v>X</v>
      </c>
      <c r="K125" s="195" t="str">
        <f t="shared" si="20"/>
        <v/>
      </c>
      <c r="N125" s="26" t="str">
        <v/>
      </c>
    </row>
    <row r="126" spans="2:14" x14ac:dyDescent="0.25">
      <c r="B126" s="26">
        <v>39</v>
      </c>
      <c r="C126" s="27" t="str">
        <f t="shared" si="22"/>
        <v>X</v>
      </c>
      <c r="D126" s="195" t="str">
        <f>'RESUMEN TRABAJADOR ACTUACIÓN 3'!P33</f>
        <v/>
      </c>
      <c r="I126" s="34">
        <f t="shared" si="18"/>
        <v>61</v>
      </c>
      <c r="J126" s="26" t="str">
        <f t="shared" si="19"/>
        <v>X</v>
      </c>
      <c r="K126" s="195" t="str">
        <f t="shared" si="20"/>
        <v/>
      </c>
      <c r="N126" s="26" t="str">
        <v/>
      </c>
    </row>
    <row r="127" spans="2:14" x14ac:dyDescent="0.25">
      <c r="B127" s="26">
        <v>40</v>
      </c>
      <c r="C127" s="27" t="str">
        <f t="shared" si="22"/>
        <v>X</v>
      </c>
      <c r="D127" s="195" t="str">
        <f>'RESUMEN TRABAJADOR ACTUACIÓN 3'!P34</f>
        <v/>
      </c>
      <c r="I127" s="34">
        <f t="shared" si="18"/>
        <v>61</v>
      </c>
      <c r="J127" s="26" t="str">
        <f t="shared" si="19"/>
        <v>X</v>
      </c>
      <c r="K127" s="195" t="str">
        <f t="shared" si="20"/>
        <v/>
      </c>
      <c r="N127" s="26" t="str">
        <v/>
      </c>
    </row>
    <row r="128" spans="2:14" x14ac:dyDescent="0.25">
      <c r="B128" s="26">
        <v>41</v>
      </c>
      <c r="C128" s="27" t="str">
        <f t="shared" si="22"/>
        <v>X</v>
      </c>
      <c r="D128" s="195" t="str">
        <f>'RESUMEN TRABAJADOR ACTUACIÓN 3'!P35</f>
        <v/>
      </c>
      <c r="I128" s="34">
        <f t="shared" si="18"/>
        <v>61</v>
      </c>
      <c r="J128" s="26" t="str">
        <f t="shared" si="19"/>
        <v>X</v>
      </c>
      <c r="K128" s="195" t="str">
        <f t="shared" si="20"/>
        <v/>
      </c>
      <c r="N128" s="26" t="str">
        <v/>
      </c>
    </row>
    <row r="129" spans="2:14" x14ac:dyDescent="0.25">
      <c r="B129" s="26">
        <v>42</v>
      </c>
      <c r="C129" s="27" t="str">
        <f t="shared" si="22"/>
        <v>X</v>
      </c>
      <c r="D129" s="195" t="str">
        <f>'RESUMEN TRABAJADOR ACTUACIÓN 3'!P36</f>
        <v/>
      </c>
      <c r="I129" s="34">
        <f t="shared" si="18"/>
        <v>61</v>
      </c>
      <c r="J129" s="26" t="str">
        <f t="shared" si="19"/>
        <v>X</v>
      </c>
      <c r="K129" s="195" t="str">
        <f t="shared" si="20"/>
        <v/>
      </c>
      <c r="N129" s="26" t="str">
        <v/>
      </c>
    </row>
    <row r="130" spans="2:14" x14ac:dyDescent="0.25">
      <c r="B130" s="26">
        <v>43</v>
      </c>
      <c r="C130" s="27" t="str">
        <f t="shared" si="22"/>
        <v>X</v>
      </c>
      <c r="D130" s="195" t="str">
        <f>'RESUMEN TRABAJADOR ACTUACIÓN 3'!P37</f>
        <v/>
      </c>
      <c r="I130" s="34">
        <f t="shared" si="18"/>
        <v>61</v>
      </c>
      <c r="J130" s="26" t="str">
        <f t="shared" si="19"/>
        <v>X</v>
      </c>
      <c r="K130" s="195" t="str">
        <f t="shared" si="20"/>
        <v/>
      </c>
      <c r="N130" s="26" t="str">
        <v/>
      </c>
    </row>
    <row r="131" spans="2:14" x14ac:dyDescent="0.25">
      <c r="B131" s="26">
        <v>44</v>
      </c>
      <c r="C131" s="27" t="str">
        <f t="shared" si="22"/>
        <v>X</v>
      </c>
      <c r="D131" s="195" t="str">
        <f>'RESUMEN TRABAJADOR ACTUACIÓN 3'!P38</f>
        <v/>
      </c>
      <c r="I131" s="34">
        <f t="shared" si="18"/>
        <v>61</v>
      </c>
      <c r="J131" s="26" t="str">
        <f t="shared" si="19"/>
        <v>X</v>
      </c>
      <c r="K131" s="195" t="str">
        <f t="shared" si="20"/>
        <v/>
      </c>
      <c r="N131" s="26" t="str">
        <v/>
      </c>
    </row>
    <row r="132" spans="2:14" x14ac:dyDescent="0.25">
      <c r="B132" s="26">
        <v>45</v>
      </c>
      <c r="C132" s="27" t="str">
        <f t="shared" si="22"/>
        <v>X</v>
      </c>
      <c r="D132" s="195" t="str">
        <f>'RESUMEN TRABAJADOR ACTUACIÓN 3'!P39</f>
        <v/>
      </c>
      <c r="I132" s="34">
        <f t="shared" si="18"/>
        <v>61</v>
      </c>
      <c r="J132" s="26" t="str">
        <f t="shared" si="19"/>
        <v>X</v>
      </c>
      <c r="K132" s="195" t="str">
        <f t="shared" si="20"/>
        <v/>
      </c>
      <c r="N132" s="26" t="str">
        <v/>
      </c>
    </row>
    <row r="133" spans="2:14" x14ac:dyDescent="0.25">
      <c r="B133" s="26">
        <v>46</v>
      </c>
      <c r="C133" s="27" t="str">
        <f>Z71</f>
        <v>X</v>
      </c>
      <c r="D133" s="195" t="str">
        <f>'RESUMEN TRABAJADOR ACTUACIÓN 4'!P25</f>
        <v/>
      </c>
      <c r="I133" s="34">
        <f t="shared" si="18"/>
        <v>61</v>
      </c>
      <c r="J133" s="26" t="str">
        <f t="shared" si="19"/>
        <v>X</v>
      </c>
      <c r="K133" s="195" t="str">
        <f t="shared" si="20"/>
        <v/>
      </c>
      <c r="N133" s="26" t="str">
        <v/>
      </c>
    </row>
    <row r="134" spans="2:14" x14ac:dyDescent="0.25">
      <c r="B134" s="26">
        <v>47</v>
      </c>
      <c r="C134" s="27" t="str">
        <f t="shared" ref="C134:C147" si="23">Z72</f>
        <v>X</v>
      </c>
      <c r="D134" s="195" t="str">
        <f>'RESUMEN TRABAJADOR ACTUACIÓN 4'!P26</f>
        <v/>
      </c>
      <c r="I134" s="34">
        <f t="shared" si="18"/>
        <v>61</v>
      </c>
      <c r="J134" s="26" t="str">
        <f t="shared" si="19"/>
        <v>X</v>
      </c>
      <c r="K134" s="195" t="str">
        <f t="shared" si="20"/>
        <v/>
      </c>
      <c r="N134" s="26" t="str">
        <v/>
      </c>
    </row>
    <row r="135" spans="2:14" x14ac:dyDescent="0.25">
      <c r="B135" s="26">
        <v>48</v>
      </c>
      <c r="C135" s="27" t="str">
        <f t="shared" si="23"/>
        <v>X</v>
      </c>
      <c r="D135" s="195" t="str">
        <f>'RESUMEN TRABAJADOR ACTUACIÓN 4'!P27</f>
        <v/>
      </c>
      <c r="I135" s="34">
        <f t="shared" si="18"/>
        <v>61</v>
      </c>
      <c r="J135" s="26" t="str">
        <f t="shared" si="19"/>
        <v>X</v>
      </c>
      <c r="K135" s="195" t="str">
        <f t="shared" si="20"/>
        <v/>
      </c>
      <c r="N135" s="26" t="str">
        <v/>
      </c>
    </row>
    <row r="136" spans="2:14" x14ac:dyDescent="0.25">
      <c r="B136" s="26">
        <v>49</v>
      </c>
      <c r="C136" s="27" t="str">
        <f t="shared" si="23"/>
        <v>X</v>
      </c>
      <c r="D136" s="195" t="str">
        <f>'RESUMEN TRABAJADOR ACTUACIÓN 4'!P28</f>
        <v/>
      </c>
      <c r="I136" s="34">
        <f t="shared" si="18"/>
        <v>61</v>
      </c>
      <c r="J136" s="26" t="str">
        <f t="shared" si="19"/>
        <v>X</v>
      </c>
      <c r="K136" s="195" t="str">
        <f t="shared" si="20"/>
        <v/>
      </c>
      <c r="N136" s="26" t="str">
        <v/>
      </c>
    </row>
    <row r="137" spans="2:14" x14ac:dyDescent="0.25">
      <c r="B137" s="26">
        <v>50</v>
      </c>
      <c r="C137" s="27" t="str">
        <f t="shared" si="23"/>
        <v>X</v>
      </c>
      <c r="D137" s="195" t="str">
        <f>'RESUMEN TRABAJADOR ACTUACIÓN 4'!P29</f>
        <v/>
      </c>
      <c r="I137" s="34">
        <f t="shared" si="18"/>
        <v>61</v>
      </c>
      <c r="J137" s="26" t="str">
        <f t="shared" si="19"/>
        <v>X</v>
      </c>
      <c r="K137" s="195" t="str">
        <f t="shared" si="20"/>
        <v/>
      </c>
      <c r="N137" s="26" t="str">
        <v/>
      </c>
    </row>
    <row r="138" spans="2:14" x14ac:dyDescent="0.25">
      <c r="B138" s="26">
        <v>51</v>
      </c>
      <c r="C138" s="27" t="str">
        <f t="shared" si="23"/>
        <v>X</v>
      </c>
      <c r="D138" s="195" t="str">
        <f>'RESUMEN TRABAJADOR ACTUACIÓN 4'!P30</f>
        <v/>
      </c>
      <c r="I138" s="34">
        <f t="shared" si="18"/>
        <v>61</v>
      </c>
      <c r="J138" s="26" t="str">
        <f t="shared" si="19"/>
        <v>X</v>
      </c>
      <c r="K138" s="195" t="str">
        <f t="shared" si="20"/>
        <v/>
      </c>
      <c r="N138" s="26" t="str">
        <v/>
      </c>
    </row>
    <row r="139" spans="2:14" x14ac:dyDescent="0.25">
      <c r="B139" s="26">
        <v>52</v>
      </c>
      <c r="C139" s="27" t="str">
        <f t="shared" si="23"/>
        <v>X</v>
      </c>
      <c r="D139" s="195" t="str">
        <f>'RESUMEN TRABAJADOR ACTUACIÓN 4'!P31</f>
        <v/>
      </c>
      <c r="I139" s="34">
        <f t="shared" si="18"/>
        <v>61</v>
      </c>
      <c r="J139" s="26" t="str">
        <f t="shared" si="19"/>
        <v>X</v>
      </c>
      <c r="K139" s="195" t="str">
        <f t="shared" si="20"/>
        <v/>
      </c>
      <c r="N139" s="26" t="str">
        <v/>
      </c>
    </row>
    <row r="140" spans="2:14" x14ac:dyDescent="0.25">
      <c r="B140" s="26">
        <v>53</v>
      </c>
      <c r="C140" s="27" t="str">
        <f t="shared" si="23"/>
        <v>X</v>
      </c>
      <c r="D140" s="195" t="str">
        <f>'RESUMEN TRABAJADOR ACTUACIÓN 4'!P32</f>
        <v/>
      </c>
      <c r="I140" s="34">
        <f t="shared" si="18"/>
        <v>61</v>
      </c>
      <c r="J140" s="26" t="str">
        <f t="shared" si="19"/>
        <v>X</v>
      </c>
      <c r="K140" s="195" t="str">
        <f t="shared" si="20"/>
        <v/>
      </c>
      <c r="N140" s="26" t="str">
        <v/>
      </c>
    </row>
    <row r="141" spans="2:14" x14ac:dyDescent="0.25">
      <c r="B141" s="26">
        <v>54</v>
      </c>
      <c r="C141" s="27" t="str">
        <f t="shared" si="23"/>
        <v>X</v>
      </c>
      <c r="D141" s="195" t="str">
        <f>'RESUMEN TRABAJADOR ACTUACIÓN 4'!P33</f>
        <v/>
      </c>
      <c r="I141" s="34">
        <f t="shared" si="18"/>
        <v>61</v>
      </c>
      <c r="J141" s="26" t="str">
        <f t="shared" si="19"/>
        <v>X</v>
      </c>
      <c r="K141" s="195" t="str">
        <f t="shared" si="20"/>
        <v/>
      </c>
      <c r="N141" s="26" t="str">
        <v/>
      </c>
    </row>
    <row r="142" spans="2:14" x14ac:dyDescent="0.25">
      <c r="B142" s="26">
        <v>55</v>
      </c>
      <c r="C142" s="27" t="str">
        <f t="shared" si="23"/>
        <v>X</v>
      </c>
      <c r="D142" s="195" t="str">
        <f>'RESUMEN TRABAJADOR ACTUACIÓN 4'!P34</f>
        <v/>
      </c>
      <c r="I142" s="34">
        <f t="shared" si="18"/>
        <v>61</v>
      </c>
      <c r="J142" s="26" t="str">
        <f t="shared" si="19"/>
        <v>X</v>
      </c>
      <c r="K142" s="195" t="str">
        <f t="shared" si="20"/>
        <v/>
      </c>
      <c r="N142" s="26" t="str">
        <v/>
      </c>
    </row>
    <row r="143" spans="2:14" x14ac:dyDescent="0.25">
      <c r="B143" s="26">
        <v>56</v>
      </c>
      <c r="C143" s="27" t="str">
        <f t="shared" si="23"/>
        <v>X</v>
      </c>
      <c r="D143" s="195" t="str">
        <f>'RESUMEN TRABAJADOR ACTUACIÓN 4'!P35</f>
        <v/>
      </c>
      <c r="I143" s="34">
        <f t="shared" si="18"/>
        <v>61</v>
      </c>
      <c r="J143" s="26" t="str">
        <f t="shared" si="19"/>
        <v>X</v>
      </c>
      <c r="K143" s="195" t="str">
        <f t="shared" si="20"/>
        <v/>
      </c>
      <c r="N143" s="26" t="str">
        <v/>
      </c>
    </row>
    <row r="144" spans="2:14" x14ac:dyDescent="0.25">
      <c r="B144" s="26">
        <v>57</v>
      </c>
      <c r="C144" s="27" t="str">
        <f t="shared" si="23"/>
        <v>X</v>
      </c>
      <c r="D144" s="195" t="str">
        <f>'RESUMEN TRABAJADOR ACTUACIÓN 4'!P36</f>
        <v/>
      </c>
      <c r="I144" s="34">
        <f t="shared" si="18"/>
        <v>61</v>
      </c>
      <c r="J144" s="26" t="str">
        <f t="shared" si="19"/>
        <v>X</v>
      </c>
      <c r="K144" s="195" t="str">
        <f t="shared" si="20"/>
        <v/>
      </c>
      <c r="N144" s="26" t="str">
        <v/>
      </c>
    </row>
    <row r="145" spans="2:14" x14ac:dyDescent="0.25">
      <c r="B145" s="26">
        <v>58</v>
      </c>
      <c r="C145" s="27" t="str">
        <f t="shared" si="23"/>
        <v>X</v>
      </c>
      <c r="D145" s="195" t="str">
        <f>'RESUMEN TRABAJADOR ACTUACIÓN 4'!P37</f>
        <v/>
      </c>
      <c r="I145" s="34">
        <f t="shared" si="18"/>
        <v>61</v>
      </c>
      <c r="J145" s="26" t="str">
        <f t="shared" si="19"/>
        <v>X</v>
      </c>
      <c r="K145" s="195" t="str">
        <f t="shared" si="20"/>
        <v/>
      </c>
      <c r="N145" s="26" t="str">
        <v/>
      </c>
    </row>
    <row r="146" spans="2:14" x14ac:dyDescent="0.25">
      <c r="B146" s="26">
        <v>59</v>
      </c>
      <c r="C146" s="27" t="str">
        <f t="shared" si="23"/>
        <v>X</v>
      </c>
      <c r="D146" s="195" t="str">
        <f>'RESUMEN TRABAJADOR ACTUACIÓN 4'!P38</f>
        <v/>
      </c>
      <c r="I146" s="34">
        <f t="shared" si="18"/>
        <v>61</v>
      </c>
      <c r="J146" s="26" t="str">
        <f t="shared" si="19"/>
        <v>X</v>
      </c>
      <c r="K146" s="195" t="str">
        <f t="shared" si="20"/>
        <v/>
      </c>
      <c r="N146" s="26" t="str">
        <v/>
      </c>
    </row>
    <row r="147" spans="2:14" x14ac:dyDescent="0.25">
      <c r="B147" s="26">
        <v>60</v>
      </c>
      <c r="C147" s="27" t="str">
        <f t="shared" si="23"/>
        <v>X</v>
      </c>
      <c r="D147" s="195" t="str">
        <f>'RESUMEN TRABAJADOR ACTUACIÓN 4'!P39</f>
        <v/>
      </c>
      <c r="I147" s="34">
        <f t="shared" si="18"/>
        <v>61</v>
      </c>
      <c r="J147" s="26" t="str">
        <f t="shared" si="19"/>
        <v>X</v>
      </c>
      <c r="K147" s="195" t="str">
        <f t="shared" si="20"/>
        <v/>
      </c>
      <c r="N147" s="26" t="str">
        <v/>
      </c>
    </row>
    <row r="149" spans="2:14" x14ac:dyDescent="0.25">
      <c r="C149" s="27" t="s">
        <v>316</v>
      </c>
      <c r="D149" s="283" t="str">
        <f>IF(YEAR(EXPEDIENTE!F27)=YEAR(EXPEDIENTE!F25),MONTH(EXPEDIENTE!F27)+1-MONTH(EXPEDIENTE!F25),IF(YEAR(EXPEDIENTE!F27)=YEAR(EXPEDIENTE!F25)+1,MONTH(EXPEDIENTE!F27)-MONTH(EXPEDIENTE!F25)+13,""))</f>
        <v/>
      </c>
    </row>
    <row r="150" spans="2:14" x14ac:dyDescent="0.25">
      <c r="C150" s="282">
        <f>EXPEDIENTE!F25</f>
        <v>44927</v>
      </c>
    </row>
    <row r="151" spans="2:14" x14ac:dyDescent="0.25">
      <c r="B151" s="281">
        <v>1</v>
      </c>
      <c r="C151" s="280" t="str">
        <f>IF(B151="","",IF(EDATE($C$150,B151)&gt;EXPEDIENTE!$F$27,"",EDATE($C$150,B151)))</f>
        <v/>
      </c>
    </row>
    <row r="152" spans="2:14" x14ac:dyDescent="0.25">
      <c r="B152" s="183">
        <f t="shared" ref="B152:B161" si="24">IF(B151="","",IF(B151+1&lt;$D$149,B151+1,""))</f>
        <v>2</v>
      </c>
      <c r="C152" s="280" t="str">
        <f>IF(B152="","",IF(EDATE($C$150,B152)&gt;EXPEDIENTE!$F$27,"",EDATE($C$150,B152)))</f>
        <v/>
      </c>
    </row>
    <row r="153" spans="2:14" x14ac:dyDescent="0.25">
      <c r="B153" s="183">
        <f t="shared" si="24"/>
        <v>3</v>
      </c>
      <c r="C153" s="280" t="str">
        <f>IF(B153="","",IF(EDATE($C$150,B153)&gt;EXPEDIENTE!$F$27,"",EDATE($C$150,B153)))</f>
        <v/>
      </c>
    </row>
    <row r="154" spans="2:14" x14ac:dyDescent="0.25">
      <c r="B154" s="183">
        <f t="shared" si="24"/>
        <v>4</v>
      </c>
      <c r="C154" s="280" t="str">
        <f>IF(B154="","",IF(EDATE($C$150,B154)&gt;EXPEDIENTE!$F$27,"",EDATE($C$150,B154)))</f>
        <v/>
      </c>
    </row>
    <row r="155" spans="2:14" x14ac:dyDescent="0.25">
      <c r="B155" s="183">
        <f t="shared" si="24"/>
        <v>5</v>
      </c>
      <c r="C155" s="280" t="str">
        <f>IF(B155="","",IF(EDATE($C$150,B155)&gt;EXPEDIENTE!$F$27,"",EDATE($C$150,B155)))</f>
        <v/>
      </c>
    </row>
    <row r="156" spans="2:14" x14ac:dyDescent="0.25">
      <c r="B156" s="183">
        <f t="shared" si="24"/>
        <v>6</v>
      </c>
      <c r="C156" s="280" t="str">
        <f>IF(B156="","",IF(EDATE($C$150,B156)&gt;EXPEDIENTE!$F$27,"",EDATE($C$150,B156)))</f>
        <v/>
      </c>
    </row>
    <row r="157" spans="2:14" x14ac:dyDescent="0.25">
      <c r="B157" s="183">
        <f t="shared" si="24"/>
        <v>7</v>
      </c>
      <c r="C157" s="280" t="str">
        <f>IF(B157="","",IF(EDATE($C$150,B157)&gt;EXPEDIENTE!$F$27,"",EDATE($C$150,B157)))</f>
        <v/>
      </c>
    </row>
    <row r="158" spans="2:14" x14ac:dyDescent="0.25">
      <c r="B158" s="183">
        <f t="shared" si="24"/>
        <v>8</v>
      </c>
      <c r="C158" s="280" t="str">
        <f>IF(B158="","",IF(EDATE($C$150,B158)&gt;EXPEDIENTE!$F$27,"",EDATE($C$150,B158)))</f>
        <v/>
      </c>
    </row>
    <row r="159" spans="2:14" x14ac:dyDescent="0.25">
      <c r="B159" s="183">
        <f t="shared" si="24"/>
        <v>9</v>
      </c>
      <c r="C159" s="280" t="str">
        <f>IF(B159="","",IF(EDATE($C$150,B159)&gt;EXPEDIENTE!$F$27,"",EDATE($C$150,B159)))</f>
        <v/>
      </c>
    </row>
    <row r="160" spans="2:14" x14ac:dyDescent="0.25">
      <c r="B160" s="183">
        <f t="shared" si="24"/>
        <v>10</v>
      </c>
      <c r="C160" s="280" t="str">
        <f>IF(B160="","",IF(EDATE($C$150,B160)&gt;EXPEDIENTE!$F$27,"",EDATE($C$150,B160)))</f>
        <v/>
      </c>
    </row>
    <row r="161" spans="2:3" x14ac:dyDescent="0.25">
      <c r="B161" s="183">
        <f t="shared" si="24"/>
        <v>11</v>
      </c>
      <c r="C161" s="280" t="str">
        <f>IF(B161="","",IF(EDATE($C$150,B161)&gt;EXPEDIENTE!$F$27,"",EDATE($C$150,B161)))</f>
        <v/>
      </c>
    </row>
    <row r="162" spans="2:3" x14ac:dyDescent="0.25">
      <c r="B162" s="183">
        <f>IF(B161="","",IF(B161+1&lt;$D$149,B161+1,""))</f>
        <v>12</v>
      </c>
      <c r="C162" s="280" t="str">
        <f>IF(B162="","",IF(EDATE($C$150,B162)&gt;EXPEDIENTE!$F$27,"",EDATE($C$150,B162)))</f>
        <v/>
      </c>
    </row>
    <row r="163" spans="2:3" x14ac:dyDescent="0.25">
      <c r="B163" s="183">
        <f t="shared" ref="B163:B173" si="25">IF(B162="","",IF(B162+1&lt;$D$149,B162+1,""))</f>
        <v>13</v>
      </c>
      <c r="C163" s="280" t="str">
        <f>IF(B163="","",IF(EDATE($C$150,B163)&gt;EXPEDIENTE!$F$27,"",EDATE($C$150,B163)))</f>
        <v/>
      </c>
    </row>
    <row r="164" spans="2:3" x14ac:dyDescent="0.25">
      <c r="B164" s="183">
        <f t="shared" si="25"/>
        <v>14</v>
      </c>
      <c r="C164" s="280" t="str">
        <f>IF(B164="","",IF(EDATE($C$150,B164)&gt;EXPEDIENTE!$F$27,"",EDATE($C$150,B164)))</f>
        <v/>
      </c>
    </row>
    <row r="165" spans="2:3" x14ac:dyDescent="0.25">
      <c r="B165" s="183">
        <f t="shared" si="25"/>
        <v>15</v>
      </c>
      <c r="C165" s="280" t="str">
        <f>IF(B165="","",IF(EDATE($C$150,B165)&gt;EXPEDIENTE!$F$27,"",EDATE($C$150,B165)))</f>
        <v/>
      </c>
    </row>
    <row r="166" spans="2:3" x14ac:dyDescent="0.25">
      <c r="B166" s="183">
        <f t="shared" si="25"/>
        <v>16</v>
      </c>
      <c r="C166" s="280" t="str">
        <f>IF(B166="","",IF(EDATE($C$150,B166)&gt;EXPEDIENTE!$F$27,"",EDATE($C$150,B166)))</f>
        <v/>
      </c>
    </row>
    <row r="167" spans="2:3" x14ac:dyDescent="0.25">
      <c r="B167" s="183">
        <f t="shared" si="25"/>
        <v>17</v>
      </c>
      <c r="C167" s="280" t="str">
        <f>IF(B167="","",IF(EDATE($C$150,B167)&gt;EXPEDIENTE!$F$27,"",EDATE($C$150,B167)))</f>
        <v/>
      </c>
    </row>
    <row r="168" spans="2:3" x14ac:dyDescent="0.25">
      <c r="B168" s="183">
        <f t="shared" si="25"/>
        <v>18</v>
      </c>
      <c r="C168" s="280" t="str">
        <f>IF(B168="","",IF(EDATE($C$150,B168)&gt;EXPEDIENTE!$F$27,"",EDATE($C$150,B168)))</f>
        <v/>
      </c>
    </row>
    <row r="169" spans="2:3" x14ac:dyDescent="0.25">
      <c r="B169" s="183">
        <f t="shared" si="25"/>
        <v>19</v>
      </c>
      <c r="C169" s="280" t="str">
        <f>IF(B169="","",IF(EDATE($C$150,B169)&gt;EXPEDIENTE!$F$27,"",EDATE($C$150,B169)))</f>
        <v/>
      </c>
    </row>
    <row r="170" spans="2:3" x14ac:dyDescent="0.25">
      <c r="B170" s="183">
        <f t="shared" si="25"/>
        <v>20</v>
      </c>
      <c r="C170" s="280" t="str">
        <f>IF(B170="","",IF(EDATE($C$150,B170)&gt;EXPEDIENTE!$F$27,"",EDATE($C$150,B170)))</f>
        <v/>
      </c>
    </row>
    <row r="171" spans="2:3" x14ac:dyDescent="0.25">
      <c r="B171" s="183">
        <f t="shared" si="25"/>
        <v>21</v>
      </c>
      <c r="C171" s="280" t="str">
        <f>IF(B171="","",IF(EDATE($C$150,B171)&gt;EXPEDIENTE!$F$27,"",EDATE($C$150,B171)))</f>
        <v/>
      </c>
    </row>
    <row r="172" spans="2:3" x14ac:dyDescent="0.25">
      <c r="B172" s="183">
        <f t="shared" si="25"/>
        <v>22</v>
      </c>
      <c r="C172" s="280" t="str">
        <f>IF(B172="","",IF(EDATE($C$150,B172)&gt;EXPEDIENTE!$F$27,"",EDATE($C$150,B172)))</f>
        <v/>
      </c>
    </row>
    <row r="173" spans="2:3" x14ac:dyDescent="0.25">
      <c r="B173" s="183">
        <f t="shared" si="25"/>
        <v>23</v>
      </c>
      <c r="C173" s="280" t="str">
        <f>IF(B173="","",IF(EDATE($C$150,B173)&gt;EXPEDIENTE!$F$27,"",EDATE($C$150,B173)))</f>
        <v/>
      </c>
    </row>
    <row r="174" spans="2:3" x14ac:dyDescent="0.25">
      <c r="C174" s="280" t="str">
        <f>IF(B174="","",IF(EDATE($C$150,B174)&gt;EXPEDIENTE!$F$27,"",EDATE($C$150,B174)))</f>
        <v/>
      </c>
    </row>
  </sheetData>
  <sheetProtection algorithmName="SHA-512" hashValue="DzUu8+LAGgZrVnbBwbMiHsLwGUEPnBjDK/heR7o5t0XPIRBUN0ZwefQ2is7ak8BTq9br1M9LwluNAL4hZOOkmg==" saltValue="TPC79hlWXosnNvIuPtiFLg==" spinCount="100000" sheet="1" objects="1" scenarios="1" selectLockedCells="1" selectUnlockedCells="1"/>
  <mergeCells count="2">
    <mergeCell ref="D3:J3"/>
    <mergeCell ref="C12:E12"/>
  </mergeCells>
  <phoneticPr fontId="10" type="noConversion"/>
  <conditionalFormatting sqref="A1:XFD174">
    <cfRule type="expression" dxfId="1" priority="1">
      <formula>$B$1=0</formula>
    </cfRule>
  </conditionalFormatting>
  <conditionalFormatting sqref="C1">
    <cfRule type="expression" dxfId="0" priority="56">
      <formula>#REF!&lt;&gt;1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16C-FC44-4540-A92E-66E8DF240CD9}">
  <dimension ref="A1:I32"/>
  <sheetViews>
    <sheetView showGridLines="0" zoomScaleNormal="100" workbookViewId="0">
      <selection activeCell="F27" sqref="F27"/>
    </sheetView>
  </sheetViews>
  <sheetFormatPr baseColWidth="10" defaultColWidth="11.42578125" defaultRowHeight="15" customHeight="1" x14ac:dyDescent="0.25"/>
  <cols>
    <col min="1" max="1" width="5.5703125" style="12" customWidth="1"/>
    <col min="2" max="2" width="17" style="12" customWidth="1"/>
    <col min="3" max="3" width="15.42578125" style="12" bestFit="1" customWidth="1"/>
    <col min="4" max="4" width="6.5703125" style="12" customWidth="1"/>
    <col min="5" max="8" width="10.5703125" style="12" customWidth="1"/>
    <col min="9" max="9" width="35.5703125" style="12" customWidth="1"/>
    <col min="10" max="16384" width="11.42578125" style="12"/>
  </cols>
  <sheetData>
    <row r="1" spans="1:9" ht="13.15" x14ac:dyDescent="0.25">
      <c r="A1" s="11"/>
    </row>
    <row r="9" spans="1:9" ht="15" customHeight="1" x14ac:dyDescent="0.25">
      <c r="B9" s="292" t="s">
        <v>10</v>
      </c>
      <c r="C9" s="293"/>
      <c r="D9" s="294"/>
      <c r="E9" s="294"/>
      <c r="F9" s="294"/>
      <c r="G9" s="294"/>
      <c r="H9" s="294"/>
      <c r="I9" s="295"/>
    </row>
    <row r="10" spans="1:9" ht="15" customHeight="1" x14ac:dyDescent="0.25">
      <c r="B10" s="292"/>
      <c r="C10" s="296"/>
      <c r="D10" s="297"/>
      <c r="E10" s="297"/>
      <c r="F10" s="297"/>
      <c r="G10" s="297"/>
      <c r="H10" s="297"/>
      <c r="I10" s="298"/>
    </row>
    <row r="11" spans="1:9" ht="15" customHeight="1" x14ac:dyDescent="0.25">
      <c r="B11" s="13"/>
    </row>
    <row r="12" spans="1:9" ht="15" customHeight="1" x14ac:dyDescent="0.25">
      <c r="B12" s="299" t="s">
        <v>11</v>
      </c>
      <c r="C12" s="300" t="str">
        <f>AUXILIAR!D3</f>
        <v>PROGRAMA DE AYUDA DIRIGIDO A FOMENTAR LA INNOVACIÓN Y EL EMPRENDIMIENTO</v>
      </c>
      <c r="D12" s="301"/>
      <c r="E12" s="301"/>
      <c r="F12" s="301"/>
      <c r="G12" s="301"/>
      <c r="H12" s="301"/>
      <c r="I12" s="302"/>
    </row>
    <row r="13" spans="1:9" ht="15" customHeight="1" x14ac:dyDescent="0.25">
      <c r="B13" s="299"/>
      <c r="C13" s="303"/>
      <c r="D13" s="304"/>
      <c r="E13" s="304"/>
      <c r="F13" s="304"/>
      <c r="G13" s="304"/>
      <c r="H13" s="304"/>
      <c r="I13" s="305"/>
    </row>
    <row r="14" spans="1:9" ht="15" customHeight="1" x14ac:dyDescent="0.25">
      <c r="B14" s="299"/>
      <c r="C14" s="306"/>
      <c r="D14" s="307"/>
      <c r="E14" s="307"/>
      <c r="F14" s="307"/>
      <c r="G14" s="307"/>
      <c r="H14" s="307"/>
      <c r="I14" s="308"/>
    </row>
    <row r="15" spans="1:9" ht="15" customHeight="1" x14ac:dyDescent="0.25">
      <c r="B15" s="13"/>
    </row>
    <row r="16" spans="1:9" ht="15" customHeight="1" x14ac:dyDescent="0.25">
      <c r="B16" s="13" t="s">
        <v>12</v>
      </c>
      <c r="C16" s="14">
        <f>AUXILIAR!D5</f>
        <v>2023</v>
      </c>
      <c r="D16" s="15"/>
      <c r="G16" s="13"/>
      <c r="H16" s="16" t="s">
        <v>13</v>
      </c>
      <c r="I16" s="14" t="str">
        <f>AUXILIAR!G5</f>
        <v>nº 82, de 11 de abril de 2023</v>
      </c>
    </row>
    <row r="17" spans="2:9" ht="15" customHeight="1" x14ac:dyDescent="0.25">
      <c r="B17" s="13"/>
      <c r="H17" s="17"/>
    </row>
    <row r="18" spans="2:9" ht="15" customHeight="1" x14ac:dyDescent="0.25">
      <c r="B18" s="13" t="s">
        <v>14</v>
      </c>
      <c r="C18" s="18">
        <f>AUXILIAR!D7</f>
        <v>11</v>
      </c>
      <c r="D18" s="19"/>
      <c r="G18" s="19"/>
      <c r="H18" s="16" t="s">
        <v>15</v>
      </c>
      <c r="I18" s="18" t="str">
        <f>AUXILIAR!G7</f>
        <v>nº 100, de 3 de mayo de 2023</v>
      </c>
    </row>
    <row r="19" spans="2:9" ht="15" customHeight="1" x14ac:dyDescent="0.25">
      <c r="B19" s="13"/>
    </row>
    <row r="20" spans="2:9" ht="15" customHeight="1" x14ac:dyDescent="0.25">
      <c r="B20" s="13" t="s">
        <v>16</v>
      </c>
      <c r="C20" s="14" t="str">
        <f>AUXILIAR!D9</f>
        <v>ACEE</v>
      </c>
      <c r="D20" s="15"/>
      <c r="E20" s="15"/>
      <c r="F20" s="15"/>
      <c r="G20" s="15"/>
    </row>
    <row r="21" spans="2:9" ht="15" customHeight="1" x14ac:dyDescent="0.25">
      <c r="B21" s="13"/>
    </row>
    <row r="22" spans="2:9" ht="15" customHeight="1" x14ac:dyDescent="0.25">
      <c r="B22" s="13" t="s">
        <v>17</v>
      </c>
      <c r="C22" s="20" t="str">
        <f>CONCATENATE(C16,".",TEXT(C18,"00"),".",C20,".")</f>
        <v>2023.11.ACEE.</v>
      </c>
      <c r="D22" s="21"/>
      <c r="H22" s="47"/>
    </row>
    <row r="23" spans="2:9" ht="15" customHeight="1" x14ac:dyDescent="0.25">
      <c r="B23" s="13"/>
      <c r="C23" s="13"/>
      <c r="D23" s="13"/>
      <c r="E23" s="13"/>
      <c r="F23" s="13"/>
      <c r="H23" s="22"/>
    </row>
    <row r="24" spans="2:9" ht="15" customHeight="1" x14ac:dyDescent="0.25">
      <c r="F24" s="23" t="s">
        <v>18</v>
      </c>
      <c r="H24" s="24" t="s">
        <v>19</v>
      </c>
    </row>
    <row r="25" spans="2:9" ht="15" customHeight="1" x14ac:dyDescent="0.25">
      <c r="B25" s="25" t="s">
        <v>275</v>
      </c>
      <c r="C25" s="26"/>
      <c r="D25" s="26"/>
      <c r="F25" s="251">
        <v>44927</v>
      </c>
      <c r="H25" s="41">
        <f>IF(F25="","",F25)</f>
        <v>44927</v>
      </c>
    </row>
    <row r="26" spans="2:9" ht="15" customHeight="1" x14ac:dyDescent="0.25">
      <c r="B26" s="26"/>
      <c r="C26" s="26"/>
      <c r="D26" s="26"/>
      <c r="F26" s="24"/>
      <c r="H26" s="24"/>
    </row>
    <row r="27" spans="2:9" ht="15" customHeight="1" x14ac:dyDescent="0.25">
      <c r="B27" s="25" t="s">
        <v>277</v>
      </c>
      <c r="C27" s="26"/>
      <c r="D27" s="26"/>
      <c r="F27" s="40"/>
      <c r="H27" s="41" t="str">
        <f>IF(F27="","",F27)</f>
        <v/>
      </c>
    </row>
    <row r="28" spans="2:9" ht="15" customHeight="1" x14ac:dyDescent="0.25">
      <c r="B28" s="26"/>
      <c r="C28" s="26"/>
      <c r="D28" s="26"/>
      <c r="F28" s="24"/>
      <c r="H28" s="24"/>
    </row>
    <row r="29" spans="2:9" ht="15" customHeight="1" x14ac:dyDescent="0.25">
      <c r="B29" s="25" t="s">
        <v>20</v>
      </c>
      <c r="C29" s="26"/>
      <c r="D29" s="26"/>
      <c r="F29" s="42">
        <f>AUXILIAR!E22</f>
        <v>31</v>
      </c>
      <c r="H29" s="41">
        <f>IF(F29="","",F29)</f>
        <v>31</v>
      </c>
    </row>
    <row r="31" spans="2:9" ht="15" customHeight="1" x14ac:dyDescent="0.25">
      <c r="B31" s="291" t="s">
        <v>276</v>
      </c>
      <c r="C31" s="291"/>
      <c r="D31" s="291"/>
      <c r="E31" s="291"/>
      <c r="F31" s="291"/>
      <c r="G31" s="291"/>
      <c r="H31" s="291"/>
      <c r="I31" s="291"/>
    </row>
    <row r="32" spans="2:9" ht="15" customHeight="1" x14ac:dyDescent="0.25">
      <c r="B32" s="291"/>
      <c r="C32" s="291"/>
      <c r="D32" s="291"/>
      <c r="E32" s="291"/>
      <c r="F32" s="291"/>
      <c r="G32" s="291"/>
      <c r="H32" s="291"/>
      <c r="I32" s="291"/>
    </row>
  </sheetData>
  <sheetProtection algorithmName="SHA-512" hashValue="a2iJnMRxpDdXo0vW+M4suSIVEyYbmFPnktxIa0AX4RQaRk+BtdcKx8YMjl/YNYHgDsO0QEa1mHzl20x7hNa4Sg==" saltValue="J/j794KfbPrUaC0IaoTdxg==" spinCount="100000" sheet="1" objects="1" scenarios="1" selectLockedCells="1"/>
  <mergeCells count="5">
    <mergeCell ref="B31:I32"/>
    <mergeCell ref="B9:B10"/>
    <mergeCell ref="C9:I10"/>
    <mergeCell ref="B12:B14"/>
    <mergeCell ref="C12:I14"/>
  </mergeCells>
  <conditionalFormatting sqref="H17">
    <cfRule type="expression" dxfId="97" priority="1">
      <formula>$B$1&lt;&gt;1</formula>
    </cfRule>
  </conditionalFormatting>
  <conditionalFormatting sqref="H24:H29 G22:G23">
    <cfRule type="expression" dxfId="96" priority="3" stopIfTrue="1">
      <formula>$A$1&lt;&gt;1</formula>
    </cfRule>
  </conditionalFormatting>
  <conditionalFormatting sqref="H25 H27 H29">
    <cfRule type="expression" dxfId="95" priority="2">
      <formula>$H25&lt;&gt;$F25</formula>
    </cfRule>
  </conditionalFormatting>
  <printOptions horizontalCentered="1"/>
  <pageMargins left="0.59055118110236227" right="0.59055118110236227" top="0.78740157480314965" bottom="0.39370078740157483" header="0.19685039370078741" footer="0.19685039370078741"/>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C0F8-E231-4136-A650-435AF994CF14}">
  <dimension ref="B2:G35"/>
  <sheetViews>
    <sheetView showGridLines="0" zoomScaleNormal="100" workbookViewId="0">
      <selection activeCell="D11" sqref="D11:G11"/>
    </sheetView>
  </sheetViews>
  <sheetFormatPr baseColWidth="10" defaultRowHeight="13.5" x14ac:dyDescent="0.25"/>
  <cols>
    <col min="1" max="1" width="5.5703125" customWidth="1"/>
    <col min="2" max="2" width="12.5703125" customWidth="1"/>
    <col min="4" max="7" width="14.28515625" customWidth="1"/>
    <col min="8" max="8" width="5.7109375" customWidth="1"/>
  </cols>
  <sheetData>
    <row r="2" spans="2:7" ht="15" x14ac:dyDescent="0.25">
      <c r="B2" s="191"/>
    </row>
    <row r="3" spans="2:7" ht="15" x14ac:dyDescent="0.25">
      <c r="B3" s="179"/>
      <c r="G3" s="204" t="str">
        <f>CONCATENATE("Nº DE EXPEDIENTE: ",EXPEDIENTE!C16,".",TEXT(EXPEDIENTE!C18,"00"),".",EXPEDIENTE!C20,".",TEXT(EXPEDIENTE!D22,"0000"))</f>
        <v>Nº DE EXPEDIENTE: 2023.11.ACEE.0000</v>
      </c>
    </row>
    <row r="9" spans="2:7" ht="13.9" customHeight="1" thickBot="1" x14ac:dyDescent="0.3"/>
    <row r="10" spans="2:7" ht="20.100000000000001" customHeight="1" thickBot="1" x14ac:dyDescent="0.3">
      <c r="B10" s="309" t="s">
        <v>76</v>
      </c>
      <c r="C10" s="310"/>
      <c r="D10" s="310"/>
      <c r="E10" s="310"/>
      <c r="F10" s="310"/>
      <c r="G10" s="311"/>
    </row>
    <row r="11" spans="2:7" ht="20.100000000000001" customHeight="1" x14ac:dyDescent="0.25">
      <c r="B11" s="312" t="s">
        <v>31</v>
      </c>
      <c r="C11" s="312"/>
      <c r="D11" s="314"/>
      <c r="E11" s="314"/>
      <c r="F11" s="314"/>
      <c r="G11" s="314"/>
    </row>
    <row r="12" spans="2:7" ht="20.100000000000001" customHeight="1" x14ac:dyDescent="0.25">
      <c r="B12" s="313" t="s">
        <v>32</v>
      </c>
      <c r="C12" s="313"/>
      <c r="D12" s="315"/>
      <c r="E12" s="316"/>
      <c r="F12" s="316"/>
      <c r="G12" s="316"/>
    </row>
    <row r="13" spans="2:7" ht="20.100000000000001" customHeight="1" x14ac:dyDescent="0.25">
      <c r="B13" s="313" t="s">
        <v>33</v>
      </c>
      <c r="C13" s="313"/>
      <c r="D13" s="315"/>
      <c r="E13" s="316"/>
      <c r="F13" s="316"/>
      <c r="G13" s="316"/>
    </row>
    <row r="14" spans="2:7" ht="20.100000000000001" customHeight="1" x14ac:dyDescent="0.25">
      <c r="B14" s="313" t="s">
        <v>34</v>
      </c>
      <c r="C14" s="313"/>
      <c r="D14" s="317" t="str">
        <f>SUBSTITUTE( SUBSTITUTE( SUBSTITUTE( SUBSTITUTE( SUBSTITUTE(F14, "Á", "A"), "É", "E"), "Í", "I"), "Ó", "O"), "Ú", "U")</f>
        <v/>
      </c>
      <c r="E14" s="317"/>
      <c r="F14" s="277" t="str">
        <f>UPPER(CONCATENATE(LEFT(D12,2),LEFT(D13,2),LEFT(D11,1)))</f>
        <v/>
      </c>
      <c r="G14" s="36"/>
    </row>
    <row r="15" spans="2:7" ht="15" customHeight="1" thickBot="1" x14ac:dyDescent="0.3"/>
    <row r="16" spans="2:7" ht="20.100000000000001" customHeight="1" thickBot="1" x14ac:dyDescent="0.3">
      <c r="B16" s="309" t="s">
        <v>318</v>
      </c>
      <c r="C16" s="310"/>
      <c r="D16" s="310"/>
      <c r="E16" s="310"/>
      <c r="F16" s="310"/>
      <c r="G16" s="311"/>
    </row>
    <row r="17" spans="2:7" ht="35.1" customHeight="1" x14ac:dyDescent="0.25">
      <c r="B17" s="274" t="s">
        <v>89</v>
      </c>
      <c r="C17" s="278" t="s">
        <v>315</v>
      </c>
      <c r="D17" s="318" t="s">
        <v>313</v>
      </c>
      <c r="E17" s="319"/>
      <c r="F17" s="318" t="s">
        <v>314</v>
      </c>
      <c r="G17" s="319"/>
    </row>
    <row r="18" spans="2:7" ht="35.1" customHeight="1" x14ac:dyDescent="0.25">
      <c r="B18" s="284"/>
      <c r="C18" s="285"/>
      <c r="D18" s="320"/>
      <c r="E18" s="320"/>
      <c r="F18" s="320"/>
      <c r="G18" s="320"/>
    </row>
    <row r="19" spans="2:7" ht="35.1" customHeight="1" x14ac:dyDescent="0.25">
      <c r="B19" s="286"/>
      <c r="C19" s="287"/>
      <c r="D19" s="321"/>
      <c r="E19" s="321"/>
      <c r="F19" s="321"/>
      <c r="G19" s="321"/>
    </row>
    <row r="20" spans="2:7" ht="35.1" customHeight="1" x14ac:dyDescent="0.25">
      <c r="B20" s="286"/>
      <c r="C20" s="287"/>
      <c r="D20" s="322"/>
      <c r="E20" s="322"/>
      <c r="F20" s="322"/>
      <c r="G20" s="322"/>
    </row>
    <row r="21" spans="2:7" ht="35.1" customHeight="1" x14ac:dyDescent="0.25">
      <c r="B21" s="286"/>
      <c r="C21" s="287"/>
      <c r="D21" s="322"/>
      <c r="E21" s="322"/>
      <c r="F21" s="322"/>
      <c r="G21" s="322"/>
    </row>
    <row r="22" spans="2:7" ht="35.1" customHeight="1" x14ac:dyDescent="0.25">
      <c r="B22" s="286"/>
      <c r="C22" s="287"/>
      <c r="D22" s="322"/>
      <c r="E22" s="322"/>
      <c r="F22" s="322"/>
      <c r="G22" s="322"/>
    </row>
    <row r="23" spans="2:7" ht="35.1" customHeight="1" x14ac:dyDescent="0.25">
      <c r="B23" s="286" t="s">
        <v>317</v>
      </c>
      <c r="C23" s="287"/>
      <c r="D23" s="322"/>
      <c r="E23" s="322"/>
      <c r="F23" s="322"/>
      <c r="G23" s="322"/>
    </row>
    <row r="24" spans="2:7" ht="35.1" customHeight="1" x14ac:dyDescent="0.25">
      <c r="B24" s="286"/>
      <c r="C24" s="287"/>
      <c r="D24" s="322"/>
      <c r="E24" s="322"/>
      <c r="F24" s="322"/>
      <c r="G24" s="322"/>
    </row>
    <row r="25" spans="2:7" ht="35.1" customHeight="1" x14ac:dyDescent="0.25">
      <c r="B25" s="286"/>
      <c r="C25" s="287"/>
      <c r="D25" s="322"/>
      <c r="E25" s="322"/>
      <c r="F25" s="322"/>
      <c r="G25" s="322"/>
    </row>
    <row r="26" spans="2:7" ht="35.1" customHeight="1" x14ac:dyDescent="0.25">
      <c r="B26" s="286"/>
      <c r="C26" s="287"/>
      <c r="D26" s="322"/>
      <c r="E26" s="322"/>
      <c r="F26" s="322"/>
      <c r="G26" s="322"/>
    </row>
    <row r="27" spans="2:7" ht="35.1" customHeight="1" x14ac:dyDescent="0.25">
      <c r="B27" s="286"/>
      <c r="C27" s="287"/>
      <c r="D27" s="322"/>
      <c r="E27" s="322"/>
      <c r="F27" s="322"/>
      <c r="G27" s="322"/>
    </row>
    <row r="28" spans="2:7" ht="35.1" customHeight="1" x14ac:dyDescent="0.25">
      <c r="B28" s="286"/>
      <c r="C28" s="287"/>
      <c r="D28" s="322"/>
      <c r="E28" s="322"/>
      <c r="F28" s="322"/>
      <c r="G28" s="322"/>
    </row>
    <row r="29" spans="2:7" ht="35.1" customHeight="1" x14ac:dyDescent="0.25">
      <c r="B29" s="286"/>
      <c r="C29" s="287"/>
      <c r="D29" s="322"/>
      <c r="E29" s="322"/>
      <c r="F29" s="322"/>
      <c r="G29" s="322"/>
    </row>
    <row r="30" spans="2:7" ht="35.1" customHeight="1" x14ac:dyDescent="0.25">
      <c r="B30" s="286"/>
      <c r="C30" s="288"/>
      <c r="D30" s="322"/>
      <c r="E30" s="322"/>
      <c r="F30" s="322"/>
      <c r="G30" s="322"/>
    </row>
    <row r="31" spans="2:7" ht="35.1" customHeight="1" x14ac:dyDescent="0.25">
      <c r="B31" s="286"/>
      <c r="C31" s="288"/>
      <c r="D31" s="322"/>
      <c r="E31" s="322"/>
      <c r="F31" s="322"/>
      <c r="G31" s="322"/>
    </row>
    <row r="32" spans="2:7" ht="35.1" customHeight="1" x14ac:dyDescent="0.25">
      <c r="B32" s="286"/>
      <c r="C32" s="288"/>
      <c r="D32" s="322"/>
      <c r="E32" s="322"/>
      <c r="F32" s="322"/>
      <c r="G32" s="322"/>
    </row>
    <row r="33" spans="2:7" ht="35.1" customHeight="1" x14ac:dyDescent="0.25">
      <c r="B33" s="286"/>
      <c r="C33" s="288"/>
      <c r="D33" s="322"/>
      <c r="E33" s="322"/>
      <c r="F33" s="322"/>
      <c r="G33" s="322"/>
    </row>
    <row r="34" spans="2:7" ht="35.1" customHeight="1" x14ac:dyDescent="0.25">
      <c r="B34" s="286"/>
      <c r="C34" s="288"/>
      <c r="D34" s="322"/>
      <c r="E34" s="322"/>
      <c r="F34" s="322"/>
      <c r="G34" s="322"/>
    </row>
    <row r="35" spans="2:7" ht="35.1" customHeight="1" x14ac:dyDescent="0.25">
      <c r="B35" s="286"/>
      <c r="C35" s="288"/>
      <c r="D35" s="322"/>
      <c r="E35" s="322"/>
      <c r="F35" s="322"/>
      <c r="G35" s="322"/>
    </row>
  </sheetData>
  <sheetProtection algorithmName="SHA-512" hashValue="ifWhJvyI8BLYOHjKbeXroQfSUlXwMEkLXj2AwcfeHTtJo2Cxf12Sj1RVWRurumgca+DTP6v6AwEEvOwfLzjmYQ==" saltValue="xoudb+xOV4c/LnYQbE6rmg==" spinCount="100000" sheet="1" selectLockedCells="1"/>
  <mergeCells count="48">
    <mergeCell ref="D34:E34"/>
    <mergeCell ref="F34:G34"/>
    <mergeCell ref="D35:E35"/>
    <mergeCell ref="F35:G35"/>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19:E19"/>
    <mergeCell ref="F19:G19"/>
    <mergeCell ref="D20:E20"/>
    <mergeCell ref="F20:G20"/>
    <mergeCell ref="D21:E21"/>
    <mergeCell ref="F21:G21"/>
    <mergeCell ref="B16:G16"/>
    <mergeCell ref="D17:E17"/>
    <mergeCell ref="F17:G17"/>
    <mergeCell ref="D18:E18"/>
    <mergeCell ref="F18:G18"/>
    <mergeCell ref="B10:G10"/>
    <mergeCell ref="B11:C11"/>
    <mergeCell ref="B12:C12"/>
    <mergeCell ref="B13:C13"/>
    <mergeCell ref="B14:C14"/>
    <mergeCell ref="D11:G11"/>
    <mergeCell ref="D12:G12"/>
    <mergeCell ref="D13:G13"/>
    <mergeCell ref="D14:E14"/>
  </mergeCells>
  <phoneticPr fontId="10" type="noConversion"/>
  <conditionalFormatting sqref="B19:C35">
    <cfRule type="expression" dxfId="94" priority="1">
      <formula>$B18&lt;&gt;""</formula>
    </cfRule>
  </conditionalFormatting>
  <conditionalFormatting sqref="D18:G35">
    <cfRule type="expression" dxfId="93" priority="2">
      <formula>$C18&gt;0</formula>
    </cfRule>
  </conditionalFormatting>
  <pageMargins left="0.59055118110236227" right="0.59055118110236227" top="0.59055118110236227" bottom="0.39370078740157483" header="0.19685039370078741" footer="0.19685039370078741"/>
  <pageSetup paperSize="9" scale="99"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D6A44FC-DBC4-42FF-A53D-A9E22F3299AD}">
          <x14:formula1>
            <xm:f>AUXILIAR!$C$150:$C$179</xm:f>
          </x14:formula1>
          <xm:sqref>B18:B35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0BE5-32C5-4A02-83C4-16E4472F5BB1}">
  <dimension ref="B2:P31"/>
  <sheetViews>
    <sheetView showGridLines="0" zoomScaleNormal="100" workbookViewId="0">
      <selection activeCell="G17" sqref="G17"/>
    </sheetView>
  </sheetViews>
  <sheetFormatPr baseColWidth="10" defaultColWidth="11.42578125" defaultRowHeight="15" customHeight="1" x14ac:dyDescent="0.25"/>
  <cols>
    <col min="1" max="1" width="5.5703125" style="12" customWidth="1"/>
    <col min="2" max="2" width="13.5703125" style="12" customWidth="1"/>
    <col min="3" max="3" width="66.5703125" style="12" customWidth="1"/>
    <col min="4" max="5" width="5.5703125" style="12" customWidth="1"/>
    <col min="6" max="6" width="13.5703125" style="12" customWidth="1"/>
    <col min="7" max="7" width="66.5703125" style="12" customWidth="1"/>
    <col min="8" max="9" width="5.5703125" style="12" customWidth="1"/>
    <col min="10" max="10" width="13.5703125" style="12" customWidth="1"/>
    <col min="11" max="11" width="66.5703125" style="12" customWidth="1"/>
    <col min="12" max="13" width="5.5703125" style="12" customWidth="1"/>
    <col min="14" max="14" width="13.5703125" style="12" customWidth="1"/>
    <col min="15" max="15" width="66.5703125" style="12" customWidth="1"/>
    <col min="16" max="16" width="5.5703125" style="12" customWidth="1"/>
    <col min="17" max="16384" width="11.42578125" style="12"/>
  </cols>
  <sheetData>
    <row r="2" spans="2:16" ht="13.15" x14ac:dyDescent="0.25"/>
    <row r="4" spans="2:16" ht="20.100000000000001" customHeight="1" x14ac:dyDescent="0.25">
      <c r="C4" s="205" t="str">
        <f>'IDENTIFICACIÓN TRABAJADOR'!G3</f>
        <v>Nº DE EXPEDIENTE: 2023.11.ACEE.0000</v>
      </c>
      <c r="D4" s="52"/>
      <c r="G4" s="205" t="str">
        <f>C4</f>
        <v>Nº DE EXPEDIENTE: 2023.11.ACEE.0000</v>
      </c>
      <c r="H4" s="52"/>
      <c r="K4" s="205" t="str">
        <f>C4</f>
        <v>Nº DE EXPEDIENTE: 2023.11.ACEE.0000</v>
      </c>
      <c r="L4" s="52"/>
      <c r="O4" s="205" t="str">
        <f>C4</f>
        <v>Nº DE EXPEDIENTE: 2023.11.ACEE.0000</v>
      </c>
      <c r="P4" s="52"/>
    </row>
    <row r="5" spans="2:16" ht="20.100000000000001" customHeight="1" x14ac:dyDescent="0.25"/>
    <row r="6" spans="2:16" ht="20.100000000000001" customHeight="1" x14ac:dyDescent="0.25">
      <c r="C6" s="16" t="str">
        <f>CONCATENATE("TRABAJADOR: ",UPPER('IDENTIFICACIÓN TRABAJADOR'!D11)," ",UPPER('IDENTIFICACIÓN TRABAJADOR'!D12)," ",UPPER('IDENTIFICACIÓN TRABAJADOR'!D13))</f>
        <v xml:space="preserve">TRABAJADOR:   </v>
      </c>
      <c r="G6" s="16" t="str">
        <f>C6</f>
        <v xml:space="preserve">TRABAJADOR:   </v>
      </c>
      <c r="K6" s="16" t="str">
        <f>G6</f>
        <v xml:space="preserve">TRABAJADOR:   </v>
      </c>
      <c r="O6" s="16" t="str">
        <f>K6</f>
        <v xml:space="preserve">TRABAJADOR:   </v>
      </c>
    </row>
    <row r="7" spans="2:16" ht="20.100000000000001" customHeight="1" x14ac:dyDescent="0.25">
      <c r="C7" s="16" t="str">
        <f>CONCATENATE("ACRÓNIMO: ",'IDENTIFICACIÓN TRABAJADOR'!D14)</f>
        <v xml:space="preserve">ACRÓNIMO: </v>
      </c>
      <c r="G7" s="16" t="str">
        <f>C7</f>
        <v xml:space="preserve">ACRÓNIMO: </v>
      </c>
      <c r="K7" s="16" t="str">
        <f>G7</f>
        <v xml:space="preserve">ACRÓNIMO: </v>
      </c>
      <c r="O7" s="16" t="str">
        <f>K7</f>
        <v xml:space="preserve">ACRÓNIMO: </v>
      </c>
    </row>
    <row r="8" spans="2:16" ht="15" customHeight="1" thickBot="1" x14ac:dyDescent="0.3"/>
    <row r="9" spans="2:16" s="182" customFormat="1" ht="15" customHeight="1" x14ac:dyDescent="0.25">
      <c r="B9" s="323" t="s">
        <v>157</v>
      </c>
      <c r="C9" s="326" t="s">
        <v>158</v>
      </c>
      <c r="F9" s="323" t="s">
        <v>159</v>
      </c>
      <c r="G9" s="326" t="s">
        <v>162</v>
      </c>
      <c r="J9" s="323" t="s">
        <v>160</v>
      </c>
      <c r="K9" s="326" t="s">
        <v>158</v>
      </c>
      <c r="N9" s="323" t="s">
        <v>161</v>
      </c>
      <c r="O9" s="326" t="s">
        <v>163</v>
      </c>
    </row>
    <row r="10" spans="2:16" s="182" customFormat="1" ht="15" customHeight="1" x14ac:dyDescent="0.25">
      <c r="B10" s="324"/>
      <c r="C10" s="327"/>
      <c r="F10" s="324"/>
      <c r="G10" s="327"/>
      <c r="J10" s="324"/>
      <c r="K10" s="327"/>
      <c r="N10" s="324"/>
      <c r="O10" s="327"/>
    </row>
    <row r="11" spans="2:16" s="182" customFormat="1" ht="15" customHeight="1" x14ac:dyDescent="0.25">
      <c r="B11" s="324"/>
      <c r="C11" s="327"/>
      <c r="F11" s="324"/>
      <c r="G11" s="327"/>
      <c r="J11" s="324"/>
      <c r="K11" s="327"/>
      <c r="N11" s="324"/>
      <c r="O11" s="327"/>
    </row>
    <row r="12" spans="2:16" s="182" customFormat="1" ht="15" customHeight="1" x14ac:dyDescent="0.25">
      <c r="B12" s="324"/>
      <c r="C12" s="327"/>
      <c r="F12" s="324"/>
      <c r="G12" s="327"/>
      <c r="J12" s="324"/>
      <c r="K12" s="327"/>
      <c r="N12" s="324"/>
      <c r="O12" s="327"/>
    </row>
    <row r="13" spans="2:16" s="182" customFormat="1" ht="15" customHeight="1" x14ac:dyDescent="0.25">
      <c r="B13" s="324"/>
      <c r="C13" s="327"/>
      <c r="F13" s="324"/>
      <c r="G13" s="327"/>
      <c r="J13" s="324"/>
      <c r="K13" s="327"/>
      <c r="N13" s="324"/>
      <c r="O13" s="327"/>
    </row>
    <row r="14" spans="2:16" s="182" customFormat="1" ht="15" customHeight="1" x14ac:dyDescent="0.25">
      <c r="B14" s="324"/>
      <c r="C14" s="327"/>
      <c r="F14" s="324"/>
      <c r="G14" s="327"/>
      <c r="J14" s="324"/>
      <c r="K14" s="327"/>
      <c r="N14" s="324"/>
      <c r="O14" s="327"/>
    </row>
    <row r="15" spans="2:16" s="182" customFormat="1" ht="15" customHeight="1" thickBot="1" x14ac:dyDescent="0.3">
      <c r="B15" s="325"/>
      <c r="C15" s="328"/>
      <c r="F15" s="325"/>
      <c r="G15" s="328"/>
      <c r="J15" s="325"/>
      <c r="K15" s="328"/>
      <c r="N15" s="325"/>
      <c r="O15" s="328"/>
    </row>
    <row r="17" spans="2:15" ht="35.1" customHeight="1" x14ac:dyDescent="0.25">
      <c r="B17" s="269" t="s">
        <v>164</v>
      </c>
      <c r="C17" s="270"/>
      <c r="F17" s="269" t="s">
        <v>165</v>
      </c>
      <c r="G17" s="270"/>
      <c r="J17" s="269" t="s">
        <v>166</v>
      </c>
      <c r="K17" s="270"/>
      <c r="N17" s="269" t="s">
        <v>167</v>
      </c>
      <c r="O17" s="270"/>
    </row>
    <row r="18" spans="2:15" ht="35.1" customHeight="1" x14ac:dyDescent="0.25">
      <c r="B18" s="269" t="s">
        <v>168</v>
      </c>
      <c r="C18" s="271"/>
      <c r="F18" s="269" t="s">
        <v>169</v>
      </c>
      <c r="G18" s="271"/>
      <c r="J18" s="269" t="s">
        <v>170</v>
      </c>
      <c r="K18" s="271"/>
      <c r="N18" s="269" t="s">
        <v>171</v>
      </c>
      <c r="O18" s="271"/>
    </row>
    <row r="19" spans="2:15" ht="35.1" customHeight="1" x14ac:dyDescent="0.25">
      <c r="B19" s="269" t="s">
        <v>172</v>
      </c>
      <c r="C19" s="271"/>
      <c r="F19" s="269" t="s">
        <v>173</v>
      </c>
      <c r="G19" s="271"/>
      <c r="J19" s="269" t="s">
        <v>174</v>
      </c>
      <c r="K19" s="271"/>
      <c r="N19" s="269" t="s">
        <v>175</v>
      </c>
      <c r="O19" s="271"/>
    </row>
    <row r="20" spans="2:15" ht="35.1" customHeight="1" x14ac:dyDescent="0.25">
      <c r="B20" s="269" t="s">
        <v>176</v>
      </c>
      <c r="C20" s="271"/>
      <c r="F20" s="269" t="s">
        <v>177</v>
      </c>
      <c r="G20" s="271"/>
      <c r="J20" s="269" t="s">
        <v>178</v>
      </c>
      <c r="K20" s="271"/>
      <c r="N20" s="269" t="s">
        <v>179</v>
      </c>
      <c r="O20" s="271"/>
    </row>
    <row r="21" spans="2:15" ht="35.1" customHeight="1" x14ac:dyDescent="0.25">
      <c r="B21" s="269" t="s">
        <v>180</v>
      </c>
      <c r="C21" s="271"/>
      <c r="F21" s="269" t="s">
        <v>181</v>
      </c>
      <c r="G21" s="271"/>
      <c r="J21" s="269" t="s">
        <v>182</v>
      </c>
      <c r="K21" s="271"/>
      <c r="N21" s="269" t="s">
        <v>183</v>
      </c>
      <c r="O21" s="271"/>
    </row>
    <row r="22" spans="2:15" ht="35.1" customHeight="1" x14ac:dyDescent="0.25">
      <c r="B22" s="269" t="s">
        <v>184</v>
      </c>
      <c r="C22" s="271"/>
      <c r="F22" s="269" t="s">
        <v>185</v>
      </c>
      <c r="G22" s="271"/>
      <c r="J22" s="269" t="s">
        <v>186</v>
      </c>
      <c r="K22" s="271"/>
      <c r="N22" s="269" t="s">
        <v>187</v>
      </c>
      <c r="O22" s="271"/>
    </row>
    <row r="23" spans="2:15" ht="35.1" customHeight="1" x14ac:dyDescent="0.25">
      <c r="B23" s="269" t="s">
        <v>188</v>
      </c>
      <c r="C23" s="271"/>
      <c r="F23" s="269" t="s">
        <v>189</v>
      </c>
      <c r="G23" s="271"/>
      <c r="J23" s="269" t="s">
        <v>190</v>
      </c>
      <c r="K23" s="271"/>
      <c r="N23" s="269" t="s">
        <v>191</v>
      </c>
      <c r="O23" s="271"/>
    </row>
    <row r="24" spans="2:15" ht="35.1" customHeight="1" x14ac:dyDescent="0.25">
      <c r="B24" s="269" t="s">
        <v>192</v>
      </c>
      <c r="C24" s="271"/>
      <c r="F24" s="269" t="s">
        <v>193</v>
      </c>
      <c r="G24" s="271"/>
      <c r="J24" s="269" t="s">
        <v>194</v>
      </c>
      <c r="K24" s="271"/>
      <c r="N24" s="269" t="s">
        <v>195</v>
      </c>
      <c r="O24" s="271"/>
    </row>
    <row r="25" spans="2:15" ht="35.1" customHeight="1" x14ac:dyDescent="0.25">
      <c r="B25" s="269" t="s">
        <v>196</v>
      </c>
      <c r="C25" s="271"/>
      <c r="F25" s="269" t="s">
        <v>197</v>
      </c>
      <c r="G25" s="271"/>
      <c r="J25" s="269" t="s">
        <v>198</v>
      </c>
      <c r="K25" s="271"/>
      <c r="N25" s="269" t="s">
        <v>199</v>
      </c>
      <c r="O25" s="271"/>
    </row>
    <row r="26" spans="2:15" ht="35.1" customHeight="1" x14ac:dyDescent="0.25">
      <c r="B26" s="269" t="s">
        <v>200</v>
      </c>
      <c r="C26" s="271"/>
      <c r="F26" s="269" t="s">
        <v>201</v>
      </c>
      <c r="G26" s="271"/>
      <c r="J26" s="269" t="s">
        <v>202</v>
      </c>
      <c r="K26" s="271"/>
      <c r="N26" s="269" t="s">
        <v>203</v>
      </c>
      <c r="O26" s="271"/>
    </row>
    <row r="27" spans="2:15" ht="35.1" customHeight="1" x14ac:dyDescent="0.25">
      <c r="B27" s="269" t="s">
        <v>204</v>
      </c>
      <c r="C27" s="271"/>
      <c r="F27" s="269" t="s">
        <v>205</v>
      </c>
      <c r="G27" s="271"/>
      <c r="J27" s="269" t="s">
        <v>206</v>
      </c>
      <c r="K27" s="271"/>
      <c r="N27" s="269" t="s">
        <v>207</v>
      </c>
      <c r="O27" s="271"/>
    </row>
    <row r="28" spans="2:15" ht="35.1" customHeight="1" x14ac:dyDescent="0.25">
      <c r="B28" s="269" t="s">
        <v>208</v>
      </c>
      <c r="C28" s="271"/>
      <c r="F28" s="269" t="s">
        <v>209</v>
      </c>
      <c r="G28" s="271"/>
      <c r="J28" s="269" t="s">
        <v>210</v>
      </c>
      <c r="K28" s="271"/>
      <c r="N28" s="269" t="s">
        <v>211</v>
      </c>
      <c r="O28" s="271"/>
    </row>
    <row r="29" spans="2:15" ht="35.1" customHeight="1" x14ac:dyDescent="0.25">
      <c r="B29" s="269" t="s">
        <v>212</v>
      </c>
      <c r="C29" s="271"/>
      <c r="F29" s="269" t="s">
        <v>213</v>
      </c>
      <c r="G29" s="271"/>
      <c r="J29" s="269" t="s">
        <v>214</v>
      </c>
      <c r="K29" s="271"/>
      <c r="N29" s="269" t="s">
        <v>215</v>
      </c>
      <c r="O29" s="271"/>
    </row>
    <row r="30" spans="2:15" ht="35.1" customHeight="1" x14ac:dyDescent="0.25">
      <c r="B30" s="269" t="s">
        <v>216</v>
      </c>
      <c r="C30" s="271"/>
      <c r="F30" s="269" t="s">
        <v>217</v>
      </c>
      <c r="G30" s="271"/>
      <c r="J30" s="269" t="s">
        <v>218</v>
      </c>
      <c r="K30" s="271"/>
      <c r="N30" s="269" t="s">
        <v>219</v>
      </c>
      <c r="O30" s="271"/>
    </row>
    <row r="31" spans="2:15" ht="35.1" customHeight="1" x14ac:dyDescent="0.25">
      <c r="B31" s="269" t="s">
        <v>220</v>
      </c>
      <c r="C31" s="271"/>
      <c r="F31" s="269" t="s">
        <v>221</v>
      </c>
      <c r="G31" s="271"/>
      <c r="J31" s="269" t="s">
        <v>222</v>
      </c>
      <c r="K31" s="271"/>
      <c r="N31" s="269" t="s">
        <v>223</v>
      </c>
      <c r="O31" s="271"/>
    </row>
  </sheetData>
  <sheetProtection algorithmName="SHA-512" hashValue="lcqYx4DB3A/5CzCM1mKxYzUrt6Rh3m97tJyzwY4GdJPrARXQm+AsHSdfJENN1M+aZs4W7SySahLSkBSn+L6Gdw==" saltValue="M5GwvpKEfIJ6HPl6jpmY9Q==" spinCount="100000" sheet="1" objects="1" scenarios="1" selectLockedCells="1"/>
  <mergeCells count="8">
    <mergeCell ref="B9:B15"/>
    <mergeCell ref="O9:O15"/>
    <mergeCell ref="G9:G15"/>
    <mergeCell ref="F9:F15"/>
    <mergeCell ref="C9:C15"/>
    <mergeCell ref="J9:J15"/>
    <mergeCell ref="K9:K15"/>
    <mergeCell ref="N9:N15"/>
  </mergeCells>
  <printOptions horizontalCentered="1"/>
  <pageMargins left="0.59055118110236227" right="0.59055118110236227" top="0.59055118110236227" bottom="0.39370078740157483"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8DFE-8AAD-4928-9234-6674A7B0C12D}">
  <sheetPr>
    <pageSetUpPr fitToPage="1"/>
  </sheetPr>
  <dimension ref="B1:Z100"/>
  <sheetViews>
    <sheetView showGridLines="0" zoomScaleNormal="100" workbookViewId="0">
      <selection activeCell="I37" sqref="I37:J37"/>
    </sheetView>
  </sheetViews>
  <sheetFormatPr baseColWidth="10" defaultColWidth="10.85546875" defaultRowHeight="13.5" x14ac:dyDescent="0.25"/>
  <cols>
    <col min="1" max="1" width="5.5703125" style="36" customWidth="1"/>
    <col min="2" max="3" width="5.5703125" style="54" hidden="1" customWidth="1"/>
    <col min="4" max="7" width="7.42578125" style="54" hidden="1" customWidth="1"/>
    <col min="8" max="8" width="10.7109375" style="54" hidden="1" customWidth="1"/>
    <col min="9" max="10" width="30.5703125" style="36" customWidth="1"/>
    <col min="11" max="22" width="7.42578125" style="36" customWidth="1"/>
    <col min="23" max="23" width="5.5703125" style="54" customWidth="1"/>
    <col min="24" max="24" width="89" style="36" bestFit="1" customWidth="1"/>
    <col min="25" max="25" width="12.42578125" bestFit="1" customWidth="1"/>
    <col min="27" max="16384" width="10.85546875" style="36"/>
  </cols>
  <sheetData>
    <row r="1" spans="2:22" ht="15" customHeight="1" x14ac:dyDescent="0.25"/>
    <row r="2" spans="2:22" ht="15" customHeight="1" x14ac:dyDescent="0.25"/>
    <row r="3" spans="2:22" ht="15" customHeight="1" x14ac:dyDescent="0.25">
      <c r="K3" s="52"/>
    </row>
    <row r="4" spans="2:22" ht="15" customHeight="1" x14ac:dyDescent="0.25">
      <c r="G4" s="36"/>
      <c r="H4" s="36"/>
      <c r="J4" s="52" t="str">
        <f>'IDENTIFICACIÓN TRABAJADOR'!G3</f>
        <v>Nº DE EXPEDIENTE: 2023.11.ACEE.0000</v>
      </c>
    </row>
    <row r="5" spans="2:22" ht="20.100000000000001" customHeight="1" x14ac:dyDescent="0.25">
      <c r="G5" s="36"/>
      <c r="H5" s="36"/>
    </row>
    <row r="6" spans="2:22" ht="20.100000000000001" customHeight="1" x14ac:dyDescent="0.25">
      <c r="G6" s="36"/>
      <c r="H6" s="36"/>
      <c r="J6" s="55" t="str">
        <f>'LINEAS CON DEDICACIÓN'!C6</f>
        <v xml:space="preserve">TRABAJADOR:   </v>
      </c>
    </row>
    <row r="7" spans="2:22" ht="20.25" customHeight="1" x14ac:dyDescent="0.25">
      <c r="G7" s="36"/>
      <c r="H7" s="36"/>
      <c r="J7" s="55" t="str">
        <f>'LINEAS CON DEDICACIÓN'!C7</f>
        <v xml:space="preserve">ACRÓNIMO: </v>
      </c>
    </row>
    <row r="8" spans="2:22" ht="20.25" customHeight="1" thickBot="1" x14ac:dyDescent="0.3">
      <c r="G8" s="36"/>
      <c r="H8" s="36"/>
    </row>
    <row r="9" spans="2:22" ht="20.25" customHeight="1" thickBot="1" x14ac:dyDescent="0.3">
      <c r="E9" s="54">
        <f>IF(J9&gt;EXPEDIENTE!F27,1,IF(J9&gt;J26,2,0))</f>
        <v>0</v>
      </c>
      <c r="G9" s="36"/>
      <c r="H9" s="36"/>
      <c r="I9" s="240" t="s">
        <v>267</v>
      </c>
      <c r="J9" s="239"/>
      <c r="L9" s="329" t="str">
        <f>IF(E9=1,"ERROR: LA FECHA DE EMISIÓN ES POSTERIOR A LA FINALIZACIÓN DEL PLAZO DE EJECUCIÓN",IF(E9=2,"ERROR: EXISTE DEDICACIÓN AL PROYECTO ANTERIOR A LA FECHA DE EMISIÓN DEL FORMULARIO",""))</f>
        <v/>
      </c>
      <c r="M9" s="329"/>
      <c r="N9" s="329"/>
      <c r="O9" s="329"/>
      <c r="P9" s="329"/>
      <c r="Q9" s="329"/>
      <c r="R9" s="329"/>
      <c r="S9" s="329"/>
      <c r="T9" s="329"/>
      <c r="U9" s="329"/>
      <c r="V9" s="329"/>
    </row>
    <row r="10" spans="2:22" ht="9.9499999999999993" customHeight="1" thickBot="1" x14ac:dyDescent="0.3">
      <c r="B10" s="36"/>
      <c r="C10" s="36"/>
      <c r="D10" s="36"/>
      <c r="E10" s="36"/>
      <c r="F10" s="36"/>
      <c r="G10" s="36"/>
      <c r="H10" s="36"/>
    </row>
    <row r="11" spans="2:22" ht="15" customHeight="1" x14ac:dyDescent="0.25">
      <c r="I11" s="241" t="s">
        <v>224</v>
      </c>
      <c r="J11" s="330" t="s">
        <v>154</v>
      </c>
      <c r="K11" s="330"/>
      <c r="L11" s="330"/>
      <c r="M11" s="330"/>
      <c r="N11" s="330"/>
      <c r="O11" s="330"/>
      <c r="P11" s="330"/>
      <c r="Q11" s="330"/>
      <c r="R11" s="330"/>
      <c r="S11" s="330"/>
      <c r="T11" s="330"/>
      <c r="U11" s="330"/>
      <c r="V11" s="331"/>
    </row>
    <row r="12" spans="2:22" ht="14.25" thickBot="1" x14ac:dyDescent="0.3">
      <c r="I12" s="229"/>
      <c r="J12" s="334"/>
      <c r="K12" s="334"/>
      <c r="L12" s="334"/>
      <c r="M12" s="334"/>
      <c r="N12" s="334"/>
      <c r="O12" s="334"/>
      <c r="P12" s="334"/>
      <c r="Q12" s="334"/>
      <c r="R12" s="334"/>
      <c r="S12" s="334"/>
      <c r="T12" s="334"/>
      <c r="U12" s="334"/>
      <c r="V12" s="335"/>
    </row>
    <row r="13" spans="2:22" ht="9.9499999999999993" customHeight="1" thickBot="1" x14ac:dyDescent="0.3">
      <c r="G13" s="36"/>
      <c r="H13" s="36"/>
    </row>
    <row r="14" spans="2:22" s="44" customFormat="1" ht="30" customHeight="1" thickBot="1" x14ac:dyDescent="0.3">
      <c r="I14" s="243" t="s">
        <v>265</v>
      </c>
      <c r="J14" s="243" t="s">
        <v>266</v>
      </c>
      <c r="K14" s="340" t="s">
        <v>289</v>
      </c>
      <c r="L14" s="341"/>
      <c r="M14" s="341"/>
      <c r="N14" s="342"/>
      <c r="O14" s="340" t="s">
        <v>268</v>
      </c>
      <c r="P14" s="341"/>
      <c r="Q14" s="341"/>
      <c r="R14" s="342"/>
      <c r="S14" s="343" t="s">
        <v>290</v>
      </c>
      <c r="T14" s="344"/>
      <c r="U14" s="344"/>
      <c r="V14" s="345"/>
    </row>
    <row r="15" spans="2:22" ht="75" customHeight="1" thickBot="1" x14ac:dyDescent="0.3">
      <c r="G15" s="36"/>
      <c r="H15" s="36"/>
      <c r="I15" s="244"/>
      <c r="J15" s="244"/>
      <c r="K15" s="346"/>
      <c r="L15" s="347"/>
      <c r="M15" s="347"/>
      <c r="N15" s="348"/>
      <c r="O15" s="346"/>
      <c r="P15" s="347"/>
      <c r="Q15" s="347"/>
      <c r="R15" s="348"/>
      <c r="S15" s="346"/>
      <c r="T15" s="347"/>
      <c r="U15" s="347"/>
      <c r="V15" s="348"/>
    </row>
    <row r="16" spans="2:22" ht="9.9499999999999993" customHeight="1" thickBot="1" x14ac:dyDescent="0.3"/>
    <row r="17" spans="2:26" ht="15" customHeight="1" x14ac:dyDescent="0.25">
      <c r="I17" s="241" t="s">
        <v>112</v>
      </c>
      <c r="J17" s="330" t="s">
        <v>156</v>
      </c>
      <c r="K17" s="330"/>
      <c r="L17" s="330"/>
      <c r="M17" s="330"/>
      <c r="N17" s="330"/>
      <c r="O17" s="330"/>
      <c r="P17" s="330"/>
      <c r="Q17" s="330"/>
      <c r="R17" s="330"/>
      <c r="S17" s="330"/>
      <c r="T17" s="330"/>
      <c r="U17" s="330"/>
      <c r="V17" s="331"/>
    </row>
    <row r="18" spans="2:26" ht="15" customHeight="1" x14ac:dyDescent="0.25">
      <c r="I18" s="230"/>
      <c r="J18" s="332"/>
      <c r="K18" s="332"/>
      <c r="L18" s="332"/>
      <c r="M18" s="332"/>
      <c r="N18" s="332"/>
      <c r="O18" s="332"/>
      <c r="P18" s="332"/>
      <c r="Q18" s="332"/>
      <c r="R18" s="332"/>
      <c r="S18" s="332"/>
      <c r="T18" s="332"/>
      <c r="U18" s="332"/>
      <c r="V18" s="333"/>
      <c r="X18" s="206"/>
    </row>
    <row r="19" spans="2:26" ht="15" customHeight="1" x14ac:dyDescent="0.25">
      <c r="I19" s="230"/>
      <c r="J19" s="332"/>
      <c r="K19" s="332"/>
      <c r="L19" s="332"/>
      <c r="M19" s="332"/>
      <c r="N19" s="332"/>
      <c r="O19" s="332"/>
      <c r="P19" s="332"/>
      <c r="Q19" s="332"/>
      <c r="R19" s="332"/>
      <c r="S19" s="332"/>
      <c r="T19" s="332"/>
      <c r="U19" s="332"/>
      <c r="V19" s="333"/>
    </row>
    <row r="20" spans="2:26" ht="15" customHeight="1" thickBot="1" x14ac:dyDescent="0.3">
      <c r="I20" s="231"/>
      <c r="J20" s="349" t="s">
        <v>310</v>
      </c>
      <c r="K20" s="349"/>
      <c r="L20" s="349"/>
      <c r="M20" s="349"/>
      <c r="N20" s="349"/>
      <c r="O20" s="349"/>
      <c r="P20" s="349"/>
      <c r="Q20" s="349"/>
      <c r="R20" s="349"/>
      <c r="S20" s="349"/>
      <c r="T20" s="349"/>
      <c r="U20" s="349"/>
      <c r="V20" s="350"/>
    </row>
    <row r="21" spans="2:26" ht="15" customHeight="1" thickBot="1" x14ac:dyDescent="0.3">
      <c r="I21" s="242" t="s">
        <v>113</v>
      </c>
      <c r="J21" s="232" t="s">
        <v>114</v>
      </c>
      <c r="K21" s="232"/>
      <c r="L21" s="233"/>
      <c r="M21" s="233"/>
      <c r="N21" s="233"/>
      <c r="O21" s="233"/>
      <c r="P21" s="233"/>
      <c r="Q21" s="233"/>
      <c r="R21" s="233"/>
      <c r="S21" s="233"/>
      <c r="T21" s="233"/>
      <c r="U21" s="233"/>
      <c r="V21" s="234"/>
    </row>
    <row r="22" spans="2:26" ht="15" customHeight="1" x14ac:dyDescent="0.25">
      <c r="I22" s="241" t="s">
        <v>225</v>
      </c>
      <c r="J22" s="330" t="s">
        <v>269</v>
      </c>
      <c r="K22" s="330"/>
      <c r="L22" s="330"/>
      <c r="M22" s="330"/>
      <c r="N22" s="330"/>
      <c r="O22" s="330"/>
      <c r="P22" s="330"/>
      <c r="Q22" s="330"/>
      <c r="R22" s="330"/>
      <c r="S22" s="330"/>
      <c r="T22" s="330"/>
      <c r="U22" s="330"/>
      <c r="V22" s="331"/>
    </row>
    <row r="23" spans="2:26" ht="15" customHeight="1" thickBot="1" x14ac:dyDescent="0.3">
      <c r="I23" s="229"/>
      <c r="J23" s="334"/>
      <c r="K23" s="334"/>
      <c r="L23" s="334"/>
      <c r="M23" s="334"/>
      <c r="N23" s="334"/>
      <c r="O23" s="334"/>
      <c r="P23" s="334"/>
      <c r="Q23" s="334"/>
      <c r="R23" s="334"/>
      <c r="S23" s="334"/>
      <c r="T23" s="334"/>
      <c r="U23" s="334"/>
      <c r="V23" s="335"/>
    </row>
    <row r="24" spans="2:26" ht="15" customHeight="1" thickBot="1" x14ac:dyDescent="0.3">
      <c r="B24" s="36"/>
      <c r="C24" s="36"/>
      <c r="D24" s="36"/>
      <c r="E24" s="36"/>
      <c r="F24" s="359" t="s">
        <v>305</v>
      </c>
      <c r="G24" s="359" t="s">
        <v>306</v>
      </c>
      <c r="H24" s="360" t="s">
        <v>307</v>
      </c>
      <c r="J24" s="53"/>
      <c r="K24" s="53"/>
      <c r="L24" s="53"/>
      <c r="M24" s="53"/>
      <c r="N24" s="53"/>
      <c r="O24" s="53"/>
      <c r="P24" s="53"/>
      <c r="Q24" s="53"/>
      <c r="R24" s="53"/>
      <c r="S24" s="53"/>
      <c r="T24" s="53"/>
      <c r="U24" s="53"/>
    </row>
    <row r="25" spans="2:26" ht="15" hidden="1" customHeight="1" x14ac:dyDescent="0.25">
      <c r="D25" s="250" t="s">
        <v>271</v>
      </c>
      <c r="E25" s="54">
        <f>COUNTIF(E32:E35,"&gt;0")</f>
        <v>0</v>
      </c>
      <c r="F25" s="359"/>
      <c r="G25" s="359"/>
      <c r="H25" s="360"/>
      <c r="J25" s="255" t="s">
        <v>308</v>
      </c>
      <c r="K25" s="54">
        <f>IF(DATE(YEAR(EXPEDIENTE!$F$25),1,1)&lt;$J$9,1,0)</f>
        <v>0</v>
      </c>
      <c r="L25" s="54">
        <f>IF(DATE(YEAR(EXPEDIENTE!$F$25),2,1)&lt;$J$9,1,0)</f>
        <v>0</v>
      </c>
      <c r="M25" s="54">
        <f>IF(DATE(YEAR(EXPEDIENTE!$F$25),3,1)&lt;$J$9,1,0)</f>
        <v>0</v>
      </c>
      <c r="N25" s="54">
        <f>IF(DATE(YEAR(EXPEDIENTE!$F$25),4,1)&lt;$J$9,1,0)</f>
        <v>0</v>
      </c>
      <c r="O25" s="54">
        <f>IF(DATE(YEAR(EXPEDIENTE!$F$25),5,1)&lt;$J$9,1,0)</f>
        <v>0</v>
      </c>
      <c r="P25" s="54">
        <f>IF(DATE(YEAR(EXPEDIENTE!$F$25),6,1)&lt;$J$9,1,0)</f>
        <v>0</v>
      </c>
      <c r="Q25" s="54">
        <f>IF(DATE(YEAR(EXPEDIENTE!$F$25),7,1)&lt;$J$9,1,0)</f>
        <v>0</v>
      </c>
      <c r="R25" s="54">
        <f>IF(DATE(YEAR(EXPEDIENTE!$F$25),8,1)&lt;$J$9,1,0)</f>
        <v>0</v>
      </c>
      <c r="S25" s="54">
        <f>IF(DATE(YEAR(EXPEDIENTE!$F$25),9,1)&lt;$J$9,1,0)</f>
        <v>0</v>
      </c>
      <c r="T25" s="54">
        <f>IF(DATE(YEAR(EXPEDIENTE!$F$25),10,1)&lt;$J$9,1,0)</f>
        <v>0</v>
      </c>
      <c r="U25" s="54">
        <f>IF(DATE(YEAR(EXPEDIENTE!$F$25),11,1)&lt;$J$9,1,0)</f>
        <v>0</v>
      </c>
      <c r="V25" s="54">
        <f>IF(DATE(YEAR(EXPEDIENTE!$F$25),12,1)&lt;$J$9,1,0)</f>
        <v>0</v>
      </c>
    </row>
    <row r="26" spans="2:26" ht="15" hidden="1" customHeight="1" x14ac:dyDescent="0.25">
      <c r="D26" s="250" t="s">
        <v>270</v>
      </c>
      <c r="E26" s="54">
        <f t="shared" ref="E26:E28" si="0">COUNTIF(E34:E93,"&gt;0")</f>
        <v>0</v>
      </c>
      <c r="F26" s="359"/>
      <c r="G26" s="359"/>
      <c r="H26" s="359"/>
      <c r="J26" s="237">
        <f>IF(SUM(K27:V27)=0,EXPEDIENTE!F27,SUM(K26:V26))</f>
        <v>0</v>
      </c>
      <c r="K26" s="236" t="str">
        <f>IF(AND(K27&gt;0,J27=0),DATE(YEAR(EXPEDIENTE!$F$25),1,1),"")</f>
        <v/>
      </c>
      <c r="L26" s="236" t="str">
        <f>IF(AND(L27&gt;0,K27=0),DATE(YEAR(EXPEDIENTE!$F$25),2,1),"")</f>
        <v/>
      </c>
      <c r="M26" s="236" t="str">
        <f>IF(AND(M27&gt;0,L27=0),DATE(YEAR(EXPEDIENTE!$F$25),3,1),"")</f>
        <v/>
      </c>
      <c r="N26" s="236" t="str">
        <f>IF(AND(N27&gt;0,M27=0),DATE(YEAR(EXPEDIENTE!$F$25),4,1),"")</f>
        <v/>
      </c>
      <c r="O26" s="236" t="str">
        <f>IF(AND(O27&gt;0,N27=0),DATE(YEAR(EXPEDIENTE!$F$25),5,1),"")</f>
        <v/>
      </c>
      <c r="P26" s="236" t="str">
        <f>IF(AND(P27&gt;0,O27=0),DATE(YEAR(EXPEDIENTE!$F$25),6,1),"")</f>
        <v/>
      </c>
      <c r="Q26" s="236" t="str">
        <f>IF(AND(Q27&gt;0,P27=0),DATE(YEAR(EXPEDIENTE!$F$25),7,1),"")</f>
        <v/>
      </c>
      <c r="R26" s="236" t="str">
        <f>IF(AND(R27&gt;0,Q27=0),DATE(YEAR(EXPEDIENTE!$F$25),8,1),"")</f>
        <v/>
      </c>
      <c r="S26" s="236" t="str">
        <f>IF(AND(S27&gt;0,R27=0),DATE(YEAR(EXPEDIENTE!$F$25),9,1),"")</f>
        <v/>
      </c>
      <c r="T26" s="236" t="str">
        <f>IF(AND(T27&gt;0,S27=0),DATE(YEAR(EXPEDIENTE!$F$25),10,1),"")</f>
        <v/>
      </c>
      <c r="U26" s="236" t="str">
        <f>IF(AND(U27&gt;0,T27=0),DATE(YEAR(EXPEDIENTE!$F$25),11,1),"")</f>
        <v/>
      </c>
      <c r="V26" s="236" t="str">
        <f>IF(AND(V27&gt;0,U27=0),DATE(YEAR(EXPEDIENTE!$F$25),12,1),"")</f>
        <v/>
      </c>
    </row>
    <row r="27" spans="2:26" ht="15" hidden="1" customHeight="1" x14ac:dyDescent="0.25">
      <c r="D27" s="250" t="s">
        <v>270</v>
      </c>
      <c r="E27" s="54">
        <f t="shared" si="0"/>
        <v>0</v>
      </c>
      <c r="F27" s="359"/>
      <c r="G27" s="359"/>
      <c r="H27" s="359"/>
      <c r="J27" s="53"/>
      <c r="K27" s="54">
        <f>SUM($K$28:K28)</f>
        <v>0</v>
      </c>
      <c r="L27" s="54">
        <f>SUM($K$28:L28)</f>
        <v>0</v>
      </c>
      <c r="M27" s="54">
        <f>SUM($K$28:M28)</f>
        <v>0</v>
      </c>
      <c r="N27" s="54">
        <f>SUM($K$28:N28)</f>
        <v>0</v>
      </c>
      <c r="O27" s="54">
        <f>SUM($K$28:O28)</f>
        <v>0</v>
      </c>
      <c r="P27" s="54">
        <f>SUM($K$28:P28)</f>
        <v>0</v>
      </c>
      <c r="Q27" s="54">
        <f>SUM($K$28:Q28)</f>
        <v>0</v>
      </c>
      <c r="R27" s="54">
        <f>SUM($K$28:R28)</f>
        <v>0</v>
      </c>
      <c r="S27" s="54">
        <f>SUM($K$28:S28)</f>
        <v>0</v>
      </c>
      <c r="T27" s="54">
        <f>SUM($K$28:T28)</f>
        <v>0</v>
      </c>
      <c r="U27" s="54">
        <f>SUM($K$28:U28)</f>
        <v>0</v>
      </c>
      <c r="V27" s="54">
        <f>SUM($K$28:V28)</f>
        <v>0</v>
      </c>
    </row>
    <row r="28" spans="2:26" ht="15" hidden="1" customHeight="1" thickBot="1" x14ac:dyDescent="0.3">
      <c r="D28" s="250" t="s">
        <v>270</v>
      </c>
      <c r="E28" s="54">
        <f t="shared" si="0"/>
        <v>0</v>
      </c>
      <c r="F28" s="359"/>
      <c r="G28" s="359"/>
      <c r="H28" s="359"/>
      <c r="J28" s="53"/>
      <c r="K28" s="54">
        <f>IF(K31&gt;0,1,0)</f>
        <v>0</v>
      </c>
      <c r="L28" s="54">
        <f t="shared" ref="L28:V28" si="1">IF(L31&gt;0,1,0)</f>
        <v>0</v>
      </c>
      <c r="M28" s="54">
        <f t="shared" si="1"/>
        <v>0</v>
      </c>
      <c r="N28" s="54">
        <f t="shared" si="1"/>
        <v>0</v>
      </c>
      <c r="O28" s="54">
        <f t="shared" si="1"/>
        <v>0</v>
      </c>
      <c r="P28" s="54">
        <f t="shared" si="1"/>
        <v>0</v>
      </c>
      <c r="Q28" s="54">
        <f t="shared" si="1"/>
        <v>0</v>
      </c>
      <c r="R28" s="54">
        <f t="shared" si="1"/>
        <v>0</v>
      </c>
      <c r="S28" s="54">
        <f t="shared" si="1"/>
        <v>0</v>
      </c>
      <c r="T28" s="54">
        <f t="shared" si="1"/>
        <v>0</v>
      </c>
      <c r="U28" s="54">
        <f t="shared" si="1"/>
        <v>0</v>
      </c>
      <c r="V28" s="54">
        <f t="shared" si="1"/>
        <v>0</v>
      </c>
    </row>
    <row r="29" spans="2:26" s="206" customFormat="1" ht="20.100000000000001" customHeight="1" thickBot="1" x14ac:dyDescent="0.35">
      <c r="B29" s="54"/>
      <c r="C29" s="54"/>
      <c r="D29" s="250" t="s">
        <v>270</v>
      </c>
      <c r="E29" s="54">
        <f>COUNTIF(E37:E96,"&gt;0")</f>
        <v>0</v>
      </c>
      <c r="F29" s="359"/>
      <c r="G29" s="359"/>
      <c r="H29" s="359"/>
      <c r="I29" s="351" t="str">
        <f>CONCATENATE("PORCENTAJE DEDICACIÓN POR LÍNEA DE ACTUACIÓN EN EJERCICIO: ",EXPEDIENTE!$C$16)</f>
        <v>PORCENTAJE DEDICACIÓN POR LÍNEA DE ACTUACIÓN EN EJERCICIO: 2023</v>
      </c>
      <c r="J29" s="352"/>
      <c r="K29" s="352"/>
      <c r="L29" s="352"/>
      <c r="M29" s="352"/>
      <c r="N29" s="352"/>
      <c r="O29" s="352"/>
      <c r="P29" s="352"/>
      <c r="Q29" s="352"/>
      <c r="R29" s="352"/>
      <c r="S29" s="352"/>
      <c r="T29" s="352"/>
      <c r="U29" s="352"/>
      <c r="V29" s="353"/>
      <c r="W29" s="211"/>
      <c r="X29" s="276"/>
      <c r="Y29" s="212"/>
      <c r="Z29" s="212"/>
    </row>
    <row r="30" spans="2:26" ht="15" customHeight="1" thickBot="1" x14ac:dyDescent="0.3">
      <c r="B30" s="54" t="s">
        <v>226</v>
      </c>
      <c r="C30" s="54" t="s">
        <v>227</v>
      </c>
      <c r="D30" s="54" t="s">
        <v>233</v>
      </c>
      <c r="E30" s="54" t="s">
        <v>253</v>
      </c>
      <c r="F30" s="359"/>
      <c r="G30" s="359"/>
      <c r="H30" s="359"/>
      <c r="I30" s="361"/>
      <c r="J30" s="362"/>
      <c r="K30" s="217" t="s">
        <v>35</v>
      </c>
      <c r="L30" s="218" t="s">
        <v>36</v>
      </c>
      <c r="M30" s="218" t="s">
        <v>37</v>
      </c>
      <c r="N30" s="218" t="s">
        <v>38</v>
      </c>
      <c r="O30" s="218" t="s">
        <v>39</v>
      </c>
      <c r="P30" s="218" t="s">
        <v>40</v>
      </c>
      <c r="Q30" s="218" t="s">
        <v>41</v>
      </c>
      <c r="R30" s="218" t="s">
        <v>42</v>
      </c>
      <c r="S30" s="218" t="s">
        <v>43</v>
      </c>
      <c r="T30" s="218" t="s">
        <v>44</v>
      </c>
      <c r="U30" s="218" t="s">
        <v>45</v>
      </c>
      <c r="V30" s="219" t="s">
        <v>46</v>
      </c>
      <c r="X30" s="276"/>
    </row>
    <row r="31" spans="2:26" ht="20.100000000000001" customHeight="1" x14ac:dyDescent="0.25">
      <c r="E31" s="54">
        <f t="shared" ref="E31:E35" si="2">COUNTIF(K31:V31,"&gt;100%")</f>
        <v>0</v>
      </c>
      <c r="I31" s="188"/>
      <c r="J31" s="220" t="s">
        <v>228</v>
      </c>
      <c r="K31" s="221">
        <f>SUM(K32:K35)</f>
        <v>0</v>
      </c>
      <c r="L31" s="222">
        <f t="shared" ref="L31:U31" si="3">SUM(L32:L35)</f>
        <v>0</v>
      </c>
      <c r="M31" s="222">
        <f t="shared" si="3"/>
        <v>0</v>
      </c>
      <c r="N31" s="222">
        <f t="shared" si="3"/>
        <v>0</v>
      </c>
      <c r="O31" s="222">
        <f t="shared" si="3"/>
        <v>0</v>
      </c>
      <c r="P31" s="222">
        <f t="shared" si="3"/>
        <v>0</v>
      </c>
      <c r="Q31" s="222">
        <f t="shared" si="3"/>
        <v>0</v>
      </c>
      <c r="R31" s="222">
        <f t="shared" si="3"/>
        <v>0</v>
      </c>
      <c r="S31" s="222">
        <f t="shared" si="3"/>
        <v>0</v>
      </c>
      <c r="T31" s="222">
        <f t="shared" si="3"/>
        <v>0</v>
      </c>
      <c r="U31" s="222">
        <f t="shared" si="3"/>
        <v>0</v>
      </c>
      <c r="V31" s="223">
        <f>SUM(V32:V35)</f>
        <v>0</v>
      </c>
      <c r="X31" s="36" t="str">
        <f>IF(E31&gt;0,"EL PORCENTAJE MENSUAL RESULTANTE ES SUPERIOR AL 100%",IF(SUM(K31:V31)&gt;1100%,"LA SUMA DE PORCENTAJES MENSUALES SUPERA EL MÁXIMO",""))</f>
        <v/>
      </c>
    </row>
    <row r="32" spans="2:26" ht="20.100000000000001" customHeight="1" x14ac:dyDescent="0.25">
      <c r="E32" s="54">
        <f t="shared" si="2"/>
        <v>0</v>
      </c>
      <c r="I32" s="187"/>
      <c r="J32" s="220" t="s">
        <v>229</v>
      </c>
      <c r="K32" s="224">
        <f t="shared" ref="K32:V32" si="4">SUMIFS(K37:K96,$B$37:$B$96,1)</f>
        <v>0</v>
      </c>
      <c r="L32" s="184">
        <f t="shared" si="4"/>
        <v>0</v>
      </c>
      <c r="M32" s="184">
        <f t="shared" si="4"/>
        <v>0</v>
      </c>
      <c r="N32" s="184">
        <f t="shared" si="4"/>
        <v>0</v>
      </c>
      <c r="O32" s="184">
        <f t="shared" si="4"/>
        <v>0</v>
      </c>
      <c r="P32" s="184">
        <f t="shared" si="4"/>
        <v>0</v>
      </c>
      <c r="Q32" s="184">
        <f t="shared" si="4"/>
        <v>0</v>
      </c>
      <c r="R32" s="184">
        <f t="shared" si="4"/>
        <v>0</v>
      </c>
      <c r="S32" s="184">
        <f t="shared" si="4"/>
        <v>0</v>
      </c>
      <c r="T32" s="184">
        <f t="shared" si="4"/>
        <v>0</v>
      </c>
      <c r="U32" s="184">
        <f t="shared" si="4"/>
        <v>0</v>
      </c>
      <c r="V32" s="189">
        <f t="shared" si="4"/>
        <v>0</v>
      </c>
      <c r="X32" s="36" t="str">
        <f t="shared" ref="X32:X35" si="5">IF(E32&gt;0,"EL PORCENTAJE MENSUAL RESULTANTE ES SUPERIOR AL 100%","")</f>
        <v/>
      </c>
    </row>
    <row r="33" spans="2:24" ht="20.100000000000001" customHeight="1" x14ac:dyDescent="0.25">
      <c r="E33" s="54">
        <f t="shared" si="2"/>
        <v>0</v>
      </c>
      <c r="I33" s="187"/>
      <c r="J33" s="220" t="s">
        <v>230</v>
      </c>
      <c r="K33" s="224">
        <f t="shared" ref="K33:V33" si="6">SUMIFS(K37:K96,$B$37:$B$96,2)</f>
        <v>0</v>
      </c>
      <c r="L33" s="184">
        <f t="shared" si="6"/>
        <v>0</v>
      </c>
      <c r="M33" s="184">
        <f t="shared" si="6"/>
        <v>0</v>
      </c>
      <c r="N33" s="184">
        <f t="shared" si="6"/>
        <v>0</v>
      </c>
      <c r="O33" s="184">
        <f t="shared" si="6"/>
        <v>0</v>
      </c>
      <c r="P33" s="184">
        <f t="shared" si="6"/>
        <v>0</v>
      </c>
      <c r="Q33" s="184">
        <f t="shared" si="6"/>
        <v>0</v>
      </c>
      <c r="R33" s="184">
        <f t="shared" si="6"/>
        <v>0</v>
      </c>
      <c r="S33" s="184">
        <f t="shared" si="6"/>
        <v>0</v>
      </c>
      <c r="T33" s="184">
        <f t="shared" si="6"/>
        <v>0</v>
      </c>
      <c r="U33" s="184">
        <f t="shared" si="6"/>
        <v>0</v>
      </c>
      <c r="V33" s="189">
        <f t="shared" si="6"/>
        <v>0</v>
      </c>
      <c r="X33" s="36" t="str">
        <f t="shared" si="5"/>
        <v/>
      </c>
    </row>
    <row r="34" spans="2:24" ht="20.100000000000001" customHeight="1" x14ac:dyDescent="0.25">
      <c r="E34" s="54">
        <f t="shared" si="2"/>
        <v>0</v>
      </c>
      <c r="I34" s="187"/>
      <c r="J34" s="220" t="s">
        <v>231</v>
      </c>
      <c r="K34" s="224">
        <f t="shared" ref="K34:V34" si="7">SUMIFS(K37:K96,$B$37:$B$96,3)</f>
        <v>0</v>
      </c>
      <c r="L34" s="184">
        <f t="shared" si="7"/>
        <v>0</v>
      </c>
      <c r="M34" s="184">
        <f t="shared" si="7"/>
        <v>0</v>
      </c>
      <c r="N34" s="184">
        <f t="shared" si="7"/>
        <v>0</v>
      </c>
      <c r="O34" s="184">
        <f t="shared" si="7"/>
        <v>0</v>
      </c>
      <c r="P34" s="184">
        <f t="shared" si="7"/>
        <v>0</v>
      </c>
      <c r="Q34" s="184">
        <f t="shared" si="7"/>
        <v>0</v>
      </c>
      <c r="R34" s="184">
        <f t="shared" si="7"/>
        <v>0</v>
      </c>
      <c r="S34" s="184">
        <f t="shared" si="7"/>
        <v>0</v>
      </c>
      <c r="T34" s="184">
        <f t="shared" si="7"/>
        <v>0</v>
      </c>
      <c r="U34" s="184">
        <f t="shared" si="7"/>
        <v>0</v>
      </c>
      <c r="V34" s="189">
        <f t="shared" si="7"/>
        <v>0</v>
      </c>
      <c r="X34" s="36" t="str">
        <f t="shared" si="5"/>
        <v/>
      </c>
    </row>
    <row r="35" spans="2:24" ht="20.100000000000001" customHeight="1" thickBot="1" x14ac:dyDescent="0.3">
      <c r="E35" s="54">
        <f t="shared" si="2"/>
        <v>0</v>
      </c>
      <c r="I35" s="187"/>
      <c r="J35" s="220" t="s">
        <v>232</v>
      </c>
      <c r="K35" s="225">
        <f t="shared" ref="K35:V35" si="8">SUMIFS(K37:K96,$B$37:$B$96,4)</f>
        <v>0</v>
      </c>
      <c r="L35" s="226">
        <f t="shared" si="8"/>
        <v>0</v>
      </c>
      <c r="M35" s="226">
        <f t="shared" si="8"/>
        <v>0</v>
      </c>
      <c r="N35" s="226">
        <f t="shared" si="8"/>
        <v>0</v>
      </c>
      <c r="O35" s="226">
        <f t="shared" si="8"/>
        <v>0</v>
      </c>
      <c r="P35" s="226">
        <f t="shared" si="8"/>
        <v>0</v>
      </c>
      <c r="Q35" s="226">
        <f t="shared" si="8"/>
        <v>0</v>
      </c>
      <c r="R35" s="226">
        <f t="shared" si="8"/>
        <v>0</v>
      </c>
      <c r="S35" s="226">
        <f t="shared" si="8"/>
        <v>0</v>
      </c>
      <c r="T35" s="226">
        <f t="shared" si="8"/>
        <v>0</v>
      </c>
      <c r="U35" s="226">
        <f t="shared" si="8"/>
        <v>0</v>
      </c>
      <c r="V35" s="227">
        <f t="shared" si="8"/>
        <v>0</v>
      </c>
      <c r="X35" s="36" t="str">
        <f t="shared" si="5"/>
        <v/>
      </c>
    </row>
    <row r="36" spans="2:24" ht="20.100000000000001" customHeight="1" thickBot="1" x14ac:dyDescent="0.3">
      <c r="I36" s="340" t="str">
        <f>CONCATENATE("LÍNEAS EN LAS QUE PARTICIPA EL TRABAJADOR ",'IDENTIFICACIÓN TRABAJADOR'!D14)</f>
        <v xml:space="preserve">LÍNEAS EN LAS QUE PARTICIPA EL TRABAJADOR </v>
      </c>
      <c r="J36" s="342"/>
      <c r="K36" s="354" t="s">
        <v>262</v>
      </c>
      <c r="L36" s="355"/>
      <c r="M36" s="355"/>
      <c r="N36" s="355"/>
      <c r="O36" s="355"/>
      <c r="P36" s="355"/>
      <c r="Q36" s="355"/>
      <c r="R36" s="355"/>
      <c r="S36" s="355"/>
      <c r="T36" s="355"/>
      <c r="U36" s="355"/>
      <c r="V36" s="356"/>
    </row>
    <row r="37" spans="2:24" ht="35.1" customHeight="1" x14ac:dyDescent="0.25">
      <c r="B37" s="54">
        <f t="shared" ref="B37:B54" si="9">IF(I37=0,0,VALUE(MID(I37,7,1)))</f>
        <v>0</v>
      </c>
      <c r="C37" s="54" t="str">
        <f t="shared" ref="C37:C68" si="10">IF(MID(I37,10,1)=":",MID(I37,9,1),MID(I37,9,2))</f>
        <v/>
      </c>
      <c r="D37" s="54">
        <f t="shared" ref="D37:D42" si="11">VALUE(CONCATENATE(B37,C37))</f>
        <v>0</v>
      </c>
      <c r="E37" s="54">
        <f>COUNTIF(K37:V37,"&gt;100%")</f>
        <v>0</v>
      </c>
      <c r="F37" s="54">
        <f>COUNTIF($I$37:I37,"&lt;&gt;")</f>
        <v>0</v>
      </c>
      <c r="G37" s="54">
        <f t="shared" ref="G37:G68" si="12">IF(VALUE(D37)=0,0,COUNTIF($D$37:$D$96,D37))</f>
        <v>0</v>
      </c>
      <c r="H37" s="237" t="str">
        <f>IF(AND(SUM(K37:U37)=0,SUM(K37:V37)&gt;0),DATE(YEAR(EXPEDIENTE!$F$25),12,1),IF(AND(SUM(K37:T37)=0,SUM(K37:V37)&gt;0),DATE(YEAR(EXPEDIENTE!$F$25),11,1),IF(AND(SUM(K37:S37)=0,SUM(K37:V37)&gt;0),DATE(YEAR(EXPEDIENTE!$F$25),10,1),IF(AND(SUM(K37:R37)=0,SUM(K37:V37)&gt;0),DATE(YEAR(EXPEDIENTE!$F$25),9,1),IF(AND(SUM(K37:Q37)=0,SUM(K37:V37)&gt;0),DATE(YEAR(EXPEDIENTE!$F$25),8,1),IF(AND(SUM(K37:P37)=0,SUM(K37:V37)&gt;0),DATE(YEAR(EXPEDIENTE!$F$25),7,1),IF(AND(SUM(K37:O37)=0,SUM(K37:V37)&gt;0),DATE(YEAR(EXPEDIENTE!$F$25),6,1),IF(AND(SUM(K37:N37)=0,SUM(K37:V37)&gt;0),DATE(YEAR(EXPEDIENTE!$F$25),5,1),IF(AND(SUM(K37:M37)=0,SUM(K37:V37)&gt;0),DATE(YEAR(EXPEDIENTE!$F$25),4,1),IF(AND(SUM(K37:L37)=0,SUM(K37:V37)&gt;0),DATE(YEAR(EXPEDIENTE!$F$25),3,1),IF(AND(SUM(K37:K37)=0,SUM(K37:V37)&gt;0),DATE(YEAR(EXPEDIENTE!$F$25),2,1),IF(K37&gt;0,DATE(YEAR(EXPEDIENTE!$F$25),1,1),""))))))))))))</f>
        <v/>
      </c>
      <c r="I37" s="336"/>
      <c r="J37" s="337"/>
      <c r="K37" s="215"/>
      <c r="L37" s="215"/>
      <c r="M37" s="215"/>
      <c r="N37" s="215"/>
      <c r="O37" s="215"/>
      <c r="P37" s="215"/>
      <c r="Q37" s="215"/>
      <c r="R37" s="215"/>
      <c r="S37" s="215"/>
      <c r="T37" s="215"/>
      <c r="U37" s="215"/>
      <c r="V37" s="216"/>
      <c r="X37" s="36" t="str">
        <f>IF(AND(SUM(K37:V37)=0,I37=""),"",IF(G37&gt;1,"ERROR: LA LÍNEA SE HA SELECCIONADO EN MÁS DE UNA OCASIÓN",IF(AND(SUM(K37:V37)&gt;0,I37=""),"ERROR: SE HA REFLEJADO % DEDICACIÓN SIN IDENTIFICAR LA LÍNEA",IF(H37&lt;$J$9,"ERROR: EXISTE DEDICACIÓN AL PROYECTO ANTERIOR A LA FECHA DE EMISÓN DE FORMULARIO",IF(E37&gt;0,"ERROR: EL PORCENTAJE INDICADO ES SUPERIOR AL 100%","")))))</f>
        <v/>
      </c>
    </row>
    <row r="38" spans="2:24" ht="35.1" customHeight="1" x14ac:dyDescent="0.25">
      <c r="B38" s="54">
        <f t="shared" si="9"/>
        <v>0</v>
      </c>
      <c r="C38" s="54" t="str">
        <f t="shared" si="10"/>
        <v/>
      </c>
      <c r="D38" s="54">
        <f t="shared" si="11"/>
        <v>0</v>
      </c>
      <c r="E38" s="54">
        <f t="shared" ref="E38:E96" si="13">COUNTIF(K38:V38,"&gt;100%")</f>
        <v>0</v>
      </c>
      <c r="F38" s="54">
        <f>COUNTIF($I$37:I38,"&lt;&gt;")</f>
        <v>0</v>
      </c>
      <c r="G38" s="54">
        <f t="shared" si="12"/>
        <v>0</v>
      </c>
      <c r="H38" s="237" t="str">
        <f>IF(AND(SUM(K38:U38)=0,SUM(K38:V38)&gt;0),DATE(YEAR(EXPEDIENTE!$F$25),12,1),IF(AND(SUM(K38:T38)=0,SUM(K38:V38)&gt;0),DATE(YEAR(EXPEDIENTE!$F$25),11,1),IF(AND(SUM(K38:S38)=0,SUM(K38:V38)&gt;0),DATE(YEAR(EXPEDIENTE!$F$25),10,1),IF(AND(SUM(K38:R38)=0,SUM(K38:V38)&gt;0),DATE(YEAR(EXPEDIENTE!$F$25),9,1),IF(AND(SUM(K38:Q38)=0,SUM(K38:V38)&gt;0),DATE(YEAR(EXPEDIENTE!$F$25),8,1),IF(AND(SUM(K38:P38)=0,SUM(K38:V38)&gt;0),DATE(YEAR(EXPEDIENTE!$F$25),7,1),IF(AND(SUM(K38:O38)=0,SUM(K38:V38)&gt;0),DATE(YEAR(EXPEDIENTE!$F$25),6,1),IF(AND(SUM(K38:N38)=0,SUM(K38:V38)&gt;0),DATE(YEAR(EXPEDIENTE!$F$25),5,1),IF(AND(SUM(K38:M38)=0,SUM(K38:V38)&gt;0),DATE(YEAR(EXPEDIENTE!$F$25),4,1),IF(AND(SUM(K38:L38)=0,SUM(K38:V38)&gt;0),DATE(YEAR(EXPEDIENTE!$F$25),3,1),IF(AND(SUM(K38:K38)=0,SUM(K38:V38)&gt;0),DATE(YEAR(EXPEDIENTE!$F$25),2,1),IF(K38&gt;0,DATE(YEAR(EXPEDIENTE!$F$25),1,1),""))))))))))))</f>
        <v/>
      </c>
      <c r="I38" s="338"/>
      <c r="J38" s="339"/>
      <c r="K38" s="185"/>
      <c r="L38" s="185"/>
      <c r="M38" s="185"/>
      <c r="N38" s="185"/>
      <c r="O38" s="185"/>
      <c r="P38" s="185"/>
      <c r="Q38" s="185"/>
      <c r="R38" s="185"/>
      <c r="S38" s="185"/>
      <c r="T38" s="185"/>
      <c r="U38" s="185"/>
      <c r="V38" s="186"/>
      <c r="X38" s="36" t="str">
        <f t="shared" ref="X38:X96" si="14">IF(AND(SUM(K38:V38)=0,I38=""),"",IF(G38&gt;1,"ERROR: LA LÍNEA SE HA SELECCIONADO EN MÁS DE UNA OCASIÓN",IF(AND(SUM(K38:V38)&gt;0,I38=""),"ERROR: SE HA REFLEJADO % DEDICACIÓN SIN IDENTIFICAR LA LÍNEA",IF(H38&lt;$J$9,"ERROR: EXISTE DEDICACIÓN AL PROYECTO ANTERIOR A LA FECHA DE EMISÓN DE FORMULARIO",IF(E38&gt;0,"ERROR: EL PORCENTAJE INDICADO ES SUPERIOR AL 100%","")))))</f>
        <v/>
      </c>
    </row>
    <row r="39" spans="2:24" ht="35.1" customHeight="1" x14ac:dyDescent="0.25">
      <c r="B39" s="54">
        <f t="shared" si="9"/>
        <v>0</v>
      </c>
      <c r="C39" s="54" t="str">
        <f t="shared" si="10"/>
        <v/>
      </c>
      <c r="D39" s="54">
        <f t="shared" si="11"/>
        <v>0</v>
      </c>
      <c r="E39" s="54">
        <f t="shared" si="13"/>
        <v>0</v>
      </c>
      <c r="F39" s="54">
        <f>COUNTIF($I$37:I39,"&lt;&gt;")</f>
        <v>0</v>
      </c>
      <c r="G39" s="54">
        <f t="shared" si="12"/>
        <v>0</v>
      </c>
      <c r="H39" s="237" t="str">
        <f>IF(AND(SUM(K39:U39)=0,SUM(K39:V39)&gt;0),DATE(YEAR(EXPEDIENTE!$F$25),12,1),IF(AND(SUM(K39:T39)=0,SUM(K39:V39)&gt;0),DATE(YEAR(EXPEDIENTE!$F$25),11,1),IF(AND(SUM(K39:S39)=0,SUM(K39:V39)&gt;0),DATE(YEAR(EXPEDIENTE!$F$25),10,1),IF(AND(SUM(K39:R39)=0,SUM(K39:V39)&gt;0),DATE(YEAR(EXPEDIENTE!$F$25),9,1),IF(AND(SUM(K39:Q39)=0,SUM(K39:V39)&gt;0),DATE(YEAR(EXPEDIENTE!$F$25),8,1),IF(AND(SUM(K39:P39)=0,SUM(K39:V39)&gt;0),DATE(YEAR(EXPEDIENTE!$F$25),7,1),IF(AND(SUM(K39:O39)=0,SUM(K39:V39)&gt;0),DATE(YEAR(EXPEDIENTE!$F$25),6,1),IF(AND(SUM(K39:N39)=0,SUM(K39:V39)&gt;0),DATE(YEAR(EXPEDIENTE!$F$25),5,1),IF(AND(SUM(K39:M39)=0,SUM(K39:V39)&gt;0),DATE(YEAR(EXPEDIENTE!$F$25),4,1),IF(AND(SUM(K39:L39)=0,SUM(K39:V39)&gt;0),DATE(YEAR(EXPEDIENTE!$F$25),3,1),IF(AND(SUM(K39:K39)=0,SUM(K39:V39)&gt;0),DATE(YEAR(EXPEDIENTE!$F$25),2,1),IF(K39&gt;0,DATE(YEAR(EXPEDIENTE!$F$25),1,1),""))))))))))))</f>
        <v/>
      </c>
      <c r="I39" s="338"/>
      <c r="J39" s="339"/>
      <c r="K39" s="185"/>
      <c r="L39" s="185"/>
      <c r="M39" s="185"/>
      <c r="N39" s="185"/>
      <c r="O39" s="185"/>
      <c r="P39" s="185"/>
      <c r="Q39" s="185"/>
      <c r="R39" s="185"/>
      <c r="S39" s="185"/>
      <c r="T39" s="185"/>
      <c r="U39" s="185"/>
      <c r="V39" s="186"/>
      <c r="X39" s="36" t="str">
        <f t="shared" si="14"/>
        <v/>
      </c>
    </row>
    <row r="40" spans="2:24" ht="35.1" customHeight="1" x14ac:dyDescent="0.25">
      <c r="B40" s="54">
        <f t="shared" si="9"/>
        <v>0</v>
      </c>
      <c r="C40" s="54" t="str">
        <f t="shared" si="10"/>
        <v/>
      </c>
      <c r="D40" s="54">
        <f t="shared" si="11"/>
        <v>0</v>
      </c>
      <c r="E40" s="54">
        <f t="shared" si="13"/>
        <v>0</v>
      </c>
      <c r="F40" s="54">
        <f>COUNTIF($I$37:I40,"&lt;&gt;")</f>
        <v>0</v>
      </c>
      <c r="G40" s="54">
        <f t="shared" si="12"/>
        <v>0</v>
      </c>
      <c r="H40" s="237" t="str">
        <f>IF(AND(SUM(K40:U40)=0,SUM(K40:V40)&gt;0),DATE(YEAR(EXPEDIENTE!$F$25),12,1),IF(AND(SUM(K40:T40)=0,SUM(K40:V40)&gt;0),DATE(YEAR(EXPEDIENTE!$F$25),11,1),IF(AND(SUM(K40:S40)=0,SUM(K40:V40)&gt;0),DATE(YEAR(EXPEDIENTE!$F$25),10,1),IF(AND(SUM(K40:R40)=0,SUM(K40:V40)&gt;0),DATE(YEAR(EXPEDIENTE!$F$25),9,1),IF(AND(SUM(K40:Q40)=0,SUM(K40:V40)&gt;0),DATE(YEAR(EXPEDIENTE!$F$25),8,1),IF(AND(SUM(K40:P40)=0,SUM(K40:V40)&gt;0),DATE(YEAR(EXPEDIENTE!$F$25),7,1),IF(AND(SUM(K40:O40)=0,SUM(K40:V40)&gt;0),DATE(YEAR(EXPEDIENTE!$F$25),6,1),IF(AND(SUM(K40:N40)=0,SUM(K40:V40)&gt;0),DATE(YEAR(EXPEDIENTE!$F$25),5,1),IF(AND(SUM(K40:M40)=0,SUM(K40:V40)&gt;0),DATE(YEAR(EXPEDIENTE!$F$25),4,1),IF(AND(SUM(K40:L40)=0,SUM(K40:V40)&gt;0),DATE(YEAR(EXPEDIENTE!$F$25),3,1),IF(AND(SUM(K40:K40)=0,SUM(K40:V40)&gt;0),DATE(YEAR(EXPEDIENTE!$F$25),2,1),IF(K40&gt;0,DATE(YEAR(EXPEDIENTE!$F$25),1,1),""))))))))))))</f>
        <v/>
      </c>
      <c r="I40" s="338"/>
      <c r="J40" s="339"/>
      <c r="K40" s="185"/>
      <c r="L40" s="185"/>
      <c r="M40" s="185"/>
      <c r="N40" s="185"/>
      <c r="O40" s="185"/>
      <c r="P40" s="185"/>
      <c r="Q40" s="185"/>
      <c r="R40" s="185"/>
      <c r="S40" s="185"/>
      <c r="T40" s="185"/>
      <c r="U40" s="185"/>
      <c r="V40" s="186"/>
      <c r="X40" s="36" t="str">
        <f t="shared" si="14"/>
        <v/>
      </c>
    </row>
    <row r="41" spans="2:24" ht="35.1" customHeight="1" x14ac:dyDescent="0.25">
      <c r="B41" s="54">
        <f t="shared" si="9"/>
        <v>0</v>
      </c>
      <c r="C41" s="54" t="str">
        <f t="shared" si="10"/>
        <v/>
      </c>
      <c r="D41" s="54">
        <f t="shared" si="11"/>
        <v>0</v>
      </c>
      <c r="E41" s="54">
        <f t="shared" si="13"/>
        <v>0</v>
      </c>
      <c r="F41" s="54">
        <f>COUNTIF($I$37:I41,"&lt;&gt;")</f>
        <v>0</v>
      </c>
      <c r="G41" s="54">
        <f t="shared" si="12"/>
        <v>0</v>
      </c>
      <c r="H41" s="237" t="str">
        <f>IF(AND(SUM(K41:U41)=0,SUM(K41:V41)&gt;0),DATE(YEAR(EXPEDIENTE!$F$25),12,1),IF(AND(SUM(K41:T41)=0,SUM(K41:V41)&gt;0),DATE(YEAR(EXPEDIENTE!$F$25),11,1),IF(AND(SUM(K41:S41)=0,SUM(K41:V41)&gt;0),DATE(YEAR(EXPEDIENTE!$F$25),10,1),IF(AND(SUM(K41:R41)=0,SUM(K41:V41)&gt;0),DATE(YEAR(EXPEDIENTE!$F$25),9,1),IF(AND(SUM(K41:Q41)=0,SUM(K41:V41)&gt;0),DATE(YEAR(EXPEDIENTE!$F$25),8,1),IF(AND(SUM(K41:P41)=0,SUM(K41:V41)&gt;0),DATE(YEAR(EXPEDIENTE!$F$25),7,1),IF(AND(SUM(K41:O41)=0,SUM(K41:V41)&gt;0),DATE(YEAR(EXPEDIENTE!$F$25),6,1),IF(AND(SUM(K41:N41)=0,SUM(K41:V41)&gt;0),DATE(YEAR(EXPEDIENTE!$F$25),5,1),IF(AND(SUM(K41:M41)=0,SUM(K41:V41)&gt;0),DATE(YEAR(EXPEDIENTE!$F$25),4,1),IF(AND(SUM(K41:L41)=0,SUM(K41:V41)&gt;0),DATE(YEAR(EXPEDIENTE!$F$25),3,1),IF(AND(SUM(K41:K41)=0,SUM(K41:V41)&gt;0),DATE(YEAR(EXPEDIENTE!$F$25),2,1),IF(K41&gt;0,DATE(YEAR(EXPEDIENTE!$F$25),1,1),""))))))))))))</f>
        <v/>
      </c>
      <c r="I41" s="338"/>
      <c r="J41" s="339"/>
      <c r="K41" s="185"/>
      <c r="L41" s="185"/>
      <c r="M41" s="185"/>
      <c r="N41" s="185"/>
      <c r="O41" s="185"/>
      <c r="P41" s="185"/>
      <c r="Q41" s="185"/>
      <c r="R41" s="185"/>
      <c r="S41" s="185"/>
      <c r="T41" s="185"/>
      <c r="U41" s="185"/>
      <c r="V41" s="186"/>
      <c r="X41" s="36" t="str">
        <f t="shared" si="14"/>
        <v/>
      </c>
    </row>
    <row r="42" spans="2:24" ht="35.1" customHeight="1" x14ac:dyDescent="0.25">
      <c r="B42" s="54">
        <f t="shared" si="9"/>
        <v>0</v>
      </c>
      <c r="C42" s="54" t="str">
        <f t="shared" si="10"/>
        <v/>
      </c>
      <c r="D42" s="54">
        <f t="shared" si="11"/>
        <v>0</v>
      </c>
      <c r="E42" s="54">
        <f t="shared" si="13"/>
        <v>0</v>
      </c>
      <c r="F42" s="54">
        <f>COUNTIF($I$37:I42,"&lt;&gt;")</f>
        <v>0</v>
      </c>
      <c r="G42" s="54">
        <f t="shared" si="12"/>
        <v>0</v>
      </c>
      <c r="H42" s="237" t="str">
        <f>IF(AND(SUM(K42:U42)=0,SUM(K42:V42)&gt;0),DATE(YEAR(EXPEDIENTE!$F$25),12,1),IF(AND(SUM(K42:T42)=0,SUM(K42:V42)&gt;0),DATE(YEAR(EXPEDIENTE!$F$25),11,1),IF(AND(SUM(K42:S42)=0,SUM(K42:V42)&gt;0),DATE(YEAR(EXPEDIENTE!$F$25),10,1),IF(AND(SUM(K42:R42)=0,SUM(K42:V42)&gt;0),DATE(YEAR(EXPEDIENTE!$F$25),9,1),IF(AND(SUM(K42:Q42)=0,SUM(K42:V42)&gt;0),DATE(YEAR(EXPEDIENTE!$F$25),8,1),IF(AND(SUM(K42:P42)=0,SUM(K42:V42)&gt;0),DATE(YEAR(EXPEDIENTE!$F$25),7,1),IF(AND(SUM(K42:O42)=0,SUM(K42:V42)&gt;0),DATE(YEAR(EXPEDIENTE!$F$25),6,1),IF(AND(SUM(K42:N42)=0,SUM(K42:V42)&gt;0),DATE(YEAR(EXPEDIENTE!$F$25),5,1),IF(AND(SUM(K42:M42)=0,SUM(K42:V42)&gt;0),DATE(YEAR(EXPEDIENTE!$F$25),4,1),IF(AND(SUM(K42:L42)=0,SUM(K42:V42)&gt;0),DATE(YEAR(EXPEDIENTE!$F$25),3,1),IF(AND(SUM(K42:K42)=0,SUM(K42:V42)&gt;0),DATE(YEAR(EXPEDIENTE!$F$25),2,1),IF(K42&gt;0,DATE(YEAR(EXPEDIENTE!$F$25),1,1),""))))))))))))</f>
        <v/>
      </c>
      <c r="I42" s="338"/>
      <c r="J42" s="339"/>
      <c r="K42" s="185"/>
      <c r="L42" s="185"/>
      <c r="M42" s="185"/>
      <c r="N42" s="185"/>
      <c r="O42" s="185"/>
      <c r="P42" s="185"/>
      <c r="Q42" s="185"/>
      <c r="R42" s="185"/>
      <c r="S42" s="185"/>
      <c r="T42" s="185"/>
      <c r="U42" s="185"/>
      <c r="V42" s="186"/>
      <c r="X42" s="36" t="str">
        <f t="shared" si="14"/>
        <v/>
      </c>
    </row>
    <row r="43" spans="2:24" ht="35.1" customHeight="1" x14ac:dyDescent="0.25">
      <c r="B43" s="54">
        <f t="shared" si="9"/>
        <v>0</v>
      </c>
      <c r="C43" s="54" t="str">
        <f t="shared" si="10"/>
        <v/>
      </c>
      <c r="D43" s="54">
        <f>VALUE(CONCATENATE(B43,C43))</f>
        <v>0</v>
      </c>
      <c r="E43" s="54">
        <f t="shared" si="13"/>
        <v>0</v>
      </c>
      <c r="F43" s="54">
        <f>COUNTIF($I$37:I43,"&lt;&gt;")</f>
        <v>0</v>
      </c>
      <c r="G43" s="54">
        <f t="shared" si="12"/>
        <v>0</v>
      </c>
      <c r="H43" s="237" t="str">
        <f>IF(AND(SUM(K43:U43)=0,SUM(K43:V43)&gt;0),DATE(YEAR(EXPEDIENTE!$F$25),12,1),IF(AND(SUM(K43:T43)=0,SUM(K43:V43)&gt;0),DATE(YEAR(EXPEDIENTE!$F$25),11,1),IF(AND(SUM(K43:S43)=0,SUM(K43:V43)&gt;0),DATE(YEAR(EXPEDIENTE!$F$25),10,1),IF(AND(SUM(K43:R43)=0,SUM(K43:V43)&gt;0),DATE(YEAR(EXPEDIENTE!$F$25),9,1),IF(AND(SUM(K43:Q43)=0,SUM(K43:V43)&gt;0),DATE(YEAR(EXPEDIENTE!$F$25),8,1),IF(AND(SUM(K43:P43)=0,SUM(K43:V43)&gt;0),DATE(YEAR(EXPEDIENTE!$F$25),7,1),IF(AND(SUM(K43:O43)=0,SUM(K43:V43)&gt;0),DATE(YEAR(EXPEDIENTE!$F$25),6,1),IF(AND(SUM(K43:N43)=0,SUM(K43:V43)&gt;0),DATE(YEAR(EXPEDIENTE!$F$25),5,1),IF(AND(SUM(K43:M43)=0,SUM(K43:V43)&gt;0),DATE(YEAR(EXPEDIENTE!$F$25),4,1),IF(AND(SUM(K43:L43)=0,SUM(K43:V43)&gt;0),DATE(YEAR(EXPEDIENTE!$F$25),3,1),IF(AND(SUM(K43:K43)=0,SUM(K43:V43)&gt;0),DATE(YEAR(EXPEDIENTE!$F$25),2,1),IF(K43&gt;0,DATE(YEAR(EXPEDIENTE!$F$25),1,1),""))))))))))))</f>
        <v/>
      </c>
      <c r="I43" s="338"/>
      <c r="J43" s="339"/>
      <c r="K43" s="185"/>
      <c r="L43" s="185"/>
      <c r="M43" s="185"/>
      <c r="N43" s="185"/>
      <c r="O43" s="185"/>
      <c r="P43" s="185"/>
      <c r="Q43" s="185"/>
      <c r="R43" s="185"/>
      <c r="S43" s="185"/>
      <c r="T43" s="185"/>
      <c r="U43" s="185"/>
      <c r="V43" s="186"/>
      <c r="X43" s="36" t="str">
        <f t="shared" si="14"/>
        <v/>
      </c>
    </row>
    <row r="44" spans="2:24" ht="35.1" customHeight="1" x14ac:dyDescent="0.25">
      <c r="B44" s="54">
        <f t="shared" si="9"/>
        <v>0</v>
      </c>
      <c r="C44" s="54" t="str">
        <f t="shared" si="10"/>
        <v/>
      </c>
      <c r="D44" s="54">
        <f t="shared" ref="D44:D96" si="15">VALUE(CONCATENATE(B44,C44))</f>
        <v>0</v>
      </c>
      <c r="E44" s="54">
        <f t="shared" si="13"/>
        <v>0</v>
      </c>
      <c r="F44" s="54">
        <f>COUNTIF($I$37:I44,"&lt;&gt;")</f>
        <v>0</v>
      </c>
      <c r="G44" s="54">
        <f t="shared" si="12"/>
        <v>0</v>
      </c>
      <c r="H44" s="237" t="str">
        <f>IF(AND(SUM(K44:U44)=0,SUM(K44:V44)&gt;0),DATE(YEAR(EXPEDIENTE!$F$25),12,1),IF(AND(SUM(K44:T44)=0,SUM(K44:V44)&gt;0),DATE(YEAR(EXPEDIENTE!$F$25),11,1),IF(AND(SUM(K44:S44)=0,SUM(K44:V44)&gt;0),DATE(YEAR(EXPEDIENTE!$F$25),10,1),IF(AND(SUM(K44:R44)=0,SUM(K44:V44)&gt;0),DATE(YEAR(EXPEDIENTE!$F$25),9,1),IF(AND(SUM(K44:Q44)=0,SUM(K44:V44)&gt;0),DATE(YEAR(EXPEDIENTE!$F$25),8,1),IF(AND(SUM(K44:P44)=0,SUM(K44:V44)&gt;0),DATE(YEAR(EXPEDIENTE!$F$25),7,1),IF(AND(SUM(K44:O44)=0,SUM(K44:V44)&gt;0),DATE(YEAR(EXPEDIENTE!$F$25),6,1),IF(AND(SUM(K44:N44)=0,SUM(K44:V44)&gt;0),DATE(YEAR(EXPEDIENTE!$F$25),5,1),IF(AND(SUM(K44:M44)=0,SUM(K44:V44)&gt;0),DATE(YEAR(EXPEDIENTE!$F$25),4,1),IF(AND(SUM(K44:L44)=0,SUM(K44:V44)&gt;0),DATE(YEAR(EXPEDIENTE!$F$25),3,1),IF(AND(SUM(K44:K44)=0,SUM(K44:V44)&gt;0),DATE(YEAR(EXPEDIENTE!$F$25),2,1),IF(K44&gt;0,DATE(YEAR(EXPEDIENTE!$F$25),1,1),""))))))))))))</f>
        <v/>
      </c>
      <c r="I44" s="338"/>
      <c r="J44" s="339"/>
      <c r="K44" s="185"/>
      <c r="L44" s="185"/>
      <c r="M44" s="185"/>
      <c r="N44" s="185"/>
      <c r="O44" s="185"/>
      <c r="P44" s="185"/>
      <c r="Q44" s="185"/>
      <c r="R44" s="185"/>
      <c r="S44" s="185"/>
      <c r="T44" s="185"/>
      <c r="U44" s="185"/>
      <c r="V44" s="186"/>
      <c r="X44" s="36" t="str">
        <f t="shared" si="14"/>
        <v/>
      </c>
    </row>
    <row r="45" spans="2:24" ht="35.1" customHeight="1" x14ac:dyDescent="0.25">
      <c r="B45" s="54">
        <f t="shared" si="9"/>
        <v>0</v>
      </c>
      <c r="C45" s="54" t="str">
        <f t="shared" si="10"/>
        <v/>
      </c>
      <c r="D45" s="54">
        <f t="shared" si="15"/>
        <v>0</v>
      </c>
      <c r="E45" s="54">
        <f t="shared" si="13"/>
        <v>0</v>
      </c>
      <c r="F45" s="54">
        <f>COUNTIF($I$37:I45,"&lt;&gt;")</f>
        <v>0</v>
      </c>
      <c r="G45" s="54">
        <f t="shared" si="12"/>
        <v>0</v>
      </c>
      <c r="H45" s="237" t="str">
        <f>IF(AND(SUM(K45:U45)=0,SUM(K45:V45)&gt;0),DATE(YEAR(EXPEDIENTE!$F$25),12,1),IF(AND(SUM(K45:T45)=0,SUM(K45:V45)&gt;0),DATE(YEAR(EXPEDIENTE!$F$25),11,1),IF(AND(SUM(K45:S45)=0,SUM(K45:V45)&gt;0),DATE(YEAR(EXPEDIENTE!$F$25),10,1),IF(AND(SUM(K45:R45)=0,SUM(K45:V45)&gt;0),DATE(YEAR(EXPEDIENTE!$F$25),9,1),IF(AND(SUM(K45:Q45)=0,SUM(K45:V45)&gt;0),DATE(YEAR(EXPEDIENTE!$F$25),8,1),IF(AND(SUM(K45:P45)=0,SUM(K45:V45)&gt;0),DATE(YEAR(EXPEDIENTE!$F$25),7,1),IF(AND(SUM(K45:O45)=0,SUM(K45:V45)&gt;0),DATE(YEAR(EXPEDIENTE!$F$25),6,1),IF(AND(SUM(K45:N45)=0,SUM(K45:V45)&gt;0),DATE(YEAR(EXPEDIENTE!$F$25),5,1),IF(AND(SUM(K45:M45)=0,SUM(K45:V45)&gt;0),DATE(YEAR(EXPEDIENTE!$F$25),4,1),IF(AND(SUM(K45:L45)=0,SUM(K45:V45)&gt;0),DATE(YEAR(EXPEDIENTE!$F$25),3,1),IF(AND(SUM(K45:K45)=0,SUM(K45:V45)&gt;0),DATE(YEAR(EXPEDIENTE!$F$25),2,1),IF(K45&gt;0,DATE(YEAR(EXPEDIENTE!$F$25),1,1),""))))))))))))</f>
        <v/>
      </c>
      <c r="I45" s="338"/>
      <c r="J45" s="339"/>
      <c r="K45" s="185"/>
      <c r="L45" s="185"/>
      <c r="M45" s="185"/>
      <c r="N45" s="185"/>
      <c r="O45" s="185"/>
      <c r="P45" s="185"/>
      <c r="Q45" s="185"/>
      <c r="R45" s="185"/>
      <c r="S45" s="185"/>
      <c r="T45" s="185"/>
      <c r="U45" s="185"/>
      <c r="V45" s="186"/>
      <c r="X45" s="36" t="str">
        <f t="shared" si="14"/>
        <v/>
      </c>
    </row>
    <row r="46" spans="2:24" ht="35.1" customHeight="1" x14ac:dyDescent="0.25">
      <c r="B46" s="54">
        <f t="shared" si="9"/>
        <v>0</v>
      </c>
      <c r="C46" s="54" t="str">
        <f t="shared" si="10"/>
        <v/>
      </c>
      <c r="D46" s="54">
        <f t="shared" si="15"/>
        <v>0</v>
      </c>
      <c r="E46" s="54">
        <f t="shared" si="13"/>
        <v>0</v>
      </c>
      <c r="F46" s="54">
        <f>COUNTIF($I$37:I46,"&lt;&gt;")</f>
        <v>0</v>
      </c>
      <c r="G46" s="54">
        <f t="shared" si="12"/>
        <v>0</v>
      </c>
      <c r="H46" s="237" t="str">
        <f>IF(AND(SUM(K46:U46)=0,SUM(K46:V46)&gt;0),DATE(YEAR(EXPEDIENTE!$F$25),12,1),IF(AND(SUM(K46:T46)=0,SUM(K46:V46)&gt;0),DATE(YEAR(EXPEDIENTE!$F$25),11,1),IF(AND(SUM(K46:S46)=0,SUM(K46:V46)&gt;0),DATE(YEAR(EXPEDIENTE!$F$25),10,1),IF(AND(SUM(K46:R46)=0,SUM(K46:V46)&gt;0),DATE(YEAR(EXPEDIENTE!$F$25),9,1),IF(AND(SUM(K46:Q46)=0,SUM(K46:V46)&gt;0),DATE(YEAR(EXPEDIENTE!$F$25),8,1),IF(AND(SUM(K46:P46)=0,SUM(K46:V46)&gt;0),DATE(YEAR(EXPEDIENTE!$F$25),7,1),IF(AND(SUM(K46:O46)=0,SUM(K46:V46)&gt;0),DATE(YEAR(EXPEDIENTE!$F$25),6,1),IF(AND(SUM(K46:N46)=0,SUM(K46:V46)&gt;0),DATE(YEAR(EXPEDIENTE!$F$25),5,1),IF(AND(SUM(K46:M46)=0,SUM(K46:V46)&gt;0),DATE(YEAR(EXPEDIENTE!$F$25),4,1),IF(AND(SUM(K46:L46)=0,SUM(K46:V46)&gt;0),DATE(YEAR(EXPEDIENTE!$F$25),3,1),IF(AND(SUM(K46:K46)=0,SUM(K46:V46)&gt;0),DATE(YEAR(EXPEDIENTE!$F$25),2,1),IF(K46&gt;0,DATE(YEAR(EXPEDIENTE!$F$25),1,1),""))))))))))))</f>
        <v/>
      </c>
      <c r="I46" s="338"/>
      <c r="J46" s="339"/>
      <c r="K46" s="185"/>
      <c r="L46" s="185"/>
      <c r="M46" s="185"/>
      <c r="N46" s="185"/>
      <c r="O46" s="185"/>
      <c r="P46" s="185"/>
      <c r="Q46" s="185"/>
      <c r="R46" s="185"/>
      <c r="S46" s="185"/>
      <c r="T46" s="185"/>
      <c r="U46" s="185"/>
      <c r="V46" s="186"/>
      <c r="X46" s="36" t="str">
        <f t="shared" si="14"/>
        <v/>
      </c>
    </row>
    <row r="47" spans="2:24" ht="35.1" customHeight="1" x14ac:dyDescent="0.25">
      <c r="B47" s="54">
        <f t="shared" si="9"/>
        <v>0</v>
      </c>
      <c r="C47" s="54" t="str">
        <f t="shared" si="10"/>
        <v/>
      </c>
      <c r="D47" s="54">
        <f t="shared" si="15"/>
        <v>0</v>
      </c>
      <c r="E47" s="54">
        <f t="shared" si="13"/>
        <v>0</v>
      </c>
      <c r="F47" s="54">
        <f>COUNTIF($I$37:I47,"&lt;&gt;")</f>
        <v>0</v>
      </c>
      <c r="G47" s="54">
        <f t="shared" si="12"/>
        <v>0</v>
      </c>
      <c r="H47" s="237" t="str">
        <f>IF(AND(SUM(K47:U47)=0,SUM(K47:V47)&gt;0),DATE(YEAR(EXPEDIENTE!$F$25),12,1),IF(AND(SUM(K47:T47)=0,SUM(K47:V47)&gt;0),DATE(YEAR(EXPEDIENTE!$F$25),11,1),IF(AND(SUM(K47:S47)=0,SUM(K47:V47)&gt;0),DATE(YEAR(EXPEDIENTE!$F$25),10,1),IF(AND(SUM(K47:R47)=0,SUM(K47:V47)&gt;0),DATE(YEAR(EXPEDIENTE!$F$25),9,1),IF(AND(SUM(K47:Q47)=0,SUM(K47:V47)&gt;0),DATE(YEAR(EXPEDIENTE!$F$25),8,1),IF(AND(SUM(K47:P47)=0,SUM(K47:V47)&gt;0),DATE(YEAR(EXPEDIENTE!$F$25),7,1),IF(AND(SUM(K47:O47)=0,SUM(K47:V47)&gt;0),DATE(YEAR(EXPEDIENTE!$F$25),6,1),IF(AND(SUM(K47:N47)=0,SUM(K47:V47)&gt;0),DATE(YEAR(EXPEDIENTE!$F$25),5,1),IF(AND(SUM(K47:M47)=0,SUM(K47:V47)&gt;0),DATE(YEAR(EXPEDIENTE!$F$25),4,1),IF(AND(SUM(K47:L47)=0,SUM(K47:V47)&gt;0),DATE(YEAR(EXPEDIENTE!$F$25),3,1),IF(AND(SUM(K47:K47)=0,SUM(K47:V47)&gt;0),DATE(YEAR(EXPEDIENTE!$F$25),2,1),IF(K47&gt;0,DATE(YEAR(EXPEDIENTE!$F$25),1,1),""))))))))))))</f>
        <v/>
      </c>
      <c r="I47" s="338"/>
      <c r="J47" s="339"/>
      <c r="K47" s="185"/>
      <c r="L47" s="185"/>
      <c r="M47" s="185"/>
      <c r="N47" s="185"/>
      <c r="O47" s="185"/>
      <c r="P47" s="185"/>
      <c r="Q47" s="185"/>
      <c r="R47" s="185"/>
      <c r="S47" s="185"/>
      <c r="T47" s="185"/>
      <c r="U47" s="185"/>
      <c r="V47" s="186"/>
      <c r="X47" s="36" t="str">
        <f t="shared" si="14"/>
        <v/>
      </c>
    </row>
    <row r="48" spans="2:24" ht="35.1" customHeight="1" x14ac:dyDescent="0.25">
      <c r="B48" s="54">
        <f t="shared" si="9"/>
        <v>0</v>
      </c>
      <c r="C48" s="54" t="str">
        <f t="shared" si="10"/>
        <v/>
      </c>
      <c r="D48" s="54">
        <f t="shared" si="15"/>
        <v>0</v>
      </c>
      <c r="E48" s="54">
        <f t="shared" si="13"/>
        <v>0</v>
      </c>
      <c r="F48" s="54">
        <f>COUNTIF($I$37:I48,"&lt;&gt;")</f>
        <v>0</v>
      </c>
      <c r="G48" s="54">
        <f t="shared" si="12"/>
        <v>0</v>
      </c>
      <c r="H48" s="237" t="str">
        <f>IF(AND(SUM(K48:U48)=0,SUM(K48:V48)&gt;0),DATE(YEAR(EXPEDIENTE!$F$25),12,1),IF(AND(SUM(K48:T48)=0,SUM(K48:V48)&gt;0),DATE(YEAR(EXPEDIENTE!$F$25),11,1),IF(AND(SUM(K48:S48)=0,SUM(K48:V48)&gt;0),DATE(YEAR(EXPEDIENTE!$F$25),10,1),IF(AND(SUM(K48:R48)=0,SUM(K48:V48)&gt;0),DATE(YEAR(EXPEDIENTE!$F$25),9,1),IF(AND(SUM(K48:Q48)=0,SUM(K48:V48)&gt;0),DATE(YEAR(EXPEDIENTE!$F$25),8,1),IF(AND(SUM(K48:P48)=0,SUM(K48:V48)&gt;0),DATE(YEAR(EXPEDIENTE!$F$25),7,1),IF(AND(SUM(K48:O48)=0,SUM(K48:V48)&gt;0),DATE(YEAR(EXPEDIENTE!$F$25),6,1),IF(AND(SUM(K48:N48)=0,SUM(K48:V48)&gt;0),DATE(YEAR(EXPEDIENTE!$F$25),5,1),IF(AND(SUM(K48:M48)=0,SUM(K48:V48)&gt;0),DATE(YEAR(EXPEDIENTE!$F$25),4,1),IF(AND(SUM(K48:L48)=0,SUM(K48:V48)&gt;0),DATE(YEAR(EXPEDIENTE!$F$25),3,1),IF(AND(SUM(K48:K48)=0,SUM(K48:V48)&gt;0),DATE(YEAR(EXPEDIENTE!$F$25),2,1),IF(K48&gt;0,DATE(YEAR(EXPEDIENTE!$F$25),1,1),""))))))))))))</f>
        <v/>
      </c>
      <c r="I48" s="357"/>
      <c r="J48" s="358"/>
      <c r="K48" s="185"/>
      <c r="L48" s="185"/>
      <c r="M48" s="185"/>
      <c r="N48" s="185"/>
      <c r="O48" s="185"/>
      <c r="P48" s="185"/>
      <c r="Q48" s="185"/>
      <c r="R48" s="185"/>
      <c r="S48" s="185"/>
      <c r="T48" s="185"/>
      <c r="U48" s="185"/>
      <c r="V48" s="186"/>
      <c r="X48" s="36" t="str">
        <f t="shared" si="14"/>
        <v/>
      </c>
    </row>
    <row r="49" spans="2:24" ht="35.1" customHeight="1" x14ac:dyDescent="0.25">
      <c r="B49" s="54">
        <f t="shared" si="9"/>
        <v>0</v>
      </c>
      <c r="C49" s="54" t="str">
        <f t="shared" si="10"/>
        <v/>
      </c>
      <c r="D49" s="54">
        <f t="shared" si="15"/>
        <v>0</v>
      </c>
      <c r="E49" s="54">
        <f t="shared" si="13"/>
        <v>0</v>
      </c>
      <c r="F49" s="54">
        <f>COUNTIF($I$37:I49,"&lt;&gt;")</f>
        <v>0</v>
      </c>
      <c r="G49" s="54">
        <f t="shared" si="12"/>
        <v>0</v>
      </c>
      <c r="H49" s="237" t="str">
        <f>IF(AND(SUM(K49:U49)=0,SUM(K49:V49)&gt;0),DATE(YEAR(EXPEDIENTE!$F$25),12,1),IF(AND(SUM(K49:T49)=0,SUM(K49:V49)&gt;0),DATE(YEAR(EXPEDIENTE!$F$25),11,1),IF(AND(SUM(K49:S49)=0,SUM(K49:V49)&gt;0),DATE(YEAR(EXPEDIENTE!$F$25),10,1),IF(AND(SUM(K49:R49)=0,SUM(K49:V49)&gt;0),DATE(YEAR(EXPEDIENTE!$F$25),9,1),IF(AND(SUM(K49:Q49)=0,SUM(K49:V49)&gt;0),DATE(YEAR(EXPEDIENTE!$F$25),8,1),IF(AND(SUM(K49:P49)=0,SUM(K49:V49)&gt;0),DATE(YEAR(EXPEDIENTE!$F$25),7,1),IF(AND(SUM(K49:O49)=0,SUM(K49:V49)&gt;0),DATE(YEAR(EXPEDIENTE!$F$25),6,1),IF(AND(SUM(K49:N49)=0,SUM(K49:V49)&gt;0),DATE(YEAR(EXPEDIENTE!$F$25),5,1),IF(AND(SUM(K49:M49)=0,SUM(K49:V49)&gt;0),DATE(YEAR(EXPEDIENTE!$F$25),4,1),IF(AND(SUM(K49:L49)=0,SUM(K49:V49)&gt;0),DATE(YEAR(EXPEDIENTE!$F$25),3,1),IF(AND(SUM(K49:K49)=0,SUM(K49:V49)&gt;0),DATE(YEAR(EXPEDIENTE!$F$25),2,1),IF(K49&gt;0,DATE(YEAR(EXPEDIENTE!$F$25),1,1),""))))))))))))</f>
        <v/>
      </c>
      <c r="I49" s="357"/>
      <c r="J49" s="358"/>
      <c r="K49" s="185"/>
      <c r="L49" s="185"/>
      <c r="M49" s="185"/>
      <c r="N49" s="185"/>
      <c r="O49" s="185"/>
      <c r="P49" s="185"/>
      <c r="Q49" s="185"/>
      <c r="R49" s="185"/>
      <c r="S49" s="185"/>
      <c r="T49" s="185"/>
      <c r="U49" s="185"/>
      <c r="V49" s="186"/>
      <c r="X49" s="36" t="str">
        <f t="shared" si="14"/>
        <v/>
      </c>
    </row>
    <row r="50" spans="2:24" ht="35.1" customHeight="1" x14ac:dyDescent="0.25">
      <c r="B50" s="54">
        <f t="shared" si="9"/>
        <v>0</v>
      </c>
      <c r="C50" s="54" t="str">
        <f t="shared" si="10"/>
        <v/>
      </c>
      <c r="D50" s="54">
        <f t="shared" si="15"/>
        <v>0</v>
      </c>
      <c r="E50" s="54">
        <f t="shared" si="13"/>
        <v>0</v>
      </c>
      <c r="F50" s="54">
        <f>COUNTIF($I$37:I50,"&lt;&gt;")</f>
        <v>0</v>
      </c>
      <c r="G50" s="54">
        <f t="shared" si="12"/>
        <v>0</v>
      </c>
      <c r="H50" s="237" t="str">
        <f>IF(AND(SUM(K50:U50)=0,SUM(K50:V50)&gt;0),DATE(YEAR(EXPEDIENTE!$F$25),12,1),IF(AND(SUM(K50:T50)=0,SUM(K50:V50)&gt;0),DATE(YEAR(EXPEDIENTE!$F$25),11,1),IF(AND(SUM(K50:S50)=0,SUM(K50:V50)&gt;0),DATE(YEAR(EXPEDIENTE!$F$25),10,1),IF(AND(SUM(K50:R50)=0,SUM(K50:V50)&gt;0),DATE(YEAR(EXPEDIENTE!$F$25),9,1),IF(AND(SUM(K50:Q50)=0,SUM(K50:V50)&gt;0),DATE(YEAR(EXPEDIENTE!$F$25),8,1),IF(AND(SUM(K50:P50)=0,SUM(K50:V50)&gt;0),DATE(YEAR(EXPEDIENTE!$F$25),7,1),IF(AND(SUM(K50:O50)=0,SUM(K50:V50)&gt;0),DATE(YEAR(EXPEDIENTE!$F$25),6,1),IF(AND(SUM(K50:N50)=0,SUM(K50:V50)&gt;0),DATE(YEAR(EXPEDIENTE!$F$25),5,1),IF(AND(SUM(K50:M50)=0,SUM(K50:V50)&gt;0),DATE(YEAR(EXPEDIENTE!$F$25),4,1),IF(AND(SUM(K50:L50)=0,SUM(K50:V50)&gt;0),DATE(YEAR(EXPEDIENTE!$F$25),3,1),IF(AND(SUM(K50:K50)=0,SUM(K50:V50)&gt;0),DATE(YEAR(EXPEDIENTE!$F$25),2,1),IF(K50&gt;0,DATE(YEAR(EXPEDIENTE!$F$25),1,1),""))))))))))))</f>
        <v/>
      </c>
      <c r="I50" s="338"/>
      <c r="J50" s="339"/>
      <c r="K50" s="185"/>
      <c r="L50" s="185"/>
      <c r="M50" s="185"/>
      <c r="N50" s="185"/>
      <c r="O50" s="185"/>
      <c r="P50" s="185"/>
      <c r="Q50" s="185"/>
      <c r="R50" s="185"/>
      <c r="S50" s="185"/>
      <c r="T50" s="185"/>
      <c r="U50" s="185"/>
      <c r="V50" s="186"/>
      <c r="X50" s="36" t="str">
        <f t="shared" si="14"/>
        <v/>
      </c>
    </row>
    <row r="51" spans="2:24" ht="35.1" customHeight="1" x14ac:dyDescent="0.25">
      <c r="B51" s="54">
        <f t="shared" si="9"/>
        <v>0</v>
      </c>
      <c r="C51" s="54" t="str">
        <f t="shared" si="10"/>
        <v/>
      </c>
      <c r="D51" s="54">
        <f t="shared" si="15"/>
        <v>0</v>
      </c>
      <c r="E51" s="54">
        <f t="shared" si="13"/>
        <v>0</v>
      </c>
      <c r="F51" s="54">
        <f>COUNTIF($I$37:I51,"&lt;&gt;")</f>
        <v>0</v>
      </c>
      <c r="G51" s="54">
        <f t="shared" si="12"/>
        <v>0</v>
      </c>
      <c r="H51" s="237" t="str">
        <f>IF(AND(SUM(K51:U51)=0,SUM(K51:V51)&gt;0),DATE(YEAR(EXPEDIENTE!$F$25),12,1),IF(AND(SUM(K51:T51)=0,SUM(K51:V51)&gt;0),DATE(YEAR(EXPEDIENTE!$F$25),11,1),IF(AND(SUM(K51:S51)=0,SUM(K51:V51)&gt;0),DATE(YEAR(EXPEDIENTE!$F$25),10,1),IF(AND(SUM(K51:R51)=0,SUM(K51:V51)&gt;0),DATE(YEAR(EXPEDIENTE!$F$25),9,1),IF(AND(SUM(K51:Q51)=0,SUM(K51:V51)&gt;0),DATE(YEAR(EXPEDIENTE!$F$25),8,1),IF(AND(SUM(K51:P51)=0,SUM(K51:V51)&gt;0),DATE(YEAR(EXPEDIENTE!$F$25),7,1),IF(AND(SUM(K51:O51)=0,SUM(K51:V51)&gt;0),DATE(YEAR(EXPEDIENTE!$F$25),6,1),IF(AND(SUM(K51:N51)=0,SUM(K51:V51)&gt;0),DATE(YEAR(EXPEDIENTE!$F$25),5,1),IF(AND(SUM(K51:M51)=0,SUM(K51:V51)&gt;0),DATE(YEAR(EXPEDIENTE!$F$25),4,1),IF(AND(SUM(K51:L51)=0,SUM(K51:V51)&gt;0),DATE(YEAR(EXPEDIENTE!$F$25),3,1),IF(AND(SUM(K51:K51)=0,SUM(K51:V51)&gt;0),DATE(YEAR(EXPEDIENTE!$F$25),2,1),IF(K51&gt;0,DATE(YEAR(EXPEDIENTE!$F$25),1,1),""))))))))))))</f>
        <v/>
      </c>
      <c r="I51" s="338"/>
      <c r="J51" s="339"/>
      <c r="K51" s="185"/>
      <c r="L51" s="185"/>
      <c r="M51" s="185"/>
      <c r="N51" s="185"/>
      <c r="O51" s="185"/>
      <c r="P51" s="185"/>
      <c r="Q51" s="185"/>
      <c r="R51" s="185"/>
      <c r="S51" s="185"/>
      <c r="T51" s="185"/>
      <c r="U51" s="185"/>
      <c r="V51" s="186"/>
      <c r="X51" s="36" t="str">
        <f t="shared" si="14"/>
        <v/>
      </c>
    </row>
    <row r="52" spans="2:24" ht="35.1" customHeight="1" x14ac:dyDescent="0.25">
      <c r="B52" s="54">
        <f t="shared" si="9"/>
        <v>0</v>
      </c>
      <c r="C52" s="54" t="str">
        <f t="shared" si="10"/>
        <v/>
      </c>
      <c r="D52" s="54">
        <f t="shared" si="15"/>
        <v>0</v>
      </c>
      <c r="E52" s="54">
        <f t="shared" si="13"/>
        <v>0</v>
      </c>
      <c r="F52" s="54">
        <f>COUNTIF($I$37:I52,"&lt;&gt;")</f>
        <v>0</v>
      </c>
      <c r="G52" s="54">
        <f t="shared" si="12"/>
        <v>0</v>
      </c>
      <c r="H52" s="237" t="str">
        <f>IF(AND(SUM(K52:U52)=0,SUM(K52:V52)&gt;0),DATE(YEAR(EXPEDIENTE!$F$25),12,1),IF(AND(SUM(K52:T52)=0,SUM(K52:V52)&gt;0),DATE(YEAR(EXPEDIENTE!$F$25),11,1),IF(AND(SUM(K52:S52)=0,SUM(K52:V52)&gt;0),DATE(YEAR(EXPEDIENTE!$F$25),10,1),IF(AND(SUM(K52:R52)=0,SUM(K52:V52)&gt;0),DATE(YEAR(EXPEDIENTE!$F$25),9,1),IF(AND(SUM(K52:Q52)=0,SUM(K52:V52)&gt;0),DATE(YEAR(EXPEDIENTE!$F$25),8,1),IF(AND(SUM(K52:P52)=0,SUM(K52:V52)&gt;0),DATE(YEAR(EXPEDIENTE!$F$25),7,1),IF(AND(SUM(K52:O52)=0,SUM(K52:V52)&gt;0),DATE(YEAR(EXPEDIENTE!$F$25),6,1),IF(AND(SUM(K52:N52)=0,SUM(K52:V52)&gt;0),DATE(YEAR(EXPEDIENTE!$F$25),5,1),IF(AND(SUM(K52:M52)=0,SUM(K52:V52)&gt;0),DATE(YEAR(EXPEDIENTE!$F$25),4,1),IF(AND(SUM(K52:L52)=0,SUM(K52:V52)&gt;0),DATE(YEAR(EXPEDIENTE!$F$25),3,1),IF(AND(SUM(K52:K52)=0,SUM(K52:V52)&gt;0),DATE(YEAR(EXPEDIENTE!$F$25),2,1),IF(K52&gt;0,DATE(YEAR(EXPEDIENTE!$F$25),1,1),""))))))))))))</f>
        <v/>
      </c>
      <c r="I52" s="338"/>
      <c r="J52" s="339"/>
      <c r="K52" s="185"/>
      <c r="L52" s="185"/>
      <c r="M52" s="185"/>
      <c r="N52" s="185"/>
      <c r="O52" s="185"/>
      <c r="P52" s="185"/>
      <c r="Q52" s="185"/>
      <c r="R52" s="185"/>
      <c r="S52" s="185"/>
      <c r="T52" s="185"/>
      <c r="U52" s="185"/>
      <c r="V52" s="186"/>
      <c r="X52" s="36" t="str">
        <f t="shared" si="14"/>
        <v/>
      </c>
    </row>
    <row r="53" spans="2:24" ht="35.1" customHeight="1" x14ac:dyDescent="0.25">
      <c r="B53" s="54">
        <f t="shared" si="9"/>
        <v>0</v>
      </c>
      <c r="C53" s="54" t="str">
        <f t="shared" si="10"/>
        <v/>
      </c>
      <c r="D53" s="54">
        <f t="shared" si="15"/>
        <v>0</v>
      </c>
      <c r="E53" s="54">
        <f t="shared" si="13"/>
        <v>0</v>
      </c>
      <c r="F53" s="54">
        <f>COUNTIF($I$37:I53,"&lt;&gt;")</f>
        <v>0</v>
      </c>
      <c r="G53" s="54">
        <f t="shared" si="12"/>
        <v>0</v>
      </c>
      <c r="H53" s="237" t="str">
        <f>IF(AND(SUM(K53:U53)=0,SUM(K53:V53)&gt;0),DATE(YEAR(EXPEDIENTE!$F$25),12,1),IF(AND(SUM(K53:T53)=0,SUM(K53:V53)&gt;0),DATE(YEAR(EXPEDIENTE!$F$25),11,1),IF(AND(SUM(K53:S53)=0,SUM(K53:V53)&gt;0),DATE(YEAR(EXPEDIENTE!$F$25),10,1),IF(AND(SUM(K53:R53)=0,SUM(K53:V53)&gt;0),DATE(YEAR(EXPEDIENTE!$F$25),9,1),IF(AND(SUM(K53:Q53)=0,SUM(K53:V53)&gt;0),DATE(YEAR(EXPEDIENTE!$F$25),8,1),IF(AND(SUM(K53:P53)=0,SUM(K53:V53)&gt;0),DATE(YEAR(EXPEDIENTE!$F$25),7,1),IF(AND(SUM(K53:O53)=0,SUM(K53:V53)&gt;0),DATE(YEAR(EXPEDIENTE!$F$25),6,1),IF(AND(SUM(K53:N53)=0,SUM(K53:V53)&gt;0),DATE(YEAR(EXPEDIENTE!$F$25),5,1),IF(AND(SUM(K53:M53)=0,SUM(K53:V53)&gt;0),DATE(YEAR(EXPEDIENTE!$F$25),4,1),IF(AND(SUM(K53:L53)=0,SUM(K53:V53)&gt;0),DATE(YEAR(EXPEDIENTE!$F$25),3,1),IF(AND(SUM(K53:K53)=0,SUM(K53:V53)&gt;0),DATE(YEAR(EXPEDIENTE!$F$25),2,1),IF(K53&gt;0,DATE(YEAR(EXPEDIENTE!$F$25),1,1),""))))))))))))</f>
        <v/>
      </c>
      <c r="I53" s="338"/>
      <c r="J53" s="339"/>
      <c r="K53" s="185"/>
      <c r="L53" s="185"/>
      <c r="M53" s="185"/>
      <c r="N53" s="185"/>
      <c r="O53" s="185"/>
      <c r="P53" s="185"/>
      <c r="Q53" s="185"/>
      <c r="R53" s="185"/>
      <c r="S53" s="185"/>
      <c r="T53" s="185"/>
      <c r="U53" s="185"/>
      <c r="V53" s="186"/>
      <c r="X53" s="36" t="str">
        <f t="shared" si="14"/>
        <v/>
      </c>
    </row>
    <row r="54" spans="2:24" ht="35.1" customHeight="1" x14ac:dyDescent="0.25">
      <c r="B54" s="54">
        <f t="shared" si="9"/>
        <v>0</v>
      </c>
      <c r="C54" s="54" t="str">
        <f t="shared" si="10"/>
        <v/>
      </c>
      <c r="D54" s="54">
        <f t="shared" si="15"/>
        <v>0</v>
      </c>
      <c r="E54" s="54">
        <f t="shared" si="13"/>
        <v>0</v>
      </c>
      <c r="F54" s="54">
        <f>COUNTIF($I$37:I54,"&lt;&gt;")</f>
        <v>0</v>
      </c>
      <c r="G54" s="54">
        <f t="shared" si="12"/>
        <v>0</v>
      </c>
      <c r="H54" s="237" t="str">
        <f>IF(AND(SUM(K54:U54)=0,SUM(K54:V54)&gt;0),DATE(YEAR(EXPEDIENTE!$F$25),12,1),IF(AND(SUM(K54:T54)=0,SUM(K54:V54)&gt;0),DATE(YEAR(EXPEDIENTE!$F$25),11,1),IF(AND(SUM(K54:S54)=0,SUM(K54:V54)&gt;0),DATE(YEAR(EXPEDIENTE!$F$25),10,1),IF(AND(SUM(K54:R54)=0,SUM(K54:V54)&gt;0),DATE(YEAR(EXPEDIENTE!$F$25),9,1),IF(AND(SUM(K54:Q54)=0,SUM(K54:V54)&gt;0),DATE(YEAR(EXPEDIENTE!$F$25),8,1),IF(AND(SUM(K54:P54)=0,SUM(K54:V54)&gt;0),DATE(YEAR(EXPEDIENTE!$F$25),7,1),IF(AND(SUM(K54:O54)=0,SUM(K54:V54)&gt;0),DATE(YEAR(EXPEDIENTE!$F$25),6,1),IF(AND(SUM(K54:N54)=0,SUM(K54:V54)&gt;0),DATE(YEAR(EXPEDIENTE!$F$25),5,1),IF(AND(SUM(K54:M54)=0,SUM(K54:V54)&gt;0),DATE(YEAR(EXPEDIENTE!$F$25),4,1),IF(AND(SUM(K54:L54)=0,SUM(K54:V54)&gt;0),DATE(YEAR(EXPEDIENTE!$F$25),3,1),IF(AND(SUM(K54:K54)=0,SUM(K54:V54)&gt;0),DATE(YEAR(EXPEDIENTE!$F$25),2,1),IF(K54&gt;0,DATE(YEAR(EXPEDIENTE!$F$25),1,1),""))))))))))))</f>
        <v/>
      </c>
      <c r="I54" s="338"/>
      <c r="J54" s="339"/>
      <c r="K54" s="185"/>
      <c r="L54" s="185"/>
      <c r="M54" s="185"/>
      <c r="N54" s="185"/>
      <c r="O54" s="185"/>
      <c r="P54" s="185"/>
      <c r="Q54" s="185"/>
      <c r="R54" s="185"/>
      <c r="S54" s="185"/>
      <c r="T54" s="185"/>
      <c r="U54" s="185"/>
      <c r="V54" s="186"/>
      <c r="X54" s="36" t="str">
        <f t="shared" si="14"/>
        <v/>
      </c>
    </row>
    <row r="55" spans="2:24" ht="35.1" customHeight="1" x14ac:dyDescent="0.25">
      <c r="B55" s="54">
        <f>IF(I55=0,0,VALUE(MID(I55,7,1)))</f>
        <v>0</v>
      </c>
      <c r="C55" s="54" t="str">
        <f t="shared" si="10"/>
        <v/>
      </c>
      <c r="D55" s="54">
        <f t="shared" si="15"/>
        <v>0</v>
      </c>
      <c r="E55" s="54">
        <f t="shared" si="13"/>
        <v>0</v>
      </c>
      <c r="F55" s="54">
        <f>COUNTIF($I$37:I55,"&lt;&gt;")</f>
        <v>0</v>
      </c>
      <c r="G55" s="54">
        <f t="shared" si="12"/>
        <v>0</v>
      </c>
      <c r="H55" s="237" t="str">
        <f>IF(AND(SUM(K55:U55)=0,SUM(K55:V55)&gt;0),DATE(YEAR(EXPEDIENTE!$F$25),12,1),IF(AND(SUM(K55:T55)=0,SUM(K55:V55)&gt;0),DATE(YEAR(EXPEDIENTE!$F$25),11,1),IF(AND(SUM(K55:S55)=0,SUM(K55:V55)&gt;0),DATE(YEAR(EXPEDIENTE!$F$25),10,1),IF(AND(SUM(K55:R55)=0,SUM(K55:V55)&gt;0),DATE(YEAR(EXPEDIENTE!$F$25),9,1),IF(AND(SUM(K55:Q55)=0,SUM(K55:V55)&gt;0),DATE(YEAR(EXPEDIENTE!$F$25),8,1),IF(AND(SUM(K55:P55)=0,SUM(K55:V55)&gt;0),DATE(YEAR(EXPEDIENTE!$F$25),7,1),IF(AND(SUM(K55:O55)=0,SUM(K55:V55)&gt;0),DATE(YEAR(EXPEDIENTE!$F$25),6,1),IF(AND(SUM(K55:N55)=0,SUM(K55:V55)&gt;0),DATE(YEAR(EXPEDIENTE!$F$25),5,1),IF(AND(SUM(K55:M55)=0,SUM(K55:V55)&gt;0),DATE(YEAR(EXPEDIENTE!$F$25),4,1),IF(AND(SUM(K55:L55)=0,SUM(K55:V55)&gt;0),DATE(YEAR(EXPEDIENTE!$F$25),3,1),IF(AND(SUM(K55:K55)=0,SUM(K55:V55)&gt;0),DATE(YEAR(EXPEDIENTE!$F$25),2,1),IF(K55&gt;0,DATE(YEAR(EXPEDIENTE!$F$25),1,1),""))))))))))))</f>
        <v/>
      </c>
      <c r="I55" s="338"/>
      <c r="J55" s="339"/>
      <c r="K55" s="185"/>
      <c r="L55" s="185"/>
      <c r="M55" s="185"/>
      <c r="N55" s="185"/>
      <c r="O55" s="185"/>
      <c r="P55" s="185"/>
      <c r="Q55" s="185"/>
      <c r="R55" s="185"/>
      <c r="S55" s="185"/>
      <c r="T55" s="185"/>
      <c r="U55" s="185"/>
      <c r="V55" s="186"/>
      <c r="X55" s="36" t="str">
        <f t="shared" si="14"/>
        <v/>
      </c>
    </row>
    <row r="56" spans="2:24" ht="35.1" customHeight="1" x14ac:dyDescent="0.25">
      <c r="B56" s="54">
        <f t="shared" ref="B56:B96" si="16">IF(I56=0,0,VALUE(MID(I56,7,1)))</f>
        <v>0</v>
      </c>
      <c r="C56" s="54" t="str">
        <f t="shared" si="10"/>
        <v/>
      </c>
      <c r="D56" s="54">
        <f t="shared" si="15"/>
        <v>0</v>
      </c>
      <c r="E56" s="54">
        <f t="shared" si="13"/>
        <v>0</v>
      </c>
      <c r="F56" s="54">
        <f>COUNTIF($I$37:I56,"&lt;&gt;")</f>
        <v>0</v>
      </c>
      <c r="G56" s="54">
        <f t="shared" si="12"/>
        <v>0</v>
      </c>
      <c r="H56" s="237" t="str">
        <f>IF(AND(SUM(K56:U56)=0,SUM(K56:V56)&gt;0),DATE(YEAR(EXPEDIENTE!$F$25),12,1),IF(AND(SUM(K56:T56)=0,SUM(K56:V56)&gt;0),DATE(YEAR(EXPEDIENTE!$F$25),11,1),IF(AND(SUM(K56:S56)=0,SUM(K56:V56)&gt;0),DATE(YEAR(EXPEDIENTE!$F$25),10,1),IF(AND(SUM(K56:R56)=0,SUM(K56:V56)&gt;0),DATE(YEAR(EXPEDIENTE!$F$25),9,1),IF(AND(SUM(K56:Q56)=0,SUM(K56:V56)&gt;0),DATE(YEAR(EXPEDIENTE!$F$25),8,1),IF(AND(SUM(K56:P56)=0,SUM(K56:V56)&gt;0),DATE(YEAR(EXPEDIENTE!$F$25),7,1),IF(AND(SUM(K56:O56)=0,SUM(K56:V56)&gt;0),DATE(YEAR(EXPEDIENTE!$F$25),6,1),IF(AND(SUM(K56:N56)=0,SUM(K56:V56)&gt;0),DATE(YEAR(EXPEDIENTE!$F$25),5,1),IF(AND(SUM(K56:M56)=0,SUM(K56:V56)&gt;0),DATE(YEAR(EXPEDIENTE!$F$25),4,1),IF(AND(SUM(K56:L56)=0,SUM(K56:V56)&gt;0),DATE(YEAR(EXPEDIENTE!$F$25),3,1),IF(AND(SUM(K56:K56)=0,SUM(K56:V56)&gt;0),DATE(YEAR(EXPEDIENTE!$F$25),2,1),IF(K56&gt;0,DATE(YEAR(EXPEDIENTE!$F$25),1,1),""))))))))))))</f>
        <v/>
      </c>
      <c r="I56" s="338"/>
      <c r="J56" s="339"/>
      <c r="K56" s="185"/>
      <c r="L56" s="185"/>
      <c r="M56" s="185"/>
      <c r="N56" s="185"/>
      <c r="O56" s="185"/>
      <c r="P56" s="185"/>
      <c r="Q56" s="185"/>
      <c r="R56" s="185"/>
      <c r="S56" s="185"/>
      <c r="T56" s="185"/>
      <c r="U56" s="185"/>
      <c r="V56" s="186"/>
      <c r="X56" s="36" t="str">
        <f t="shared" si="14"/>
        <v/>
      </c>
    </row>
    <row r="57" spans="2:24" ht="35.1" customHeight="1" x14ac:dyDescent="0.25">
      <c r="B57" s="54">
        <f t="shared" si="16"/>
        <v>0</v>
      </c>
      <c r="C57" s="54" t="str">
        <f t="shared" si="10"/>
        <v/>
      </c>
      <c r="D57" s="54">
        <f t="shared" si="15"/>
        <v>0</v>
      </c>
      <c r="E57" s="54">
        <f t="shared" si="13"/>
        <v>0</v>
      </c>
      <c r="F57" s="54">
        <f>COUNTIF($I$37:I57,"&lt;&gt;")</f>
        <v>0</v>
      </c>
      <c r="G57" s="54">
        <f t="shared" si="12"/>
        <v>0</v>
      </c>
      <c r="H57" s="237" t="str">
        <f>IF(AND(SUM(K57:U57)=0,SUM(K57:V57)&gt;0),DATE(YEAR(EXPEDIENTE!$F$25),12,1),IF(AND(SUM(K57:T57)=0,SUM(K57:V57)&gt;0),DATE(YEAR(EXPEDIENTE!$F$25),11,1),IF(AND(SUM(K57:S57)=0,SUM(K57:V57)&gt;0),DATE(YEAR(EXPEDIENTE!$F$25),10,1),IF(AND(SUM(K57:R57)=0,SUM(K57:V57)&gt;0),DATE(YEAR(EXPEDIENTE!$F$25),9,1),IF(AND(SUM(K57:Q57)=0,SUM(K57:V57)&gt;0),DATE(YEAR(EXPEDIENTE!$F$25),8,1),IF(AND(SUM(K57:P57)=0,SUM(K57:V57)&gt;0),DATE(YEAR(EXPEDIENTE!$F$25),7,1),IF(AND(SUM(K57:O57)=0,SUM(K57:V57)&gt;0),DATE(YEAR(EXPEDIENTE!$F$25),6,1),IF(AND(SUM(K57:N57)=0,SUM(K57:V57)&gt;0),DATE(YEAR(EXPEDIENTE!$F$25),5,1),IF(AND(SUM(K57:M57)=0,SUM(K57:V57)&gt;0),DATE(YEAR(EXPEDIENTE!$F$25),4,1),IF(AND(SUM(K57:L57)=0,SUM(K57:V57)&gt;0),DATE(YEAR(EXPEDIENTE!$F$25),3,1),IF(AND(SUM(K57:K57)=0,SUM(K57:V57)&gt;0),DATE(YEAR(EXPEDIENTE!$F$25),2,1),IF(K57&gt;0,DATE(YEAR(EXPEDIENTE!$F$25),1,1),""))))))))))))</f>
        <v/>
      </c>
      <c r="I57" s="338"/>
      <c r="J57" s="339"/>
      <c r="K57" s="185"/>
      <c r="L57" s="185"/>
      <c r="M57" s="185"/>
      <c r="N57" s="185"/>
      <c r="O57" s="185"/>
      <c r="P57" s="185"/>
      <c r="Q57" s="185"/>
      <c r="R57" s="185"/>
      <c r="S57" s="185"/>
      <c r="T57" s="185"/>
      <c r="U57" s="185"/>
      <c r="V57" s="186"/>
      <c r="X57" s="36" t="str">
        <f t="shared" si="14"/>
        <v/>
      </c>
    </row>
    <row r="58" spans="2:24" ht="35.1" customHeight="1" x14ac:dyDescent="0.25">
      <c r="B58" s="54">
        <f t="shared" si="16"/>
        <v>0</v>
      </c>
      <c r="C58" s="54" t="str">
        <f t="shared" si="10"/>
        <v/>
      </c>
      <c r="D58" s="54">
        <f t="shared" si="15"/>
        <v>0</v>
      </c>
      <c r="E58" s="54">
        <f t="shared" si="13"/>
        <v>0</v>
      </c>
      <c r="F58" s="54">
        <f>COUNTIF($I$37:I58,"&lt;&gt;")</f>
        <v>0</v>
      </c>
      <c r="G58" s="54">
        <f t="shared" si="12"/>
        <v>0</v>
      </c>
      <c r="H58" s="237" t="str">
        <f>IF(AND(SUM(K58:U58)=0,SUM(K58:V58)&gt;0),DATE(YEAR(EXPEDIENTE!$F$25),12,1),IF(AND(SUM(K58:T58)=0,SUM(K58:V58)&gt;0),DATE(YEAR(EXPEDIENTE!$F$25),11,1),IF(AND(SUM(K58:S58)=0,SUM(K58:V58)&gt;0),DATE(YEAR(EXPEDIENTE!$F$25),10,1),IF(AND(SUM(K58:R58)=0,SUM(K58:V58)&gt;0),DATE(YEAR(EXPEDIENTE!$F$25),9,1),IF(AND(SUM(K58:Q58)=0,SUM(K58:V58)&gt;0),DATE(YEAR(EXPEDIENTE!$F$25),8,1),IF(AND(SUM(K58:P58)=0,SUM(K58:V58)&gt;0),DATE(YEAR(EXPEDIENTE!$F$25),7,1),IF(AND(SUM(K58:O58)=0,SUM(K58:V58)&gt;0),DATE(YEAR(EXPEDIENTE!$F$25),6,1),IF(AND(SUM(K58:N58)=0,SUM(K58:V58)&gt;0),DATE(YEAR(EXPEDIENTE!$F$25),5,1),IF(AND(SUM(K58:M58)=0,SUM(K58:V58)&gt;0),DATE(YEAR(EXPEDIENTE!$F$25),4,1),IF(AND(SUM(K58:L58)=0,SUM(K58:V58)&gt;0),DATE(YEAR(EXPEDIENTE!$F$25),3,1),IF(AND(SUM(K58:K58)=0,SUM(K58:V58)&gt;0),DATE(YEAR(EXPEDIENTE!$F$25),2,1),IF(K58&gt;0,DATE(YEAR(EXPEDIENTE!$F$25),1,1),""))))))))))))</f>
        <v/>
      </c>
      <c r="I58" s="338"/>
      <c r="J58" s="339"/>
      <c r="K58" s="185"/>
      <c r="L58" s="185"/>
      <c r="M58" s="185"/>
      <c r="N58" s="185"/>
      <c r="O58" s="185"/>
      <c r="P58" s="185"/>
      <c r="Q58" s="185"/>
      <c r="R58" s="185"/>
      <c r="S58" s="185"/>
      <c r="T58" s="185"/>
      <c r="U58" s="185"/>
      <c r="V58" s="186"/>
      <c r="X58" s="36" t="str">
        <f t="shared" si="14"/>
        <v/>
      </c>
    </row>
    <row r="59" spans="2:24" ht="35.1" customHeight="1" x14ac:dyDescent="0.25">
      <c r="B59" s="54">
        <f t="shared" si="16"/>
        <v>0</v>
      </c>
      <c r="C59" s="54" t="str">
        <f t="shared" si="10"/>
        <v/>
      </c>
      <c r="D59" s="54">
        <f t="shared" si="15"/>
        <v>0</v>
      </c>
      <c r="E59" s="54">
        <f t="shared" si="13"/>
        <v>0</v>
      </c>
      <c r="F59" s="54">
        <f>COUNTIF($I$37:I59,"&lt;&gt;")</f>
        <v>0</v>
      </c>
      <c r="G59" s="54">
        <f t="shared" si="12"/>
        <v>0</v>
      </c>
      <c r="H59" s="237" t="str">
        <f>IF(AND(SUM(K59:U59)=0,SUM(K59:V59)&gt;0),DATE(YEAR(EXPEDIENTE!$F$25),12,1),IF(AND(SUM(K59:T59)=0,SUM(K59:V59)&gt;0),DATE(YEAR(EXPEDIENTE!$F$25),11,1),IF(AND(SUM(K59:S59)=0,SUM(K59:V59)&gt;0),DATE(YEAR(EXPEDIENTE!$F$25),10,1),IF(AND(SUM(K59:R59)=0,SUM(K59:V59)&gt;0),DATE(YEAR(EXPEDIENTE!$F$25),9,1),IF(AND(SUM(K59:Q59)=0,SUM(K59:V59)&gt;0),DATE(YEAR(EXPEDIENTE!$F$25),8,1),IF(AND(SUM(K59:P59)=0,SUM(K59:V59)&gt;0),DATE(YEAR(EXPEDIENTE!$F$25),7,1),IF(AND(SUM(K59:O59)=0,SUM(K59:V59)&gt;0),DATE(YEAR(EXPEDIENTE!$F$25),6,1),IF(AND(SUM(K59:N59)=0,SUM(K59:V59)&gt;0),DATE(YEAR(EXPEDIENTE!$F$25),5,1),IF(AND(SUM(K59:M59)=0,SUM(K59:V59)&gt;0),DATE(YEAR(EXPEDIENTE!$F$25),4,1),IF(AND(SUM(K59:L59)=0,SUM(K59:V59)&gt;0),DATE(YEAR(EXPEDIENTE!$F$25),3,1),IF(AND(SUM(K59:K59)=0,SUM(K59:V59)&gt;0),DATE(YEAR(EXPEDIENTE!$F$25),2,1),IF(K59&gt;0,DATE(YEAR(EXPEDIENTE!$F$25),1,1),""))))))))))))</f>
        <v/>
      </c>
      <c r="I59" s="338"/>
      <c r="J59" s="339"/>
      <c r="K59" s="185"/>
      <c r="L59" s="185"/>
      <c r="M59" s="185"/>
      <c r="N59" s="185"/>
      <c r="O59" s="185"/>
      <c r="P59" s="185"/>
      <c r="Q59" s="185"/>
      <c r="R59" s="185"/>
      <c r="S59" s="185"/>
      <c r="T59" s="185"/>
      <c r="U59" s="185"/>
      <c r="V59" s="186"/>
      <c r="X59" s="36" t="str">
        <f t="shared" si="14"/>
        <v/>
      </c>
    </row>
    <row r="60" spans="2:24" ht="35.1" customHeight="1" x14ac:dyDescent="0.25">
      <c r="B60" s="54">
        <f t="shared" si="16"/>
        <v>0</v>
      </c>
      <c r="C60" s="54" t="str">
        <f t="shared" si="10"/>
        <v/>
      </c>
      <c r="D60" s="54">
        <f t="shared" si="15"/>
        <v>0</v>
      </c>
      <c r="E60" s="54">
        <f t="shared" si="13"/>
        <v>0</v>
      </c>
      <c r="F60" s="54">
        <f>COUNTIF($I$37:I60,"&lt;&gt;")</f>
        <v>0</v>
      </c>
      <c r="G60" s="54">
        <f t="shared" si="12"/>
        <v>0</v>
      </c>
      <c r="H60" s="237" t="str">
        <f>IF(AND(SUM(K60:U60)=0,SUM(K60:V60)&gt;0),DATE(YEAR(EXPEDIENTE!$F$25),12,1),IF(AND(SUM(K60:T60)=0,SUM(K60:V60)&gt;0),DATE(YEAR(EXPEDIENTE!$F$25),11,1),IF(AND(SUM(K60:S60)=0,SUM(K60:V60)&gt;0),DATE(YEAR(EXPEDIENTE!$F$25),10,1),IF(AND(SUM(K60:R60)=0,SUM(K60:V60)&gt;0),DATE(YEAR(EXPEDIENTE!$F$25),9,1),IF(AND(SUM(K60:Q60)=0,SUM(K60:V60)&gt;0),DATE(YEAR(EXPEDIENTE!$F$25),8,1),IF(AND(SUM(K60:P60)=0,SUM(K60:V60)&gt;0),DATE(YEAR(EXPEDIENTE!$F$25),7,1),IF(AND(SUM(K60:O60)=0,SUM(K60:V60)&gt;0),DATE(YEAR(EXPEDIENTE!$F$25),6,1),IF(AND(SUM(K60:N60)=0,SUM(K60:V60)&gt;0),DATE(YEAR(EXPEDIENTE!$F$25),5,1),IF(AND(SUM(K60:M60)=0,SUM(K60:V60)&gt;0),DATE(YEAR(EXPEDIENTE!$F$25),4,1),IF(AND(SUM(K60:L60)=0,SUM(K60:V60)&gt;0),DATE(YEAR(EXPEDIENTE!$F$25),3,1),IF(AND(SUM(K60:K60)=0,SUM(K60:V60)&gt;0),DATE(YEAR(EXPEDIENTE!$F$25),2,1),IF(K60&gt;0,DATE(YEAR(EXPEDIENTE!$F$25),1,1),""))))))))))))</f>
        <v/>
      </c>
      <c r="I60" s="338"/>
      <c r="J60" s="339"/>
      <c r="K60" s="185"/>
      <c r="L60" s="185"/>
      <c r="M60" s="185"/>
      <c r="N60" s="185"/>
      <c r="O60" s="185"/>
      <c r="P60" s="185"/>
      <c r="Q60" s="185"/>
      <c r="R60" s="185"/>
      <c r="S60" s="185"/>
      <c r="T60" s="185"/>
      <c r="U60" s="185"/>
      <c r="V60" s="186"/>
      <c r="X60" s="36" t="str">
        <f t="shared" si="14"/>
        <v/>
      </c>
    </row>
    <row r="61" spans="2:24" ht="35.1" customHeight="1" x14ac:dyDescent="0.25">
      <c r="B61" s="54">
        <f t="shared" si="16"/>
        <v>0</v>
      </c>
      <c r="C61" s="54" t="str">
        <f t="shared" si="10"/>
        <v/>
      </c>
      <c r="D61" s="54">
        <f t="shared" si="15"/>
        <v>0</v>
      </c>
      <c r="E61" s="54">
        <f t="shared" si="13"/>
        <v>0</v>
      </c>
      <c r="F61" s="54">
        <f>COUNTIF($I$37:I61,"&lt;&gt;")</f>
        <v>0</v>
      </c>
      <c r="G61" s="54">
        <f t="shared" si="12"/>
        <v>0</v>
      </c>
      <c r="H61" s="237" t="str">
        <f>IF(AND(SUM(K61:U61)=0,SUM(K61:V61)&gt;0),DATE(YEAR(EXPEDIENTE!$F$25),12,1),IF(AND(SUM(K61:T61)=0,SUM(K61:V61)&gt;0),DATE(YEAR(EXPEDIENTE!$F$25),11,1),IF(AND(SUM(K61:S61)=0,SUM(K61:V61)&gt;0),DATE(YEAR(EXPEDIENTE!$F$25),10,1),IF(AND(SUM(K61:R61)=0,SUM(K61:V61)&gt;0),DATE(YEAR(EXPEDIENTE!$F$25),9,1),IF(AND(SUM(K61:Q61)=0,SUM(K61:V61)&gt;0),DATE(YEAR(EXPEDIENTE!$F$25),8,1),IF(AND(SUM(K61:P61)=0,SUM(K61:V61)&gt;0),DATE(YEAR(EXPEDIENTE!$F$25),7,1),IF(AND(SUM(K61:O61)=0,SUM(K61:V61)&gt;0),DATE(YEAR(EXPEDIENTE!$F$25),6,1),IF(AND(SUM(K61:N61)=0,SUM(K61:V61)&gt;0),DATE(YEAR(EXPEDIENTE!$F$25),5,1),IF(AND(SUM(K61:M61)=0,SUM(K61:V61)&gt;0),DATE(YEAR(EXPEDIENTE!$F$25),4,1),IF(AND(SUM(K61:L61)=0,SUM(K61:V61)&gt;0),DATE(YEAR(EXPEDIENTE!$F$25),3,1),IF(AND(SUM(K61:K61)=0,SUM(K61:V61)&gt;0),DATE(YEAR(EXPEDIENTE!$F$25),2,1),IF(K61&gt;0,DATE(YEAR(EXPEDIENTE!$F$25),1,1),""))))))))))))</f>
        <v/>
      </c>
      <c r="I61" s="338"/>
      <c r="J61" s="339"/>
      <c r="K61" s="185"/>
      <c r="L61" s="185"/>
      <c r="M61" s="185"/>
      <c r="N61" s="185"/>
      <c r="O61" s="185"/>
      <c r="P61" s="185"/>
      <c r="Q61" s="185"/>
      <c r="R61" s="185"/>
      <c r="S61" s="185"/>
      <c r="T61" s="185"/>
      <c r="U61" s="185"/>
      <c r="V61" s="186"/>
      <c r="X61" s="36" t="str">
        <f t="shared" si="14"/>
        <v/>
      </c>
    </row>
    <row r="62" spans="2:24" ht="35.1" customHeight="1" x14ac:dyDescent="0.25">
      <c r="B62" s="54">
        <f t="shared" si="16"/>
        <v>0</v>
      </c>
      <c r="C62" s="54" t="str">
        <f t="shared" si="10"/>
        <v/>
      </c>
      <c r="D62" s="54">
        <f t="shared" si="15"/>
        <v>0</v>
      </c>
      <c r="E62" s="54">
        <f t="shared" si="13"/>
        <v>0</v>
      </c>
      <c r="F62" s="54">
        <f>COUNTIF($I$37:I62,"&lt;&gt;")</f>
        <v>0</v>
      </c>
      <c r="G62" s="54">
        <f t="shared" si="12"/>
        <v>0</v>
      </c>
      <c r="H62" s="237" t="str">
        <f>IF(AND(SUM(K62:U62)=0,SUM(K62:V62)&gt;0),DATE(YEAR(EXPEDIENTE!$F$25),12,1),IF(AND(SUM(K62:T62)=0,SUM(K62:V62)&gt;0),DATE(YEAR(EXPEDIENTE!$F$25),11,1),IF(AND(SUM(K62:S62)=0,SUM(K62:V62)&gt;0),DATE(YEAR(EXPEDIENTE!$F$25),10,1),IF(AND(SUM(K62:R62)=0,SUM(K62:V62)&gt;0),DATE(YEAR(EXPEDIENTE!$F$25),9,1),IF(AND(SUM(K62:Q62)=0,SUM(K62:V62)&gt;0),DATE(YEAR(EXPEDIENTE!$F$25),8,1),IF(AND(SUM(K62:P62)=0,SUM(K62:V62)&gt;0),DATE(YEAR(EXPEDIENTE!$F$25),7,1),IF(AND(SUM(K62:O62)=0,SUM(K62:V62)&gt;0),DATE(YEAR(EXPEDIENTE!$F$25),6,1),IF(AND(SUM(K62:N62)=0,SUM(K62:V62)&gt;0),DATE(YEAR(EXPEDIENTE!$F$25),5,1),IF(AND(SUM(K62:M62)=0,SUM(K62:V62)&gt;0),DATE(YEAR(EXPEDIENTE!$F$25),4,1),IF(AND(SUM(K62:L62)=0,SUM(K62:V62)&gt;0),DATE(YEAR(EXPEDIENTE!$F$25),3,1),IF(AND(SUM(K62:K62)=0,SUM(K62:V62)&gt;0),DATE(YEAR(EXPEDIENTE!$F$25),2,1),IF(K62&gt;0,DATE(YEAR(EXPEDIENTE!$F$25),1,1),""))))))))))))</f>
        <v/>
      </c>
      <c r="I62" s="338"/>
      <c r="J62" s="339"/>
      <c r="K62" s="185"/>
      <c r="L62" s="185"/>
      <c r="M62" s="185"/>
      <c r="N62" s="185"/>
      <c r="O62" s="185"/>
      <c r="P62" s="185"/>
      <c r="Q62" s="185"/>
      <c r="R62" s="185"/>
      <c r="S62" s="185"/>
      <c r="T62" s="185"/>
      <c r="U62" s="185"/>
      <c r="V62" s="186"/>
      <c r="X62" s="36" t="str">
        <f t="shared" si="14"/>
        <v/>
      </c>
    </row>
    <row r="63" spans="2:24" ht="35.1" customHeight="1" x14ac:dyDescent="0.25">
      <c r="B63" s="54">
        <f t="shared" si="16"/>
        <v>0</v>
      </c>
      <c r="C63" s="54" t="str">
        <f t="shared" si="10"/>
        <v/>
      </c>
      <c r="D63" s="54">
        <f t="shared" si="15"/>
        <v>0</v>
      </c>
      <c r="E63" s="54">
        <f t="shared" si="13"/>
        <v>0</v>
      </c>
      <c r="F63" s="54">
        <f>COUNTIF($I$37:I63,"&lt;&gt;")</f>
        <v>0</v>
      </c>
      <c r="G63" s="54">
        <f t="shared" si="12"/>
        <v>0</v>
      </c>
      <c r="H63" s="237" t="str">
        <f>IF(AND(SUM(K63:U63)=0,SUM(K63:V63)&gt;0),DATE(YEAR(EXPEDIENTE!$F$25),12,1),IF(AND(SUM(K63:T63)=0,SUM(K63:V63)&gt;0),DATE(YEAR(EXPEDIENTE!$F$25),11,1),IF(AND(SUM(K63:S63)=0,SUM(K63:V63)&gt;0),DATE(YEAR(EXPEDIENTE!$F$25),10,1),IF(AND(SUM(K63:R63)=0,SUM(K63:V63)&gt;0),DATE(YEAR(EXPEDIENTE!$F$25),9,1),IF(AND(SUM(K63:Q63)=0,SUM(K63:V63)&gt;0),DATE(YEAR(EXPEDIENTE!$F$25),8,1),IF(AND(SUM(K63:P63)=0,SUM(K63:V63)&gt;0),DATE(YEAR(EXPEDIENTE!$F$25),7,1),IF(AND(SUM(K63:O63)=0,SUM(K63:V63)&gt;0),DATE(YEAR(EXPEDIENTE!$F$25),6,1),IF(AND(SUM(K63:N63)=0,SUM(K63:V63)&gt;0),DATE(YEAR(EXPEDIENTE!$F$25),5,1),IF(AND(SUM(K63:M63)=0,SUM(K63:V63)&gt;0),DATE(YEAR(EXPEDIENTE!$F$25),4,1),IF(AND(SUM(K63:L63)=0,SUM(K63:V63)&gt;0),DATE(YEAR(EXPEDIENTE!$F$25),3,1),IF(AND(SUM(K63:K63)=0,SUM(K63:V63)&gt;0),DATE(YEAR(EXPEDIENTE!$F$25),2,1),IF(K63&gt;0,DATE(YEAR(EXPEDIENTE!$F$25),1,1),""))))))))))))</f>
        <v/>
      </c>
      <c r="I63" s="338"/>
      <c r="J63" s="339"/>
      <c r="K63" s="185"/>
      <c r="L63" s="185"/>
      <c r="M63" s="185"/>
      <c r="N63" s="185"/>
      <c r="O63" s="185"/>
      <c r="P63" s="185"/>
      <c r="Q63" s="185"/>
      <c r="R63" s="185"/>
      <c r="S63" s="185"/>
      <c r="T63" s="185"/>
      <c r="U63" s="185"/>
      <c r="V63" s="186"/>
      <c r="X63" s="36" t="str">
        <f t="shared" si="14"/>
        <v/>
      </c>
    </row>
    <row r="64" spans="2:24" ht="35.1" customHeight="1" x14ac:dyDescent="0.25">
      <c r="B64" s="54">
        <f t="shared" si="16"/>
        <v>0</v>
      </c>
      <c r="C64" s="54" t="str">
        <f t="shared" si="10"/>
        <v/>
      </c>
      <c r="D64" s="54">
        <f t="shared" si="15"/>
        <v>0</v>
      </c>
      <c r="E64" s="54">
        <f t="shared" si="13"/>
        <v>0</v>
      </c>
      <c r="F64" s="54">
        <f>COUNTIF($I$37:I64,"&lt;&gt;")</f>
        <v>0</v>
      </c>
      <c r="G64" s="54">
        <f t="shared" si="12"/>
        <v>0</v>
      </c>
      <c r="H64" s="237" t="str">
        <f>IF(AND(SUM(K64:U64)=0,SUM(K64:V64)&gt;0),DATE(YEAR(EXPEDIENTE!$F$25),12,1),IF(AND(SUM(K64:T64)=0,SUM(K64:V64)&gt;0),DATE(YEAR(EXPEDIENTE!$F$25),11,1),IF(AND(SUM(K64:S64)=0,SUM(K64:V64)&gt;0),DATE(YEAR(EXPEDIENTE!$F$25),10,1),IF(AND(SUM(K64:R64)=0,SUM(K64:V64)&gt;0),DATE(YEAR(EXPEDIENTE!$F$25),9,1),IF(AND(SUM(K64:Q64)=0,SUM(K64:V64)&gt;0),DATE(YEAR(EXPEDIENTE!$F$25),8,1),IF(AND(SUM(K64:P64)=0,SUM(K64:V64)&gt;0),DATE(YEAR(EXPEDIENTE!$F$25),7,1),IF(AND(SUM(K64:O64)=0,SUM(K64:V64)&gt;0),DATE(YEAR(EXPEDIENTE!$F$25),6,1),IF(AND(SUM(K64:N64)=0,SUM(K64:V64)&gt;0),DATE(YEAR(EXPEDIENTE!$F$25),5,1),IF(AND(SUM(K64:M64)=0,SUM(K64:V64)&gt;0),DATE(YEAR(EXPEDIENTE!$F$25),4,1),IF(AND(SUM(K64:L64)=0,SUM(K64:V64)&gt;0),DATE(YEAR(EXPEDIENTE!$F$25),3,1),IF(AND(SUM(K64:K64)=0,SUM(K64:V64)&gt;0),DATE(YEAR(EXPEDIENTE!$F$25),2,1),IF(K64&gt;0,DATE(YEAR(EXPEDIENTE!$F$25),1,1),""))))))))))))</f>
        <v/>
      </c>
      <c r="I64" s="338"/>
      <c r="J64" s="339"/>
      <c r="K64" s="185"/>
      <c r="L64" s="185"/>
      <c r="M64" s="185"/>
      <c r="N64" s="185"/>
      <c r="O64" s="185"/>
      <c r="P64" s="185"/>
      <c r="Q64" s="185"/>
      <c r="R64" s="185"/>
      <c r="S64" s="185"/>
      <c r="T64" s="185"/>
      <c r="U64" s="185"/>
      <c r="V64" s="186"/>
      <c r="X64" s="36" t="str">
        <f t="shared" si="14"/>
        <v/>
      </c>
    </row>
    <row r="65" spans="2:24" ht="35.1" customHeight="1" x14ac:dyDescent="0.25">
      <c r="B65" s="54">
        <f t="shared" si="16"/>
        <v>0</v>
      </c>
      <c r="C65" s="54" t="str">
        <f t="shared" si="10"/>
        <v/>
      </c>
      <c r="D65" s="54">
        <f t="shared" si="15"/>
        <v>0</v>
      </c>
      <c r="E65" s="54">
        <f t="shared" si="13"/>
        <v>0</v>
      </c>
      <c r="F65" s="54">
        <f>COUNTIF($I$37:I65,"&lt;&gt;")</f>
        <v>0</v>
      </c>
      <c r="G65" s="54">
        <f t="shared" si="12"/>
        <v>0</v>
      </c>
      <c r="H65" s="237" t="str">
        <f>IF(AND(SUM(K65:U65)=0,SUM(K65:V65)&gt;0),DATE(YEAR(EXPEDIENTE!$F$25),12,1),IF(AND(SUM(K65:T65)=0,SUM(K65:V65)&gt;0),DATE(YEAR(EXPEDIENTE!$F$25),11,1),IF(AND(SUM(K65:S65)=0,SUM(K65:V65)&gt;0),DATE(YEAR(EXPEDIENTE!$F$25),10,1),IF(AND(SUM(K65:R65)=0,SUM(K65:V65)&gt;0),DATE(YEAR(EXPEDIENTE!$F$25),9,1),IF(AND(SUM(K65:Q65)=0,SUM(K65:V65)&gt;0),DATE(YEAR(EXPEDIENTE!$F$25),8,1),IF(AND(SUM(K65:P65)=0,SUM(K65:V65)&gt;0),DATE(YEAR(EXPEDIENTE!$F$25),7,1),IF(AND(SUM(K65:O65)=0,SUM(K65:V65)&gt;0),DATE(YEAR(EXPEDIENTE!$F$25),6,1),IF(AND(SUM(K65:N65)=0,SUM(K65:V65)&gt;0),DATE(YEAR(EXPEDIENTE!$F$25),5,1),IF(AND(SUM(K65:M65)=0,SUM(K65:V65)&gt;0),DATE(YEAR(EXPEDIENTE!$F$25),4,1),IF(AND(SUM(K65:L65)=0,SUM(K65:V65)&gt;0),DATE(YEAR(EXPEDIENTE!$F$25),3,1),IF(AND(SUM(K65:K65)=0,SUM(K65:V65)&gt;0),DATE(YEAR(EXPEDIENTE!$F$25),2,1),IF(K65&gt;0,DATE(YEAR(EXPEDIENTE!$F$25),1,1),""))))))))))))</f>
        <v/>
      </c>
      <c r="I65" s="338"/>
      <c r="J65" s="339"/>
      <c r="K65" s="185"/>
      <c r="L65" s="185"/>
      <c r="M65" s="185"/>
      <c r="N65" s="185"/>
      <c r="O65" s="185"/>
      <c r="P65" s="185"/>
      <c r="Q65" s="185"/>
      <c r="R65" s="185"/>
      <c r="S65" s="185"/>
      <c r="T65" s="185"/>
      <c r="U65" s="185"/>
      <c r="V65" s="186"/>
      <c r="X65" s="36" t="str">
        <f t="shared" si="14"/>
        <v/>
      </c>
    </row>
    <row r="66" spans="2:24" ht="35.1" customHeight="1" x14ac:dyDescent="0.25">
      <c r="B66" s="54">
        <f t="shared" si="16"/>
        <v>0</v>
      </c>
      <c r="C66" s="54" t="str">
        <f t="shared" si="10"/>
        <v/>
      </c>
      <c r="D66" s="54">
        <f t="shared" si="15"/>
        <v>0</v>
      </c>
      <c r="E66" s="54">
        <f t="shared" si="13"/>
        <v>0</v>
      </c>
      <c r="F66" s="54">
        <f>COUNTIF($I$37:I66,"&lt;&gt;")</f>
        <v>0</v>
      </c>
      <c r="G66" s="54">
        <f t="shared" si="12"/>
        <v>0</v>
      </c>
      <c r="H66" s="237" t="str">
        <f>IF(AND(SUM(K66:U66)=0,SUM(K66:V66)&gt;0),DATE(YEAR(EXPEDIENTE!$F$25),12,1),IF(AND(SUM(K66:T66)=0,SUM(K66:V66)&gt;0),DATE(YEAR(EXPEDIENTE!$F$25),11,1),IF(AND(SUM(K66:S66)=0,SUM(K66:V66)&gt;0),DATE(YEAR(EXPEDIENTE!$F$25),10,1),IF(AND(SUM(K66:R66)=0,SUM(K66:V66)&gt;0),DATE(YEAR(EXPEDIENTE!$F$25),9,1),IF(AND(SUM(K66:Q66)=0,SUM(K66:V66)&gt;0),DATE(YEAR(EXPEDIENTE!$F$25),8,1),IF(AND(SUM(K66:P66)=0,SUM(K66:V66)&gt;0),DATE(YEAR(EXPEDIENTE!$F$25),7,1),IF(AND(SUM(K66:O66)=0,SUM(K66:V66)&gt;0),DATE(YEAR(EXPEDIENTE!$F$25),6,1),IF(AND(SUM(K66:N66)=0,SUM(K66:V66)&gt;0),DATE(YEAR(EXPEDIENTE!$F$25),5,1),IF(AND(SUM(K66:M66)=0,SUM(K66:V66)&gt;0),DATE(YEAR(EXPEDIENTE!$F$25),4,1),IF(AND(SUM(K66:L66)=0,SUM(K66:V66)&gt;0),DATE(YEAR(EXPEDIENTE!$F$25),3,1),IF(AND(SUM(K66:K66)=0,SUM(K66:V66)&gt;0),DATE(YEAR(EXPEDIENTE!$F$25),2,1),IF(K66&gt;0,DATE(YEAR(EXPEDIENTE!$F$25),1,1),""))))))))))))</f>
        <v/>
      </c>
      <c r="I66" s="338"/>
      <c r="J66" s="339"/>
      <c r="K66" s="185"/>
      <c r="L66" s="185"/>
      <c r="M66" s="185"/>
      <c r="N66" s="185"/>
      <c r="O66" s="185"/>
      <c r="P66" s="185"/>
      <c r="Q66" s="185"/>
      <c r="R66" s="185"/>
      <c r="S66" s="185"/>
      <c r="T66" s="185"/>
      <c r="U66" s="185"/>
      <c r="V66" s="186"/>
      <c r="X66" s="36" t="str">
        <f t="shared" si="14"/>
        <v/>
      </c>
    </row>
    <row r="67" spans="2:24" ht="35.1" customHeight="1" x14ac:dyDescent="0.25">
      <c r="B67" s="54">
        <f t="shared" si="16"/>
        <v>0</v>
      </c>
      <c r="C67" s="54" t="str">
        <f t="shared" si="10"/>
        <v/>
      </c>
      <c r="D67" s="54">
        <f t="shared" si="15"/>
        <v>0</v>
      </c>
      <c r="E67" s="54">
        <f t="shared" si="13"/>
        <v>0</v>
      </c>
      <c r="F67" s="54">
        <f>COUNTIF($I$37:I67,"&lt;&gt;")</f>
        <v>0</v>
      </c>
      <c r="G67" s="54">
        <f t="shared" si="12"/>
        <v>0</v>
      </c>
      <c r="H67" s="237" t="str">
        <f>IF(AND(SUM(K67:U67)=0,SUM(K67:V67)&gt;0),DATE(YEAR(EXPEDIENTE!$F$25),12,1),IF(AND(SUM(K67:T67)=0,SUM(K67:V67)&gt;0),DATE(YEAR(EXPEDIENTE!$F$25),11,1),IF(AND(SUM(K67:S67)=0,SUM(K67:V67)&gt;0),DATE(YEAR(EXPEDIENTE!$F$25),10,1),IF(AND(SUM(K67:R67)=0,SUM(K67:V67)&gt;0),DATE(YEAR(EXPEDIENTE!$F$25),9,1),IF(AND(SUM(K67:Q67)=0,SUM(K67:V67)&gt;0),DATE(YEAR(EXPEDIENTE!$F$25),8,1),IF(AND(SUM(K67:P67)=0,SUM(K67:V67)&gt;0),DATE(YEAR(EXPEDIENTE!$F$25),7,1),IF(AND(SUM(K67:O67)=0,SUM(K67:V67)&gt;0),DATE(YEAR(EXPEDIENTE!$F$25),6,1),IF(AND(SUM(K67:N67)=0,SUM(K67:V67)&gt;0),DATE(YEAR(EXPEDIENTE!$F$25),5,1),IF(AND(SUM(K67:M67)=0,SUM(K67:V67)&gt;0),DATE(YEAR(EXPEDIENTE!$F$25),4,1),IF(AND(SUM(K67:L67)=0,SUM(K67:V67)&gt;0),DATE(YEAR(EXPEDIENTE!$F$25),3,1),IF(AND(SUM(K67:K67)=0,SUM(K67:V67)&gt;0),DATE(YEAR(EXPEDIENTE!$F$25),2,1),IF(K67&gt;0,DATE(YEAR(EXPEDIENTE!$F$25),1,1),""))))))))))))</f>
        <v/>
      </c>
      <c r="I67" s="338"/>
      <c r="J67" s="339"/>
      <c r="K67" s="185"/>
      <c r="L67" s="185"/>
      <c r="M67" s="185"/>
      <c r="N67" s="185"/>
      <c r="O67" s="185"/>
      <c r="P67" s="185"/>
      <c r="Q67" s="185"/>
      <c r="R67" s="185"/>
      <c r="S67" s="185"/>
      <c r="T67" s="185"/>
      <c r="U67" s="185"/>
      <c r="V67" s="186"/>
      <c r="X67" s="36" t="str">
        <f t="shared" si="14"/>
        <v/>
      </c>
    </row>
    <row r="68" spans="2:24" ht="35.1" customHeight="1" x14ac:dyDescent="0.25">
      <c r="B68" s="54">
        <f t="shared" si="16"/>
        <v>0</v>
      </c>
      <c r="C68" s="54" t="str">
        <f t="shared" si="10"/>
        <v/>
      </c>
      <c r="D68" s="54">
        <f t="shared" si="15"/>
        <v>0</v>
      </c>
      <c r="E68" s="54">
        <f t="shared" si="13"/>
        <v>0</v>
      </c>
      <c r="F68" s="54">
        <f>COUNTIF($I$37:I68,"&lt;&gt;")</f>
        <v>0</v>
      </c>
      <c r="G68" s="54">
        <f t="shared" si="12"/>
        <v>0</v>
      </c>
      <c r="H68" s="237" t="str">
        <f>IF(AND(SUM(K68:U68)=0,SUM(K68:V68)&gt;0),DATE(YEAR(EXPEDIENTE!$F$25),12,1),IF(AND(SUM(K68:T68)=0,SUM(K68:V68)&gt;0),DATE(YEAR(EXPEDIENTE!$F$25),11,1),IF(AND(SUM(K68:S68)=0,SUM(K68:V68)&gt;0),DATE(YEAR(EXPEDIENTE!$F$25),10,1),IF(AND(SUM(K68:R68)=0,SUM(K68:V68)&gt;0),DATE(YEAR(EXPEDIENTE!$F$25),9,1),IF(AND(SUM(K68:Q68)=0,SUM(K68:V68)&gt;0),DATE(YEAR(EXPEDIENTE!$F$25),8,1),IF(AND(SUM(K68:P68)=0,SUM(K68:V68)&gt;0),DATE(YEAR(EXPEDIENTE!$F$25),7,1),IF(AND(SUM(K68:O68)=0,SUM(K68:V68)&gt;0),DATE(YEAR(EXPEDIENTE!$F$25),6,1),IF(AND(SUM(K68:N68)=0,SUM(K68:V68)&gt;0),DATE(YEAR(EXPEDIENTE!$F$25),5,1),IF(AND(SUM(K68:M68)=0,SUM(K68:V68)&gt;0),DATE(YEAR(EXPEDIENTE!$F$25),4,1),IF(AND(SUM(K68:L68)=0,SUM(K68:V68)&gt;0),DATE(YEAR(EXPEDIENTE!$F$25),3,1),IF(AND(SUM(K68:K68)=0,SUM(K68:V68)&gt;0),DATE(YEAR(EXPEDIENTE!$F$25),2,1),IF(K68&gt;0,DATE(YEAR(EXPEDIENTE!$F$25),1,1),""))))))))))))</f>
        <v/>
      </c>
      <c r="I68" s="338"/>
      <c r="J68" s="339"/>
      <c r="K68" s="185"/>
      <c r="L68" s="185"/>
      <c r="M68" s="185"/>
      <c r="N68" s="185"/>
      <c r="O68" s="185"/>
      <c r="P68" s="185"/>
      <c r="Q68" s="185"/>
      <c r="R68" s="185"/>
      <c r="S68" s="185"/>
      <c r="T68" s="185"/>
      <c r="U68" s="185"/>
      <c r="V68" s="186"/>
      <c r="X68" s="36" t="str">
        <f t="shared" si="14"/>
        <v/>
      </c>
    </row>
    <row r="69" spans="2:24" ht="35.1" customHeight="1" x14ac:dyDescent="0.25">
      <c r="B69" s="54">
        <f t="shared" si="16"/>
        <v>0</v>
      </c>
      <c r="C69" s="54" t="str">
        <f t="shared" ref="C69:C96" si="17">IF(MID(I69,10,1)=":",MID(I69,9,1),MID(I69,9,2))</f>
        <v/>
      </c>
      <c r="D69" s="54">
        <f t="shared" si="15"/>
        <v>0</v>
      </c>
      <c r="E69" s="54">
        <f t="shared" si="13"/>
        <v>0</v>
      </c>
      <c r="F69" s="54">
        <f>COUNTIF($I$37:I69,"&lt;&gt;")</f>
        <v>0</v>
      </c>
      <c r="G69" s="54">
        <f t="shared" ref="G69:G96" si="18">IF(VALUE(D69)=0,0,COUNTIF($D$37:$D$96,D69))</f>
        <v>0</v>
      </c>
      <c r="H69" s="237" t="str">
        <f>IF(AND(SUM(K69:U69)=0,SUM(K69:V69)&gt;0),DATE(YEAR(EXPEDIENTE!$F$25),12,1),IF(AND(SUM(K69:T69)=0,SUM(K69:V69)&gt;0),DATE(YEAR(EXPEDIENTE!$F$25),11,1),IF(AND(SUM(K69:S69)=0,SUM(K69:V69)&gt;0),DATE(YEAR(EXPEDIENTE!$F$25),10,1),IF(AND(SUM(K69:R69)=0,SUM(K69:V69)&gt;0),DATE(YEAR(EXPEDIENTE!$F$25),9,1),IF(AND(SUM(K69:Q69)=0,SUM(K69:V69)&gt;0),DATE(YEAR(EXPEDIENTE!$F$25),8,1),IF(AND(SUM(K69:P69)=0,SUM(K69:V69)&gt;0),DATE(YEAR(EXPEDIENTE!$F$25),7,1),IF(AND(SUM(K69:O69)=0,SUM(K69:V69)&gt;0),DATE(YEAR(EXPEDIENTE!$F$25),6,1),IF(AND(SUM(K69:N69)=0,SUM(K69:V69)&gt;0),DATE(YEAR(EXPEDIENTE!$F$25),5,1),IF(AND(SUM(K69:M69)=0,SUM(K69:V69)&gt;0),DATE(YEAR(EXPEDIENTE!$F$25),4,1),IF(AND(SUM(K69:L69)=0,SUM(K69:V69)&gt;0),DATE(YEAR(EXPEDIENTE!$F$25),3,1),IF(AND(SUM(K69:K69)=0,SUM(K69:V69)&gt;0),DATE(YEAR(EXPEDIENTE!$F$25),2,1),IF(K69&gt;0,DATE(YEAR(EXPEDIENTE!$F$25),1,1),""))))))))))))</f>
        <v/>
      </c>
      <c r="I69" s="338"/>
      <c r="J69" s="339"/>
      <c r="K69" s="185"/>
      <c r="L69" s="185"/>
      <c r="M69" s="185"/>
      <c r="N69" s="185"/>
      <c r="O69" s="185"/>
      <c r="P69" s="185"/>
      <c r="Q69" s="185"/>
      <c r="R69" s="185"/>
      <c r="S69" s="185"/>
      <c r="T69" s="185"/>
      <c r="U69" s="185"/>
      <c r="V69" s="186"/>
      <c r="X69" s="36" t="str">
        <f t="shared" si="14"/>
        <v/>
      </c>
    </row>
    <row r="70" spans="2:24" ht="35.1" customHeight="1" x14ac:dyDescent="0.25">
      <c r="B70" s="54">
        <f t="shared" si="16"/>
        <v>0</v>
      </c>
      <c r="C70" s="54" t="str">
        <f t="shared" si="17"/>
        <v/>
      </c>
      <c r="D70" s="54">
        <f t="shared" si="15"/>
        <v>0</v>
      </c>
      <c r="E70" s="54">
        <f t="shared" si="13"/>
        <v>0</v>
      </c>
      <c r="F70" s="54">
        <f>COUNTIF($I$37:I70,"&lt;&gt;")</f>
        <v>0</v>
      </c>
      <c r="G70" s="54">
        <f t="shared" si="18"/>
        <v>0</v>
      </c>
      <c r="H70" s="237" t="str">
        <f>IF(AND(SUM(K70:U70)=0,SUM(K70:V70)&gt;0),DATE(YEAR(EXPEDIENTE!$F$25),12,1),IF(AND(SUM(K70:T70)=0,SUM(K70:V70)&gt;0),DATE(YEAR(EXPEDIENTE!$F$25),11,1),IF(AND(SUM(K70:S70)=0,SUM(K70:V70)&gt;0),DATE(YEAR(EXPEDIENTE!$F$25),10,1),IF(AND(SUM(K70:R70)=0,SUM(K70:V70)&gt;0),DATE(YEAR(EXPEDIENTE!$F$25),9,1),IF(AND(SUM(K70:Q70)=0,SUM(K70:V70)&gt;0),DATE(YEAR(EXPEDIENTE!$F$25),8,1),IF(AND(SUM(K70:P70)=0,SUM(K70:V70)&gt;0),DATE(YEAR(EXPEDIENTE!$F$25),7,1),IF(AND(SUM(K70:O70)=0,SUM(K70:V70)&gt;0),DATE(YEAR(EXPEDIENTE!$F$25),6,1),IF(AND(SUM(K70:N70)=0,SUM(K70:V70)&gt;0),DATE(YEAR(EXPEDIENTE!$F$25),5,1),IF(AND(SUM(K70:M70)=0,SUM(K70:V70)&gt;0),DATE(YEAR(EXPEDIENTE!$F$25),4,1),IF(AND(SUM(K70:L70)=0,SUM(K70:V70)&gt;0),DATE(YEAR(EXPEDIENTE!$F$25),3,1),IF(AND(SUM(K70:K70)=0,SUM(K70:V70)&gt;0),DATE(YEAR(EXPEDIENTE!$F$25),2,1),IF(K70&gt;0,DATE(YEAR(EXPEDIENTE!$F$25),1,1),""))))))))))))</f>
        <v/>
      </c>
      <c r="I70" s="338"/>
      <c r="J70" s="339"/>
      <c r="K70" s="185"/>
      <c r="L70" s="185"/>
      <c r="M70" s="185"/>
      <c r="N70" s="185"/>
      <c r="O70" s="185"/>
      <c r="P70" s="185"/>
      <c r="Q70" s="185"/>
      <c r="R70" s="185"/>
      <c r="S70" s="185"/>
      <c r="T70" s="185"/>
      <c r="U70" s="185"/>
      <c r="V70" s="186"/>
      <c r="X70" s="36" t="str">
        <f t="shared" si="14"/>
        <v/>
      </c>
    </row>
    <row r="71" spans="2:24" ht="35.1" customHeight="1" x14ac:dyDescent="0.25">
      <c r="B71" s="54">
        <f t="shared" si="16"/>
        <v>0</v>
      </c>
      <c r="C71" s="54" t="str">
        <f t="shared" si="17"/>
        <v/>
      </c>
      <c r="D71" s="54">
        <f t="shared" si="15"/>
        <v>0</v>
      </c>
      <c r="E71" s="54">
        <f t="shared" si="13"/>
        <v>0</v>
      </c>
      <c r="F71" s="54">
        <f>COUNTIF($I$37:I71,"&lt;&gt;")</f>
        <v>0</v>
      </c>
      <c r="G71" s="54">
        <f t="shared" si="18"/>
        <v>0</v>
      </c>
      <c r="H71" s="237" t="str">
        <f>IF(AND(SUM(K71:U71)=0,SUM(K71:V71)&gt;0),DATE(YEAR(EXPEDIENTE!$F$25),12,1),IF(AND(SUM(K71:T71)=0,SUM(K71:V71)&gt;0),DATE(YEAR(EXPEDIENTE!$F$25),11,1),IF(AND(SUM(K71:S71)=0,SUM(K71:V71)&gt;0),DATE(YEAR(EXPEDIENTE!$F$25),10,1),IF(AND(SUM(K71:R71)=0,SUM(K71:V71)&gt;0),DATE(YEAR(EXPEDIENTE!$F$25),9,1),IF(AND(SUM(K71:Q71)=0,SUM(K71:V71)&gt;0),DATE(YEAR(EXPEDIENTE!$F$25),8,1),IF(AND(SUM(K71:P71)=0,SUM(K71:V71)&gt;0),DATE(YEAR(EXPEDIENTE!$F$25),7,1),IF(AND(SUM(K71:O71)=0,SUM(K71:V71)&gt;0),DATE(YEAR(EXPEDIENTE!$F$25),6,1),IF(AND(SUM(K71:N71)=0,SUM(K71:V71)&gt;0),DATE(YEAR(EXPEDIENTE!$F$25),5,1),IF(AND(SUM(K71:M71)=0,SUM(K71:V71)&gt;0),DATE(YEAR(EXPEDIENTE!$F$25),4,1),IF(AND(SUM(K71:L71)=0,SUM(K71:V71)&gt;0),DATE(YEAR(EXPEDIENTE!$F$25),3,1),IF(AND(SUM(K71:K71)=0,SUM(K71:V71)&gt;0),DATE(YEAR(EXPEDIENTE!$F$25),2,1),IF(K71&gt;0,DATE(YEAR(EXPEDIENTE!$F$25),1,1),""))))))))))))</f>
        <v/>
      </c>
      <c r="I71" s="338"/>
      <c r="J71" s="339"/>
      <c r="K71" s="185"/>
      <c r="L71" s="185"/>
      <c r="M71" s="185"/>
      <c r="N71" s="185"/>
      <c r="O71" s="185"/>
      <c r="P71" s="185"/>
      <c r="Q71" s="185"/>
      <c r="R71" s="185"/>
      <c r="S71" s="185"/>
      <c r="T71" s="185"/>
      <c r="U71" s="185"/>
      <c r="V71" s="186"/>
      <c r="X71" s="36" t="str">
        <f t="shared" si="14"/>
        <v/>
      </c>
    </row>
    <row r="72" spans="2:24" ht="35.1" customHeight="1" x14ac:dyDescent="0.25">
      <c r="B72" s="54">
        <f t="shared" si="16"/>
        <v>0</v>
      </c>
      <c r="C72" s="54" t="str">
        <f t="shared" si="17"/>
        <v/>
      </c>
      <c r="D72" s="54">
        <f t="shared" si="15"/>
        <v>0</v>
      </c>
      <c r="E72" s="54">
        <f t="shared" si="13"/>
        <v>0</v>
      </c>
      <c r="F72" s="54">
        <f>COUNTIF($I$37:I72,"&lt;&gt;")</f>
        <v>0</v>
      </c>
      <c r="G72" s="54">
        <f t="shared" si="18"/>
        <v>0</v>
      </c>
      <c r="H72" s="237" t="str">
        <f>IF(AND(SUM(K72:U72)=0,SUM(K72:V72)&gt;0),DATE(YEAR(EXPEDIENTE!$F$25),12,1),IF(AND(SUM(K72:T72)=0,SUM(K72:V72)&gt;0),DATE(YEAR(EXPEDIENTE!$F$25),11,1),IF(AND(SUM(K72:S72)=0,SUM(K72:V72)&gt;0),DATE(YEAR(EXPEDIENTE!$F$25),10,1),IF(AND(SUM(K72:R72)=0,SUM(K72:V72)&gt;0),DATE(YEAR(EXPEDIENTE!$F$25),9,1),IF(AND(SUM(K72:Q72)=0,SUM(K72:V72)&gt;0),DATE(YEAR(EXPEDIENTE!$F$25),8,1),IF(AND(SUM(K72:P72)=0,SUM(K72:V72)&gt;0),DATE(YEAR(EXPEDIENTE!$F$25),7,1),IF(AND(SUM(K72:O72)=0,SUM(K72:V72)&gt;0),DATE(YEAR(EXPEDIENTE!$F$25),6,1),IF(AND(SUM(K72:N72)=0,SUM(K72:V72)&gt;0),DATE(YEAR(EXPEDIENTE!$F$25),5,1),IF(AND(SUM(K72:M72)=0,SUM(K72:V72)&gt;0),DATE(YEAR(EXPEDIENTE!$F$25),4,1),IF(AND(SUM(K72:L72)=0,SUM(K72:V72)&gt;0),DATE(YEAR(EXPEDIENTE!$F$25),3,1),IF(AND(SUM(K72:K72)=0,SUM(K72:V72)&gt;0),DATE(YEAR(EXPEDIENTE!$F$25),2,1),IF(K72&gt;0,DATE(YEAR(EXPEDIENTE!$F$25),1,1),""))))))))))))</f>
        <v/>
      </c>
      <c r="I72" s="338"/>
      <c r="J72" s="339"/>
      <c r="K72" s="185"/>
      <c r="L72" s="185"/>
      <c r="M72" s="185"/>
      <c r="N72" s="185"/>
      <c r="O72" s="185"/>
      <c r="P72" s="185"/>
      <c r="Q72" s="185"/>
      <c r="R72" s="185"/>
      <c r="S72" s="185"/>
      <c r="T72" s="185"/>
      <c r="U72" s="185"/>
      <c r="V72" s="186"/>
      <c r="X72" s="36" t="str">
        <f t="shared" si="14"/>
        <v/>
      </c>
    </row>
    <row r="73" spans="2:24" ht="35.1" customHeight="1" x14ac:dyDescent="0.25">
      <c r="B73" s="54">
        <f t="shared" si="16"/>
        <v>0</v>
      </c>
      <c r="C73" s="54" t="str">
        <f t="shared" si="17"/>
        <v/>
      </c>
      <c r="D73" s="54">
        <f t="shared" si="15"/>
        <v>0</v>
      </c>
      <c r="E73" s="54">
        <f t="shared" si="13"/>
        <v>0</v>
      </c>
      <c r="F73" s="54">
        <f>COUNTIF($I$37:I73,"&lt;&gt;")</f>
        <v>0</v>
      </c>
      <c r="G73" s="54">
        <f t="shared" si="18"/>
        <v>0</v>
      </c>
      <c r="H73" s="237" t="str">
        <f>IF(AND(SUM(K73:U73)=0,SUM(K73:V73)&gt;0),DATE(YEAR(EXPEDIENTE!$F$25),12,1),IF(AND(SUM(K73:T73)=0,SUM(K73:V73)&gt;0),DATE(YEAR(EXPEDIENTE!$F$25),11,1),IF(AND(SUM(K73:S73)=0,SUM(K73:V73)&gt;0),DATE(YEAR(EXPEDIENTE!$F$25),10,1),IF(AND(SUM(K73:R73)=0,SUM(K73:V73)&gt;0),DATE(YEAR(EXPEDIENTE!$F$25),9,1),IF(AND(SUM(K73:Q73)=0,SUM(K73:V73)&gt;0),DATE(YEAR(EXPEDIENTE!$F$25),8,1),IF(AND(SUM(K73:P73)=0,SUM(K73:V73)&gt;0),DATE(YEAR(EXPEDIENTE!$F$25),7,1),IF(AND(SUM(K73:O73)=0,SUM(K73:V73)&gt;0),DATE(YEAR(EXPEDIENTE!$F$25),6,1),IF(AND(SUM(K73:N73)=0,SUM(K73:V73)&gt;0),DATE(YEAR(EXPEDIENTE!$F$25),5,1),IF(AND(SUM(K73:M73)=0,SUM(K73:V73)&gt;0),DATE(YEAR(EXPEDIENTE!$F$25),4,1),IF(AND(SUM(K73:L73)=0,SUM(K73:V73)&gt;0),DATE(YEAR(EXPEDIENTE!$F$25),3,1),IF(AND(SUM(K73:K73)=0,SUM(K73:V73)&gt;0),DATE(YEAR(EXPEDIENTE!$F$25),2,1),IF(K73&gt;0,DATE(YEAR(EXPEDIENTE!$F$25),1,1),""))))))))))))</f>
        <v/>
      </c>
      <c r="I73" s="338"/>
      <c r="J73" s="339"/>
      <c r="K73" s="185"/>
      <c r="L73" s="185"/>
      <c r="M73" s="185"/>
      <c r="N73" s="185"/>
      <c r="O73" s="185"/>
      <c r="P73" s="185"/>
      <c r="Q73" s="185"/>
      <c r="R73" s="185"/>
      <c r="S73" s="185"/>
      <c r="T73" s="185"/>
      <c r="U73" s="185"/>
      <c r="V73" s="186"/>
      <c r="X73" s="36" t="str">
        <f t="shared" si="14"/>
        <v/>
      </c>
    </row>
    <row r="74" spans="2:24" ht="35.1" customHeight="1" x14ac:dyDescent="0.25">
      <c r="B74" s="54">
        <f t="shared" si="16"/>
        <v>0</v>
      </c>
      <c r="C74" s="54" t="str">
        <f t="shared" si="17"/>
        <v/>
      </c>
      <c r="D74" s="54">
        <f t="shared" si="15"/>
        <v>0</v>
      </c>
      <c r="E74" s="54">
        <f t="shared" si="13"/>
        <v>0</v>
      </c>
      <c r="F74" s="54">
        <f>COUNTIF($I$37:I74,"&lt;&gt;")</f>
        <v>0</v>
      </c>
      <c r="G74" s="54">
        <f t="shared" si="18"/>
        <v>0</v>
      </c>
      <c r="H74" s="237" t="str">
        <f>IF(AND(SUM(K74:U74)=0,SUM(K74:V74)&gt;0),DATE(YEAR(EXPEDIENTE!$F$25),12,1),IF(AND(SUM(K74:T74)=0,SUM(K74:V74)&gt;0),DATE(YEAR(EXPEDIENTE!$F$25),11,1),IF(AND(SUM(K74:S74)=0,SUM(K74:V74)&gt;0),DATE(YEAR(EXPEDIENTE!$F$25),10,1),IF(AND(SUM(K74:R74)=0,SUM(K74:V74)&gt;0),DATE(YEAR(EXPEDIENTE!$F$25),9,1),IF(AND(SUM(K74:Q74)=0,SUM(K74:V74)&gt;0),DATE(YEAR(EXPEDIENTE!$F$25),8,1),IF(AND(SUM(K74:P74)=0,SUM(K74:V74)&gt;0),DATE(YEAR(EXPEDIENTE!$F$25),7,1),IF(AND(SUM(K74:O74)=0,SUM(K74:V74)&gt;0),DATE(YEAR(EXPEDIENTE!$F$25),6,1),IF(AND(SUM(K74:N74)=0,SUM(K74:V74)&gt;0),DATE(YEAR(EXPEDIENTE!$F$25),5,1),IF(AND(SUM(K74:M74)=0,SUM(K74:V74)&gt;0),DATE(YEAR(EXPEDIENTE!$F$25),4,1),IF(AND(SUM(K74:L74)=0,SUM(K74:V74)&gt;0),DATE(YEAR(EXPEDIENTE!$F$25),3,1),IF(AND(SUM(K74:K74)=0,SUM(K74:V74)&gt;0),DATE(YEAR(EXPEDIENTE!$F$25),2,1),IF(K74&gt;0,DATE(YEAR(EXPEDIENTE!$F$25),1,1),""))))))))))))</f>
        <v/>
      </c>
      <c r="I74" s="338"/>
      <c r="J74" s="339"/>
      <c r="K74" s="185"/>
      <c r="L74" s="185"/>
      <c r="M74" s="185"/>
      <c r="N74" s="185"/>
      <c r="O74" s="185"/>
      <c r="P74" s="185"/>
      <c r="Q74" s="185"/>
      <c r="R74" s="185"/>
      <c r="S74" s="185"/>
      <c r="T74" s="185"/>
      <c r="U74" s="185"/>
      <c r="V74" s="186"/>
      <c r="X74" s="36" t="str">
        <f t="shared" si="14"/>
        <v/>
      </c>
    </row>
    <row r="75" spans="2:24" ht="35.1" customHeight="1" x14ac:dyDescent="0.25">
      <c r="B75" s="54">
        <f t="shared" si="16"/>
        <v>0</v>
      </c>
      <c r="C75" s="54" t="str">
        <f t="shared" si="17"/>
        <v/>
      </c>
      <c r="D75" s="54">
        <f t="shared" si="15"/>
        <v>0</v>
      </c>
      <c r="E75" s="54">
        <f t="shared" si="13"/>
        <v>0</v>
      </c>
      <c r="F75" s="54">
        <f>COUNTIF($I$37:I75,"&lt;&gt;")</f>
        <v>0</v>
      </c>
      <c r="G75" s="54">
        <f t="shared" si="18"/>
        <v>0</v>
      </c>
      <c r="H75" s="237" t="str">
        <f>IF(AND(SUM(K75:U75)=0,SUM(K75:V75)&gt;0),DATE(YEAR(EXPEDIENTE!$F$25),12,1),IF(AND(SUM(K75:T75)=0,SUM(K75:V75)&gt;0),DATE(YEAR(EXPEDIENTE!$F$25),11,1),IF(AND(SUM(K75:S75)=0,SUM(K75:V75)&gt;0),DATE(YEAR(EXPEDIENTE!$F$25),10,1),IF(AND(SUM(K75:R75)=0,SUM(K75:V75)&gt;0),DATE(YEAR(EXPEDIENTE!$F$25),9,1),IF(AND(SUM(K75:Q75)=0,SUM(K75:V75)&gt;0),DATE(YEAR(EXPEDIENTE!$F$25),8,1),IF(AND(SUM(K75:P75)=0,SUM(K75:V75)&gt;0),DATE(YEAR(EXPEDIENTE!$F$25),7,1),IF(AND(SUM(K75:O75)=0,SUM(K75:V75)&gt;0),DATE(YEAR(EXPEDIENTE!$F$25),6,1),IF(AND(SUM(K75:N75)=0,SUM(K75:V75)&gt;0),DATE(YEAR(EXPEDIENTE!$F$25),5,1),IF(AND(SUM(K75:M75)=0,SUM(K75:V75)&gt;0),DATE(YEAR(EXPEDIENTE!$F$25),4,1),IF(AND(SUM(K75:L75)=0,SUM(K75:V75)&gt;0),DATE(YEAR(EXPEDIENTE!$F$25),3,1),IF(AND(SUM(K75:K75)=0,SUM(K75:V75)&gt;0),DATE(YEAR(EXPEDIENTE!$F$25),2,1),IF(K75&gt;0,DATE(YEAR(EXPEDIENTE!$F$25),1,1),""))))))))))))</f>
        <v/>
      </c>
      <c r="I75" s="338"/>
      <c r="J75" s="339"/>
      <c r="K75" s="185"/>
      <c r="L75" s="185"/>
      <c r="M75" s="185"/>
      <c r="N75" s="185"/>
      <c r="O75" s="185"/>
      <c r="P75" s="185"/>
      <c r="Q75" s="185"/>
      <c r="R75" s="185"/>
      <c r="S75" s="185"/>
      <c r="T75" s="185"/>
      <c r="U75" s="185"/>
      <c r="V75" s="186"/>
      <c r="X75" s="36" t="str">
        <f t="shared" si="14"/>
        <v/>
      </c>
    </row>
    <row r="76" spans="2:24" ht="35.1" customHeight="1" x14ac:dyDescent="0.25">
      <c r="B76" s="54">
        <f t="shared" si="16"/>
        <v>0</v>
      </c>
      <c r="C76" s="54" t="str">
        <f t="shared" si="17"/>
        <v/>
      </c>
      <c r="D76" s="54">
        <f t="shared" si="15"/>
        <v>0</v>
      </c>
      <c r="E76" s="54">
        <f t="shared" si="13"/>
        <v>0</v>
      </c>
      <c r="F76" s="54">
        <f>COUNTIF($I$37:I76,"&lt;&gt;")</f>
        <v>0</v>
      </c>
      <c r="G76" s="54">
        <f t="shared" si="18"/>
        <v>0</v>
      </c>
      <c r="H76" s="237" t="str">
        <f>IF(AND(SUM(K76:U76)=0,SUM(K76:V76)&gt;0),DATE(YEAR(EXPEDIENTE!$F$25),12,1),IF(AND(SUM(K76:T76)=0,SUM(K76:V76)&gt;0),DATE(YEAR(EXPEDIENTE!$F$25),11,1),IF(AND(SUM(K76:S76)=0,SUM(K76:V76)&gt;0),DATE(YEAR(EXPEDIENTE!$F$25),10,1),IF(AND(SUM(K76:R76)=0,SUM(K76:V76)&gt;0),DATE(YEAR(EXPEDIENTE!$F$25),9,1),IF(AND(SUM(K76:Q76)=0,SUM(K76:V76)&gt;0),DATE(YEAR(EXPEDIENTE!$F$25),8,1),IF(AND(SUM(K76:P76)=0,SUM(K76:V76)&gt;0),DATE(YEAR(EXPEDIENTE!$F$25),7,1),IF(AND(SUM(K76:O76)=0,SUM(K76:V76)&gt;0),DATE(YEAR(EXPEDIENTE!$F$25),6,1),IF(AND(SUM(K76:N76)=0,SUM(K76:V76)&gt;0),DATE(YEAR(EXPEDIENTE!$F$25),5,1),IF(AND(SUM(K76:M76)=0,SUM(K76:V76)&gt;0),DATE(YEAR(EXPEDIENTE!$F$25),4,1),IF(AND(SUM(K76:L76)=0,SUM(K76:V76)&gt;0),DATE(YEAR(EXPEDIENTE!$F$25),3,1),IF(AND(SUM(K76:K76)=0,SUM(K76:V76)&gt;0),DATE(YEAR(EXPEDIENTE!$F$25),2,1),IF(K76&gt;0,DATE(YEAR(EXPEDIENTE!$F$25),1,1),""))))))))))))</f>
        <v/>
      </c>
      <c r="I76" s="338"/>
      <c r="J76" s="339"/>
      <c r="K76" s="185"/>
      <c r="L76" s="185"/>
      <c r="M76" s="185"/>
      <c r="N76" s="185"/>
      <c r="O76" s="185"/>
      <c r="P76" s="185"/>
      <c r="Q76" s="185"/>
      <c r="R76" s="185"/>
      <c r="S76" s="185"/>
      <c r="T76" s="185"/>
      <c r="U76" s="185"/>
      <c r="V76" s="186"/>
      <c r="X76" s="36" t="str">
        <f t="shared" si="14"/>
        <v/>
      </c>
    </row>
    <row r="77" spans="2:24" ht="35.1" customHeight="1" x14ac:dyDescent="0.25">
      <c r="B77" s="54">
        <f t="shared" si="16"/>
        <v>0</v>
      </c>
      <c r="C77" s="54" t="str">
        <f t="shared" si="17"/>
        <v/>
      </c>
      <c r="D77" s="54">
        <f t="shared" si="15"/>
        <v>0</v>
      </c>
      <c r="E77" s="54">
        <f t="shared" si="13"/>
        <v>0</v>
      </c>
      <c r="F77" s="54">
        <f>COUNTIF($I$37:I77,"&lt;&gt;")</f>
        <v>0</v>
      </c>
      <c r="G77" s="54">
        <f t="shared" si="18"/>
        <v>0</v>
      </c>
      <c r="H77" s="237" t="str">
        <f>IF(AND(SUM(K77:U77)=0,SUM(K77:V77)&gt;0),DATE(YEAR(EXPEDIENTE!$F$25),12,1),IF(AND(SUM(K77:T77)=0,SUM(K77:V77)&gt;0),DATE(YEAR(EXPEDIENTE!$F$25),11,1),IF(AND(SUM(K77:S77)=0,SUM(K77:V77)&gt;0),DATE(YEAR(EXPEDIENTE!$F$25),10,1),IF(AND(SUM(K77:R77)=0,SUM(K77:V77)&gt;0),DATE(YEAR(EXPEDIENTE!$F$25),9,1),IF(AND(SUM(K77:Q77)=0,SUM(K77:V77)&gt;0),DATE(YEAR(EXPEDIENTE!$F$25),8,1),IF(AND(SUM(K77:P77)=0,SUM(K77:V77)&gt;0),DATE(YEAR(EXPEDIENTE!$F$25),7,1),IF(AND(SUM(K77:O77)=0,SUM(K77:V77)&gt;0),DATE(YEAR(EXPEDIENTE!$F$25),6,1),IF(AND(SUM(K77:N77)=0,SUM(K77:V77)&gt;0),DATE(YEAR(EXPEDIENTE!$F$25),5,1),IF(AND(SUM(K77:M77)=0,SUM(K77:V77)&gt;0),DATE(YEAR(EXPEDIENTE!$F$25),4,1),IF(AND(SUM(K77:L77)=0,SUM(K77:V77)&gt;0),DATE(YEAR(EXPEDIENTE!$F$25),3,1),IF(AND(SUM(K77:K77)=0,SUM(K77:V77)&gt;0),DATE(YEAR(EXPEDIENTE!$F$25),2,1),IF(K77&gt;0,DATE(YEAR(EXPEDIENTE!$F$25),1,1),""))))))))))))</f>
        <v/>
      </c>
      <c r="I77" s="338"/>
      <c r="J77" s="339"/>
      <c r="K77" s="185"/>
      <c r="L77" s="185"/>
      <c r="M77" s="185"/>
      <c r="N77" s="185"/>
      <c r="O77" s="185"/>
      <c r="P77" s="185"/>
      <c r="Q77" s="185"/>
      <c r="R77" s="185"/>
      <c r="S77" s="185"/>
      <c r="T77" s="185"/>
      <c r="U77" s="185"/>
      <c r="V77" s="186"/>
      <c r="X77" s="36" t="str">
        <f t="shared" si="14"/>
        <v/>
      </c>
    </row>
    <row r="78" spans="2:24" ht="35.1" customHeight="1" x14ac:dyDescent="0.25">
      <c r="B78" s="54">
        <f t="shared" si="16"/>
        <v>0</v>
      </c>
      <c r="C78" s="54" t="str">
        <f t="shared" si="17"/>
        <v/>
      </c>
      <c r="D78" s="54">
        <f t="shared" si="15"/>
        <v>0</v>
      </c>
      <c r="E78" s="54">
        <f t="shared" si="13"/>
        <v>0</v>
      </c>
      <c r="F78" s="54">
        <f>COUNTIF($I$37:I78,"&lt;&gt;")</f>
        <v>0</v>
      </c>
      <c r="G78" s="54">
        <f t="shared" si="18"/>
        <v>0</v>
      </c>
      <c r="H78" s="237" t="str">
        <f>IF(AND(SUM(K78:U78)=0,SUM(K78:V78)&gt;0),DATE(YEAR(EXPEDIENTE!$F$25),12,1),IF(AND(SUM(K78:T78)=0,SUM(K78:V78)&gt;0),DATE(YEAR(EXPEDIENTE!$F$25),11,1),IF(AND(SUM(K78:S78)=0,SUM(K78:V78)&gt;0),DATE(YEAR(EXPEDIENTE!$F$25),10,1),IF(AND(SUM(K78:R78)=0,SUM(K78:V78)&gt;0),DATE(YEAR(EXPEDIENTE!$F$25),9,1),IF(AND(SUM(K78:Q78)=0,SUM(K78:V78)&gt;0),DATE(YEAR(EXPEDIENTE!$F$25),8,1),IF(AND(SUM(K78:P78)=0,SUM(K78:V78)&gt;0),DATE(YEAR(EXPEDIENTE!$F$25),7,1),IF(AND(SUM(K78:O78)=0,SUM(K78:V78)&gt;0),DATE(YEAR(EXPEDIENTE!$F$25),6,1),IF(AND(SUM(K78:N78)=0,SUM(K78:V78)&gt;0),DATE(YEAR(EXPEDIENTE!$F$25),5,1),IF(AND(SUM(K78:M78)=0,SUM(K78:V78)&gt;0),DATE(YEAR(EXPEDIENTE!$F$25),4,1),IF(AND(SUM(K78:L78)=0,SUM(K78:V78)&gt;0),DATE(YEAR(EXPEDIENTE!$F$25),3,1),IF(AND(SUM(K78:K78)=0,SUM(K78:V78)&gt;0),DATE(YEAR(EXPEDIENTE!$F$25),2,1),IF(K78&gt;0,DATE(YEAR(EXPEDIENTE!$F$25),1,1),""))))))))))))</f>
        <v/>
      </c>
      <c r="I78" s="338"/>
      <c r="J78" s="339"/>
      <c r="K78" s="185"/>
      <c r="L78" s="185"/>
      <c r="M78" s="185"/>
      <c r="N78" s="185"/>
      <c r="O78" s="185"/>
      <c r="P78" s="185"/>
      <c r="Q78" s="185"/>
      <c r="R78" s="185"/>
      <c r="S78" s="185"/>
      <c r="T78" s="185"/>
      <c r="U78" s="185"/>
      <c r="V78" s="186"/>
      <c r="X78" s="36" t="str">
        <f t="shared" si="14"/>
        <v/>
      </c>
    </row>
    <row r="79" spans="2:24" ht="35.1" customHeight="1" x14ac:dyDescent="0.25">
      <c r="B79" s="54">
        <f t="shared" si="16"/>
        <v>0</v>
      </c>
      <c r="C79" s="54" t="str">
        <f t="shared" si="17"/>
        <v/>
      </c>
      <c r="D79" s="54">
        <f t="shared" si="15"/>
        <v>0</v>
      </c>
      <c r="E79" s="54">
        <f t="shared" si="13"/>
        <v>0</v>
      </c>
      <c r="F79" s="54">
        <f>COUNTIF($I$37:I79,"&lt;&gt;")</f>
        <v>0</v>
      </c>
      <c r="G79" s="54">
        <f t="shared" si="18"/>
        <v>0</v>
      </c>
      <c r="H79" s="237" t="str">
        <f>IF(AND(SUM(K79:U79)=0,SUM(K79:V79)&gt;0),DATE(YEAR(EXPEDIENTE!$F$25),12,1),IF(AND(SUM(K79:T79)=0,SUM(K79:V79)&gt;0),DATE(YEAR(EXPEDIENTE!$F$25),11,1),IF(AND(SUM(K79:S79)=0,SUM(K79:V79)&gt;0),DATE(YEAR(EXPEDIENTE!$F$25),10,1),IF(AND(SUM(K79:R79)=0,SUM(K79:V79)&gt;0),DATE(YEAR(EXPEDIENTE!$F$25),9,1),IF(AND(SUM(K79:Q79)=0,SUM(K79:V79)&gt;0),DATE(YEAR(EXPEDIENTE!$F$25),8,1),IF(AND(SUM(K79:P79)=0,SUM(K79:V79)&gt;0),DATE(YEAR(EXPEDIENTE!$F$25),7,1),IF(AND(SUM(K79:O79)=0,SUM(K79:V79)&gt;0),DATE(YEAR(EXPEDIENTE!$F$25),6,1),IF(AND(SUM(K79:N79)=0,SUM(K79:V79)&gt;0),DATE(YEAR(EXPEDIENTE!$F$25),5,1),IF(AND(SUM(K79:M79)=0,SUM(K79:V79)&gt;0),DATE(YEAR(EXPEDIENTE!$F$25),4,1),IF(AND(SUM(K79:L79)=0,SUM(K79:V79)&gt;0),DATE(YEAR(EXPEDIENTE!$F$25),3,1),IF(AND(SUM(K79:K79)=0,SUM(K79:V79)&gt;0),DATE(YEAR(EXPEDIENTE!$F$25),2,1),IF(K79&gt;0,DATE(YEAR(EXPEDIENTE!$F$25),1,1),""))))))))))))</f>
        <v/>
      </c>
      <c r="I79" s="338"/>
      <c r="J79" s="339"/>
      <c r="K79" s="185"/>
      <c r="L79" s="185"/>
      <c r="M79" s="185"/>
      <c r="N79" s="185"/>
      <c r="O79" s="185"/>
      <c r="P79" s="185"/>
      <c r="Q79" s="185"/>
      <c r="R79" s="185"/>
      <c r="S79" s="185"/>
      <c r="T79" s="185"/>
      <c r="U79" s="185"/>
      <c r="V79" s="186"/>
      <c r="X79" s="36" t="str">
        <f t="shared" si="14"/>
        <v/>
      </c>
    </row>
    <row r="80" spans="2:24" ht="35.1" customHeight="1" x14ac:dyDescent="0.25">
      <c r="B80" s="54">
        <f t="shared" si="16"/>
        <v>0</v>
      </c>
      <c r="C80" s="54" t="str">
        <f t="shared" si="17"/>
        <v/>
      </c>
      <c r="D80" s="54">
        <f t="shared" si="15"/>
        <v>0</v>
      </c>
      <c r="E80" s="54">
        <f t="shared" si="13"/>
        <v>0</v>
      </c>
      <c r="F80" s="54">
        <f>COUNTIF($I$37:I80,"&lt;&gt;")</f>
        <v>0</v>
      </c>
      <c r="G80" s="54">
        <f t="shared" si="18"/>
        <v>0</v>
      </c>
      <c r="H80" s="237" t="str">
        <f>IF(AND(SUM(K80:U80)=0,SUM(K80:V80)&gt;0),DATE(YEAR(EXPEDIENTE!$F$25),12,1),IF(AND(SUM(K80:T80)=0,SUM(K80:V80)&gt;0),DATE(YEAR(EXPEDIENTE!$F$25),11,1),IF(AND(SUM(K80:S80)=0,SUM(K80:V80)&gt;0),DATE(YEAR(EXPEDIENTE!$F$25),10,1),IF(AND(SUM(K80:R80)=0,SUM(K80:V80)&gt;0),DATE(YEAR(EXPEDIENTE!$F$25),9,1),IF(AND(SUM(K80:Q80)=0,SUM(K80:V80)&gt;0),DATE(YEAR(EXPEDIENTE!$F$25),8,1),IF(AND(SUM(K80:P80)=0,SUM(K80:V80)&gt;0),DATE(YEAR(EXPEDIENTE!$F$25),7,1),IF(AND(SUM(K80:O80)=0,SUM(K80:V80)&gt;0),DATE(YEAR(EXPEDIENTE!$F$25),6,1),IF(AND(SUM(K80:N80)=0,SUM(K80:V80)&gt;0),DATE(YEAR(EXPEDIENTE!$F$25),5,1),IF(AND(SUM(K80:M80)=0,SUM(K80:V80)&gt;0),DATE(YEAR(EXPEDIENTE!$F$25),4,1),IF(AND(SUM(K80:L80)=0,SUM(K80:V80)&gt;0),DATE(YEAR(EXPEDIENTE!$F$25),3,1),IF(AND(SUM(K80:K80)=0,SUM(K80:V80)&gt;0),DATE(YEAR(EXPEDIENTE!$F$25),2,1),IF(K80&gt;0,DATE(YEAR(EXPEDIENTE!$F$25),1,1),""))))))))))))</f>
        <v/>
      </c>
      <c r="I80" s="338"/>
      <c r="J80" s="339"/>
      <c r="K80" s="185"/>
      <c r="L80" s="185"/>
      <c r="M80" s="185"/>
      <c r="N80" s="185"/>
      <c r="O80" s="185"/>
      <c r="P80" s="185"/>
      <c r="Q80" s="185"/>
      <c r="R80" s="185"/>
      <c r="S80" s="185"/>
      <c r="T80" s="185"/>
      <c r="U80" s="185"/>
      <c r="V80" s="186"/>
      <c r="X80" s="36" t="str">
        <f t="shared" si="14"/>
        <v/>
      </c>
    </row>
    <row r="81" spans="2:24" ht="35.1" customHeight="1" x14ac:dyDescent="0.25">
      <c r="B81" s="54">
        <f t="shared" si="16"/>
        <v>0</v>
      </c>
      <c r="C81" s="54" t="str">
        <f t="shared" si="17"/>
        <v/>
      </c>
      <c r="D81" s="54">
        <f t="shared" si="15"/>
        <v>0</v>
      </c>
      <c r="E81" s="54">
        <f t="shared" si="13"/>
        <v>0</v>
      </c>
      <c r="F81" s="54">
        <f>COUNTIF($I$37:I81,"&lt;&gt;")</f>
        <v>0</v>
      </c>
      <c r="G81" s="54">
        <f t="shared" si="18"/>
        <v>0</v>
      </c>
      <c r="H81" s="237" t="str">
        <f>IF(AND(SUM(K81:U81)=0,SUM(K81:V81)&gt;0),DATE(YEAR(EXPEDIENTE!$F$25),12,1),IF(AND(SUM(K81:T81)=0,SUM(K81:V81)&gt;0),DATE(YEAR(EXPEDIENTE!$F$25),11,1),IF(AND(SUM(K81:S81)=0,SUM(K81:V81)&gt;0),DATE(YEAR(EXPEDIENTE!$F$25),10,1),IF(AND(SUM(K81:R81)=0,SUM(K81:V81)&gt;0),DATE(YEAR(EXPEDIENTE!$F$25),9,1),IF(AND(SUM(K81:Q81)=0,SUM(K81:V81)&gt;0),DATE(YEAR(EXPEDIENTE!$F$25),8,1),IF(AND(SUM(K81:P81)=0,SUM(K81:V81)&gt;0),DATE(YEAR(EXPEDIENTE!$F$25),7,1),IF(AND(SUM(K81:O81)=0,SUM(K81:V81)&gt;0),DATE(YEAR(EXPEDIENTE!$F$25),6,1),IF(AND(SUM(K81:N81)=0,SUM(K81:V81)&gt;0),DATE(YEAR(EXPEDIENTE!$F$25),5,1),IF(AND(SUM(K81:M81)=0,SUM(K81:V81)&gt;0),DATE(YEAR(EXPEDIENTE!$F$25),4,1),IF(AND(SUM(K81:L81)=0,SUM(K81:V81)&gt;0),DATE(YEAR(EXPEDIENTE!$F$25),3,1),IF(AND(SUM(K81:K81)=0,SUM(K81:V81)&gt;0),DATE(YEAR(EXPEDIENTE!$F$25),2,1),IF(K81&gt;0,DATE(YEAR(EXPEDIENTE!$F$25),1,1),""))))))))))))</f>
        <v/>
      </c>
      <c r="I81" s="338"/>
      <c r="J81" s="339"/>
      <c r="K81" s="185"/>
      <c r="L81" s="185"/>
      <c r="M81" s="185"/>
      <c r="N81" s="185"/>
      <c r="O81" s="185"/>
      <c r="P81" s="185"/>
      <c r="Q81" s="185"/>
      <c r="R81" s="185"/>
      <c r="S81" s="185"/>
      <c r="T81" s="185"/>
      <c r="U81" s="185"/>
      <c r="V81" s="186"/>
      <c r="X81" s="36" t="str">
        <f t="shared" si="14"/>
        <v/>
      </c>
    </row>
    <row r="82" spans="2:24" ht="35.1" customHeight="1" x14ac:dyDescent="0.25">
      <c r="B82" s="54">
        <f t="shared" si="16"/>
        <v>0</v>
      </c>
      <c r="C82" s="54" t="str">
        <f t="shared" si="17"/>
        <v/>
      </c>
      <c r="D82" s="54">
        <f t="shared" si="15"/>
        <v>0</v>
      </c>
      <c r="E82" s="54">
        <f t="shared" si="13"/>
        <v>0</v>
      </c>
      <c r="F82" s="54">
        <f>COUNTIF($I$37:I82,"&lt;&gt;")</f>
        <v>0</v>
      </c>
      <c r="G82" s="54">
        <f t="shared" si="18"/>
        <v>0</v>
      </c>
      <c r="H82" s="237" t="str">
        <f>IF(AND(SUM(K82:U82)=0,SUM(K82:V82)&gt;0),DATE(YEAR(EXPEDIENTE!$F$25),12,1),IF(AND(SUM(K82:T82)=0,SUM(K82:V82)&gt;0),DATE(YEAR(EXPEDIENTE!$F$25),11,1),IF(AND(SUM(K82:S82)=0,SUM(K82:V82)&gt;0),DATE(YEAR(EXPEDIENTE!$F$25),10,1),IF(AND(SUM(K82:R82)=0,SUM(K82:V82)&gt;0),DATE(YEAR(EXPEDIENTE!$F$25),9,1),IF(AND(SUM(K82:Q82)=0,SUM(K82:V82)&gt;0),DATE(YEAR(EXPEDIENTE!$F$25),8,1),IF(AND(SUM(K82:P82)=0,SUM(K82:V82)&gt;0),DATE(YEAR(EXPEDIENTE!$F$25),7,1),IF(AND(SUM(K82:O82)=0,SUM(K82:V82)&gt;0),DATE(YEAR(EXPEDIENTE!$F$25),6,1),IF(AND(SUM(K82:N82)=0,SUM(K82:V82)&gt;0),DATE(YEAR(EXPEDIENTE!$F$25),5,1),IF(AND(SUM(K82:M82)=0,SUM(K82:V82)&gt;0),DATE(YEAR(EXPEDIENTE!$F$25),4,1),IF(AND(SUM(K82:L82)=0,SUM(K82:V82)&gt;0),DATE(YEAR(EXPEDIENTE!$F$25),3,1),IF(AND(SUM(K82:K82)=0,SUM(K82:V82)&gt;0),DATE(YEAR(EXPEDIENTE!$F$25),2,1),IF(K82&gt;0,DATE(YEAR(EXPEDIENTE!$F$25),1,1),""))))))))))))</f>
        <v/>
      </c>
      <c r="I82" s="338"/>
      <c r="J82" s="339"/>
      <c r="K82" s="185"/>
      <c r="L82" s="185"/>
      <c r="M82" s="185"/>
      <c r="N82" s="185"/>
      <c r="O82" s="185"/>
      <c r="P82" s="185"/>
      <c r="Q82" s="185"/>
      <c r="R82" s="185"/>
      <c r="S82" s="185"/>
      <c r="T82" s="185"/>
      <c r="U82" s="185"/>
      <c r="V82" s="186"/>
      <c r="X82" s="36" t="str">
        <f t="shared" si="14"/>
        <v/>
      </c>
    </row>
    <row r="83" spans="2:24" ht="35.1" customHeight="1" x14ac:dyDescent="0.25">
      <c r="B83" s="54">
        <f t="shared" si="16"/>
        <v>0</v>
      </c>
      <c r="C83" s="54" t="str">
        <f t="shared" si="17"/>
        <v/>
      </c>
      <c r="D83" s="54">
        <f t="shared" si="15"/>
        <v>0</v>
      </c>
      <c r="E83" s="54">
        <f t="shared" si="13"/>
        <v>0</v>
      </c>
      <c r="F83" s="54">
        <f>COUNTIF($I$37:I83,"&lt;&gt;")</f>
        <v>0</v>
      </c>
      <c r="G83" s="54">
        <f t="shared" si="18"/>
        <v>0</v>
      </c>
      <c r="H83" s="237" t="str">
        <f>IF(AND(SUM(K83:U83)=0,SUM(K83:V83)&gt;0),DATE(YEAR(EXPEDIENTE!$F$25),12,1),IF(AND(SUM(K83:T83)=0,SUM(K83:V83)&gt;0),DATE(YEAR(EXPEDIENTE!$F$25),11,1),IF(AND(SUM(K83:S83)=0,SUM(K83:V83)&gt;0),DATE(YEAR(EXPEDIENTE!$F$25),10,1),IF(AND(SUM(K83:R83)=0,SUM(K83:V83)&gt;0),DATE(YEAR(EXPEDIENTE!$F$25),9,1),IF(AND(SUM(K83:Q83)=0,SUM(K83:V83)&gt;0),DATE(YEAR(EXPEDIENTE!$F$25),8,1),IF(AND(SUM(K83:P83)=0,SUM(K83:V83)&gt;0),DATE(YEAR(EXPEDIENTE!$F$25),7,1),IF(AND(SUM(K83:O83)=0,SUM(K83:V83)&gt;0),DATE(YEAR(EXPEDIENTE!$F$25),6,1),IF(AND(SUM(K83:N83)=0,SUM(K83:V83)&gt;0),DATE(YEAR(EXPEDIENTE!$F$25),5,1),IF(AND(SUM(K83:M83)=0,SUM(K83:V83)&gt;0),DATE(YEAR(EXPEDIENTE!$F$25),4,1),IF(AND(SUM(K83:L83)=0,SUM(K83:V83)&gt;0),DATE(YEAR(EXPEDIENTE!$F$25),3,1),IF(AND(SUM(K83:K83)=0,SUM(K83:V83)&gt;0),DATE(YEAR(EXPEDIENTE!$F$25),2,1),IF(K83&gt;0,DATE(YEAR(EXPEDIENTE!$F$25),1,1),""))))))))))))</f>
        <v/>
      </c>
      <c r="I83" s="338"/>
      <c r="J83" s="339"/>
      <c r="K83" s="185"/>
      <c r="L83" s="185"/>
      <c r="M83" s="185"/>
      <c r="N83" s="185"/>
      <c r="O83" s="185"/>
      <c r="P83" s="185"/>
      <c r="Q83" s="185"/>
      <c r="R83" s="185"/>
      <c r="S83" s="185"/>
      <c r="T83" s="185"/>
      <c r="U83" s="185"/>
      <c r="V83" s="186"/>
      <c r="X83" s="36" t="str">
        <f t="shared" si="14"/>
        <v/>
      </c>
    </row>
    <row r="84" spans="2:24" ht="35.1" customHeight="1" x14ac:dyDescent="0.25">
      <c r="B84" s="54">
        <f t="shared" si="16"/>
        <v>0</v>
      </c>
      <c r="C84" s="54" t="str">
        <f t="shared" si="17"/>
        <v/>
      </c>
      <c r="D84" s="54">
        <f t="shared" si="15"/>
        <v>0</v>
      </c>
      <c r="E84" s="54">
        <f t="shared" si="13"/>
        <v>0</v>
      </c>
      <c r="F84" s="54">
        <f>COUNTIF($I$37:I84,"&lt;&gt;")</f>
        <v>0</v>
      </c>
      <c r="G84" s="54">
        <f t="shared" si="18"/>
        <v>0</v>
      </c>
      <c r="H84" s="237" t="str">
        <f>IF(AND(SUM(K84:U84)=0,SUM(K84:V84)&gt;0),DATE(YEAR(EXPEDIENTE!$F$25),12,1),IF(AND(SUM(K84:T84)=0,SUM(K84:V84)&gt;0),DATE(YEAR(EXPEDIENTE!$F$25),11,1),IF(AND(SUM(K84:S84)=0,SUM(K84:V84)&gt;0),DATE(YEAR(EXPEDIENTE!$F$25),10,1),IF(AND(SUM(K84:R84)=0,SUM(K84:V84)&gt;0),DATE(YEAR(EXPEDIENTE!$F$25),9,1),IF(AND(SUM(K84:Q84)=0,SUM(K84:V84)&gt;0),DATE(YEAR(EXPEDIENTE!$F$25),8,1),IF(AND(SUM(K84:P84)=0,SUM(K84:V84)&gt;0),DATE(YEAR(EXPEDIENTE!$F$25),7,1),IF(AND(SUM(K84:O84)=0,SUM(K84:V84)&gt;0),DATE(YEAR(EXPEDIENTE!$F$25),6,1),IF(AND(SUM(K84:N84)=0,SUM(K84:V84)&gt;0),DATE(YEAR(EXPEDIENTE!$F$25),5,1),IF(AND(SUM(K84:M84)=0,SUM(K84:V84)&gt;0),DATE(YEAR(EXPEDIENTE!$F$25),4,1),IF(AND(SUM(K84:L84)=0,SUM(K84:V84)&gt;0),DATE(YEAR(EXPEDIENTE!$F$25),3,1),IF(AND(SUM(K84:K84)=0,SUM(K84:V84)&gt;0),DATE(YEAR(EXPEDIENTE!$F$25),2,1),IF(K84&gt;0,DATE(YEAR(EXPEDIENTE!$F$25),1,1),""))))))))))))</f>
        <v/>
      </c>
      <c r="I84" s="338"/>
      <c r="J84" s="339"/>
      <c r="K84" s="185"/>
      <c r="L84" s="185"/>
      <c r="M84" s="185"/>
      <c r="N84" s="185"/>
      <c r="O84" s="185"/>
      <c r="P84" s="185"/>
      <c r="Q84" s="185"/>
      <c r="R84" s="185"/>
      <c r="S84" s="185"/>
      <c r="T84" s="185"/>
      <c r="U84" s="185"/>
      <c r="V84" s="186"/>
      <c r="X84" s="36" t="str">
        <f t="shared" si="14"/>
        <v/>
      </c>
    </row>
    <row r="85" spans="2:24" ht="35.1" customHeight="1" x14ac:dyDescent="0.25">
      <c r="B85" s="54">
        <f t="shared" si="16"/>
        <v>0</v>
      </c>
      <c r="C85" s="54" t="str">
        <f t="shared" si="17"/>
        <v/>
      </c>
      <c r="D85" s="54">
        <f t="shared" si="15"/>
        <v>0</v>
      </c>
      <c r="E85" s="54">
        <f t="shared" si="13"/>
        <v>0</v>
      </c>
      <c r="F85" s="54">
        <f>COUNTIF($I$37:I85,"&lt;&gt;")</f>
        <v>0</v>
      </c>
      <c r="G85" s="54">
        <f t="shared" si="18"/>
        <v>0</v>
      </c>
      <c r="H85" s="237" t="str">
        <f>IF(AND(SUM(K85:U85)=0,SUM(K85:V85)&gt;0),DATE(YEAR(EXPEDIENTE!$F$25),12,1),IF(AND(SUM(K85:T85)=0,SUM(K85:V85)&gt;0),DATE(YEAR(EXPEDIENTE!$F$25),11,1),IF(AND(SUM(K85:S85)=0,SUM(K85:V85)&gt;0),DATE(YEAR(EXPEDIENTE!$F$25),10,1),IF(AND(SUM(K85:R85)=0,SUM(K85:V85)&gt;0),DATE(YEAR(EXPEDIENTE!$F$25),9,1),IF(AND(SUM(K85:Q85)=0,SUM(K85:V85)&gt;0),DATE(YEAR(EXPEDIENTE!$F$25),8,1),IF(AND(SUM(K85:P85)=0,SUM(K85:V85)&gt;0),DATE(YEAR(EXPEDIENTE!$F$25),7,1),IF(AND(SUM(K85:O85)=0,SUM(K85:V85)&gt;0),DATE(YEAR(EXPEDIENTE!$F$25),6,1),IF(AND(SUM(K85:N85)=0,SUM(K85:V85)&gt;0),DATE(YEAR(EXPEDIENTE!$F$25),5,1),IF(AND(SUM(K85:M85)=0,SUM(K85:V85)&gt;0),DATE(YEAR(EXPEDIENTE!$F$25),4,1),IF(AND(SUM(K85:L85)=0,SUM(K85:V85)&gt;0),DATE(YEAR(EXPEDIENTE!$F$25),3,1),IF(AND(SUM(K85:K85)=0,SUM(K85:V85)&gt;0),DATE(YEAR(EXPEDIENTE!$F$25),2,1),IF(K85&gt;0,DATE(YEAR(EXPEDIENTE!$F$25),1,1),""))))))))))))</f>
        <v/>
      </c>
      <c r="I85" s="338"/>
      <c r="J85" s="339"/>
      <c r="K85" s="185"/>
      <c r="L85" s="185"/>
      <c r="M85" s="185"/>
      <c r="N85" s="185"/>
      <c r="O85" s="185"/>
      <c r="P85" s="185"/>
      <c r="Q85" s="185"/>
      <c r="R85" s="185"/>
      <c r="S85" s="185"/>
      <c r="T85" s="185"/>
      <c r="U85" s="185"/>
      <c r="V85" s="186"/>
      <c r="X85" s="36" t="str">
        <f t="shared" si="14"/>
        <v/>
      </c>
    </row>
    <row r="86" spans="2:24" ht="35.1" customHeight="1" x14ac:dyDescent="0.25">
      <c r="B86" s="54">
        <f t="shared" si="16"/>
        <v>0</v>
      </c>
      <c r="C86" s="54" t="str">
        <f t="shared" si="17"/>
        <v/>
      </c>
      <c r="D86" s="54">
        <f t="shared" si="15"/>
        <v>0</v>
      </c>
      <c r="E86" s="54">
        <f t="shared" si="13"/>
        <v>0</v>
      </c>
      <c r="F86" s="54">
        <f>COUNTIF($I$37:I86,"&lt;&gt;")</f>
        <v>0</v>
      </c>
      <c r="G86" s="54">
        <f t="shared" si="18"/>
        <v>0</v>
      </c>
      <c r="H86" s="237" t="str">
        <f>IF(AND(SUM(K86:U86)=0,SUM(K86:V86)&gt;0),DATE(YEAR(EXPEDIENTE!$F$25),12,1),IF(AND(SUM(K86:T86)=0,SUM(K86:V86)&gt;0),DATE(YEAR(EXPEDIENTE!$F$25),11,1),IF(AND(SUM(K86:S86)=0,SUM(K86:V86)&gt;0),DATE(YEAR(EXPEDIENTE!$F$25),10,1),IF(AND(SUM(K86:R86)=0,SUM(K86:V86)&gt;0),DATE(YEAR(EXPEDIENTE!$F$25),9,1),IF(AND(SUM(K86:Q86)=0,SUM(K86:V86)&gt;0),DATE(YEAR(EXPEDIENTE!$F$25),8,1),IF(AND(SUM(K86:P86)=0,SUM(K86:V86)&gt;0),DATE(YEAR(EXPEDIENTE!$F$25),7,1),IF(AND(SUM(K86:O86)=0,SUM(K86:V86)&gt;0),DATE(YEAR(EXPEDIENTE!$F$25),6,1),IF(AND(SUM(K86:N86)=0,SUM(K86:V86)&gt;0),DATE(YEAR(EXPEDIENTE!$F$25),5,1),IF(AND(SUM(K86:M86)=0,SUM(K86:V86)&gt;0),DATE(YEAR(EXPEDIENTE!$F$25),4,1),IF(AND(SUM(K86:L86)=0,SUM(K86:V86)&gt;0),DATE(YEAR(EXPEDIENTE!$F$25),3,1),IF(AND(SUM(K86:K86)=0,SUM(K86:V86)&gt;0),DATE(YEAR(EXPEDIENTE!$F$25),2,1),IF(K86&gt;0,DATE(YEAR(EXPEDIENTE!$F$25),1,1),""))))))))))))</f>
        <v/>
      </c>
      <c r="I86" s="338"/>
      <c r="J86" s="339"/>
      <c r="K86" s="185"/>
      <c r="L86" s="185"/>
      <c r="M86" s="185"/>
      <c r="N86" s="185"/>
      <c r="O86" s="185"/>
      <c r="P86" s="185"/>
      <c r="Q86" s="185"/>
      <c r="R86" s="185"/>
      <c r="S86" s="185"/>
      <c r="T86" s="185"/>
      <c r="U86" s="185"/>
      <c r="V86" s="186"/>
      <c r="X86" s="36" t="str">
        <f t="shared" si="14"/>
        <v/>
      </c>
    </row>
    <row r="87" spans="2:24" ht="35.1" customHeight="1" x14ac:dyDescent="0.25">
      <c r="B87" s="54">
        <f t="shared" si="16"/>
        <v>0</v>
      </c>
      <c r="C87" s="54" t="str">
        <f t="shared" si="17"/>
        <v/>
      </c>
      <c r="D87" s="54">
        <f t="shared" si="15"/>
        <v>0</v>
      </c>
      <c r="E87" s="54">
        <f t="shared" si="13"/>
        <v>0</v>
      </c>
      <c r="F87" s="54">
        <f>COUNTIF($I$37:I87,"&lt;&gt;")</f>
        <v>0</v>
      </c>
      <c r="G87" s="54">
        <f t="shared" si="18"/>
        <v>0</v>
      </c>
      <c r="H87" s="237" t="str">
        <f>IF(AND(SUM(K87:U87)=0,SUM(K87:V87)&gt;0),DATE(YEAR(EXPEDIENTE!$F$25),12,1),IF(AND(SUM(K87:T87)=0,SUM(K87:V87)&gt;0),DATE(YEAR(EXPEDIENTE!$F$25),11,1),IF(AND(SUM(K87:S87)=0,SUM(K87:V87)&gt;0),DATE(YEAR(EXPEDIENTE!$F$25),10,1),IF(AND(SUM(K87:R87)=0,SUM(K87:V87)&gt;0),DATE(YEAR(EXPEDIENTE!$F$25),9,1),IF(AND(SUM(K87:Q87)=0,SUM(K87:V87)&gt;0),DATE(YEAR(EXPEDIENTE!$F$25),8,1),IF(AND(SUM(K87:P87)=0,SUM(K87:V87)&gt;0),DATE(YEAR(EXPEDIENTE!$F$25),7,1),IF(AND(SUM(K87:O87)=0,SUM(K87:V87)&gt;0),DATE(YEAR(EXPEDIENTE!$F$25),6,1),IF(AND(SUM(K87:N87)=0,SUM(K87:V87)&gt;0),DATE(YEAR(EXPEDIENTE!$F$25),5,1),IF(AND(SUM(K87:M87)=0,SUM(K87:V87)&gt;0),DATE(YEAR(EXPEDIENTE!$F$25),4,1),IF(AND(SUM(K87:L87)=0,SUM(K87:V87)&gt;0),DATE(YEAR(EXPEDIENTE!$F$25),3,1),IF(AND(SUM(K87:K87)=0,SUM(K87:V87)&gt;0),DATE(YEAR(EXPEDIENTE!$F$25),2,1),IF(K87&gt;0,DATE(YEAR(EXPEDIENTE!$F$25),1,1),""))))))))))))</f>
        <v/>
      </c>
      <c r="I87" s="338"/>
      <c r="J87" s="339"/>
      <c r="K87" s="185"/>
      <c r="L87" s="185"/>
      <c r="M87" s="185"/>
      <c r="N87" s="185"/>
      <c r="O87" s="185"/>
      <c r="P87" s="185"/>
      <c r="Q87" s="185"/>
      <c r="R87" s="185"/>
      <c r="S87" s="185"/>
      <c r="T87" s="185"/>
      <c r="U87" s="185"/>
      <c r="V87" s="186"/>
      <c r="X87" s="36" t="str">
        <f t="shared" si="14"/>
        <v/>
      </c>
    </row>
    <row r="88" spans="2:24" ht="35.1" customHeight="1" x14ac:dyDescent="0.25">
      <c r="B88" s="54">
        <f t="shared" si="16"/>
        <v>0</v>
      </c>
      <c r="C88" s="54" t="str">
        <f t="shared" si="17"/>
        <v/>
      </c>
      <c r="D88" s="54">
        <f t="shared" si="15"/>
        <v>0</v>
      </c>
      <c r="E88" s="54">
        <f t="shared" si="13"/>
        <v>0</v>
      </c>
      <c r="F88" s="54">
        <f>COUNTIF($I$37:I88,"&lt;&gt;")</f>
        <v>0</v>
      </c>
      <c r="G88" s="54">
        <f t="shared" si="18"/>
        <v>0</v>
      </c>
      <c r="H88" s="237" t="str">
        <f>IF(AND(SUM(K88:U88)=0,SUM(K88:V88)&gt;0),DATE(YEAR(EXPEDIENTE!$F$25),12,1),IF(AND(SUM(K88:T88)=0,SUM(K88:V88)&gt;0),DATE(YEAR(EXPEDIENTE!$F$25),11,1),IF(AND(SUM(K88:S88)=0,SUM(K88:V88)&gt;0),DATE(YEAR(EXPEDIENTE!$F$25),10,1),IF(AND(SUM(K88:R88)=0,SUM(K88:V88)&gt;0),DATE(YEAR(EXPEDIENTE!$F$25),9,1),IF(AND(SUM(K88:Q88)=0,SUM(K88:V88)&gt;0),DATE(YEAR(EXPEDIENTE!$F$25),8,1),IF(AND(SUM(K88:P88)=0,SUM(K88:V88)&gt;0),DATE(YEAR(EXPEDIENTE!$F$25),7,1),IF(AND(SUM(K88:O88)=0,SUM(K88:V88)&gt;0),DATE(YEAR(EXPEDIENTE!$F$25),6,1),IF(AND(SUM(K88:N88)=0,SUM(K88:V88)&gt;0),DATE(YEAR(EXPEDIENTE!$F$25),5,1),IF(AND(SUM(K88:M88)=0,SUM(K88:V88)&gt;0),DATE(YEAR(EXPEDIENTE!$F$25),4,1),IF(AND(SUM(K88:L88)=0,SUM(K88:V88)&gt;0),DATE(YEAR(EXPEDIENTE!$F$25),3,1),IF(AND(SUM(K88:K88)=0,SUM(K88:V88)&gt;0),DATE(YEAR(EXPEDIENTE!$F$25),2,1),IF(K88&gt;0,DATE(YEAR(EXPEDIENTE!$F$25),1,1),""))))))))))))</f>
        <v/>
      </c>
      <c r="I88" s="338"/>
      <c r="J88" s="339"/>
      <c r="K88" s="185"/>
      <c r="L88" s="185"/>
      <c r="M88" s="185"/>
      <c r="N88" s="185"/>
      <c r="O88" s="185"/>
      <c r="P88" s="185"/>
      <c r="Q88" s="185"/>
      <c r="R88" s="185"/>
      <c r="S88" s="185"/>
      <c r="T88" s="185"/>
      <c r="U88" s="185"/>
      <c r="V88" s="186"/>
      <c r="X88" s="36" t="str">
        <f t="shared" si="14"/>
        <v/>
      </c>
    </row>
    <row r="89" spans="2:24" ht="35.1" customHeight="1" x14ac:dyDescent="0.25">
      <c r="B89" s="54">
        <f t="shared" si="16"/>
        <v>0</v>
      </c>
      <c r="C89" s="54" t="str">
        <f t="shared" si="17"/>
        <v/>
      </c>
      <c r="D89" s="54">
        <f t="shared" si="15"/>
        <v>0</v>
      </c>
      <c r="E89" s="54">
        <f t="shared" si="13"/>
        <v>0</v>
      </c>
      <c r="F89" s="54">
        <f>COUNTIF($I$37:I89,"&lt;&gt;")</f>
        <v>0</v>
      </c>
      <c r="G89" s="54">
        <f t="shared" si="18"/>
        <v>0</v>
      </c>
      <c r="H89" s="237" t="str">
        <f>IF(AND(SUM(K89:U89)=0,SUM(K89:V89)&gt;0),DATE(YEAR(EXPEDIENTE!$F$25),12,1),IF(AND(SUM(K89:T89)=0,SUM(K89:V89)&gt;0),DATE(YEAR(EXPEDIENTE!$F$25),11,1),IF(AND(SUM(K89:S89)=0,SUM(K89:V89)&gt;0),DATE(YEAR(EXPEDIENTE!$F$25),10,1),IF(AND(SUM(K89:R89)=0,SUM(K89:V89)&gt;0),DATE(YEAR(EXPEDIENTE!$F$25),9,1),IF(AND(SUM(K89:Q89)=0,SUM(K89:V89)&gt;0),DATE(YEAR(EXPEDIENTE!$F$25),8,1),IF(AND(SUM(K89:P89)=0,SUM(K89:V89)&gt;0),DATE(YEAR(EXPEDIENTE!$F$25),7,1),IF(AND(SUM(K89:O89)=0,SUM(K89:V89)&gt;0),DATE(YEAR(EXPEDIENTE!$F$25),6,1),IF(AND(SUM(K89:N89)=0,SUM(K89:V89)&gt;0),DATE(YEAR(EXPEDIENTE!$F$25),5,1),IF(AND(SUM(K89:M89)=0,SUM(K89:V89)&gt;0),DATE(YEAR(EXPEDIENTE!$F$25),4,1),IF(AND(SUM(K89:L89)=0,SUM(K89:V89)&gt;0),DATE(YEAR(EXPEDIENTE!$F$25),3,1),IF(AND(SUM(K89:K89)=0,SUM(K89:V89)&gt;0),DATE(YEAR(EXPEDIENTE!$F$25),2,1),IF(K89&gt;0,DATE(YEAR(EXPEDIENTE!$F$25),1,1),""))))))))))))</f>
        <v/>
      </c>
      <c r="I89" s="338"/>
      <c r="J89" s="339"/>
      <c r="K89" s="185"/>
      <c r="L89" s="185"/>
      <c r="M89" s="185"/>
      <c r="N89" s="185"/>
      <c r="O89" s="185"/>
      <c r="P89" s="185"/>
      <c r="Q89" s="185"/>
      <c r="R89" s="185"/>
      <c r="S89" s="185"/>
      <c r="T89" s="185"/>
      <c r="U89" s="185"/>
      <c r="V89" s="186"/>
      <c r="X89" s="36" t="str">
        <f t="shared" si="14"/>
        <v/>
      </c>
    </row>
    <row r="90" spans="2:24" ht="35.1" customHeight="1" x14ac:dyDescent="0.25">
      <c r="B90" s="54">
        <f t="shared" si="16"/>
        <v>0</v>
      </c>
      <c r="C90" s="54" t="str">
        <f t="shared" si="17"/>
        <v/>
      </c>
      <c r="D90" s="54">
        <f t="shared" si="15"/>
        <v>0</v>
      </c>
      <c r="E90" s="54">
        <f t="shared" si="13"/>
        <v>0</v>
      </c>
      <c r="F90" s="54">
        <f>COUNTIF($I$37:I90,"&lt;&gt;")</f>
        <v>0</v>
      </c>
      <c r="G90" s="54">
        <f t="shared" si="18"/>
        <v>0</v>
      </c>
      <c r="H90" s="237" t="str">
        <f>IF(AND(SUM(K90:U90)=0,SUM(K90:V90)&gt;0),DATE(YEAR(EXPEDIENTE!$F$25),12,1),IF(AND(SUM(K90:T90)=0,SUM(K90:V90)&gt;0),DATE(YEAR(EXPEDIENTE!$F$25),11,1),IF(AND(SUM(K90:S90)=0,SUM(K90:V90)&gt;0),DATE(YEAR(EXPEDIENTE!$F$25),10,1),IF(AND(SUM(K90:R90)=0,SUM(K90:V90)&gt;0),DATE(YEAR(EXPEDIENTE!$F$25),9,1),IF(AND(SUM(K90:Q90)=0,SUM(K90:V90)&gt;0),DATE(YEAR(EXPEDIENTE!$F$25),8,1),IF(AND(SUM(K90:P90)=0,SUM(K90:V90)&gt;0),DATE(YEAR(EXPEDIENTE!$F$25),7,1),IF(AND(SUM(K90:O90)=0,SUM(K90:V90)&gt;0),DATE(YEAR(EXPEDIENTE!$F$25),6,1),IF(AND(SUM(K90:N90)=0,SUM(K90:V90)&gt;0),DATE(YEAR(EXPEDIENTE!$F$25),5,1),IF(AND(SUM(K90:M90)=0,SUM(K90:V90)&gt;0),DATE(YEAR(EXPEDIENTE!$F$25),4,1),IF(AND(SUM(K90:L90)=0,SUM(K90:V90)&gt;0),DATE(YEAR(EXPEDIENTE!$F$25),3,1),IF(AND(SUM(K90:K90)=0,SUM(K90:V90)&gt;0),DATE(YEAR(EXPEDIENTE!$F$25),2,1),IF(K90&gt;0,DATE(YEAR(EXPEDIENTE!$F$25),1,1),""))))))))))))</f>
        <v/>
      </c>
      <c r="I90" s="338"/>
      <c r="J90" s="339"/>
      <c r="K90" s="185"/>
      <c r="L90" s="185"/>
      <c r="M90" s="185"/>
      <c r="N90" s="185"/>
      <c r="O90" s="185"/>
      <c r="P90" s="185"/>
      <c r="Q90" s="185"/>
      <c r="R90" s="185"/>
      <c r="S90" s="185"/>
      <c r="T90" s="185"/>
      <c r="U90" s="185"/>
      <c r="V90" s="186"/>
      <c r="X90" s="36" t="str">
        <f t="shared" si="14"/>
        <v/>
      </c>
    </row>
    <row r="91" spans="2:24" ht="35.1" customHeight="1" x14ac:dyDescent="0.25">
      <c r="B91" s="54">
        <f t="shared" si="16"/>
        <v>0</v>
      </c>
      <c r="C91" s="54" t="str">
        <f t="shared" si="17"/>
        <v/>
      </c>
      <c r="D91" s="54">
        <f t="shared" si="15"/>
        <v>0</v>
      </c>
      <c r="E91" s="54">
        <f t="shared" si="13"/>
        <v>0</v>
      </c>
      <c r="F91" s="54">
        <f>COUNTIF($I$37:I91,"&lt;&gt;")</f>
        <v>0</v>
      </c>
      <c r="G91" s="54">
        <f t="shared" si="18"/>
        <v>0</v>
      </c>
      <c r="H91" s="237" t="str">
        <f>IF(AND(SUM(K91:U91)=0,SUM(K91:V91)&gt;0),DATE(YEAR(EXPEDIENTE!$F$25),12,1),IF(AND(SUM(K91:T91)=0,SUM(K91:V91)&gt;0),DATE(YEAR(EXPEDIENTE!$F$25),11,1),IF(AND(SUM(K91:S91)=0,SUM(K91:V91)&gt;0),DATE(YEAR(EXPEDIENTE!$F$25),10,1),IF(AND(SUM(K91:R91)=0,SUM(K91:V91)&gt;0),DATE(YEAR(EXPEDIENTE!$F$25),9,1),IF(AND(SUM(K91:Q91)=0,SUM(K91:V91)&gt;0),DATE(YEAR(EXPEDIENTE!$F$25),8,1),IF(AND(SUM(K91:P91)=0,SUM(K91:V91)&gt;0),DATE(YEAR(EXPEDIENTE!$F$25),7,1),IF(AND(SUM(K91:O91)=0,SUM(K91:V91)&gt;0),DATE(YEAR(EXPEDIENTE!$F$25),6,1),IF(AND(SUM(K91:N91)=0,SUM(K91:V91)&gt;0),DATE(YEAR(EXPEDIENTE!$F$25),5,1),IF(AND(SUM(K91:M91)=0,SUM(K91:V91)&gt;0),DATE(YEAR(EXPEDIENTE!$F$25),4,1),IF(AND(SUM(K91:L91)=0,SUM(K91:V91)&gt;0),DATE(YEAR(EXPEDIENTE!$F$25),3,1),IF(AND(SUM(K91:K91)=0,SUM(K91:V91)&gt;0),DATE(YEAR(EXPEDIENTE!$F$25),2,1),IF(K91&gt;0,DATE(YEAR(EXPEDIENTE!$F$25),1,1),""))))))))))))</f>
        <v/>
      </c>
      <c r="I91" s="338"/>
      <c r="J91" s="339"/>
      <c r="K91" s="185"/>
      <c r="L91" s="185"/>
      <c r="M91" s="185"/>
      <c r="N91" s="185"/>
      <c r="O91" s="185"/>
      <c r="P91" s="185"/>
      <c r="Q91" s="185"/>
      <c r="R91" s="185"/>
      <c r="S91" s="185"/>
      <c r="T91" s="185"/>
      <c r="U91" s="185"/>
      <c r="V91" s="186"/>
      <c r="X91" s="36" t="str">
        <f t="shared" si="14"/>
        <v/>
      </c>
    </row>
    <row r="92" spans="2:24" ht="35.1" customHeight="1" x14ac:dyDescent="0.25">
      <c r="B92" s="54">
        <f t="shared" si="16"/>
        <v>0</v>
      </c>
      <c r="C92" s="54" t="str">
        <f t="shared" si="17"/>
        <v/>
      </c>
      <c r="D92" s="54">
        <f t="shared" si="15"/>
        <v>0</v>
      </c>
      <c r="E92" s="54">
        <f t="shared" si="13"/>
        <v>0</v>
      </c>
      <c r="F92" s="54">
        <f>COUNTIF($I$37:I92,"&lt;&gt;")</f>
        <v>0</v>
      </c>
      <c r="G92" s="54">
        <f t="shared" si="18"/>
        <v>0</v>
      </c>
      <c r="H92" s="237" t="str">
        <f>IF(AND(SUM(K92:U92)=0,SUM(K92:V92)&gt;0),DATE(YEAR(EXPEDIENTE!$F$25),12,1),IF(AND(SUM(K92:T92)=0,SUM(K92:V92)&gt;0),DATE(YEAR(EXPEDIENTE!$F$25),11,1),IF(AND(SUM(K92:S92)=0,SUM(K92:V92)&gt;0),DATE(YEAR(EXPEDIENTE!$F$25),10,1),IF(AND(SUM(K92:R92)=0,SUM(K92:V92)&gt;0),DATE(YEAR(EXPEDIENTE!$F$25),9,1),IF(AND(SUM(K92:Q92)=0,SUM(K92:V92)&gt;0),DATE(YEAR(EXPEDIENTE!$F$25),8,1),IF(AND(SUM(K92:P92)=0,SUM(K92:V92)&gt;0),DATE(YEAR(EXPEDIENTE!$F$25),7,1),IF(AND(SUM(K92:O92)=0,SUM(K92:V92)&gt;0),DATE(YEAR(EXPEDIENTE!$F$25),6,1),IF(AND(SUM(K92:N92)=0,SUM(K92:V92)&gt;0),DATE(YEAR(EXPEDIENTE!$F$25),5,1),IF(AND(SUM(K92:M92)=0,SUM(K92:V92)&gt;0),DATE(YEAR(EXPEDIENTE!$F$25),4,1),IF(AND(SUM(K92:L92)=0,SUM(K92:V92)&gt;0),DATE(YEAR(EXPEDIENTE!$F$25),3,1),IF(AND(SUM(K92:K92)=0,SUM(K92:V92)&gt;0),DATE(YEAR(EXPEDIENTE!$F$25),2,1),IF(K92&gt;0,DATE(YEAR(EXPEDIENTE!$F$25),1,1),""))))))))))))</f>
        <v/>
      </c>
      <c r="I92" s="338"/>
      <c r="J92" s="339"/>
      <c r="K92" s="185"/>
      <c r="L92" s="185"/>
      <c r="M92" s="185"/>
      <c r="N92" s="185"/>
      <c r="O92" s="185"/>
      <c r="P92" s="185"/>
      <c r="Q92" s="185"/>
      <c r="R92" s="185"/>
      <c r="S92" s="185"/>
      <c r="T92" s="185"/>
      <c r="U92" s="185"/>
      <c r="V92" s="186"/>
      <c r="X92" s="36" t="str">
        <f t="shared" si="14"/>
        <v/>
      </c>
    </row>
    <row r="93" spans="2:24" ht="35.1" customHeight="1" x14ac:dyDescent="0.25">
      <c r="B93" s="54">
        <f t="shared" si="16"/>
        <v>0</v>
      </c>
      <c r="C93" s="54" t="str">
        <f t="shared" si="17"/>
        <v/>
      </c>
      <c r="D93" s="54">
        <f t="shared" si="15"/>
        <v>0</v>
      </c>
      <c r="E93" s="54">
        <f t="shared" si="13"/>
        <v>0</v>
      </c>
      <c r="F93" s="54">
        <f>COUNTIF($I$37:I93,"&lt;&gt;")</f>
        <v>0</v>
      </c>
      <c r="G93" s="54">
        <f t="shared" si="18"/>
        <v>0</v>
      </c>
      <c r="H93" s="237" t="str">
        <f>IF(AND(SUM(K93:U93)=0,SUM(K93:V93)&gt;0),DATE(YEAR(EXPEDIENTE!$F$25),12,1),IF(AND(SUM(K93:T93)=0,SUM(K93:V93)&gt;0),DATE(YEAR(EXPEDIENTE!$F$25),11,1),IF(AND(SUM(K93:S93)=0,SUM(K93:V93)&gt;0),DATE(YEAR(EXPEDIENTE!$F$25),10,1),IF(AND(SUM(K93:R93)=0,SUM(K93:V93)&gt;0),DATE(YEAR(EXPEDIENTE!$F$25),9,1),IF(AND(SUM(K93:Q93)=0,SUM(K93:V93)&gt;0),DATE(YEAR(EXPEDIENTE!$F$25),8,1),IF(AND(SUM(K93:P93)=0,SUM(K93:V93)&gt;0),DATE(YEAR(EXPEDIENTE!$F$25),7,1),IF(AND(SUM(K93:O93)=0,SUM(K93:V93)&gt;0),DATE(YEAR(EXPEDIENTE!$F$25),6,1),IF(AND(SUM(K93:N93)=0,SUM(K93:V93)&gt;0),DATE(YEAR(EXPEDIENTE!$F$25),5,1),IF(AND(SUM(K93:M93)=0,SUM(K93:V93)&gt;0),DATE(YEAR(EXPEDIENTE!$F$25),4,1),IF(AND(SUM(K93:L93)=0,SUM(K93:V93)&gt;0),DATE(YEAR(EXPEDIENTE!$F$25),3,1),IF(AND(SUM(K93:K93)=0,SUM(K93:V93)&gt;0),DATE(YEAR(EXPEDIENTE!$F$25),2,1),IF(K93&gt;0,DATE(YEAR(EXPEDIENTE!$F$25),1,1),""))))))))))))</f>
        <v/>
      </c>
      <c r="I93" s="338"/>
      <c r="J93" s="339"/>
      <c r="K93" s="185"/>
      <c r="L93" s="185"/>
      <c r="M93" s="185"/>
      <c r="N93" s="185"/>
      <c r="O93" s="185"/>
      <c r="P93" s="185"/>
      <c r="Q93" s="185"/>
      <c r="R93" s="185"/>
      <c r="S93" s="185"/>
      <c r="T93" s="185"/>
      <c r="U93" s="185"/>
      <c r="V93" s="186"/>
      <c r="X93" s="36" t="str">
        <f t="shared" si="14"/>
        <v/>
      </c>
    </row>
    <row r="94" spans="2:24" ht="35.1" customHeight="1" x14ac:dyDescent="0.25">
      <c r="B94" s="54">
        <f t="shared" si="16"/>
        <v>0</v>
      </c>
      <c r="C94" s="54" t="str">
        <f t="shared" si="17"/>
        <v/>
      </c>
      <c r="D94" s="54">
        <f t="shared" si="15"/>
        <v>0</v>
      </c>
      <c r="E94" s="54">
        <f t="shared" si="13"/>
        <v>0</v>
      </c>
      <c r="F94" s="54">
        <f>COUNTIF($I$37:I94,"&lt;&gt;")</f>
        <v>0</v>
      </c>
      <c r="G94" s="54">
        <f t="shared" si="18"/>
        <v>0</v>
      </c>
      <c r="H94" s="237" t="str">
        <f>IF(AND(SUM(K94:U94)=0,SUM(K94:V94)&gt;0),DATE(YEAR(EXPEDIENTE!$F$25),12,1),IF(AND(SUM(K94:T94)=0,SUM(K94:V94)&gt;0),DATE(YEAR(EXPEDIENTE!$F$25),11,1),IF(AND(SUM(K94:S94)=0,SUM(K94:V94)&gt;0),DATE(YEAR(EXPEDIENTE!$F$25),10,1),IF(AND(SUM(K94:R94)=0,SUM(K94:V94)&gt;0),DATE(YEAR(EXPEDIENTE!$F$25),9,1),IF(AND(SUM(K94:Q94)=0,SUM(K94:V94)&gt;0),DATE(YEAR(EXPEDIENTE!$F$25),8,1),IF(AND(SUM(K94:P94)=0,SUM(K94:V94)&gt;0),DATE(YEAR(EXPEDIENTE!$F$25),7,1),IF(AND(SUM(K94:O94)=0,SUM(K94:V94)&gt;0),DATE(YEAR(EXPEDIENTE!$F$25),6,1),IF(AND(SUM(K94:N94)=0,SUM(K94:V94)&gt;0),DATE(YEAR(EXPEDIENTE!$F$25),5,1),IF(AND(SUM(K94:M94)=0,SUM(K94:V94)&gt;0),DATE(YEAR(EXPEDIENTE!$F$25),4,1),IF(AND(SUM(K94:L94)=0,SUM(K94:V94)&gt;0),DATE(YEAR(EXPEDIENTE!$F$25),3,1),IF(AND(SUM(K94:K94)=0,SUM(K94:V94)&gt;0),DATE(YEAR(EXPEDIENTE!$F$25),2,1),IF(K94&gt;0,DATE(YEAR(EXPEDIENTE!$F$25),1,1),""))))))))))))</f>
        <v/>
      </c>
      <c r="I94" s="338"/>
      <c r="J94" s="339"/>
      <c r="K94" s="185"/>
      <c r="L94" s="185"/>
      <c r="M94" s="185"/>
      <c r="N94" s="185"/>
      <c r="O94" s="185"/>
      <c r="P94" s="185"/>
      <c r="Q94" s="185"/>
      <c r="R94" s="185"/>
      <c r="S94" s="185"/>
      <c r="T94" s="185"/>
      <c r="U94" s="185"/>
      <c r="V94" s="186"/>
      <c r="X94" s="36" t="str">
        <f t="shared" si="14"/>
        <v/>
      </c>
    </row>
    <row r="95" spans="2:24" ht="35.1" customHeight="1" x14ac:dyDescent="0.25">
      <c r="B95" s="54">
        <f t="shared" si="16"/>
        <v>0</v>
      </c>
      <c r="C95" s="54" t="str">
        <f t="shared" si="17"/>
        <v/>
      </c>
      <c r="D95" s="54">
        <f t="shared" si="15"/>
        <v>0</v>
      </c>
      <c r="E95" s="54">
        <f t="shared" si="13"/>
        <v>0</v>
      </c>
      <c r="F95" s="54">
        <f>COUNTIF($I$37:I95,"&lt;&gt;")</f>
        <v>0</v>
      </c>
      <c r="G95" s="54">
        <f t="shared" si="18"/>
        <v>0</v>
      </c>
      <c r="H95" s="237" t="str">
        <f>IF(AND(SUM(K95:U95)=0,SUM(K95:V95)&gt;0),DATE(YEAR(EXPEDIENTE!$F$25),12,1),IF(AND(SUM(K95:T95)=0,SUM(K95:V95)&gt;0),DATE(YEAR(EXPEDIENTE!$F$25),11,1),IF(AND(SUM(K95:S95)=0,SUM(K95:V95)&gt;0),DATE(YEAR(EXPEDIENTE!$F$25),10,1),IF(AND(SUM(K95:R95)=0,SUM(K95:V95)&gt;0),DATE(YEAR(EXPEDIENTE!$F$25),9,1),IF(AND(SUM(K95:Q95)=0,SUM(K95:V95)&gt;0),DATE(YEAR(EXPEDIENTE!$F$25),8,1),IF(AND(SUM(K95:P95)=0,SUM(K95:V95)&gt;0),DATE(YEAR(EXPEDIENTE!$F$25),7,1),IF(AND(SUM(K95:O95)=0,SUM(K95:V95)&gt;0),DATE(YEAR(EXPEDIENTE!$F$25),6,1),IF(AND(SUM(K95:N95)=0,SUM(K95:V95)&gt;0),DATE(YEAR(EXPEDIENTE!$F$25),5,1),IF(AND(SUM(K95:M95)=0,SUM(K95:V95)&gt;0),DATE(YEAR(EXPEDIENTE!$F$25),4,1),IF(AND(SUM(K95:L95)=0,SUM(K95:V95)&gt;0),DATE(YEAR(EXPEDIENTE!$F$25),3,1),IF(AND(SUM(K95:K95)=0,SUM(K95:V95)&gt;0),DATE(YEAR(EXPEDIENTE!$F$25),2,1),IF(K95&gt;0,DATE(YEAR(EXPEDIENTE!$F$25),1,1),""))))))))))))</f>
        <v/>
      </c>
      <c r="I95" s="338"/>
      <c r="J95" s="339"/>
      <c r="K95" s="185"/>
      <c r="L95" s="185"/>
      <c r="M95" s="185"/>
      <c r="N95" s="185"/>
      <c r="O95" s="185"/>
      <c r="P95" s="185"/>
      <c r="Q95" s="185"/>
      <c r="R95" s="185"/>
      <c r="S95" s="185"/>
      <c r="T95" s="185"/>
      <c r="U95" s="185"/>
      <c r="V95" s="186"/>
      <c r="X95" s="36" t="str">
        <f t="shared" si="14"/>
        <v/>
      </c>
    </row>
    <row r="96" spans="2:24" ht="35.1" customHeight="1" x14ac:dyDescent="0.25">
      <c r="B96" s="54">
        <f t="shared" si="16"/>
        <v>0</v>
      </c>
      <c r="C96" s="54" t="str">
        <f t="shared" si="17"/>
        <v/>
      </c>
      <c r="D96" s="54">
        <f t="shared" si="15"/>
        <v>0</v>
      </c>
      <c r="E96" s="54">
        <f t="shared" si="13"/>
        <v>0</v>
      </c>
      <c r="F96" s="54">
        <f>COUNTIF($I$37:I96,"&lt;&gt;")</f>
        <v>0</v>
      </c>
      <c r="G96" s="54">
        <f t="shared" si="18"/>
        <v>0</v>
      </c>
      <c r="H96" s="237" t="str">
        <f>IF(AND(SUM(K96:U96)=0,SUM(K96:V96)&gt;0),DATE(YEAR(EXPEDIENTE!$F$25),12,1),IF(AND(SUM(K96:T96)=0,SUM(K96:V96)&gt;0),DATE(YEAR(EXPEDIENTE!$F$25),11,1),IF(AND(SUM(K96:S96)=0,SUM(K96:V96)&gt;0),DATE(YEAR(EXPEDIENTE!$F$25),10,1),IF(AND(SUM(K96:R96)=0,SUM(K96:V96)&gt;0),DATE(YEAR(EXPEDIENTE!$F$25),9,1),IF(AND(SUM(K96:Q96)=0,SUM(K96:V96)&gt;0),DATE(YEAR(EXPEDIENTE!$F$25),8,1),IF(AND(SUM(K96:P96)=0,SUM(K96:V96)&gt;0),DATE(YEAR(EXPEDIENTE!$F$25),7,1),IF(AND(SUM(K96:O96)=0,SUM(K96:V96)&gt;0),DATE(YEAR(EXPEDIENTE!$F$25),6,1),IF(AND(SUM(K96:N96)=0,SUM(K96:V96)&gt;0),DATE(YEAR(EXPEDIENTE!$F$25),5,1),IF(AND(SUM(K96:M96)=0,SUM(K96:V96)&gt;0),DATE(YEAR(EXPEDIENTE!$F$25),4,1),IF(AND(SUM(K96:L96)=0,SUM(K96:V96)&gt;0),DATE(YEAR(EXPEDIENTE!$F$25),3,1),IF(AND(SUM(K96:K96)=0,SUM(K96:V96)&gt;0),DATE(YEAR(EXPEDIENTE!$F$25),2,1),IF(K96&gt;0,DATE(YEAR(EXPEDIENTE!$F$25),1,1),""))))))))))))</f>
        <v/>
      </c>
      <c r="I96" s="338"/>
      <c r="J96" s="339"/>
      <c r="K96" s="185"/>
      <c r="L96" s="185"/>
      <c r="M96" s="185"/>
      <c r="N96" s="185"/>
      <c r="O96" s="185"/>
      <c r="P96" s="185"/>
      <c r="Q96" s="185"/>
      <c r="R96" s="185"/>
      <c r="S96" s="185"/>
      <c r="T96" s="185"/>
      <c r="U96" s="185"/>
      <c r="V96" s="186"/>
      <c r="X96" s="36" t="str">
        <f t="shared" si="14"/>
        <v/>
      </c>
    </row>
    <row r="97" spans="6:24" x14ac:dyDescent="0.25">
      <c r="F97" s="54">
        <f>COUNTIF($I$37:I97,"&lt;&gt;")</f>
        <v>0</v>
      </c>
      <c r="X97" s="36" t="str">
        <f>IF(AND(SUM(K97:V97)&gt;0,I97=""),"NO SE HA INDICADO LA LÍNEA",IF(G97&gt;1,"YA SE HA REFLEJADO PORCENTAJE DE DEDICACIÓN PARA ESTA LÍNEA",""))</f>
        <v/>
      </c>
    </row>
    <row r="98" spans="6:24" x14ac:dyDescent="0.25">
      <c r="F98" s="54">
        <f>COUNTIF($I$37:I98,"&lt;&gt;")</f>
        <v>0</v>
      </c>
    </row>
    <row r="99" spans="6:24" x14ac:dyDescent="0.25">
      <c r="F99" s="54">
        <f>COUNTIF($I$37:I99,"&lt;&gt;")</f>
        <v>0</v>
      </c>
    </row>
    <row r="100" spans="6:24" x14ac:dyDescent="0.25">
      <c r="F100" s="54">
        <f>COUNTIF($I$37:I100,"&lt;&gt;")</f>
        <v>0</v>
      </c>
    </row>
  </sheetData>
  <sheetProtection algorithmName="SHA-512" hashValue="b5bwpr4Rl5ztHtLlHjsgxuzubpohzTmANFaWNkVr7PL7W9GxKK3qwvWox1fpIo8izeB4zrCf6xiSYIRMlvQhNw==" saltValue="Hl/+i3xRWgToM503sWuHpQ==" spinCount="100000" sheet="1" selectLockedCells="1"/>
  <mergeCells count="78">
    <mergeCell ref="F24:F30"/>
    <mergeCell ref="G24:G30"/>
    <mergeCell ref="H24:H30"/>
    <mergeCell ref="I96:J96"/>
    <mergeCell ref="I30:J3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9:J39"/>
    <mergeCell ref="I40:J40"/>
    <mergeCell ref="I29:V29"/>
    <mergeCell ref="K36:V36"/>
    <mergeCell ref="I36:J36"/>
    <mergeCell ref="L9:V9"/>
    <mergeCell ref="J17:V19"/>
    <mergeCell ref="J22:V23"/>
    <mergeCell ref="I37:J37"/>
    <mergeCell ref="I38:J38"/>
    <mergeCell ref="O14:R14"/>
    <mergeCell ref="S14:V14"/>
    <mergeCell ref="O15:R15"/>
    <mergeCell ref="S15:V15"/>
    <mergeCell ref="J11:V12"/>
    <mergeCell ref="K14:N14"/>
    <mergeCell ref="K15:N15"/>
    <mergeCell ref="J20:V20"/>
  </mergeCells>
  <phoneticPr fontId="10" type="noConversion"/>
  <conditionalFormatting sqref="A37:V45">
    <cfRule type="expression" dxfId="92" priority="4">
      <formula>$J$9=""</formula>
    </cfRule>
  </conditionalFormatting>
  <conditionalFormatting sqref="I11:V12">
    <cfRule type="expression" dxfId="91" priority="53">
      <formula>$E$9&lt;&gt;0</formula>
    </cfRule>
    <cfRule type="expression" priority="54" stopIfTrue="1">
      <formula>SUM($K$26:$V$26)=0</formula>
    </cfRule>
  </conditionalFormatting>
  <conditionalFormatting sqref="I39:V45">
    <cfRule type="expression" dxfId="90" priority="3">
      <formula>AND(COUNTIF($F$37:$F$96,$F38)&gt;=4,SUM($B37:$B$96)=0)</formula>
    </cfRule>
  </conditionalFormatting>
  <conditionalFormatting sqref="I46:V96 W31:XFD96 I21:V36 AA14:XFD15 I14:V19 A14:H23 W16:XFD28 I20:J20 F24:H24 A25:H25 A26:E30 W29:W30 Y29:XFD30 A31:F36 G32:H96 A46:F96">
    <cfRule type="expression" dxfId="89" priority="41">
      <formula>$J$9=""</formula>
    </cfRule>
  </conditionalFormatting>
  <conditionalFormatting sqref="I46:V96">
    <cfRule type="expression" dxfId="88" priority="17">
      <formula>AND(COUNTIF($F$37:$F$96,$F45)&gt;=4,SUM($B44:$B$96)=0)</formula>
    </cfRule>
  </conditionalFormatting>
  <conditionalFormatting sqref="J9">
    <cfRule type="expression" priority="51" stopIfTrue="1">
      <formula>SUM($K$26:$V$26)=0</formula>
    </cfRule>
    <cfRule type="expression" dxfId="87" priority="52">
      <formula>$J$9&gt;$J$26</formula>
    </cfRule>
  </conditionalFormatting>
  <conditionalFormatting sqref="K31:V35">
    <cfRule type="cellIs" dxfId="86" priority="14" operator="greaterThan">
      <formula>1</formula>
    </cfRule>
  </conditionalFormatting>
  <conditionalFormatting sqref="K37:V96">
    <cfRule type="cellIs" dxfId="85" priority="1" operator="greaterThan">
      <formula>1</formula>
    </cfRule>
    <cfRule type="expression" dxfId="84" priority="2">
      <formula>AND(K$25=1,K37&lt;&gt;"")</formula>
    </cfRule>
  </conditionalFormatting>
  <conditionalFormatting sqref="L9:V9">
    <cfRule type="cellIs" dxfId="83" priority="5" operator="notEqual">
      <formula>""</formula>
    </cfRule>
  </conditionalFormatting>
  <conditionalFormatting sqref="X31:X97">
    <cfRule type="cellIs" dxfId="82" priority="16" operator="notEqual">
      <formula>""</formula>
    </cfRule>
  </conditionalFormatting>
  <printOptions horizontalCentered="1" verticalCentered="1"/>
  <pageMargins left="0.59055118110236227" right="0.59055118110236227" top="0.59055118110236227" bottom="0.39370078740157483" header="0.19685039370078741" footer="0.19685039370078741"/>
  <pageSetup paperSize="9" scale="57" fitToHeight="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59ADC0-DAC8-4931-8183-66AFF98440B4}">
          <x14:formula1>
            <xm:f>OFFSET(AUXILIAR!$J$26,0,,COUNTIF(Lineas,"&lt;&gt;X"))</xm:f>
          </x14:formula1>
          <xm:sqref>I37:J96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A74B-1541-49B8-A1FA-C5322BEA96A2}">
  <dimension ref="A1:AU73"/>
  <sheetViews>
    <sheetView showGridLines="0" zoomScaleNormal="100" workbookViewId="0">
      <selection activeCell="E20" sqref="E20"/>
    </sheetView>
  </sheetViews>
  <sheetFormatPr baseColWidth="10" defaultColWidth="11.42578125" defaultRowHeight="13.5" x14ac:dyDescent="0.25"/>
  <cols>
    <col min="1" max="2" width="5.5703125" style="36" customWidth="1"/>
    <col min="3" max="3" width="13.7109375" style="36" customWidth="1"/>
    <col min="4" max="5" width="10.5703125" style="36" customWidth="1"/>
    <col min="6" max="6" width="9.5703125" style="36" customWidth="1"/>
    <col min="7" max="12" width="11.5703125" style="36" customWidth="1"/>
    <col min="13" max="13" width="15.5703125" style="36" customWidth="1"/>
    <col min="14" max="14" width="1.5703125" style="36" customWidth="1"/>
    <col min="15" max="20" width="11.5703125" style="36" customWidth="1"/>
    <col min="21" max="21" width="12.5703125" style="36" customWidth="1"/>
    <col min="22" max="22" width="1.5703125" style="36" customWidth="1"/>
    <col min="23" max="27" width="12.5703125" style="36" customWidth="1"/>
    <col min="28" max="30" width="13.5703125" style="36" customWidth="1"/>
    <col min="31" max="31" width="40.7109375" style="36" customWidth="1"/>
    <col min="32" max="32" width="5.5703125" style="36" customWidth="1"/>
    <col min="33" max="37" width="11.42578125" style="36" customWidth="1"/>
    <col min="38" max="16384" width="11.42578125" style="36"/>
  </cols>
  <sheetData>
    <row r="1" spans="1:38" ht="20.100000000000001" customHeight="1" x14ac:dyDescent="0.25">
      <c r="A1" s="268">
        <f>EXPEDIENTE!A1</f>
        <v>0</v>
      </c>
    </row>
    <row r="2" spans="1:38" ht="20.100000000000001" customHeight="1" x14ac:dyDescent="0.25">
      <c r="F2" s="193"/>
      <c r="G2" s="257"/>
      <c r="I2" s="192"/>
    </row>
    <row r="3" spans="1:38" ht="20.100000000000001" customHeight="1" x14ac:dyDescent="0.25">
      <c r="E3" s="257" t="str">
        <f>'IDENTIFICACIÓN TRABAJADOR'!G3</f>
        <v>Nº DE EXPEDIENTE: 2023.11.ACEE.0000</v>
      </c>
    </row>
    <row r="4" spans="1:38" ht="20.100000000000001" customHeight="1" x14ac:dyDescent="0.25">
      <c r="E4" s="413"/>
      <c r="F4" s="413"/>
      <c r="G4" s="202"/>
    </row>
    <row r="5" spans="1:38" ht="20.100000000000001" customHeight="1" x14ac:dyDescent="0.25">
      <c r="E5" s="258" t="str">
        <f>'LINEAS CON DEDICACIÓN'!C6</f>
        <v xml:space="preserve">TRABAJADOR:   </v>
      </c>
      <c r="F5" s="55"/>
      <c r="G5" s="55"/>
      <c r="H5" s="55"/>
      <c r="I5" s="55"/>
      <c r="J5" s="55"/>
      <c r="K5" s="55"/>
      <c r="L5" s="55"/>
      <c r="M5" s="55"/>
      <c r="N5" s="55"/>
      <c r="O5" s="55"/>
      <c r="P5" s="55"/>
      <c r="Q5" s="55"/>
      <c r="R5" s="55"/>
      <c r="S5" s="55"/>
      <c r="T5" s="55"/>
    </row>
    <row r="6" spans="1:38" ht="20.100000000000001" customHeight="1" x14ac:dyDescent="0.25">
      <c r="E6" s="258" t="str">
        <f>'LINEAS CON DEDICACIÓN'!C7</f>
        <v xml:space="preserve">ACRÓNIMO: </v>
      </c>
      <c r="F6" s="55"/>
      <c r="G6" s="55"/>
      <c r="H6" s="55"/>
      <c r="I6" s="55"/>
      <c r="J6" s="55"/>
      <c r="K6" s="55"/>
      <c r="L6" s="55"/>
      <c r="M6" s="55"/>
      <c r="N6" s="55"/>
      <c r="O6" s="55"/>
      <c r="P6" s="55"/>
      <c r="Q6" s="55"/>
      <c r="R6" s="55"/>
      <c r="S6" s="55"/>
      <c r="T6" s="55"/>
    </row>
    <row r="7" spans="1:38" ht="20.100000000000001" customHeight="1" thickBot="1" x14ac:dyDescent="0.3"/>
    <row r="8" spans="1:38" ht="30" customHeight="1" thickTop="1" thickBot="1" x14ac:dyDescent="0.3">
      <c r="B8" s="421" t="str">
        <f>CONCATENATE("GASTO DEL TRABAJADOR ",'IDENTIFICACIÓN TRABAJADOR'!D14," EJERCICIO ",EXPEDIENTE!C16)</f>
        <v>GASTO DEL TRABAJADOR  EJERCICIO 2023</v>
      </c>
      <c r="C8" s="414" t="s">
        <v>68</v>
      </c>
      <c r="D8" s="414"/>
      <c r="E8" s="414"/>
      <c r="F8" s="415"/>
      <c r="H8" s="235" t="s">
        <v>134</v>
      </c>
      <c r="I8" s="373" t="s">
        <v>137</v>
      </c>
      <c r="J8" s="373"/>
      <c r="K8" s="373"/>
      <c r="L8" s="373"/>
      <c r="M8" s="373"/>
      <c r="N8" s="373"/>
      <c r="O8" s="373"/>
      <c r="P8" s="373"/>
      <c r="Q8" s="373"/>
      <c r="R8" s="373"/>
      <c r="S8" s="373"/>
      <c r="T8" s="374"/>
    </row>
    <row r="9" spans="1:38" ht="15" customHeight="1" thickTop="1" x14ac:dyDescent="0.25">
      <c r="B9" s="422"/>
      <c r="C9" s="263" t="s">
        <v>47</v>
      </c>
      <c r="D9" s="56"/>
      <c r="E9" s="56"/>
      <c r="F9" s="112"/>
      <c r="H9" s="265" t="s">
        <v>155</v>
      </c>
      <c r="I9" s="330" t="s">
        <v>136</v>
      </c>
      <c r="J9" s="330"/>
      <c r="K9" s="330"/>
      <c r="L9" s="330"/>
      <c r="M9" s="330"/>
      <c r="N9" s="330"/>
      <c r="O9" s="330"/>
      <c r="P9" s="330"/>
      <c r="Q9" s="330"/>
      <c r="R9" s="330"/>
      <c r="S9" s="330"/>
      <c r="T9" s="331"/>
    </row>
    <row r="10" spans="1:38" ht="15" customHeight="1" x14ac:dyDescent="0.25">
      <c r="B10" s="422"/>
      <c r="C10" s="264" t="s">
        <v>69</v>
      </c>
      <c r="D10" s="57"/>
      <c r="E10" s="58"/>
      <c r="F10" s="113"/>
      <c r="H10" s="266"/>
      <c r="I10" s="375" t="s">
        <v>135</v>
      </c>
      <c r="J10" s="375"/>
      <c r="K10" s="375"/>
      <c r="L10" s="375"/>
      <c r="M10" s="375"/>
      <c r="N10" s="375"/>
      <c r="O10" s="375"/>
      <c r="P10" s="375"/>
      <c r="Q10" s="375"/>
      <c r="R10" s="375"/>
      <c r="S10" s="375"/>
      <c r="T10" s="376"/>
    </row>
    <row r="11" spans="1:38" ht="15" customHeight="1" thickBot="1" x14ac:dyDescent="0.3">
      <c r="B11" s="422"/>
      <c r="C11" s="264" t="s">
        <v>48</v>
      </c>
      <c r="D11" s="57"/>
      <c r="E11" s="58"/>
      <c r="F11" s="113"/>
      <c r="H11" s="267"/>
      <c r="I11" s="377" t="str">
        <f>CONCATENATE("b) La fecha valor de abono de la nómina y/o de su IRPF sea anterior a la finalización del plazo de justificación (",TEXT(EXPEDIENTE!F29,"dd/mm/aa"),").")</f>
        <v>b) La fecha valor de abono de la nómina y/o de su IRPF sea anterior a la finalización del plazo de justificación (31/01/00).</v>
      </c>
      <c r="J11" s="377"/>
      <c r="K11" s="377"/>
      <c r="L11" s="377"/>
      <c r="M11" s="377"/>
      <c r="N11" s="377"/>
      <c r="O11" s="377"/>
      <c r="P11" s="377"/>
      <c r="Q11" s="377"/>
      <c r="R11" s="377"/>
      <c r="S11" s="377"/>
      <c r="T11" s="378"/>
    </row>
    <row r="12" spans="1:38" ht="15" customHeight="1" x14ac:dyDescent="0.25">
      <c r="B12" s="422"/>
      <c r="C12" s="264" t="s">
        <v>49</v>
      </c>
      <c r="D12" s="57"/>
      <c r="E12" s="58"/>
      <c r="F12" s="113"/>
    </row>
    <row r="13" spans="1:38" ht="15" customHeight="1" x14ac:dyDescent="0.25">
      <c r="B13" s="422"/>
      <c r="C13" s="264" t="s">
        <v>70</v>
      </c>
      <c r="D13" s="57"/>
      <c r="E13" s="58"/>
      <c r="F13" s="113"/>
    </row>
    <row r="14" spans="1:38" ht="15" customHeight="1" x14ac:dyDescent="0.25">
      <c r="B14" s="422"/>
      <c r="C14" s="264" t="s">
        <v>50</v>
      </c>
      <c r="D14" s="57"/>
      <c r="E14" s="58"/>
      <c r="F14" s="59">
        <f>SUM(F9:F13)</f>
        <v>0</v>
      </c>
    </row>
    <row r="15" spans="1:38" ht="9.9499999999999993" customHeight="1" thickBot="1" x14ac:dyDescent="0.3">
      <c r="B15" s="422"/>
      <c r="C15" s="60"/>
      <c r="D15" s="61"/>
      <c r="E15" s="62"/>
      <c r="F15" s="63"/>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row>
    <row r="16" spans="1:38" ht="30" customHeight="1" thickTop="1" thickBot="1" x14ac:dyDescent="0.3">
      <c r="B16" s="422"/>
      <c r="C16" s="414" t="s">
        <v>87</v>
      </c>
      <c r="D16" s="414"/>
      <c r="E16" s="414"/>
      <c r="F16" s="414"/>
      <c r="G16" s="414"/>
      <c r="H16" s="414"/>
      <c r="I16" s="414"/>
      <c r="J16" s="414"/>
      <c r="K16" s="414"/>
      <c r="L16" s="414"/>
      <c r="M16" s="414"/>
      <c r="N16" s="414"/>
      <c r="O16" s="414"/>
      <c r="P16" s="414"/>
      <c r="Q16" s="414"/>
      <c r="R16" s="414"/>
      <c r="S16" s="414"/>
      <c r="T16" s="414"/>
      <c r="U16" s="414"/>
      <c r="V16" s="414"/>
      <c r="W16" s="414"/>
      <c r="X16" s="414"/>
      <c r="Y16" s="414"/>
      <c r="Z16" s="414"/>
      <c r="AA16" s="414"/>
      <c r="AB16" s="414"/>
      <c r="AC16" s="414"/>
      <c r="AD16" s="414"/>
      <c r="AE16" s="415"/>
    </row>
    <row r="17" spans="2:47" ht="20.100000000000001" customHeight="1" thickTop="1" thickBot="1" x14ac:dyDescent="0.3">
      <c r="B17" s="422"/>
      <c r="C17" s="385" t="s">
        <v>104</v>
      </c>
      <c r="D17" s="386"/>
      <c r="E17" s="387"/>
      <c r="F17" s="394" t="s">
        <v>102</v>
      </c>
      <c r="G17" s="395"/>
      <c r="H17" s="395"/>
      <c r="I17" s="395"/>
      <c r="J17" s="395"/>
      <c r="K17" s="395"/>
      <c r="L17" s="395"/>
      <c r="M17" s="396"/>
      <c r="N17" s="370" t="s">
        <v>105</v>
      </c>
      <c r="O17" s="371"/>
      <c r="P17" s="371"/>
      <c r="Q17" s="371"/>
      <c r="R17" s="371"/>
      <c r="S17" s="371"/>
      <c r="T17" s="371"/>
      <c r="U17" s="371"/>
      <c r="V17" s="372"/>
      <c r="W17" s="399" t="s">
        <v>93</v>
      </c>
      <c r="X17" s="367" t="s">
        <v>77</v>
      </c>
      <c r="Y17" s="402" t="s">
        <v>66</v>
      </c>
      <c r="Z17" s="402" t="s">
        <v>67</v>
      </c>
      <c r="AA17" s="402" t="s">
        <v>75</v>
      </c>
      <c r="AB17" s="364" t="s">
        <v>101</v>
      </c>
      <c r="AC17" s="367" t="s">
        <v>108</v>
      </c>
      <c r="AD17" s="364" t="s">
        <v>107</v>
      </c>
      <c r="AE17" s="418" t="s">
        <v>78</v>
      </c>
    </row>
    <row r="18" spans="2:47" ht="15" customHeight="1" x14ac:dyDescent="0.25">
      <c r="B18" s="422"/>
      <c r="C18" s="426" t="s">
        <v>51</v>
      </c>
      <c r="D18" s="427"/>
      <c r="E18" s="416" t="s">
        <v>103</v>
      </c>
      <c r="F18" s="392" t="s">
        <v>64</v>
      </c>
      <c r="G18" s="388" t="s">
        <v>83</v>
      </c>
      <c r="H18" s="388"/>
      <c r="I18" s="388"/>
      <c r="J18" s="388"/>
      <c r="K18" s="388"/>
      <c r="L18" s="388"/>
      <c r="M18" s="390" t="s">
        <v>115</v>
      </c>
      <c r="N18" s="64"/>
      <c r="O18" s="398" t="s">
        <v>84</v>
      </c>
      <c r="P18" s="388"/>
      <c r="Q18" s="388"/>
      <c r="R18" s="388"/>
      <c r="S18" s="388"/>
      <c r="T18" s="388"/>
      <c r="U18" s="390" t="s">
        <v>106</v>
      </c>
      <c r="V18" s="65"/>
      <c r="W18" s="400"/>
      <c r="X18" s="368"/>
      <c r="Y18" s="403"/>
      <c r="Z18" s="403"/>
      <c r="AA18" s="403"/>
      <c r="AB18" s="365"/>
      <c r="AC18" s="368"/>
      <c r="AD18" s="365"/>
      <c r="AE18" s="419"/>
    </row>
    <row r="19" spans="2:47" ht="45" customHeight="1" thickBot="1" x14ac:dyDescent="0.3">
      <c r="B19" s="422"/>
      <c r="C19" s="428"/>
      <c r="D19" s="429"/>
      <c r="E19" s="417"/>
      <c r="F19" s="393"/>
      <c r="G19" s="66" t="s">
        <v>116</v>
      </c>
      <c r="H19" s="66" t="s">
        <v>117</v>
      </c>
      <c r="I19" s="66" t="s">
        <v>118</v>
      </c>
      <c r="J19" s="66" t="s">
        <v>119</v>
      </c>
      <c r="K19" s="66" t="s">
        <v>120</v>
      </c>
      <c r="L19" s="67" t="s">
        <v>127</v>
      </c>
      <c r="M19" s="391"/>
      <c r="N19" s="68"/>
      <c r="O19" s="69" t="s">
        <v>121</v>
      </c>
      <c r="P19" s="66" t="s">
        <v>122</v>
      </c>
      <c r="Q19" s="66" t="s">
        <v>123</v>
      </c>
      <c r="R19" s="66" t="s">
        <v>124</v>
      </c>
      <c r="S19" s="66" t="s">
        <v>125</v>
      </c>
      <c r="T19" s="66" t="s">
        <v>126</v>
      </c>
      <c r="U19" s="391"/>
      <c r="V19" s="70"/>
      <c r="W19" s="401"/>
      <c r="X19" s="369"/>
      <c r="Y19" s="404"/>
      <c r="Z19" s="404"/>
      <c r="AA19" s="404"/>
      <c r="AB19" s="366"/>
      <c r="AC19" s="369"/>
      <c r="AD19" s="366"/>
      <c r="AE19" s="420"/>
    </row>
    <row r="20" spans="2:47" ht="30" customHeight="1" x14ac:dyDescent="0.25">
      <c r="B20" s="422"/>
      <c r="C20" s="430" t="s">
        <v>52</v>
      </c>
      <c r="D20" s="431"/>
      <c r="E20" s="114"/>
      <c r="F20" s="115"/>
      <c r="G20" s="116"/>
      <c r="H20" s="116"/>
      <c r="I20" s="116"/>
      <c r="J20" s="116"/>
      <c r="K20" s="116"/>
      <c r="L20" s="71">
        <f>SUM(G20:K20)</f>
        <v>0</v>
      </c>
      <c r="M20" s="72">
        <f t="shared" ref="M20" si="0">F20+L20</f>
        <v>0</v>
      </c>
      <c r="N20" s="73"/>
      <c r="O20" s="115"/>
      <c r="P20" s="116"/>
      <c r="Q20" s="116"/>
      <c r="R20" s="116"/>
      <c r="S20" s="116"/>
      <c r="T20" s="74">
        <f>SUM(O20:S20)</f>
        <v>0</v>
      </c>
      <c r="U20" s="124"/>
      <c r="V20" s="75"/>
      <c r="W20" s="72">
        <f t="shared" ref="W20" si="1">M20+T20+U20</f>
        <v>0</v>
      </c>
      <c r="X20" s="115"/>
      <c r="Y20" s="116"/>
      <c r="Z20" s="74">
        <f>F20+L20+T20+U20-X20-Y20</f>
        <v>0</v>
      </c>
      <c r="AA20" s="127"/>
      <c r="AB20" s="128"/>
      <c r="AC20" s="133"/>
      <c r="AD20" s="134"/>
      <c r="AE20" s="135"/>
    </row>
    <row r="21" spans="2:47" ht="30" customHeight="1" x14ac:dyDescent="0.25">
      <c r="B21" s="422"/>
      <c r="C21" s="381" t="s">
        <v>53</v>
      </c>
      <c r="D21" s="382"/>
      <c r="E21" s="117"/>
      <c r="F21" s="118"/>
      <c r="G21" s="119"/>
      <c r="H21" s="119"/>
      <c r="I21" s="119"/>
      <c r="J21" s="119"/>
      <c r="K21" s="119"/>
      <c r="L21" s="71">
        <f t="shared" ref="L21:L31" si="2">SUM(G21:K21)</f>
        <v>0</v>
      </c>
      <c r="M21" s="76">
        <f>F21+L21</f>
        <v>0</v>
      </c>
      <c r="N21" s="73"/>
      <c r="O21" s="118"/>
      <c r="P21" s="119"/>
      <c r="Q21" s="119"/>
      <c r="R21" s="119"/>
      <c r="S21" s="119"/>
      <c r="T21" s="71">
        <f t="shared" ref="T21:T31" si="3">SUM(O21:S21)</f>
        <v>0</v>
      </c>
      <c r="U21" s="125"/>
      <c r="V21" s="75"/>
      <c r="W21" s="76">
        <f>M21+T21+U21</f>
        <v>0</v>
      </c>
      <c r="X21" s="118"/>
      <c r="Y21" s="119"/>
      <c r="Z21" s="71">
        <f t="shared" ref="Z21:Z31" si="4">F21+L21+T21+U21-X21-Y21</f>
        <v>0</v>
      </c>
      <c r="AA21" s="129"/>
      <c r="AB21" s="130"/>
      <c r="AC21" s="136"/>
      <c r="AD21" s="137"/>
      <c r="AE21" s="138"/>
    </row>
    <row r="22" spans="2:47" ht="30" customHeight="1" x14ac:dyDescent="0.25">
      <c r="B22" s="422"/>
      <c r="C22" s="381" t="s">
        <v>54</v>
      </c>
      <c r="D22" s="382"/>
      <c r="E22" s="117"/>
      <c r="F22" s="118"/>
      <c r="G22" s="119"/>
      <c r="H22" s="119"/>
      <c r="I22" s="119"/>
      <c r="J22" s="119"/>
      <c r="K22" s="119"/>
      <c r="L22" s="71">
        <f t="shared" si="2"/>
        <v>0</v>
      </c>
      <c r="M22" s="76">
        <f t="shared" ref="M22:M31" si="5">F22+L22</f>
        <v>0</v>
      </c>
      <c r="N22" s="73"/>
      <c r="O22" s="118"/>
      <c r="P22" s="119"/>
      <c r="Q22" s="119"/>
      <c r="R22" s="119"/>
      <c r="S22" s="119"/>
      <c r="T22" s="71">
        <f t="shared" si="3"/>
        <v>0</v>
      </c>
      <c r="U22" s="125"/>
      <c r="V22" s="75"/>
      <c r="W22" s="76">
        <f t="shared" ref="W22:W31" si="6">M22+T22+U22</f>
        <v>0</v>
      </c>
      <c r="X22" s="118"/>
      <c r="Y22" s="119"/>
      <c r="Z22" s="71">
        <f t="shared" si="4"/>
        <v>0</v>
      </c>
      <c r="AA22" s="129"/>
      <c r="AB22" s="130"/>
      <c r="AC22" s="136"/>
      <c r="AD22" s="137"/>
      <c r="AE22" s="138"/>
    </row>
    <row r="23" spans="2:47" ht="30" customHeight="1" x14ac:dyDescent="0.25">
      <c r="B23" s="422"/>
      <c r="C23" s="381" t="s">
        <v>55</v>
      </c>
      <c r="D23" s="382"/>
      <c r="E23" s="117"/>
      <c r="F23" s="118"/>
      <c r="G23" s="119"/>
      <c r="H23" s="119"/>
      <c r="I23" s="119"/>
      <c r="J23" s="119"/>
      <c r="K23" s="119"/>
      <c r="L23" s="71">
        <f t="shared" si="2"/>
        <v>0</v>
      </c>
      <c r="M23" s="76">
        <f t="shared" si="5"/>
        <v>0</v>
      </c>
      <c r="N23" s="73"/>
      <c r="O23" s="118"/>
      <c r="P23" s="119"/>
      <c r="Q23" s="119"/>
      <c r="R23" s="119"/>
      <c r="S23" s="119"/>
      <c r="T23" s="71">
        <f t="shared" si="3"/>
        <v>0</v>
      </c>
      <c r="U23" s="125"/>
      <c r="V23" s="75"/>
      <c r="W23" s="76">
        <f t="shared" si="6"/>
        <v>0</v>
      </c>
      <c r="X23" s="118"/>
      <c r="Y23" s="119"/>
      <c r="Z23" s="71">
        <f t="shared" si="4"/>
        <v>0</v>
      </c>
      <c r="AA23" s="129"/>
      <c r="AB23" s="130"/>
      <c r="AC23" s="136"/>
      <c r="AD23" s="137"/>
      <c r="AE23" s="138"/>
    </row>
    <row r="24" spans="2:47" ht="30" customHeight="1" x14ac:dyDescent="0.25">
      <c r="B24" s="422"/>
      <c r="C24" s="381" t="s">
        <v>56</v>
      </c>
      <c r="D24" s="382"/>
      <c r="E24" s="117"/>
      <c r="F24" s="118"/>
      <c r="G24" s="119"/>
      <c r="H24" s="119"/>
      <c r="I24" s="119"/>
      <c r="J24" s="119"/>
      <c r="K24" s="119"/>
      <c r="L24" s="71">
        <f t="shared" si="2"/>
        <v>0</v>
      </c>
      <c r="M24" s="76">
        <f t="shared" si="5"/>
        <v>0</v>
      </c>
      <c r="N24" s="73"/>
      <c r="O24" s="118"/>
      <c r="P24" s="119"/>
      <c r="Q24" s="119"/>
      <c r="R24" s="119"/>
      <c r="S24" s="119"/>
      <c r="T24" s="71">
        <f t="shared" si="3"/>
        <v>0</v>
      </c>
      <c r="U24" s="125"/>
      <c r="V24" s="75"/>
      <c r="W24" s="76">
        <f t="shared" si="6"/>
        <v>0</v>
      </c>
      <c r="X24" s="118"/>
      <c r="Y24" s="119"/>
      <c r="Z24" s="71">
        <f t="shared" si="4"/>
        <v>0</v>
      </c>
      <c r="AA24" s="129"/>
      <c r="AB24" s="130"/>
      <c r="AC24" s="136"/>
      <c r="AD24" s="137"/>
      <c r="AE24" s="138"/>
    </row>
    <row r="25" spans="2:47" ht="30" customHeight="1" x14ac:dyDescent="0.25">
      <c r="B25" s="422"/>
      <c r="C25" s="381" t="s">
        <v>57</v>
      </c>
      <c r="D25" s="382"/>
      <c r="E25" s="117"/>
      <c r="F25" s="118"/>
      <c r="G25" s="119"/>
      <c r="H25" s="119"/>
      <c r="I25" s="119"/>
      <c r="J25" s="119"/>
      <c r="K25" s="119"/>
      <c r="L25" s="71">
        <f t="shared" si="2"/>
        <v>0</v>
      </c>
      <c r="M25" s="76">
        <f t="shared" si="5"/>
        <v>0</v>
      </c>
      <c r="N25" s="73"/>
      <c r="O25" s="118"/>
      <c r="P25" s="119"/>
      <c r="Q25" s="119"/>
      <c r="R25" s="119"/>
      <c r="S25" s="119"/>
      <c r="T25" s="71">
        <f t="shared" si="3"/>
        <v>0</v>
      </c>
      <c r="U25" s="125"/>
      <c r="V25" s="75"/>
      <c r="W25" s="76">
        <f t="shared" si="6"/>
        <v>0</v>
      </c>
      <c r="X25" s="118"/>
      <c r="Y25" s="119"/>
      <c r="Z25" s="71">
        <f t="shared" si="4"/>
        <v>0</v>
      </c>
      <c r="AA25" s="129"/>
      <c r="AB25" s="130"/>
      <c r="AC25" s="136"/>
      <c r="AD25" s="137"/>
      <c r="AE25" s="138"/>
    </row>
    <row r="26" spans="2:47" ht="30" customHeight="1" x14ac:dyDescent="0.25">
      <c r="B26" s="422"/>
      <c r="C26" s="381" t="s">
        <v>58</v>
      </c>
      <c r="D26" s="382"/>
      <c r="E26" s="117"/>
      <c r="F26" s="118"/>
      <c r="G26" s="119"/>
      <c r="H26" s="119"/>
      <c r="I26" s="119"/>
      <c r="J26" s="119"/>
      <c r="K26" s="119"/>
      <c r="L26" s="71">
        <f t="shared" si="2"/>
        <v>0</v>
      </c>
      <c r="M26" s="76">
        <f t="shared" si="5"/>
        <v>0</v>
      </c>
      <c r="N26" s="73"/>
      <c r="O26" s="118"/>
      <c r="P26" s="119"/>
      <c r="Q26" s="119"/>
      <c r="R26" s="119"/>
      <c r="S26" s="119"/>
      <c r="T26" s="71">
        <f t="shared" si="3"/>
        <v>0</v>
      </c>
      <c r="U26" s="125"/>
      <c r="V26" s="75"/>
      <c r="W26" s="76">
        <f t="shared" si="6"/>
        <v>0</v>
      </c>
      <c r="X26" s="118"/>
      <c r="Y26" s="119"/>
      <c r="Z26" s="71">
        <f t="shared" si="4"/>
        <v>0</v>
      </c>
      <c r="AA26" s="129"/>
      <c r="AB26" s="130"/>
      <c r="AC26" s="136"/>
      <c r="AD26" s="137"/>
      <c r="AE26" s="138"/>
    </row>
    <row r="27" spans="2:47" ht="30" customHeight="1" x14ac:dyDescent="0.25">
      <c r="B27" s="422"/>
      <c r="C27" s="381" t="s">
        <v>59</v>
      </c>
      <c r="D27" s="382"/>
      <c r="E27" s="117"/>
      <c r="F27" s="118"/>
      <c r="G27" s="119"/>
      <c r="H27" s="119"/>
      <c r="I27" s="119"/>
      <c r="J27" s="119"/>
      <c r="K27" s="119"/>
      <c r="L27" s="71">
        <f t="shared" si="2"/>
        <v>0</v>
      </c>
      <c r="M27" s="76">
        <f t="shared" si="5"/>
        <v>0</v>
      </c>
      <c r="N27" s="73"/>
      <c r="O27" s="118"/>
      <c r="P27" s="119"/>
      <c r="Q27" s="119"/>
      <c r="R27" s="119"/>
      <c r="S27" s="119"/>
      <c r="T27" s="71">
        <f t="shared" si="3"/>
        <v>0</v>
      </c>
      <c r="U27" s="125"/>
      <c r="V27" s="75"/>
      <c r="W27" s="76">
        <f t="shared" si="6"/>
        <v>0</v>
      </c>
      <c r="X27" s="118"/>
      <c r="Y27" s="119"/>
      <c r="Z27" s="71">
        <f t="shared" si="4"/>
        <v>0</v>
      </c>
      <c r="AA27" s="129"/>
      <c r="AB27" s="130"/>
      <c r="AC27" s="136"/>
      <c r="AD27" s="137"/>
      <c r="AE27" s="138"/>
    </row>
    <row r="28" spans="2:47" ht="30" customHeight="1" x14ac:dyDescent="0.25">
      <c r="B28" s="422"/>
      <c r="C28" s="381" t="s">
        <v>60</v>
      </c>
      <c r="D28" s="382"/>
      <c r="E28" s="117"/>
      <c r="F28" s="118"/>
      <c r="G28" s="119"/>
      <c r="H28" s="119"/>
      <c r="I28" s="119"/>
      <c r="J28" s="119"/>
      <c r="K28" s="119"/>
      <c r="L28" s="71">
        <f t="shared" si="2"/>
        <v>0</v>
      </c>
      <c r="M28" s="76">
        <f t="shared" si="5"/>
        <v>0</v>
      </c>
      <c r="N28" s="73"/>
      <c r="O28" s="118"/>
      <c r="P28" s="119"/>
      <c r="Q28" s="119"/>
      <c r="R28" s="119"/>
      <c r="S28" s="119"/>
      <c r="T28" s="71">
        <f t="shared" si="3"/>
        <v>0</v>
      </c>
      <c r="U28" s="125"/>
      <c r="V28" s="75"/>
      <c r="W28" s="76">
        <f t="shared" si="6"/>
        <v>0</v>
      </c>
      <c r="X28" s="118"/>
      <c r="Y28" s="119"/>
      <c r="Z28" s="71">
        <f t="shared" si="4"/>
        <v>0</v>
      </c>
      <c r="AA28" s="129"/>
      <c r="AB28" s="130"/>
      <c r="AC28" s="136"/>
      <c r="AD28" s="137"/>
      <c r="AE28" s="138"/>
    </row>
    <row r="29" spans="2:47" ht="30" customHeight="1" x14ac:dyDescent="0.25">
      <c r="B29" s="422"/>
      <c r="C29" s="381" t="s">
        <v>61</v>
      </c>
      <c r="D29" s="382"/>
      <c r="E29" s="117"/>
      <c r="F29" s="118"/>
      <c r="G29" s="119"/>
      <c r="H29" s="119"/>
      <c r="I29" s="119"/>
      <c r="J29" s="119"/>
      <c r="K29" s="119"/>
      <c r="L29" s="71">
        <f t="shared" si="2"/>
        <v>0</v>
      </c>
      <c r="M29" s="76">
        <f t="shared" si="5"/>
        <v>0</v>
      </c>
      <c r="N29" s="73"/>
      <c r="O29" s="118"/>
      <c r="P29" s="119"/>
      <c r="Q29" s="119"/>
      <c r="R29" s="119"/>
      <c r="S29" s="119"/>
      <c r="T29" s="71">
        <f t="shared" si="3"/>
        <v>0</v>
      </c>
      <c r="U29" s="125"/>
      <c r="V29" s="75"/>
      <c r="W29" s="76">
        <f t="shared" si="6"/>
        <v>0</v>
      </c>
      <c r="X29" s="118"/>
      <c r="Y29" s="119"/>
      <c r="Z29" s="71">
        <f t="shared" si="4"/>
        <v>0</v>
      </c>
      <c r="AA29" s="129"/>
      <c r="AB29" s="130"/>
      <c r="AC29" s="136"/>
      <c r="AD29" s="137"/>
      <c r="AE29" s="138"/>
    </row>
    <row r="30" spans="2:47" ht="30" customHeight="1" x14ac:dyDescent="0.25">
      <c r="B30" s="422"/>
      <c r="C30" s="381" t="s">
        <v>62</v>
      </c>
      <c r="D30" s="382"/>
      <c r="E30" s="117"/>
      <c r="F30" s="118"/>
      <c r="G30" s="119"/>
      <c r="H30" s="119"/>
      <c r="I30" s="119"/>
      <c r="J30" s="119"/>
      <c r="K30" s="119"/>
      <c r="L30" s="71">
        <f t="shared" si="2"/>
        <v>0</v>
      </c>
      <c r="M30" s="76">
        <f t="shared" si="5"/>
        <v>0</v>
      </c>
      <c r="N30" s="73"/>
      <c r="O30" s="118"/>
      <c r="P30" s="119"/>
      <c r="Q30" s="119"/>
      <c r="R30" s="119"/>
      <c r="S30" s="119"/>
      <c r="T30" s="71">
        <f t="shared" si="3"/>
        <v>0</v>
      </c>
      <c r="U30" s="125"/>
      <c r="V30" s="75"/>
      <c r="W30" s="76">
        <f t="shared" si="6"/>
        <v>0</v>
      </c>
      <c r="X30" s="118"/>
      <c r="Y30" s="119"/>
      <c r="Z30" s="71">
        <f t="shared" si="4"/>
        <v>0</v>
      </c>
      <c r="AA30" s="129"/>
      <c r="AB30" s="130"/>
      <c r="AC30" s="136"/>
      <c r="AD30" s="137"/>
      <c r="AE30" s="138"/>
    </row>
    <row r="31" spans="2:47" ht="30" customHeight="1" thickBot="1" x14ac:dyDescent="0.3">
      <c r="B31" s="422"/>
      <c r="C31" s="381" t="s">
        <v>63</v>
      </c>
      <c r="D31" s="382"/>
      <c r="E31" s="117"/>
      <c r="F31" s="120"/>
      <c r="G31" s="121"/>
      <c r="H31" s="121"/>
      <c r="I31" s="121"/>
      <c r="J31" s="121"/>
      <c r="K31" s="121"/>
      <c r="L31" s="71">
        <f t="shared" si="2"/>
        <v>0</v>
      </c>
      <c r="M31" s="76">
        <f t="shared" si="5"/>
        <v>0</v>
      </c>
      <c r="N31" s="73"/>
      <c r="O31" s="122"/>
      <c r="P31" s="123"/>
      <c r="Q31" s="123"/>
      <c r="R31" s="123"/>
      <c r="S31" s="123"/>
      <c r="T31" s="77">
        <f t="shared" si="3"/>
        <v>0</v>
      </c>
      <c r="U31" s="126"/>
      <c r="V31" s="75"/>
      <c r="W31" s="76">
        <f t="shared" si="6"/>
        <v>0</v>
      </c>
      <c r="X31" s="120"/>
      <c r="Y31" s="121"/>
      <c r="Z31" s="78">
        <f t="shared" si="4"/>
        <v>0</v>
      </c>
      <c r="AA31" s="131"/>
      <c r="AB31" s="132"/>
      <c r="AC31" s="139"/>
      <c r="AD31" s="140"/>
      <c r="AE31" s="141"/>
    </row>
    <row r="32" spans="2:47" ht="9.9499999999999993" customHeight="1" thickBot="1" x14ac:dyDescent="0.3">
      <c r="B32" s="422"/>
      <c r="C32" s="60"/>
      <c r="D32" s="61"/>
      <c r="E32" s="79"/>
      <c r="F32" s="80"/>
      <c r="G32" s="81"/>
      <c r="H32" s="81"/>
      <c r="I32" s="81"/>
      <c r="J32" s="81"/>
      <c r="K32" s="81"/>
      <c r="L32" s="81"/>
      <c r="M32" s="82"/>
      <c r="N32" s="83"/>
      <c r="O32" s="84"/>
      <c r="P32" s="84"/>
      <c r="Q32" s="84"/>
      <c r="R32" s="84"/>
      <c r="S32" s="84"/>
      <c r="T32" s="84"/>
      <c r="U32" s="84"/>
      <c r="V32" s="85"/>
      <c r="W32" s="82"/>
      <c r="X32" s="80"/>
      <c r="Y32" s="81"/>
      <c r="Z32" s="81"/>
      <c r="AA32" s="81"/>
      <c r="AB32" s="82"/>
      <c r="AC32" s="80"/>
      <c r="AD32" s="82"/>
      <c r="AE32" s="86"/>
      <c r="AR32" s="37"/>
      <c r="AS32" s="37"/>
      <c r="AT32" s="37"/>
      <c r="AU32" s="37"/>
    </row>
    <row r="33" spans="2:47" s="87" customFormat="1" ht="30" customHeight="1" thickTop="1" thickBot="1" x14ac:dyDescent="0.3">
      <c r="B33" s="422"/>
      <c r="C33" s="379" t="s">
        <v>88</v>
      </c>
      <c r="D33" s="379"/>
      <c r="E33" s="379"/>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80"/>
      <c r="AR33" s="88"/>
      <c r="AS33" s="88"/>
      <c r="AT33" s="88"/>
      <c r="AU33" s="88"/>
    </row>
    <row r="34" spans="2:47" ht="20.100000000000001" customHeight="1" thickTop="1" thickBot="1" x14ac:dyDescent="0.3">
      <c r="B34" s="422"/>
      <c r="C34" s="385" t="s">
        <v>104</v>
      </c>
      <c r="D34" s="386"/>
      <c r="E34" s="387"/>
      <c r="F34" s="394" t="s">
        <v>102</v>
      </c>
      <c r="G34" s="395"/>
      <c r="H34" s="395"/>
      <c r="I34" s="395"/>
      <c r="J34" s="395"/>
      <c r="K34" s="395"/>
      <c r="L34" s="395"/>
      <c r="M34" s="396"/>
      <c r="N34" s="370" t="s">
        <v>105</v>
      </c>
      <c r="O34" s="371"/>
      <c r="P34" s="371"/>
      <c r="Q34" s="371"/>
      <c r="R34" s="371"/>
      <c r="S34" s="371"/>
      <c r="T34" s="371"/>
      <c r="U34" s="371"/>
      <c r="V34" s="372"/>
      <c r="W34" s="399" t="s">
        <v>93</v>
      </c>
      <c r="X34" s="367" t="s">
        <v>66</v>
      </c>
      <c r="Y34" s="402" t="s">
        <v>67</v>
      </c>
      <c r="Z34" s="402" t="s">
        <v>75</v>
      </c>
      <c r="AA34" s="364" t="s">
        <v>101</v>
      </c>
      <c r="AB34" s="367" t="s">
        <v>108</v>
      </c>
      <c r="AC34" s="364" t="s">
        <v>107</v>
      </c>
      <c r="AD34" s="405" t="s">
        <v>78</v>
      </c>
      <c r="AE34" s="406"/>
    </row>
    <row r="35" spans="2:47" ht="15" customHeight="1" x14ac:dyDescent="0.25">
      <c r="B35" s="422"/>
      <c r="C35" s="424" t="s">
        <v>81</v>
      </c>
      <c r="D35" s="388" t="s">
        <v>71</v>
      </c>
      <c r="E35" s="389"/>
      <c r="F35" s="392" t="s">
        <v>64</v>
      </c>
      <c r="G35" s="388" t="s">
        <v>83</v>
      </c>
      <c r="H35" s="388"/>
      <c r="I35" s="388"/>
      <c r="J35" s="388"/>
      <c r="K35" s="388"/>
      <c r="L35" s="397"/>
      <c r="M35" s="390" t="s">
        <v>115</v>
      </c>
      <c r="N35" s="64"/>
      <c r="O35" s="398" t="s">
        <v>84</v>
      </c>
      <c r="P35" s="388"/>
      <c r="Q35" s="388"/>
      <c r="R35" s="388"/>
      <c r="S35" s="388"/>
      <c r="T35" s="388"/>
      <c r="U35" s="390" t="s">
        <v>106</v>
      </c>
      <c r="V35" s="65"/>
      <c r="W35" s="400"/>
      <c r="X35" s="368"/>
      <c r="Y35" s="403"/>
      <c r="Z35" s="403"/>
      <c r="AA35" s="365"/>
      <c r="AB35" s="368"/>
      <c r="AC35" s="365"/>
      <c r="AD35" s="407"/>
      <c r="AE35" s="408"/>
    </row>
    <row r="36" spans="2:47" ht="45" customHeight="1" thickBot="1" x14ac:dyDescent="0.3">
      <c r="B36" s="422"/>
      <c r="C36" s="425"/>
      <c r="D36" s="89" t="s">
        <v>79</v>
      </c>
      <c r="E36" s="90" t="s">
        <v>80</v>
      </c>
      <c r="F36" s="393"/>
      <c r="G36" s="66" t="s">
        <v>116</v>
      </c>
      <c r="H36" s="66" t="s">
        <v>117</v>
      </c>
      <c r="I36" s="66" t="s">
        <v>118</v>
      </c>
      <c r="J36" s="66" t="s">
        <v>119</v>
      </c>
      <c r="K36" s="66" t="s">
        <v>120</v>
      </c>
      <c r="L36" s="67" t="s">
        <v>127</v>
      </c>
      <c r="M36" s="391"/>
      <c r="N36" s="68"/>
      <c r="O36" s="69" t="s">
        <v>121</v>
      </c>
      <c r="P36" s="66" t="s">
        <v>122</v>
      </c>
      <c r="Q36" s="66" t="s">
        <v>123</v>
      </c>
      <c r="R36" s="66" t="s">
        <v>124</v>
      </c>
      <c r="S36" s="66" t="s">
        <v>125</v>
      </c>
      <c r="T36" s="66" t="s">
        <v>126</v>
      </c>
      <c r="U36" s="391"/>
      <c r="V36" s="70"/>
      <c r="W36" s="401"/>
      <c r="X36" s="369"/>
      <c r="Y36" s="404"/>
      <c r="Z36" s="404"/>
      <c r="AA36" s="366"/>
      <c r="AB36" s="369"/>
      <c r="AC36" s="366"/>
      <c r="AD36" s="409"/>
      <c r="AE36" s="410"/>
    </row>
    <row r="37" spans="2:47" ht="30" customHeight="1" x14ac:dyDescent="0.25">
      <c r="B37" s="422"/>
      <c r="C37" s="142"/>
      <c r="D37" s="127"/>
      <c r="E37" s="128"/>
      <c r="F37" s="115"/>
      <c r="G37" s="116"/>
      <c r="H37" s="116"/>
      <c r="I37" s="116"/>
      <c r="J37" s="116"/>
      <c r="K37" s="116"/>
      <c r="L37" s="91">
        <f>SUM(G37:K37)</f>
        <v>0</v>
      </c>
      <c r="M37" s="92">
        <f>F37+L37</f>
        <v>0</v>
      </c>
      <c r="N37" s="93"/>
      <c r="O37" s="144"/>
      <c r="P37" s="145"/>
      <c r="Q37" s="145"/>
      <c r="R37" s="145"/>
      <c r="S37" s="145"/>
      <c r="T37" s="91">
        <f>SUM(O37:S37)</f>
        <v>0</v>
      </c>
      <c r="U37" s="146"/>
      <c r="V37" s="75"/>
      <c r="W37" s="94">
        <f>M37+T37+U37</f>
        <v>0</v>
      </c>
      <c r="X37" s="115"/>
      <c r="Y37" s="74">
        <f>F37+L37+T37+U37-X37</f>
        <v>0</v>
      </c>
      <c r="Z37" s="127"/>
      <c r="AA37" s="128"/>
      <c r="AB37" s="133"/>
      <c r="AC37" s="134"/>
      <c r="AD37" s="411"/>
      <c r="AE37" s="412"/>
    </row>
    <row r="38" spans="2:47" ht="30" customHeight="1" x14ac:dyDescent="0.25">
      <c r="B38" s="422"/>
      <c r="C38" s="143"/>
      <c r="D38" s="129"/>
      <c r="E38" s="130"/>
      <c r="F38" s="118"/>
      <c r="G38" s="119"/>
      <c r="H38" s="119"/>
      <c r="I38" s="119"/>
      <c r="J38" s="119"/>
      <c r="K38" s="119"/>
      <c r="L38" s="71">
        <f>SUM(G38:K38)</f>
        <v>0</v>
      </c>
      <c r="M38" s="95">
        <f t="shared" ref="M38:M41" si="7">F38+L38</f>
        <v>0</v>
      </c>
      <c r="N38" s="93"/>
      <c r="O38" s="118"/>
      <c r="P38" s="119"/>
      <c r="Q38" s="119"/>
      <c r="R38" s="119"/>
      <c r="S38" s="119"/>
      <c r="T38" s="71">
        <f t="shared" ref="T38:T41" si="8">SUM(O38:S38)</f>
        <v>0</v>
      </c>
      <c r="U38" s="147"/>
      <c r="V38" s="75"/>
      <c r="W38" s="96">
        <f t="shared" ref="W38:W41" si="9">M38+T38+U38</f>
        <v>0</v>
      </c>
      <c r="X38" s="118"/>
      <c r="Y38" s="71">
        <f t="shared" ref="Y38:Y41" si="10">F38+L38+T38+U38-X38</f>
        <v>0</v>
      </c>
      <c r="Z38" s="129"/>
      <c r="AA38" s="130"/>
      <c r="AB38" s="136"/>
      <c r="AC38" s="137"/>
      <c r="AD38" s="383"/>
      <c r="AE38" s="384"/>
    </row>
    <row r="39" spans="2:47" ht="30" customHeight="1" x14ac:dyDescent="0.25">
      <c r="B39" s="422"/>
      <c r="C39" s="143"/>
      <c r="D39" s="129"/>
      <c r="E39" s="130"/>
      <c r="F39" s="118"/>
      <c r="G39" s="119"/>
      <c r="H39" s="119"/>
      <c r="I39" s="119"/>
      <c r="J39" s="119"/>
      <c r="K39" s="119"/>
      <c r="L39" s="71">
        <f t="shared" ref="L39:L41" si="11">SUM(G39:K39)</f>
        <v>0</v>
      </c>
      <c r="M39" s="95">
        <f t="shared" si="7"/>
        <v>0</v>
      </c>
      <c r="N39" s="93"/>
      <c r="O39" s="118"/>
      <c r="P39" s="119"/>
      <c r="Q39" s="119"/>
      <c r="R39" s="119"/>
      <c r="S39" s="119"/>
      <c r="T39" s="71">
        <f t="shared" si="8"/>
        <v>0</v>
      </c>
      <c r="U39" s="147"/>
      <c r="V39" s="75"/>
      <c r="W39" s="96">
        <f t="shared" si="9"/>
        <v>0</v>
      </c>
      <c r="X39" s="118"/>
      <c r="Y39" s="71">
        <f t="shared" si="10"/>
        <v>0</v>
      </c>
      <c r="Z39" s="129"/>
      <c r="AA39" s="130"/>
      <c r="AB39" s="136"/>
      <c r="AC39" s="137"/>
      <c r="AD39" s="383"/>
      <c r="AE39" s="384"/>
    </row>
    <row r="40" spans="2:47" ht="30" customHeight="1" x14ac:dyDescent="0.25">
      <c r="B40" s="422"/>
      <c r="C40" s="143"/>
      <c r="D40" s="129"/>
      <c r="E40" s="130"/>
      <c r="F40" s="118"/>
      <c r="G40" s="119"/>
      <c r="H40" s="119"/>
      <c r="I40" s="119"/>
      <c r="J40" s="119"/>
      <c r="K40" s="119"/>
      <c r="L40" s="71">
        <f t="shared" si="11"/>
        <v>0</v>
      </c>
      <c r="M40" s="95">
        <f t="shared" si="7"/>
        <v>0</v>
      </c>
      <c r="N40" s="93"/>
      <c r="O40" s="118"/>
      <c r="P40" s="119"/>
      <c r="Q40" s="119"/>
      <c r="R40" s="119"/>
      <c r="S40" s="119"/>
      <c r="T40" s="71">
        <f t="shared" si="8"/>
        <v>0</v>
      </c>
      <c r="U40" s="147"/>
      <c r="V40" s="75"/>
      <c r="W40" s="96">
        <f t="shared" si="9"/>
        <v>0</v>
      </c>
      <c r="X40" s="118"/>
      <c r="Y40" s="71">
        <f t="shared" si="10"/>
        <v>0</v>
      </c>
      <c r="Z40" s="129"/>
      <c r="AA40" s="130"/>
      <c r="AB40" s="136"/>
      <c r="AC40" s="137"/>
      <c r="AD40" s="383"/>
      <c r="AE40" s="384"/>
    </row>
    <row r="41" spans="2:47" ht="30" customHeight="1" thickBot="1" x14ac:dyDescent="0.3">
      <c r="B41" s="422"/>
      <c r="C41" s="143"/>
      <c r="D41" s="129"/>
      <c r="E41" s="130"/>
      <c r="F41" s="118"/>
      <c r="G41" s="119"/>
      <c r="H41" s="119"/>
      <c r="I41" s="119"/>
      <c r="J41" s="119"/>
      <c r="K41" s="119"/>
      <c r="L41" s="71">
        <f t="shared" si="11"/>
        <v>0</v>
      </c>
      <c r="M41" s="95">
        <f t="shared" si="7"/>
        <v>0</v>
      </c>
      <c r="N41" s="93"/>
      <c r="O41" s="122"/>
      <c r="P41" s="123"/>
      <c r="Q41" s="123"/>
      <c r="R41" s="123"/>
      <c r="S41" s="123"/>
      <c r="T41" s="77">
        <f t="shared" si="8"/>
        <v>0</v>
      </c>
      <c r="U41" s="148"/>
      <c r="V41" s="75"/>
      <c r="W41" s="96">
        <f t="shared" si="9"/>
        <v>0</v>
      </c>
      <c r="X41" s="118"/>
      <c r="Y41" s="71">
        <f t="shared" si="10"/>
        <v>0</v>
      </c>
      <c r="Z41" s="129"/>
      <c r="AA41" s="130"/>
      <c r="AB41" s="136"/>
      <c r="AC41" s="137"/>
      <c r="AD41" s="383"/>
      <c r="AE41" s="384"/>
    </row>
    <row r="42" spans="2:47" ht="9.9499999999999993" customHeight="1" thickBot="1" x14ac:dyDescent="0.3">
      <c r="B42" s="422"/>
      <c r="C42" s="60"/>
      <c r="D42" s="61"/>
      <c r="E42" s="79"/>
      <c r="F42" s="97"/>
      <c r="G42" s="61"/>
      <c r="H42" s="61"/>
      <c r="I42" s="61"/>
      <c r="J42" s="61"/>
      <c r="K42" s="61"/>
      <c r="L42" s="81"/>
      <c r="M42" s="82"/>
      <c r="N42" s="83"/>
      <c r="O42" s="98"/>
      <c r="P42" s="98"/>
      <c r="Q42" s="98"/>
      <c r="R42" s="98"/>
      <c r="S42" s="98"/>
      <c r="T42" s="98"/>
      <c r="U42" s="98"/>
      <c r="V42" s="85"/>
      <c r="W42" s="61"/>
      <c r="X42" s="97"/>
      <c r="Y42" s="61"/>
      <c r="Z42" s="61"/>
      <c r="AA42" s="79"/>
      <c r="AB42" s="97"/>
      <c r="AC42" s="79"/>
      <c r="AD42" s="97"/>
      <c r="AE42" s="99"/>
      <c r="AT42" s="37"/>
      <c r="AU42" s="37"/>
    </row>
    <row r="43" spans="2:47" ht="30" customHeight="1" thickTop="1" thickBot="1" x14ac:dyDescent="0.3">
      <c r="B43" s="422"/>
      <c r="C43" s="379" t="s">
        <v>72</v>
      </c>
      <c r="D43" s="379"/>
      <c r="E43" s="379"/>
      <c r="F43" s="379"/>
      <c r="G43" s="380"/>
      <c r="AT43" s="37"/>
      <c r="AU43" s="37"/>
    </row>
    <row r="44" spans="2:47" ht="51" customHeight="1" thickTop="1" thickBot="1" x14ac:dyDescent="0.3">
      <c r="B44" s="422"/>
      <c r="C44" s="100" t="s">
        <v>89</v>
      </c>
      <c r="D44" s="101" t="s">
        <v>73</v>
      </c>
      <c r="E44" s="101" t="s">
        <v>74</v>
      </c>
      <c r="F44" s="101" t="s">
        <v>85</v>
      </c>
      <c r="G44" s="102" t="s">
        <v>86</v>
      </c>
    </row>
    <row r="45" spans="2:47" ht="20.100000000000001" customHeight="1" x14ac:dyDescent="0.25">
      <c r="B45" s="422"/>
      <c r="C45" s="103" t="s">
        <v>52</v>
      </c>
      <c r="D45" s="116"/>
      <c r="E45" s="71">
        <f>ROUND(D45*$F$14,2)</f>
        <v>0</v>
      </c>
      <c r="F45" s="116"/>
      <c r="G45" s="149"/>
    </row>
    <row r="46" spans="2:47" ht="20.100000000000001" customHeight="1" x14ac:dyDescent="0.25">
      <c r="B46" s="422"/>
      <c r="C46" s="104" t="s">
        <v>53</v>
      </c>
      <c r="D46" s="119"/>
      <c r="E46" s="71">
        <f t="shared" ref="E46:E56" si="12">ROUND(D46*$F$14,2)</f>
        <v>0</v>
      </c>
      <c r="F46" s="119"/>
      <c r="G46" s="150"/>
    </row>
    <row r="47" spans="2:47" ht="20.100000000000001" customHeight="1" x14ac:dyDescent="0.25">
      <c r="B47" s="422"/>
      <c r="C47" s="104" t="s">
        <v>54</v>
      </c>
      <c r="D47" s="119"/>
      <c r="E47" s="71">
        <f t="shared" si="12"/>
        <v>0</v>
      </c>
      <c r="F47" s="119"/>
      <c r="G47" s="150"/>
    </row>
    <row r="48" spans="2:47" ht="20.100000000000001" customHeight="1" x14ac:dyDescent="0.25">
      <c r="B48" s="422"/>
      <c r="C48" s="104" t="s">
        <v>55</v>
      </c>
      <c r="D48" s="119"/>
      <c r="E48" s="71">
        <f t="shared" si="12"/>
        <v>0</v>
      </c>
      <c r="F48" s="119"/>
      <c r="G48" s="150"/>
    </row>
    <row r="49" spans="2:20" ht="20.100000000000001" customHeight="1" x14ac:dyDescent="0.25">
      <c r="B49" s="422"/>
      <c r="C49" s="104" t="s">
        <v>56</v>
      </c>
      <c r="D49" s="119"/>
      <c r="E49" s="71">
        <f t="shared" si="12"/>
        <v>0</v>
      </c>
      <c r="F49" s="119"/>
      <c r="G49" s="150"/>
    </row>
    <row r="50" spans="2:20" ht="20.100000000000001" customHeight="1" x14ac:dyDescent="0.25">
      <c r="B50" s="422"/>
      <c r="C50" s="104" t="s">
        <v>57</v>
      </c>
      <c r="D50" s="119"/>
      <c r="E50" s="71">
        <f t="shared" si="12"/>
        <v>0</v>
      </c>
      <c r="F50" s="119"/>
      <c r="G50" s="150"/>
    </row>
    <row r="51" spans="2:20" ht="20.100000000000001" customHeight="1" x14ac:dyDescent="0.25">
      <c r="B51" s="422"/>
      <c r="C51" s="104" t="s">
        <v>58</v>
      </c>
      <c r="D51" s="119"/>
      <c r="E51" s="71">
        <f t="shared" si="12"/>
        <v>0</v>
      </c>
      <c r="F51" s="119"/>
      <c r="G51" s="150"/>
    </row>
    <row r="52" spans="2:20" ht="20.100000000000001" customHeight="1" x14ac:dyDescent="0.25">
      <c r="B52" s="422"/>
      <c r="C52" s="104" t="s">
        <v>59</v>
      </c>
      <c r="D52" s="119"/>
      <c r="E52" s="71">
        <f t="shared" si="12"/>
        <v>0</v>
      </c>
      <c r="F52" s="119"/>
      <c r="G52" s="150"/>
    </row>
    <row r="53" spans="2:20" ht="20.100000000000001" customHeight="1" x14ac:dyDescent="0.25">
      <c r="B53" s="422"/>
      <c r="C53" s="104" t="s">
        <v>60</v>
      </c>
      <c r="D53" s="119"/>
      <c r="E53" s="71">
        <f t="shared" si="12"/>
        <v>0</v>
      </c>
      <c r="F53" s="119"/>
      <c r="G53" s="150"/>
    </row>
    <row r="54" spans="2:20" ht="20.100000000000001" customHeight="1" x14ac:dyDescent="0.25">
      <c r="B54" s="422"/>
      <c r="C54" s="104" t="s">
        <v>61</v>
      </c>
      <c r="D54" s="119"/>
      <c r="E54" s="71">
        <f t="shared" si="12"/>
        <v>0</v>
      </c>
      <c r="F54" s="119"/>
      <c r="G54" s="150"/>
    </row>
    <row r="55" spans="2:20" ht="20.100000000000001" customHeight="1" x14ac:dyDescent="0.25">
      <c r="B55" s="422"/>
      <c r="C55" s="104" t="s">
        <v>62</v>
      </c>
      <c r="D55" s="119"/>
      <c r="E55" s="71">
        <f t="shared" si="12"/>
        <v>0</v>
      </c>
      <c r="F55" s="119"/>
      <c r="G55" s="150"/>
    </row>
    <row r="56" spans="2:20" ht="20.100000000000001" customHeight="1" x14ac:dyDescent="0.25">
      <c r="B56" s="422"/>
      <c r="C56" s="104" t="s">
        <v>63</v>
      </c>
      <c r="D56" s="129"/>
      <c r="E56" s="71">
        <f t="shared" si="12"/>
        <v>0</v>
      </c>
      <c r="F56" s="119"/>
      <c r="G56" s="150"/>
    </row>
    <row r="57" spans="2:20" ht="9.9499999999999993" customHeight="1" thickBot="1" x14ac:dyDescent="0.3">
      <c r="B57" s="423"/>
      <c r="C57" s="60"/>
      <c r="D57" s="61"/>
      <c r="E57" s="61"/>
      <c r="F57" s="61"/>
      <c r="G57" s="99"/>
    </row>
    <row r="58" spans="2:20" ht="14.25" thickTop="1" x14ac:dyDescent="0.25"/>
    <row r="60" spans="2:20" x14ac:dyDescent="0.25">
      <c r="I60" s="363" t="s">
        <v>130</v>
      </c>
      <c r="J60" s="363"/>
      <c r="K60" s="363"/>
      <c r="M60" s="105">
        <f>EXPEDIENTE!C16</f>
        <v>2023</v>
      </c>
    </row>
    <row r="61" spans="2:20" ht="49.5" x14ac:dyDescent="0.25">
      <c r="E61" s="106" t="s">
        <v>128</v>
      </c>
      <c r="F61" s="106" t="s">
        <v>129</v>
      </c>
      <c r="G61" s="107" t="s">
        <v>82</v>
      </c>
      <c r="H61" s="106" t="s">
        <v>92</v>
      </c>
      <c r="I61" s="106" t="s">
        <v>131</v>
      </c>
      <c r="J61" s="106" t="s">
        <v>132</v>
      </c>
      <c r="K61" s="107" t="s">
        <v>96</v>
      </c>
      <c r="L61" s="107" t="s">
        <v>133</v>
      </c>
      <c r="M61" s="105" t="s">
        <v>89</v>
      </c>
      <c r="O61" s="105">
        <f>C37</f>
        <v>0</v>
      </c>
      <c r="P61" s="105">
        <f>C38</f>
        <v>0</v>
      </c>
      <c r="Q61" s="105">
        <f>C39</f>
        <v>0</v>
      </c>
      <c r="R61" s="105">
        <f>C40</f>
        <v>0</v>
      </c>
      <c r="S61" s="105">
        <f>C41</f>
        <v>0</v>
      </c>
      <c r="T61" s="105" t="s">
        <v>65</v>
      </c>
    </row>
    <row r="62" spans="2:20" x14ac:dyDescent="0.25">
      <c r="E62" s="71">
        <f>F37+L37-X37</f>
        <v>0</v>
      </c>
      <c r="F62" s="71">
        <f>T37+U37</f>
        <v>0</v>
      </c>
      <c r="G62" s="71">
        <f>X37</f>
        <v>0</v>
      </c>
      <c r="H62" s="71">
        <f>SUM(E62:G62)</f>
        <v>0</v>
      </c>
      <c r="I62" s="71">
        <f>IF(Z37&lt;=EXPEDIENTE!$H$29,E62,0)</f>
        <v>0</v>
      </c>
      <c r="J62" s="108">
        <f>IF(AA37&lt;=EXPEDIENTE!$H$29,G62,0)</f>
        <v>0</v>
      </c>
      <c r="K62" s="71">
        <f>I62+J62</f>
        <v>0</v>
      </c>
      <c r="L62" s="109">
        <f>IF(OR(D37="",E37=""),0,DATEDIF(D37,E37,"M")+1)</f>
        <v>0</v>
      </c>
      <c r="M62" s="110">
        <f>DATE($M$60,1,1)</f>
        <v>44927</v>
      </c>
      <c r="O62" s="111">
        <f t="shared" ref="O62:O73" si="13">IF($H$62=0,0,IF(M62&lt;$E$37,ROUND($K$62/$L$62,2),0))</f>
        <v>0</v>
      </c>
      <c r="P62" s="111">
        <f t="shared" ref="P62:P73" si="14">IF($K$63=0,0,IF(M62&lt;$E$38,ROUND($H$63/$L$63,2),0))</f>
        <v>0</v>
      </c>
      <c r="Q62" s="108">
        <f t="shared" ref="Q62:Q73" si="15">IF($H$64=0,0,IF(M62&lt;$E$39,ROUND($K$64/$L$64,2),0))</f>
        <v>0</v>
      </c>
      <c r="R62" s="108">
        <f t="shared" ref="R62:R73" si="16">IF($H$65=0,0,IF(M62&lt;$E$39,ROUND($K$65/$L$65,2),0))</f>
        <v>0</v>
      </c>
      <c r="S62" s="108">
        <f t="shared" ref="S62:S73" si="17">IF($H$66=0,0,IF(M62&lt;$E$39,ROUND($K$66/$L$66,2),0))</f>
        <v>0</v>
      </c>
      <c r="T62" s="111">
        <f t="shared" ref="T62:T73" si="18">SUM(O62:S62)</f>
        <v>0</v>
      </c>
    </row>
    <row r="63" spans="2:20" x14ac:dyDescent="0.25">
      <c r="E63" s="71">
        <f>F38+L38-X38</f>
        <v>0</v>
      </c>
      <c r="F63" s="71">
        <f>T38+U38</f>
        <v>0</v>
      </c>
      <c r="G63" s="71">
        <f>X38</f>
        <v>0</v>
      </c>
      <c r="H63" s="71">
        <f>SUM(E63:G63)</f>
        <v>0</v>
      </c>
      <c r="I63" s="71">
        <f>IF(Z38&lt;=EXPEDIENTE!$H$29,E63,0)</f>
        <v>0</v>
      </c>
      <c r="J63" s="108">
        <f>IF(AA38&lt;=EXPEDIENTE!$H$29,G63,0)</f>
        <v>0</v>
      </c>
      <c r="K63" s="71">
        <f t="shared" ref="K63:K66" si="19">I63+J63</f>
        <v>0</v>
      </c>
      <c r="L63" s="109">
        <f>IF(OR(D38="",E38=""),0,DATEDIF(D38,E38,"M")+1)</f>
        <v>0</v>
      </c>
      <c r="M63" s="110">
        <f>DATE($M$60,2,1)</f>
        <v>44958</v>
      </c>
      <c r="O63" s="111">
        <f t="shared" si="13"/>
        <v>0</v>
      </c>
      <c r="P63" s="111">
        <f t="shared" si="14"/>
        <v>0</v>
      </c>
      <c r="Q63" s="108">
        <f t="shared" si="15"/>
        <v>0</v>
      </c>
      <c r="R63" s="108">
        <f t="shared" si="16"/>
        <v>0</v>
      </c>
      <c r="S63" s="108">
        <f t="shared" si="17"/>
        <v>0</v>
      </c>
      <c r="T63" s="111">
        <f t="shared" si="18"/>
        <v>0</v>
      </c>
    </row>
    <row r="64" spans="2:20" x14ac:dyDescent="0.25">
      <c r="E64" s="71">
        <f>F39+L39-X39</f>
        <v>0</v>
      </c>
      <c r="F64" s="71">
        <f>T39+U39</f>
        <v>0</v>
      </c>
      <c r="G64" s="71">
        <f>X39</f>
        <v>0</v>
      </c>
      <c r="H64" s="71">
        <f>SUM(E64:G64)</f>
        <v>0</v>
      </c>
      <c r="I64" s="71">
        <f>IF(Z39&lt;=EXPEDIENTE!$H$29,E64,0)</f>
        <v>0</v>
      </c>
      <c r="J64" s="108">
        <f>IF(AA39&lt;=EXPEDIENTE!$H$29,G64,0)</f>
        <v>0</v>
      </c>
      <c r="K64" s="71">
        <f t="shared" si="19"/>
        <v>0</v>
      </c>
      <c r="L64" s="109">
        <f>IF(OR(D39="",E39=""),0,DATEDIF(D39,E39,"M")+1)</f>
        <v>0</v>
      </c>
      <c r="M64" s="110">
        <f>DATE($M$60,3,1)</f>
        <v>44986</v>
      </c>
      <c r="O64" s="111">
        <f t="shared" si="13"/>
        <v>0</v>
      </c>
      <c r="P64" s="111">
        <f t="shared" si="14"/>
        <v>0</v>
      </c>
      <c r="Q64" s="108">
        <f t="shared" si="15"/>
        <v>0</v>
      </c>
      <c r="R64" s="108">
        <f t="shared" si="16"/>
        <v>0</v>
      </c>
      <c r="S64" s="108">
        <f t="shared" si="17"/>
        <v>0</v>
      </c>
      <c r="T64" s="111">
        <f t="shared" si="18"/>
        <v>0</v>
      </c>
    </row>
    <row r="65" spans="5:20" x14ac:dyDescent="0.25">
      <c r="E65" s="71">
        <f>F40+L40-X40</f>
        <v>0</v>
      </c>
      <c r="F65" s="71">
        <f>T40+U40</f>
        <v>0</v>
      </c>
      <c r="G65" s="71">
        <f>X40</f>
        <v>0</v>
      </c>
      <c r="H65" s="71">
        <f>SUM(E65:G65)</f>
        <v>0</v>
      </c>
      <c r="I65" s="71">
        <f>IF(Z40&lt;=EXPEDIENTE!$H$29,E65,0)</f>
        <v>0</v>
      </c>
      <c r="J65" s="108">
        <f>IF(AA40&lt;=EXPEDIENTE!$H$29,G65,0)</f>
        <v>0</v>
      </c>
      <c r="K65" s="71">
        <f t="shared" si="19"/>
        <v>0</v>
      </c>
      <c r="L65" s="109">
        <f>IF(OR(D40="",E40=""),0,DATEDIF(D40,E40,"M")+1)</f>
        <v>0</v>
      </c>
      <c r="M65" s="110">
        <f>DATE($M$60,4,1)</f>
        <v>45017</v>
      </c>
      <c r="O65" s="111">
        <f t="shared" si="13"/>
        <v>0</v>
      </c>
      <c r="P65" s="111">
        <f t="shared" si="14"/>
        <v>0</v>
      </c>
      <c r="Q65" s="108">
        <f t="shared" si="15"/>
        <v>0</v>
      </c>
      <c r="R65" s="108">
        <f t="shared" si="16"/>
        <v>0</v>
      </c>
      <c r="S65" s="108">
        <f t="shared" si="17"/>
        <v>0</v>
      </c>
      <c r="T65" s="111">
        <f t="shared" si="18"/>
        <v>0</v>
      </c>
    </row>
    <row r="66" spans="5:20" x14ac:dyDescent="0.25">
      <c r="E66" s="71">
        <f>F41+L41-X41</f>
        <v>0</v>
      </c>
      <c r="F66" s="71">
        <f>T41+U41</f>
        <v>0</v>
      </c>
      <c r="G66" s="71">
        <f>X41</f>
        <v>0</v>
      </c>
      <c r="H66" s="71">
        <f>SUM(E66:G66)</f>
        <v>0</v>
      </c>
      <c r="I66" s="71">
        <f>IF(Z41&lt;=EXPEDIENTE!$H$29,E66,0)</f>
        <v>0</v>
      </c>
      <c r="J66" s="108">
        <f>IF(AA41&lt;=EXPEDIENTE!$H$29,G66,0)</f>
        <v>0</v>
      </c>
      <c r="K66" s="71">
        <f t="shared" si="19"/>
        <v>0</v>
      </c>
      <c r="L66" s="109">
        <f>IF(OR(D41="",E41=""),0,DATEDIF(D41,E41,"M")+1)</f>
        <v>0</v>
      </c>
      <c r="M66" s="110">
        <f>DATE($M$60,5,1)</f>
        <v>45047</v>
      </c>
      <c r="O66" s="111">
        <f t="shared" si="13"/>
        <v>0</v>
      </c>
      <c r="P66" s="111">
        <f t="shared" si="14"/>
        <v>0</v>
      </c>
      <c r="Q66" s="108">
        <f t="shared" si="15"/>
        <v>0</v>
      </c>
      <c r="R66" s="108">
        <f t="shared" si="16"/>
        <v>0</v>
      </c>
      <c r="S66" s="108">
        <f t="shared" si="17"/>
        <v>0</v>
      </c>
      <c r="T66" s="111">
        <f t="shared" si="18"/>
        <v>0</v>
      </c>
    </row>
    <row r="67" spans="5:20" x14ac:dyDescent="0.25">
      <c r="M67" s="110">
        <f>DATE($M$60,6,1)</f>
        <v>45078</v>
      </c>
      <c r="O67" s="111">
        <f t="shared" si="13"/>
        <v>0</v>
      </c>
      <c r="P67" s="111">
        <f t="shared" si="14"/>
        <v>0</v>
      </c>
      <c r="Q67" s="108">
        <f t="shared" si="15"/>
        <v>0</v>
      </c>
      <c r="R67" s="108">
        <f t="shared" si="16"/>
        <v>0</v>
      </c>
      <c r="S67" s="108">
        <f t="shared" si="17"/>
        <v>0</v>
      </c>
      <c r="T67" s="111">
        <f t="shared" si="18"/>
        <v>0</v>
      </c>
    </row>
    <row r="68" spans="5:20" x14ac:dyDescent="0.25">
      <c r="M68" s="110">
        <f>DATE($M$60,7,1)</f>
        <v>45108</v>
      </c>
      <c r="O68" s="111">
        <f t="shared" si="13"/>
        <v>0</v>
      </c>
      <c r="P68" s="111">
        <f t="shared" si="14"/>
        <v>0</v>
      </c>
      <c r="Q68" s="108">
        <f t="shared" si="15"/>
        <v>0</v>
      </c>
      <c r="R68" s="108">
        <f t="shared" si="16"/>
        <v>0</v>
      </c>
      <c r="S68" s="108">
        <f t="shared" si="17"/>
        <v>0</v>
      </c>
      <c r="T68" s="111">
        <f t="shared" si="18"/>
        <v>0</v>
      </c>
    </row>
    <row r="69" spans="5:20" x14ac:dyDescent="0.25">
      <c r="M69" s="110">
        <f>DATE($M$60,8,1)</f>
        <v>45139</v>
      </c>
      <c r="O69" s="111">
        <f t="shared" si="13"/>
        <v>0</v>
      </c>
      <c r="P69" s="111">
        <f t="shared" si="14"/>
        <v>0</v>
      </c>
      <c r="Q69" s="108">
        <f t="shared" si="15"/>
        <v>0</v>
      </c>
      <c r="R69" s="108">
        <f t="shared" si="16"/>
        <v>0</v>
      </c>
      <c r="S69" s="108">
        <f t="shared" si="17"/>
        <v>0</v>
      </c>
      <c r="T69" s="111">
        <f t="shared" si="18"/>
        <v>0</v>
      </c>
    </row>
    <row r="70" spans="5:20" x14ac:dyDescent="0.25">
      <c r="M70" s="110">
        <f>DATE($M$60,9,1)</f>
        <v>45170</v>
      </c>
      <c r="O70" s="111">
        <f t="shared" si="13"/>
        <v>0</v>
      </c>
      <c r="P70" s="111">
        <f t="shared" si="14"/>
        <v>0</v>
      </c>
      <c r="Q70" s="108">
        <f t="shared" si="15"/>
        <v>0</v>
      </c>
      <c r="R70" s="108">
        <f t="shared" si="16"/>
        <v>0</v>
      </c>
      <c r="S70" s="108">
        <f t="shared" si="17"/>
        <v>0</v>
      </c>
      <c r="T70" s="111">
        <f t="shared" si="18"/>
        <v>0</v>
      </c>
    </row>
    <row r="71" spans="5:20" x14ac:dyDescent="0.25">
      <c r="M71" s="110">
        <f>DATE($M$60,10,1)</f>
        <v>45200</v>
      </c>
      <c r="O71" s="111">
        <f t="shared" si="13"/>
        <v>0</v>
      </c>
      <c r="P71" s="111">
        <f t="shared" si="14"/>
        <v>0</v>
      </c>
      <c r="Q71" s="108">
        <f t="shared" si="15"/>
        <v>0</v>
      </c>
      <c r="R71" s="108">
        <f t="shared" si="16"/>
        <v>0</v>
      </c>
      <c r="S71" s="108">
        <f t="shared" si="17"/>
        <v>0</v>
      </c>
      <c r="T71" s="111">
        <f t="shared" si="18"/>
        <v>0</v>
      </c>
    </row>
    <row r="72" spans="5:20" x14ac:dyDescent="0.25">
      <c r="M72" s="110">
        <f>DATE($M$60,11,1)</f>
        <v>45231</v>
      </c>
      <c r="O72" s="111">
        <f t="shared" si="13"/>
        <v>0</v>
      </c>
      <c r="P72" s="111">
        <f t="shared" si="14"/>
        <v>0</v>
      </c>
      <c r="Q72" s="108">
        <f t="shared" si="15"/>
        <v>0</v>
      </c>
      <c r="R72" s="108">
        <f t="shared" si="16"/>
        <v>0</v>
      </c>
      <c r="S72" s="108">
        <f t="shared" si="17"/>
        <v>0</v>
      </c>
      <c r="T72" s="111">
        <f t="shared" si="18"/>
        <v>0</v>
      </c>
    </row>
    <row r="73" spans="5:20" x14ac:dyDescent="0.25">
      <c r="M73" s="110">
        <f>DATE($M$60,12,1)</f>
        <v>45261</v>
      </c>
      <c r="O73" s="111">
        <f t="shared" si="13"/>
        <v>0</v>
      </c>
      <c r="P73" s="111">
        <f t="shared" si="14"/>
        <v>0</v>
      </c>
      <c r="Q73" s="108">
        <f t="shared" si="15"/>
        <v>0</v>
      </c>
      <c r="R73" s="108">
        <f t="shared" si="16"/>
        <v>0</v>
      </c>
      <c r="S73" s="108">
        <f t="shared" si="17"/>
        <v>0</v>
      </c>
      <c r="T73" s="111">
        <f t="shared" si="18"/>
        <v>0</v>
      </c>
    </row>
  </sheetData>
  <sheetProtection algorithmName="SHA-512" hashValue="GwpBemNuk6XynWERQE43cxCc/hE3Vv8Qp7R6Iyaac26ehLm8+F6FpvLMQhnLk+Tb2ushze3OVwJCEWtJQqweyQ==" saltValue="29a+OncT7WKal153BqdRwA==" spinCount="100000" sheet="1" selectLockedCells="1"/>
  <mergeCells count="65">
    <mergeCell ref="B8:B57"/>
    <mergeCell ref="C35:C36"/>
    <mergeCell ref="C18:D19"/>
    <mergeCell ref="C20:D20"/>
    <mergeCell ref="C21:D21"/>
    <mergeCell ref="C22:D22"/>
    <mergeCell ref="C23:D23"/>
    <mergeCell ref="C24:D24"/>
    <mergeCell ref="C25:D25"/>
    <mergeCell ref="C26:D26"/>
    <mergeCell ref="C27:D27"/>
    <mergeCell ref="C28:D28"/>
    <mergeCell ref="C43:G43"/>
    <mergeCell ref="G18:L18"/>
    <mergeCell ref="F17:M17"/>
    <mergeCell ref="M18:M19"/>
    <mergeCell ref="E4:F4"/>
    <mergeCell ref="C8:F8"/>
    <mergeCell ref="E18:E19"/>
    <mergeCell ref="F18:F19"/>
    <mergeCell ref="C16:AE16"/>
    <mergeCell ref="X17:X19"/>
    <mergeCell ref="Y17:Y19"/>
    <mergeCell ref="Z17:Z19"/>
    <mergeCell ref="AA17:AA19"/>
    <mergeCell ref="U18:U19"/>
    <mergeCell ref="AB17:AB19"/>
    <mergeCell ref="O18:T18"/>
    <mergeCell ref="AC17:AC19"/>
    <mergeCell ref="C17:E17"/>
    <mergeCell ref="AD17:AD19"/>
    <mergeCell ref="AE17:AE19"/>
    <mergeCell ref="W17:W19"/>
    <mergeCell ref="Z34:Z36"/>
    <mergeCell ref="AD41:AE41"/>
    <mergeCell ref="AD34:AE36"/>
    <mergeCell ref="AD37:AE37"/>
    <mergeCell ref="AD38:AE38"/>
    <mergeCell ref="AD39:AE39"/>
    <mergeCell ref="X34:X36"/>
    <mergeCell ref="Y34:Y36"/>
    <mergeCell ref="W34:W36"/>
    <mergeCell ref="D35:E35"/>
    <mergeCell ref="U35:U36"/>
    <mergeCell ref="F35:F36"/>
    <mergeCell ref="F34:M34"/>
    <mergeCell ref="M35:M36"/>
    <mergeCell ref="G35:L35"/>
    <mergeCell ref="O35:T35"/>
    <mergeCell ref="I60:K60"/>
    <mergeCell ref="AA34:AA36"/>
    <mergeCell ref="AB34:AB36"/>
    <mergeCell ref="N17:V17"/>
    <mergeCell ref="I8:T8"/>
    <mergeCell ref="I9:T9"/>
    <mergeCell ref="I10:T10"/>
    <mergeCell ref="I11:T11"/>
    <mergeCell ref="C33:AE33"/>
    <mergeCell ref="C29:D29"/>
    <mergeCell ref="C30:D30"/>
    <mergeCell ref="C31:D31"/>
    <mergeCell ref="AC34:AC36"/>
    <mergeCell ref="AD40:AE40"/>
    <mergeCell ref="C34:E34"/>
    <mergeCell ref="N34:V34"/>
  </mergeCells>
  <phoneticPr fontId="10" type="noConversion"/>
  <conditionalFormatting sqref="A59:XFD74">
    <cfRule type="expression" dxfId="81" priority="1">
      <formula>$A$1=1</formula>
    </cfRule>
  </conditionalFormatting>
  <printOptions horizontalCentered="1" verticalCentered="1"/>
  <pageMargins left="0.39370078740157483" right="0.39370078740157483" top="0.59055118110236227" bottom="0.39370078740157483" header="0.19685039370078741" footer="0.19685039370078741"/>
  <pageSetup paperSize="8" scale="52" orientation="landscape" r:id="rId1"/>
  <ignoredErrors>
    <ignoredError sqref="L20:L22 L37:L39 L23:L31"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id="{3F356942-FFCD-4363-9D5C-3AC54FE9A5D6}">
            <xm:f>'% DEDICACIÓN TRABAJADOR'!$K$31=0</xm:f>
            <x14:dxf>
              <font>
                <color theme="9" tint="0.79998168889431442"/>
              </font>
              <fill>
                <patternFill>
                  <bgColor theme="9" tint="0.79998168889431442"/>
                </patternFill>
              </fill>
            </x14:dxf>
          </x14:cfRule>
          <xm:sqref>D20:M20 O20:U20 W20:AE20</xm:sqref>
        </x14:conditionalFormatting>
        <x14:conditionalFormatting xmlns:xm="http://schemas.microsoft.com/office/excel/2006/main">
          <x14:cfRule type="expression" priority="4" id="{84162984-F6F0-4888-8320-515630C881DA}">
            <xm:f>'% DEDICACIÓN TRABAJADOR'!$L$31=0</xm:f>
            <x14:dxf>
              <font>
                <color theme="9" tint="0.79998168889431442"/>
              </font>
              <fill>
                <patternFill>
                  <bgColor theme="9" tint="0.79998168889431442"/>
                </patternFill>
              </fill>
            </x14:dxf>
          </x14:cfRule>
          <xm:sqref>E21:M21 O21:U21 W21:AE21</xm:sqref>
        </x14:conditionalFormatting>
        <x14:conditionalFormatting xmlns:xm="http://schemas.microsoft.com/office/excel/2006/main">
          <x14:cfRule type="expression" priority="5" id="{0B25DF02-DEEF-4E69-A3E6-FF217BE76594}">
            <xm:f>'% DEDICACIÓN TRABAJADOR'!$M$31=0</xm:f>
            <x14:dxf>
              <font>
                <color theme="9" tint="0.79998168889431442"/>
              </font>
              <fill>
                <patternFill>
                  <bgColor theme="9" tint="0.79998168889431442"/>
                </patternFill>
              </fill>
            </x14:dxf>
          </x14:cfRule>
          <xm:sqref>E22:M22 O22:U22 W22:AE22</xm:sqref>
        </x14:conditionalFormatting>
        <x14:conditionalFormatting xmlns:xm="http://schemas.microsoft.com/office/excel/2006/main">
          <x14:cfRule type="expression" priority="6" id="{187064A7-3FD9-47B5-A408-5E94D5362800}">
            <xm:f>'% DEDICACIÓN TRABAJADOR'!$N$31=0</xm:f>
            <x14:dxf>
              <font>
                <color theme="9" tint="0.79998168889431442"/>
              </font>
              <fill>
                <patternFill>
                  <bgColor theme="9" tint="0.79998168889431442"/>
                </patternFill>
              </fill>
            </x14:dxf>
          </x14:cfRule>
          <xm:sqref>E23:M23 O23:U23 W23:AE23</xm:sqref>
        </x14:conditionalFormatting>
        <x14:conditionalFormatting xmlns:xm="http://schemas.microsoft.com/office/excel/2006/main">
          <x14:cfRule type="expression" priority="7" id="{77630A9E-34E2-4C98-B29D-7787D9747B6D}">
            <xm:f>'% DEDICACIÓN TRABAJADOR'!$O$31=0</xm:f>
            <x14:dxf>
              <font>
                <color theme="9" tint="0.79998168889431442"/>
              </font>
              <fill>
                <patternFill>
                  <bgColor theme="9" tint="0.79998168889431442"/>
                </patternFill>
              </fill>
            </x14:dxf>
          </x14:cfRule>
          <xm:sqref>E24:M24 O24:U24 W24:AE24</xm:sqref>
        </x14:conditionalFormatting>
        <x14:conditionalFormatting xmlns:xm="http://schemas.microsoft.com/office/excel/2006/main">
          <x14:cfRule type="expression" priority="8" id="{2EDD5CDD-62B0-487C-BFCF-E9B3FF3E9751}">
            <xm:f>'% DEDICACIÓN TRABAJADOR'!$P$31=0</xm:f>
            <x14:dxf>
              <font>
                <color theme="9" tint="0.79998168889431442"/>
              </font>
              <fill>
                <patternFill>
                  <bgColor theme="9" tint="0.79998168889431442"/>
                </patternFill>
              </fill>
            </x14:dxf>
          </x14:cfRule>
          <xm:sqref>E25:M25 O25:U25 W25:AE25</xm:sqref>
        </x14:conditionalFormatting>
        <x14:conditionalFormatting xmlns:xm="http://schemas.microsoft.com/office/excel/2006/main">
          <x14:cfRule type="expression" priority="9" id="{30C0602E-120C-4489-88FC-8715354DD8C6}">
            <xm:f>'% DEDICACIÓN TRABAJADOR'!$Q$31=0</xm:f>
            <x14:dxf>
              <font>
                <color theme="9" tint="0.79998168889431442"/>
              </font>
              <fill>
                <patternFill>
                  <bgColor theme="9" tint="0.79998168889431442"/>
                </patternFill>
              </fill>
            </x14:dxf>
          </x14:cfRule>
          <xm:sqref>E26:M26 O26:U26 W26:AE26</xm:sqref>
        </x14:conditionalFormatting>
        <x14:conditionalFormatting xmlns:xm="http://schemas.microsoft.com/office/excel/2006/main">
          <x14:cfRule type="expression" priority="10" id="{BCBB94A1-D2E1-494D-82F8-0360870234EE}">
            <xm:f>'% DEDICACIÓN TRABAJADOR'!$R$31=0</xm:f>
            <x14:dxf>
              <font>
                <color theme="9" tint="0.79998168889431442"/>
              </font>
              <fill>
                <patternFill>
                  <bgColor theme="9" tint="0.79998168889431442"/>
                </patternFill>
              </fill>
            </x14:dxf>
          </x14:cfRule>
          <xm:sqref>E27:M27 O27:U27 W27:AE27</xm:sqref>
        </x14:conditionalFormatting>
        <x14:conditionalFormatting xmlns:xm="http://schemas.microsoft.com/office/excel/2006/main">
          <x14:cfRule type="expression" priority="11" id="{A093181B-30FA-40ED-B004-8B6D8424AB51}">
            <xm:f>'% DEDICACIÓN TRABAJADOR'!$S$31=0</xm:f>
            <x14:dxf>
              <font>
                <color theme="9" tint="0.79998168889431442"/>
              </font>
              <fill>
                <patternFill>
                  <bgColor theme="9" tint="0.79998168889431442"/>
                </patternFill>
              </fill>
            </x14:dxf>
          </x14:cfRule>
          <xm:sqref>E28:M28 O28:U28 W28:AE28</xm:sqref>
        </x14:conditionalFormatting>
        <x14:conditionalFormatting xmlns:xm="http://schemas.microsoft.com/office/excel/2006/main">
          <x14:cfRule type="expression" priority="12" id="{A64A5B5C-53CE-4E3B-8EF4-A1D7F1CDB148}">
            <xm:f>'% DEDICACIÓN TRABAJADOR'!$T$31=0</xm:f>
            <x14:dxf>
              <font>
                <color theme="9" tint="0.79998168889431442"/>
              </font>
              <fill>
                <patternFill>
                  <bgColor theme="9" tint="0.79998168889431442"/>
                </patternFill>
              </fill>
            </x14:dxf>
          </x14:cfRule>
          <xm:sqref>E29:M29 O29:U29 W29:AE29</xm:sqref>
        </x14:conditionalFormatting>
        <x14:conditionalFormatting xmlns:xm="http://schemas.microsoft.com/office/excel/2006/main">
          <x14:cfRule type="expression" priority="13" id="{60AA05FC-CE6B-4E0C-8C6E-8A7D3FCBF7B5}">
            <xm:f>'% DEDICACIÓN TRABAJADOR'!$U$31=0</xm:f>
            <x14:dxf>
              <font>
                <color theme="9" tint="0.79998168889431442"/>
              </font>
              <fill>
                <patternFill>
                  <bgColor theme="9" tint="0.79998168889431442"/>
                </patternFill>
              </fill>
            </x14:dxf>
          </x14:cfRule>
          <xm:sqref>E30:M30 O30:U30 W30:AE30</xm:sqref>
        </x14:conditionalFormatting>
        <x14:conditionalFormatting xmlns:xm="http://schemas.microsoft.com/office/excel/2006/main">
          <x14:cfRule type="expression" priority="14" id="{E362B497-02DD-4D82-9E8F-C1A54D27EF0E}">
            <xm:f>'% DEDICACIÓN TRABAJADOR'!$V$31=0</xm:f>
            <x14:dxf>
              <font>
                <color theme="9" tint="0.79998168889431442"/>
              </font>
              <fill>
                <patternFill>
                  <bgColor theme="9" tint="0.79998168889431442"/>
                </patternFill>
              </fill>
            </x14:dxf>
          </x14:cfRule>
          <xm:sqref>E31:M31 O31:U31 W31:AE31</xm:sqref>
        </x14:conditionalFormatting>
        <x14:conditionalFormatting xmlns:xm="http://schemas.microsoft.com/office/excel/2006/main">
          <x14:cfRule type="expression" priority="2" id="{83E70515-5ECA-4DB9-B8C6-C3DEE2F29609}">
            <xm:f>EXPEDIENTE!$A$1&lt;&gt;1</xm:f>
            <x14:dxf>
              <font>
                <color theme="0"/>
              </font>
              <border>
                <left/>
                <right/>
                <top/>
                <bottom/>
                <vertical/>
                <horizontal/>
              </border>
            </x14:dxf>
          </x14:cfRule>
          <xm:sqref>E60:T73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715-1B22-4D33-8B9D-EB320FC5E514}">
  <dimension ref="B1:AG39"/>
  <sheetViews>
    <sheetView showGridLines="0" zoomScaleNormal="100" workbookViewId="0"/>
  </sheetViews>
  <sheetFormatPr baseColWidth="10" defaultColWidth="11.42578125" defaultRowHeight="13.5" x14ac:dyDescent="0.25"/>
  <cols>
    <col min="1" max="1" width="5.5703125" style="36" customWidth="1"/>
    <col min="2" max="2" width="12.5703125" style="36" customWidth="1"/>
    <col min="3" max="3" width="13.7109375" style="36" customWidth="1"/>
    <col min="4" max="4" width="15.5703125" style="36" customWidth="1"/>
    <col min="5" max="5" width="11.5703125" style="36" customWidth="1"/>
    <col min="6" max="6" width="15.5703125" style="36" customWidth="1"/>
    <col min="7" max="8" width="11.5703125" style="36" customWidth="1"/>
    <col min="9" max="9" width="15.5703125" style="36" customWidth="1"/>
    <col min="10" max="12" width="11.5703125" style="36" customWidth="1"/>
    <col min="13" max="13" width="15.5703125" style="36" customWidth="1"/>
    <col min="14" max="14" width="17.5703125" style="36" customWidth="1"/>
    <col min="15" max="15" width="18.7109375" style="36" customWidth="1"/>
    <col min="16" max="16" width="17.5703125" style="36" customWidth="1"/>
    <col min="17" max="17" width="5.5703125" style="36" customWidth="1"/>
    <col min="18" max="18" width="69.5703125" style="36" bestFit="1" customWidth="1"/>
    <col min="19" max="19" width="5.5703125" style="36" hidden="1" customWidth="1"/>
    <col min="20" max="21" width="11.42578125" style="36" hidden="1" customWidth="1"/>
    <col min="22" max="33" width="8.5703125" style="36" hidden="1" customWidth="1"/>
    <col min="34" max="16384" width="11.42578125" style="36"/>
  </cols>
  <sheetData>
    <row r="1" spans="2:31" ht="20.100000000000001" customHeight="1" x14ac:dyDescent="0.25"/>
    <row r="2" spans="2:31" ht="20.100000000000001" customHeight="1" x14ac:dyDescent="0.25"/>
    <row r="3" spans="2:31" ht="20.100000000000001" customHeight="1" x14ac:dyDescent="0.25">
      <c r="D3" s="256" t="str">
        <f>'IDENTIFICACIÓN TRABAJADOR'!G3</f>
        <v>Nº DE EXPEDIENTE: 2023.11.ACEE.0000</v>
      </c>
      <c r="E3" s="193"/>
      <c r="F3" s="257"/>
      <c r="T3" s="36" t="s">
        <v>256</v>
      </c>
    </row>
    <row r="4" spans="2:31" ht="20.100000000000001" customHeight="1" x14ac:dyDescent="0.25">
      <c r="E4" s="51"/>
      <c r="F4" s="202"/>
      <c r="T4" s="202">
        <f>COUNTIFS('% DEDICACIÓN TRABAJADOR'!$B$37:$B$96,1,'% DEDICACIÓN TRABAJADOR'!$E$37:$E$96,"&gt;0")</f>
        <v>0</v>
      </c>
    </row>
    <row r="5" spans="2:31" ht="20.100000000000001" customHeight="1" x14ac:dyDescent="0.25">
      <c r="D5" s="258" t="str">
        <f>'LINEAS CON DEDICACIÓN'!C6</f>
        <v xml:space="preserve">TRABAJADOR:   </v>
      </c>
      <c r="E5" s="259"/>
      <c r="F5" s="202"/>
      <c r="T5" s="36" t="s">
        <v>255</v>
      </c>
    </row>
    <row r="6" spans="2:31" ht="20.100000000000001" customHeight="1" x14ac:dyDescent="0.25">
      <c r="D6" s="258" t="str">
        <f>'LINEAS CON DEDICACIÓN'!C7</f>
        <v xml:space="preserve">ACRÓNIMO: </v>
      </c>
      <c r="E6" s="259"/>
      <c r="F6" s="202"/>
      <c r="T6" s="36" t="str">
        <f>IF(COUNTIF(U25:U39,"&gt;1")&gt;0,"SI","NO")</f>
        <v>NO</v>
      </c>
    </row>
    <row r="7" spans="2:31" ht="20.100000000000001" customHeight="1" thickBot="1" x14ac:dyDescent="0.3">
      <c r="D7" s="258"/>
      <c r="E7" s="259"/>
      <c r="F7" s="202"/>
    </row>
    <row r="8" spans="2:31" s="55" customFormat="1" ht="25.5" x14ac:dyDescent="0.25">
      <c r="B8" s="437">
        <f>EXPEDIENTE!C16</f>
        <v>2023</v>
      </c>
      <c r="C8" s="439" t="s">
        <v>234</v>
      </c>
      <c r="D8" s="434" t="s">
        <v>139</v>
      </c>
      <c r="E8" s="319"/>
      <c r="F8" s="435"/>
      <c r="G8" s="434" t="s">
        <v>142</v>
      </c>
      <c r="H8" s="319"/>
      <c r="I8" s="435"/>
      <c r="J8" s="158" t="s">
        <v>140</v>
      </c>
      <c r="K8" s="434" t="s">
        <v>72</v>
      </c>
      <c r="L8" s="319"/>
      <c r="M8" s="435"/>
      <c r="N8" s="439" t="s">
        <v>311</v>
      </c>
      <c r="O8" s="439" t="s">
        <v>312</v>
      </c>
      <c r="P8" s="432" t="s">
        <v>98</v>
      </c>
    </row>
    <row r="9" spans="2:31" s="39" customFormat="1" ht="64.5" thickBot="1" x14ac:dyDescent="0.3">
      <c r="B9" s="438"/>
      <c r="C9" s="440"/>
      <c r="D9" s="160" t="s">
        <v>138</v>
      </c>
      <c r="E9" s="151" t="s">
        <v>75</v>
      </c>
      <c r="F9" s="161" t="s">
        <v>99</v>
      </c>
      <c r="G9" s="160" t="s">
        <v>90</v>
      </c>
      <c r="H9" s="151" t="s">
        <v>143</v>
      </c>
      <c r="I9" s="168" t="s">
        <v>91</v>
      </c>
      <c r="J9" s="159" t="s">
        <v>141</v>
      </c>
      <c r="K9" s="160" t="s">
        <v>94</v>
      </c>
      <c r="L9" s="151" t="s">
        <v>86</v>
      </c>
      <c r="M9" s="168" t="s">
        <v>95</v>
      </c>
      <c r="N9" s="440"/>
      <c r="O9" s="440"/>
      <c r="P9" s="433"/>
      <c r="Z9" s="43"/>
      <c r="AA9" s="43"/>
      <c r="AB9" s="43"/>
      <c r="AC9" s="43"/>
    </row>
    <row r="10" spans="2:31" ht="15" customHeight="1" x14ac:dyDescent="0.25">
      <c r="B10" s="152" t="s">
        <v>52</v>
      </c>
      <c r="C10" s="155">
        <f>ROUND('% DEDICACIÓN TRABAJADOR'!K32,4)</f>
        <v>0</v>
      </c>
      <c r="D10" s="162">
        <f>'GASTOS TRABAJADOR'!F20+'GASTOS TRABAJADOR'!L20</f>
        <v>0</v>
      </c>
      <c r="E10" s="48" t="str">
        <f>IF('GASTOS TRABAJADOR'!AA20="","",'GASTOS TRABAJADOR'!AA20)</f>
        <v/>
      </c>
      <c r="F10" s="163">
        <f>IF(E10&lt;=EXPEDIENTE!$H$29,D10,0)</f>
        <v>0</v>
      </c>
      <c r="G10" s="162">
        <f>'GASTOS TRABAJADOR'!Y20</f>
        <v>0</v>
      </c>
      <c r="H10" s="48" t="str">
        <f>IF('GASTOS TRABAJADOR'!AB20="","",'GASTOS TRABAJADOR'!AB20)</f>
        <v/>
      </c>
      <c r="I10" s="163">
        <f>IF(H10&lt;=EXPEDIENTE!$H$29,G10,0)</f>
        <v>0</v>
      </c>
      <c r="J10" s="169">
        <f>'GASTOS TRABAJADOR'!T62</f>
        <v>0</v>
      </c>
      <c r="K10" s="162">
        <f>'GASTOS TRABAJADOR'!E45-'GASTOS TRABAJADOR'!F45</f>
        <v>0</v>
      </c>
      <c r="L10" s="48" t="str">
        <f>IF('GASTOS TRABAJADOR'!G45="","",'GASTOS TRABAJADOR'!G45)</f>
        <v/>
      </c>
      <c r="M10" s="163">
        <f>IF(L10&lt;=EXPEDIENTE!$H$29,K10,0)</f>
        <v>0</v>
      </c>
      <c r="N10" s="169">
        <f t="shared" ref="N10:N21" si="0">F10+J10+M10+I10</f>
        <v>0</v>
      </c>
      <c r="O10" s="169">
        <f>ROUND(N10*32.72/30,2)</f>
        <v>0</v>
      </c>
      <c r="P10" s="172">
        <f>IF(AND($T$4=0,$T$6="NO"),ROUND(C10*O10,2),0)</f>
        <v>0</v>
      </c>
      <c r="U10" s="39"/>
      <c r="V10" s="39"/>
      <c r="Z10" s="37"/>
      <c r="AA10" s="37"/>
      <c r="AB10" s="43"/>
      <c r="AC10" s="43"/>
      <c r="AD10" s="39"/>
      <c r="AE10" s="39"/>
    </row>
    <row r="11" spans="2:31" ht="15" customHeight="1" x14ac:dyDescent="0.25">
      <c r="B11" s="153" t="s">
        <v>53</v>
      </c>
      <c r="C11" s="156">
        <f>ROUND('% DEDICACIÓN TRABAJADOR'!L32,4)</f>
        <v>0</v>
      </c>
      <c r="D11" s="164">
        <f>'GASTOS TRABAJADOR'!F21+'GASTOS TRABAJADOR'!L21</f>
        <v>0</v>
      </c>
      <c r="E11" s="49" t="str">
        <f>IF('GASTOS TRABAJADOR'!AA21="","",'GASTOS TRABAJADOR'!AA21)</f>
        <v/>
      </c>
      <c r="F11" s="165">
        <f>IF(E11&lt;=EXPEDIENTE!$H$29,D11,0)</f>
        <v>0</v>
      </c>
      <c r="G11" s="164">
        <f>'GASTOS TRABAJADOR'!Y21</f>
        <v>0</v>
      </c>
      <c r="H11" s="49" t="str">
        <f>IF('GASTOS TRABAJADOR'!AB21="","",'GASTOS TRABAJADOR'!AB21)</f>
        <v/>
      </c>
      <c r="I11" s="165">
        <f>IF(H11&lt;=EXPEDIENTE!$H$29,G11,0)</f>
        <v>0</v>
      </c>
      <c r="J11" s="170">
        <f>'GASTOS TRABAJADOR'!T63</f>
        <v>0</v>
      </c>
      <c r="K11" s="164">
        <f>'GASTOS TRABAJADOR'!E46-'GASTOS TRABAJADOR'!F46</f>
        <v>0</v>
      </c>
      <c r="L11" s="49" t="str">
        <f>IF('GASTOS TRABAJADOR'!G46="","",'GASTOS TRABAJADOR'!G46)</f>
        <v/>
      </c>
      <c r="M11" s="165">
        <f>IF(L11&lt;=EXPEDIENTE!$H$29,K11,0)</f>
        <v>0</v>
      </c>
      <c r="N11" s="170">
        <f t="shared" si="0"/>
        <v>0</v>
      </c>
      <c r="O11" s="170">
        <f t="shared" ref="O11:O21" si="1">ROUND(N11*32.72/30,2)</f>
        <v>0</v>
      </c>
      <c r="P11" s="173">
        <f t="shared" ref="P11:P21" si="2">IF(AND($T$4=0,$T$6="NO"),ROUND(C11*O11,2),0)</f>
        <v>0</v>
      </c>
      <c r="U11" s="39"/>
      <c r="V11" s="39"/>
      <c r="Z11" s="37"/>
      <c r="AA11" s="37"/>
      <c r="AB11" s="43"/>
      <c r="AC11" s="43"/>
      <c r="AD11" s="39"/>
      <c r="AE11" s="39"/>
    </row>
    <row r="12" spans="2:31" ht="15" customHeight="1" x14ac:dyDescent="0.25">
      <c r="B12" s="153" t="s">
        <v>54</v>
      </c>
      <c r="C12" s="156">
        <f>ROUND('% DEDICACIÓN TRABAJADOR'!M32,4)</f>
        <v>0</v>
      </c>
      <c r="D12" s="164">
        <f>'GASTOS TRABAJADOR'!F22+'GASTOS TRABAJADOR'!L22</f>
        <v>0</v>
      </c>
      <c r="E12" s="49" t="str">
        <f>IF('GASTOS TRABAJADOR'!AA22="","",'GASTOS TRABAJADOR'!AA22)</f>
        <v/>
      </c>
      <c r="F12" s="165">
        <f>IF(E12&lt;=EXPEDIENTE!$H$29,D12,0)</f>
        <v>0</v>
      </c>
      <c r="G12" s="164">
        <f>'GASTOS TRABAJADOR'!Y22</f>
        <v>0</v>
      </c>
      <c r="H12" s="49" t="str">
        <f>IF('GASTOS TRABAJADOR'!AB22="","",'GASTOS TRABAJADOR'!AB22)</f>
        <v/>
      </c>
      <c r="I12" s="165">
        <f>IF(H12&lt;=EXPEDIENTE!$H$29,G12,0)</f>
        <v>0</v>
      </c>
      <c r="J12" s="170">
        <f>'GASTOS TRABAJADOR'!T64</f>
        <v>0</v>
      </c>
      <c r="K12" s="164">
        <f>'GASTOS TRABAJADOR'!E47-'GASTOS TRABAJADOR'!F47</f>
        <v>0</v>
      </c>
      <c r="L12" s="49" t="str">
        <f>IF('GASTOS TRABAJADOR'!G47="","",'GASTOS TRABAJADOR'!G47)</f>
        <v/>
      </c>
      <c r="M12" s="165">
        <f>IF(L12&lt;=EXPEDIENTE!$H$29,K12,0)</f>
        <v>0</v>
      </c>
      <c r="N12" s="170">
        <f t="shared" si="0"/>
        <v>0</v>
      </c>
      <c r="O12" s="170">
        <f t="shared" si="1"/>
        <v>0</v>
      </c>
      <c r="P12" s="173">
        <f t="shared" si="2"/>
        <v>0</v>
      </c>
      <c r="U12" s="39"/>
      <c r="V12" s="39"/>
      <c r="Z12" s="37"/>
      <c r="AA12" s="37"/>
      <c r="AB12" s="43"/>
      <c r="AC12" s="43"/>
      <c r="AD12" s="39"/>
      <c r="AE12" s="39"/>
    </row>
    <row r="13" spans="2:31" ht="15" customHeight="1" x14ac:dyDescent="0.25">
      <c r="B13" s="153" t="s">
        <v>55</v>
      </c>
      <c r="C13" s="156">
        <f>ROUND('% DEDICACIÓN TRABAJADOR'!N32,4)</f>
        <v>0</v>
      </c>
      <c r="D13" s="164">
        <f>'GASTOS TRABAJADOR'!F23+'GASTOS TRABAJADOR'!L23</f>
        <v>0</v>
      </c>
      <c r="E13" s="49" t="str">
        <f>IF('GASTOS TRABAJADOR'!AA23="","",'GASTOS TRABAJADOR'!AA23)</f>
        <v/>
      </c>
      <c r="F13" s="165">
        <f>IF(E13&lt;=EXPEDIENTE!$H$29,D13,0)</f>
        <v>0</v>
      </c>
      <c r="G13" s="164">
        <f>'GASTOS TRABAJADOR'!Y23</f>
        <v>0</v>
      </c>
      <c r="H13" s="49" t="str">
        <f>IF('GASTOS TRABAJADOR'!AB23="","",'GASTOS TRABAJADOR'!AB23)</f>
        <v/>
      </c>
      <c r="I13" s="165">
        <f>IF(H13&lt;=EXPEDIENTE!$H$29,G13,0)</f>
        <v>0</v>
      </c>
      <c r="J13" s="170">
        <f>'GASTOS TRABAJADOR'!T65</f>
        <v>0</v>
      </c>
      <c r="K13" s="164">
        <f>'GASTOS TRABAJADOR'!E48-'GASTOS TRABAJADOR'!F48</f>
        <v>0</v>
      </c>
      <c r="L13" s="49" t="str">
        <f>IF('GASTOS TRABAJADOR'!G48="","",'GASTOS TRABAJADOR'!G48)</f>
        <v/>
      </c>
      <c r="M13" s="165">
        <f>IF(L13&lt;=EXPEDIENTE!$H$29,K13,0)</f>
        <v>0</v>
      </c>
      <c r="N13" s="170">
        <f t="shared" si="0"/>
        <v>0</v>
      </c>
      <c r="O13" s="170">
        <f t="shared" si="1"/>
        <v>0</v>
      </c>
      <c r="P13" s="173">
        <f t="shared" si="2"/>
        <v>0</v>
      </c>
      <c r="U13" s="39"/>
      <c r="V13" s="39"/>
      <c r="Z13" s="37"/>
      <c r="AA13" s="37"/>
      <c r="AB13" s="43"/>
      <c r="AC13" s="43"/>
      <c r="AD13" s="39"/>
      <c r="AE13" s="39"/>
    </row>
    <row r="14" spans="2:31" ht="15" customHeight="1" x14ac:dyDescent="0.25">
      <c r="B14" s="153" t="s">
        <v>56</v>
      </c>
      <c r="C14" s="156">
        <f>ROUND('% DEDICACIÓN TRABAJADOR'!O32,4)</f>
        <v>0</v>
      </c>
      <c r="D14" s="164">
        <f>'GASTOS TRABAJADOR'!F24+'GASTOS TRABAJADOR'!L24</f>
        <v>0</v>
      </c>
      <c r="E14" s="49" t="str">
        <f>IF('GASTOS TRABAJADOR'!AA24="","",'GASTOS TRABAJADOR'!AA24)</f>
        <v/>
      </c>
      <c r="F14" s="165">
        <f>IF(E14&lt;=EXPEDIENTE!$H$29,D14,0)</f>
        <v>0</v>
      </c>
      <c r="G14" s="164">
        <f>'GASTOS TRABAJADOR'!Y24</f>
        <v>0</v>
      </c>
      <c r="H14" s="49" t="str">
        <f>IF('GASTOS TRABAJADOR'!AB24="","",'GASTOS TRABAJADOR'!AB24)</f>
        <v/>
      </c>
      <c r="I14" s="165">
        <f>IF(H14&lt;=EXPEDIENTE!$H$29,G14,0)</f>
        <v>0</v>
      </c>
      <c r="J14" s="170">
        <f>'GASTOS TRABAJADOR'!T66</f>
        <v>0</v>
      </c>
      <c r="K14" s="164">
        <f>'GASTOS TRABAJADOR'!E49-'GASTOS TRABAJADOR'!F49</f>
        <v>0</v>
      </c>
      <c r="L14" s="49" t="str">
        <f>IF('GASTOS TRABAJADOR'!G49="","",'GASTOS TRABAJADOR'!G49)</f>
        <v/>
      </c>
      <c r="M14" s="165">
        <f>IF(L14&lt;=EXPEDIENTE!$H$29,K14,0)</f>
        <v>0</v>
      </c>
      <c r="N14" s="170">
        <f t="shared" si="0"/>
        <v>0</v>
      </c>
      <c r="O14" s="170">
        <f t="shared" si="1"/>
        <v>0</v>
      </c>
      <c r="P14" s="173">
        <f t="shared" si="2"/>
        <v>0</v>
      </c>
      <c r="U14" s="39"/>
      <c r="V14" s="39"/>
      <c r="Z14" s="37"/>
      <c r="AA14" s="37"/>
      <c r="AB14" s="43"/>
      <c r="AC14" s="43"/>
      <c r="AD14" s="39"/>
      <c r="AE14" s="39"/>
    </row>
    <row r="15" spans="2:31" ht="15" customHeight="1" x14ac:dyDescent="0.25">
      <c r="B15" s="153" t="s">
        <v>57</v>
      </c>
      <c r="C15" s="156">
        <f>ROUND('% DEDICACIÓN TRABAJADOR'!P32,4)</f>
        <v>0</v>
      </c>
      <c r="D15" s="164">
        <f>'GASTOS TRABAJADOR'!F25+'GASTOS TRABAJADOR'!L25</f>
        <v>0</v>
      </c>
      <c r="E15" s="49" t="str">
        <f>IF('GASTOS TRABAJADOR'!AA25="","",'GASTOS TRABAJADOR'!AA25)</f>
        <v/>
      </c>
      <c r="F15" s="165">
        <f>IF(E15&lt;=EXPEDIENTE!$H$29,D15,0)</f>
        <v>0</v>
      </c>
      <c r="G15" s="164">
        <f>'GASTOS TRABAJADOR'!Y25</f>
        <v>0</v>
      </c>
      <c r="H15" s="49" t="str">
        <f>IF('GASTOS TRABAJADOR'!AB25="","",'GASTOS TRABAJADOR'!AB25)</f>
        <v/>
      </c>
      <c r="I15" s="165">
        <f>IF(H15&lt;=EXPEDIENTE!$H$29,G15,0)</f>
        <v>0</v>
      </c>
      <c r="J15" s="170">
        <f>'GASTOS TRABAJADOR'!S67</f>
        <v>0</v>
      </c>
      <c r="K15" s="164">
        <f>'GASTOS TRABAJADOR'!E50-'GASTOS TRABAJADOR'!F50</f>
        <v>0</v>
      </c>
      <c r="L15" s="49" t="str">
        <f>IF('GASTOS TRABAJADOR'!G50="","",'GASTOS TRABAJADOR'!G50)</f>
        <v/>
      </c>
      <c r="M15" s="165">
        <f>IF(L15&lt;=EXPEDIENTE!$H$29,K15,0)</f>
        <v>0</v>
      </c>
      <c r="N15" s="170">
        <f t="shared" si="0"/>
        <v>0</v>
      </c>
      <c r="O15" s="170">
        <f t="shared" si="1"/>
        <v>0</v>
      </c>
      <c r="P15" s="173">
        <f t="shared" si="2"/>
        <v>0</v>
      </c>
      <c r="U15" s="39"/>
      <c r="V15" s="39"/>
      <c r="Z15" s="37"/>
      <c r="AA15" s="37"/>
      <c r="AC15" s="37"/>
    </row>
    <row r="16" spans="2:31" ht="15" customHeight="1" x14ac:dyDescent="0.25">
      <c r="B16" s="153" t="s">
        <v>58</v>
      </c>
      <c r="C16" s="156">
        <f>ROUND('% DEDICACIÓN TRABAJADOR'!Q32,4)</f>
        <v>0</v>
      </c>
      <c r="D16" s="164">
        <f>'GASTOS TRABAJADOR'!F26+'GASTOS TRABAJADOR'!L26</f>
        <v>0</v>
      </c>
      <c r="E16" s="49" t="str">
        <f>IF('GASTOS TRABAJADOR'!AA26="","",'GASTOS TRABAJADOR'!AA26)</f>
        <v/>
      </c>
      <c r="F16" s="165">
        <f>IF(E16&lt;=EXPEDIENTE!$H$29,D16,0)</f>
        <v>0</v>
      </c>
      <c r="G16" s="164">
        <f>'GASTOS TRABAJADOR'!Y26</f>
        <v>0</v>
      </c>
      <c r="H16" s="49" t="str">
        <f>IF('GASTOS TRABAJADOR'!AB26="","",'GASTOS TRABAJADOR'!AB26)</f>
        <v/>
      </c>
      <c r="I16" s="165">
        <f>IF(H16&lt;=EXPEDIENTE!$H$29,G16,0)</f>
        <v>0</v>
      </c>
      <c r="J16" s="170">
        <f>'GASTOS TRABAJADOR'!S68</f>
        <v>0</v>
      </c>
      <c r="K16" s="164">
        <f>'GASTOS TRABAJADOR'!E51-'GASTOS TRABAJADOR'!F51</f>
        <v>0</v>
      </c>
      <c r="L16" s="49" t="str">
        <f>IF('GASTOS TRABAJADOR'!G51="","",'GASTOS TRABAJADOR'!G51)</f>
        <v/>
      </c>
      <c r="M16" s="165">
        <f>IF(L16&lt;=EXPEDIENTE!$H$29,K16,0)</f>
        <v>0</v>
      </c>
      <c r="N16" s="170">
        <f t="shared" si="0"/>
        <v>0</v>
      </c>
      <c r="O16" s="170">
        <f t="shared" si="1"/>
        <v>0</v>
      </c>
      <c r="P16" s="173">
        <f t="shared" si="2"/>
        <v>0</v>
      </c>
      <c r="U16" s="39"/>
      <c r="V16" s="39"/>
      <c r="Z16" s="37"/>
      <c r="AA16" s="37"/>
      <c r="AC16" s="37"/>
    </row>
    <row r="17" spans="2:33" ht="15" customHeight="1" x14ac:dyDescent="0.25">
      <c r="B17" s="153" t="s">
        <v>59</v>
      </c>
      <c r="C17" s="156">
        <f>ROUND('% DEDICACIÓN TRABAJADOR'!R32,4)</f>
        <v>0</v>
      </c>
      <c r="D17" s="164">
        <f>'GASTOS TRABAJADOR'!F27+'GASTOS TRABAJADOR'!L27</f>
        <v>0</v>
      </c>
      <c r="E17" s="49" t="str">
        <f>IF('GASTOS TRABAJADOR'!AA27="","",'GASTOS TRABAJADOR'!AA27)</f>
        <v/>
      </c>
      <c r="F17" s="165">
        <f>IF(E17&lt;=EXPEDIENTE!$H$29,D17,0)</f>
        <v>0</v>
      </c>
      <c r="G17" s="164">
        <f>'GASTOS TRABAJADOR'!Y27</f>
        <v>0</v>
      </c>
      <c r="H17" s="49" t="str">
        <f>IF('GASTOS TRABAJADOR'!AB27="","",'GASTOS TRABAJADOR'!AB27)</f>
        <v/>
      </c>
      <c r="I17" s="165">
        <f>IF(H17&lt;=EXPEDIENTE!$H$29,G17,0)</f>
        <v>0</v>
      </c>
      <c r="J17" s="170">
        <f>'GASTOS TRABAJADOR'!S69</f>
        <v>0</v>
      </c>
      <c r="K17" s="164">
        <f>'GASTOS TRABAJADOR'!E52-'GASTOS TRABAJADOR'!F52</f>
        <v>0</v>
      </c>
      <c r="L17" s="49" t="str">
        <f>IF('GASTOS TRABAJADOR'!G52="","",'GASTOS TRABAJADOR'!G52)</f>
        <v/>
      </c>
      <c r="M17" s="165">
        <f>IF(L17&lt;=EXPEDIENTE!$H$29,K17,0)</f>
        <v>0</v>
      </c>
      <c r="N17" s="170">
        <f t="shared" si="0"/>
        <v>0</v>
      </c>
      <c r="O17" s="170">
        <f t="shared" si="1"/>
        <v>0</v>
      </c>
      <c r="P17" s="173">
        <f t="shared" si="2"/>
        <v>0</v>
      </c>
      <c r="U17" s="39"/>
      <c r="V17" s="39"/>
      <c r="Z17" s="37"/>
      <c r="AA17" s="37"/>
      <c r="AC17" s="37"/>
    </row>
    <row r="18" spans="2:33" ht="15" customHeight="1" x14ac:dyDescent="0.25">
      <c r="B18" s="153" t="s">
        <v>60</v>
      </c>
      <c r="C18" s="156">
        <f>ROUND('% DEDICACIÓN TRABAJADOR'!S32,4)</f>
        <v>0</v>
      </c>
      <c r="D18" s="164">
        <f>'GASTOS TRABAJADOR'!F28+'GASTOS TRABAJADOR'!L28</f>
        <v>0</v>
      </c>
      <c r="E18" s="49" t="str">
        <f>IF('GASTOS TRABAJADOR'!AA28="","",'GASTOS TRABAJADOR'!AA28)</f>
        <v/>
      </c>
      <c r="F18" s="165">
        <f>IF(E18&lt;=EXPEDIENTE!$H$29,D18,0)</f>
        <v>0</v>
      </c>
      <c r="G18" s="164">
        <f>'GASTOS TRABAJADOR'!Y28</f>
        <v>0</v>
      </c>
      <c r="H18" s="49" t="str">
        <f>IF('GASTOS TRABAJADOR'!AB28="","",'GASTOS TRABAJADOR'!AB28)</f>
        <v/>
      </c>
      <c r="I18" s="165">
        <f>IF(H18&lt;=EXPEDIENTE!$H$29,G18,0)</f>
        <v>0</v>
      </c>
      <c r="J18" s="170">
        <f>'GASTOS TRABAJADOR'!S70</f>
        <v>0</v>
      </c>
      <c r="K18" s="164">
        <f>'GASTOS TRABAJADOR'!E53-'GASTOS TRABAJADOR'!F53</f>
        <v>0</v>
      </c>
      <c r="L18" s="49" t="str">
        <f>IF('GASTOS TRABAJADOR'!G53="","",'GASTOS TRABAJADOR'!G53)</f>
        <v/>
      </c>
      <c r="M18" s="165">
        <f>IF(L18&lt;=EXPEDIENTE!$H$29,K18,0)</f>
        <v>0</v>
      </c>
      <c r="N18" s="170">
        <f t="shared" si="0"/>
        <v>0</v>
      </c>
      <c r="O18" s="170">
        <f t="shared" si="1"/>
        <v>0</v>
      </c>
      <c r="P18" s="173">
        <f t="shared" si="2"/>
        <v>0</v>
      </c>
      <c r="U18" s="39"/>
      <c r="V18" s="39"/>
      <c r="Z18" s="37"/>
      <c r="AA18" s="37"/>
      <c r="AC18" s="37"/>
    </row>
    <row r="19" spans="2:33" ht="15" customHeight="1" x14ac:dyDescent="0.25">
      <c r="B19" s="153" t="s">
        <v>61</v>
      </c>
      <c r="C19" s="156">
        <f>ROUND('% DEDICACIÓN TRABAJADOR'!T32,4)</f>
        <v>0</v>
      </c>
      <c r="D19" s="164">
        <f>'GASTOS TRABAJADOR'!F29+'GASTOS TRABAJADOR'!L29</f>
        <v>0</v>
      </c>
      <c r="E19" s="49" t="str">
        <f>IF('GASTOS TRABAJADOR'!AA29="","",'GASTOS TRABAJADOR'!AA29)</f>
        <v/>
      </c>
      <c r="F19" s="165">
        <f>IF(E19&lt;=EXPEDIENTE!$H$29,D19,0)</f>
        <v>0</v>
      </c>
      <c r="G19" s="164">
        <f>'GASTOS TRABAJADOR'!Y29</f>
        <v>0</v>
      </c>
      <c r="H19" s="49" t="str">
        <f>IF('GASTOS TRABAJADOR'!AB29="","",'GASTOS TRABAJADOR'!AB29)</f>
        <v/>
      </c>
      <c r="I19" s="165">
        <f>IF(H19&lt;=EXPEDIENTE!$H$29,G19,0)</f>
        <v>0</v>
      </c>
      <c r="J19" s="170">
        <f>'GASTOS TRABAJADOR'!S71</f>
        <v>0</v>
      </c>
      <c r="K19" s="164">
        <f>'GASTOS TRABAJADOR'!E54-'GASTOS TRABAJADOR'!F54</f>
        <v>0</v>
      </c>
      <c r="L19" s="49" t="str">
        <f>IF('GASTOS TRABAJADOR'!G54="","",'GASTOS TRABAJADOR'!G54)</f>
        <v/>
      </c>
      <c r="M19" s="165">
        <f>IF(L19&lt;=EXPEDIENTE!$H$29,K19,0)</f>
        <v>0</v>
      </c>
      <c r="N19" s="170">
        <f t="shared" si="0"/>
        <v>0</v>
      </c>
      <c r="O19" s="170">
        <f t="shared" si="1"/>
        <v>0</v>
      </c>
      <c r="P19" s="173">
        <f t="shared" si="2"/>
        <v>0</v>
      </c>
      <c r="U19" s="39"/>
      <c r="V19" s="39"/>
      <c r="Z19" s="37"/>
      <c r="AA19" s="37"/>
      <c r="AC19" s="37"/>
    </row>
    <row r="20" spans="2:33" ht="15" customHeight="1" x14ac:dyDescent="0.25">
      <c r="B20" s="153" t="s">
        <v>62</v>
      </c>
      <c r="C20" s="156">
        <f>ROUND('% DEDICACIÓN TRABAJADOR'!U32,4)</f>
        <v>0</v>
      </c>
      <c r="D20" s="164">
        <f>'GASTOS TRABAJADOR'!F30+'GASTOS TRABAJADOR'!L30</f>
        <v>0</v>
      </c>
      <c r="E20" s="49" t="str">
        <f>IF('GASTOS TRABAJADOR'!AA30="","",'GASTOS TRABAJADOR'!AA30)</f>
        <v/>
      </c>
      <c r="F20" s="165">
        <f>IF(E20&lt;=EXPEDIENTE!$H$29,D20,0)</f>
        <v>0</v>
      </c>
      <c r="G20" s="164">
        <f>'GASTOS TRABAJADOR'!Y30</f>
        <v>0</v>
      </c>
      <c r="H20" s="49" t="str">
        <f>IF('GASTOS TRABAJADOR'!AB30="","",'GASTOS TRABAJADOR'!AB30)</f>
        <v/>
      </c>
      <c r="I20" s="165">
        <f>IF(H20&lt;=EXPEDIENTE!$H$29,G20,0)</f>
        <v>0</v>
      </c>
      <c r="J20" s="170">
        <f>'GASTOS TRABAJADOR'!S72</f>
        <v>0</v>
      </c>
      <c r="K20" s="164">
        <f>'GASTOS TRABAJADOR'!E55-'GASTOS TRABAJADOR'!F55</f>
        <v>0</v>
      </c>
      <c r="L20" s="49" t="str">
        <f>IF('GASTOS TRABAJADOR'!G55="","",'GASTOS TRABAJADOR'!G55)</f>
        <v/>
      </c>
      <c r="M20" s="165">
        <f>IF(L20&lt;=EXPEDIENTE!$H$29,K20,0)</f>
        <v>0</v>
      </c>
      <c r="N20" s="170">
        <f t="shared" si="0"/>
        <v>0</v>
      </c>
      <c r="O20" s="170">
        <f t="shared" si="1"/>
        <v>0</v>
      </c>
      <c r="P20" s="173">
        <f t="shared" si="2"/>
        <v>0</v>
      </c>
      <c r="U20" s="39"/>
      <c r="V20" s="39"/>
      <c r="Z20" s="37"/>
      <c r="AA20" s="37"/>
      <c r="AC20" s="37"/>
    </row>
    <row r="21" spans="2:33" ht="15" customHeight="1" thickBot="1" x14ac:dyDescent="0.3">
      <c r="B21" s="154" t="s">
        <v>63</v>
      </c>
      <c r="C21" s="157">
        <f>ROUND('% DEDICACIÓN TRABAJADOR'!V32,4)</f>
        <v>0</v>
      </c>
      <c r="D21" s="166">
        <f>'GASTOS TRABAJADOR'!F31+'GASTOS TRABAJADOR'!L31</f>
        <v>0</v>
      </c>
      <c r="E21" s="50" t="str">
        <f>IF('GASTOS TRABAJADOR'!AA31="","",'GASTOS TRABAJADOR'!AA31)</f>
        <v/>
      </c>
      <c r="F21" s="167">
        <f>IF(E21&lt;=EXPEDIENTE!$H$29,D21,0)</f>
        <v>0</v>
      </c>
      <c r="G21" s="166">
        <f>'GASTOS TRABAJADOR'!Y31</f>
        <v>0</v>
      </c>
      <c r="H21" s="50" t="str">
        <f>IF('GASTOS TRABAJADOR'!AB31="","",'GASTOS TRABAJADOR'!AB31)</f>
        <v/>
      </c>
      <c r="I21" s="167">
        <f>IF(H21&lt;=EXPEDIENTE!$H$29,G21,0)</f>
        <v>0</v>
      </c>
      <c r="J21" s="171">
        <f>'GASTOS TRABAJADOR'!S73</f>
        <v>0</v>
      </c>
      <c r="K21" s="166">
        <f>'GASTOS TRABAJADOR'!E56-'GASTOS TRABAJADOR'!F56</f>
        <v>0</v>
      </c>
      <c r="L21" s="50" t="str">
        <f>IF('GASTOS TRABAJADOR'!G56="","",'GASTOS TRABAJADOR'!G56)</f>
        <v/>
      </c>
      <c r="M21" s="167">
        <f>IF(L21&lt;=EXPEDIENTE!$H$29,K21,0)</f>
        <v>0</v>
      </c>
      <c r="N21" s="171">
        <f t="shared" si="0"/>
        <v>0</v>
      </c>
      <c r="O21" s="171">
        <f t="shared" si="1"/>
        <v>0</v>
      </c>
      <c r="P21" s="174">
        <f t="shared" si="2"/>
        <v>0</v>
      </c>
      <c r="U21" s="39"/>
      <c r="V21" s="39"/>
      <c r="Z21" s="37"/>
      <c r="AA21" s="37"/>
      <c r="AC21" s="37"/>
    </row>
    <row r="22" spans="2:33" ht="14.25" thickBot="1" x14ac:dyDescent="0.3">
      <c r="M22" s="179"/>
      <c r="N22" s="179"/>
      <c r="O22" s="179"/>
      <c r="P22" s="179"/>
      <c r="Z22" s="37"/>
      <c r="AA22" s="37"/>
      <c r="AC22" s="37"/>
    </row>
    <row r="23" spans="2:33" ht="20.100000000000001" customHeight="1" thickBot="1" x14ac:dyDescent="0.3">
      <c r="G23" s="38"/>
      <c r="N23" s="261"/>
      <c r="O23" s="194" t="s">
        <v>235</v>
      </c>
      <c r="P23" s="175">
        <f>SUM(P10:P21)</f>
        <v>0</v>
      </c>
      <c r="R23" s="36" t="str">
        <f>IF(T4&gt;0,"EXISTE ALGÚN % DE DEDICACIÓN SUPERIOR AL 100% EN ESTA ACTUACIÓN",IF(T6="SI","EXISTEN LÍNEAS REPETIDAS EN ESTA ACTUACIÓN",""))</f>
        <v/>
      </c>
      <c r="T23" s="54" t="s">
        <v>227</v>
      </c>
      <c r="U23" s="54" t="s">
        <v>254</v>
      </c>
      <c r="V23" s="36">
        <v>8</v>
      </c>
      <c r="W23" s="36">
        <v>9</v>
      </c>
      <c r="X23" s="36">
        <v>10</v>
      </c>
      <c r="Y23" s="36">
        <v>11</v>
      </c>
      <c r="Z23" s="36">
        <v>12</v>
      </c>
      <c r="AA23" s="36">
        <v>13</v>
      </c>
      <c r="AB23" s="36">
        <v>14</v>
      </c>
      <c r="AC23" s="36">
        <v>15</v>
      </c>
      <c r="AD23" s="36">
        <v>16</v>
      </c>
      <c r="AE23" s="36">
        <v>17</v>
      </c>
      <c r="AF23" s="36">
        <v>18</v>
      </c>
      <c r="AG23" s="36">
        <v>19</v>
      </c>
    </row>
    <row r="24" spans="2:33" s="246" customFormat="1" ht="15" customHeight="1" x14ac:dyDescent="0.25">
      <c r="M24" s="253"/>
      <c r="N24" s="253"/>
      <c r="O24" s="253"/>
      <c r="P24" s="253"/>
      <c r="Z24" s="247"/>
      <c r="AA24" s="247"/>
    </row>
    <row r="25" spans="2:33" s="246" customFormat="1" ht="15" customHeight="1" x14ac:dyDescent="0.25">
      <c r="M25" s="436" t="str">
        <f>IF(AUXILIAR!N26="x","",CONCATENATE("SUBTOTAL ",AUXILIAR!N26))</f>
        <v/>
      </c>
      <c r="N25" s="436"/>
      <c r="O25" s="436"/>
      <c r="P25" s="248" t="str">
        <f>IF(M25="","",IF($T$4&gt;0,0,IF($T$6="SI",0,IFERROR(ROUND(V25*$O$10+W25*$O$11+X25*$O$12+Y25*$O$13+Z25*$O$14+AA25*$O$15+AB25*$O$16+AC25*$O$17+AD25*$O$18+AE25*$O$19+AF25*$O$20+AG25*$O$21,2),""))))</f>
        <v/>
      </c>
      <c r="R25" s="246" t="str">
        <f>IF(M25="","",IF(AND(M25&lt;&gt;"",OR($T$4&gt;0,$T$6="SI")),"",IF(AND(M25&lt;&gt;"",P25=""),"SE DIO DE ALTA LA LÍNEA PERO NO SE LE ASIGNÓ % DE DEDICACIÓN",IF(U25&gt;1,"LA LÍNEA SE HA DADO DE ALTA MÁS DE UNA VEZ",IF(SUM(V25:AG25)=0,CONCATENATE("LA SUMA DE LOS % DE DEDICACIÓN DE LA LÍNEA SON DEL 0%"),"")))))</f>
        <v/>
      </c>
      <c r="T25" s="246" t="str">
        <f t="shared" ref="T25:T26" si="3">IF(M25="","",IF(MID(M25,19,1)=":",VALUE(CONCATENATE(MID(M25,16,1),MID(M25,18,1))),VALUE(CONCATENATE(MID(M25,16,1),MID(M25,18,2)))))</f>
        <v/>
      </c>
      <c r="U25" s="246">
        <f>COUNTIF('% DEDICACIÓN TRABAJADOR'!$D$37:$D$96,T25)</f>
        <v>0</v>
      </c>
      <c r="V25" s="249" t="str">
        <f>IFERROR(ROUND(VLOOKUP($T$25,'% DEDICACIÓN TRABAJADOR'!$D$37:$V$96,V$23,FALSE),4),"")</f>
        <v/>
      </c>
      <c r="W25" s="249" t="str">
        <f>IFERROR(ROUND(VLOOKUP($T$25,'% DEDICACIÓN TRABAJADOR'!$D$37:$V$96,W$23,FALSE),4),"")</f>
        <v/>
      </c>
      <c r="X25" s="249" t="str">
        <f>IFERROR(ROUND(VLOOKUP($T$25,'% DEDICACIÓN TRABAJADOR'!$D$37:$V$96,X$23,FALSE),4),"")</f>
        <v/>
      </c>
      <c r="Y25" s="249" t="str">
        <f>IFERROR(ROUND(VLOOKUP($T$25,'% DEDICACIÓN TRABAJADOR'!$D$37:$V$96,Y$23,FALSE),4),"")</f>
        <v/>
      </c>
      <c r="Z25" s="249" t="str">
        <f>IFERROR(ROUND(VLOOKUP($T$25,'% DEDICACIÓN TRABAJADOR'!$D$37:$V$96,Z$23,FALSE),4),"")</f>
        <v/>
      </c>
      <c r="AA25" s="249" t="str">
        <f>IFERROR(ROUND(VLOOKUP($T$25,'% DEDICACIÓN TRABAJADOR'!$D$37:$V$96,AA$23,FALSE),4),"")</f>
        <v/>
      </c>
      <c r="AB25" s="249" t="str">
        <f>IFERROR(ROUND(VLOOKUP($T$25,'% DEDICACIÓN TRABAJADOR'!$D$37:$V$96,AB$23,FALSE),4),"")</f>
        <v/>
      </c>
      <c r="AC25" s="249" t="str">
        <f>IFERROR(ROUND(VLOOKUP($T$25,'% DEDICACIÓN TRABAJADOR'!$D$37:$V$96,AC$23,FALSE),4),"")</f>
        <v/>
      </c>
      <c r="AD25" s="249" t="str">
        <f>IFERROR(ROUND(VLOOKUP($T$25,'% DEDICACIÓN TRABAJADOR'!$D$37:$V$96,AD$23,FALSE),4),"")</f>
        <v/>
      </c>
      <c r="AE25" s="249" t="str">
        <f>IFERROR(ROUND(VLOOKUP($T$25,'% DEDICACIÓN TRABAJADOR'!$D$37:$V$96,AE$23,FALSE),4),"")</f>
        <v/>
      </c>
      <c r="AF25" s="249" t="str">
        <f>IFERROR(ROUND(VLOOKUP($T$25,'% DEDICACIÓN TRABAJADOR'!$D$37:$V$96,AF$23,FALSE),4),"")</f>
        <v/>
      </c>
      <c r="AG25" s="249" t="str">
        <f>IFERROR(ROUND(VLOOKUP($T$25,'% DEDICACIÓN TRABAJADOR'!$D$37:$V$96,AG$23,FALSE),4),"")</f>
        <v/>
      </c>
    </row>
    <row r="26" spans="2:33" s="246" customFormat="1" ht="15" customHeight="1" x14ac:dyDescent="0.25">
      <c r="M26" s="436" t="str">
        <f>IF(AUXILIAR!N27="x","",CONCATENATE("SUBTOTAL ",AUXILIAR!N27))</f>
        <v/>
      </c>
      <c r="N26" s="436"/>
      <c r="O26" s="436"/>
      <c r="P26" s="248" t="str">
        <f t="shared" ref="P26:P39" si="4">IF(M26="","",IF($T$4&gt;0,0,IF($T$6="SI",0,IFERROR(ROUND(V26*$O$10+W26*$O$11+X26*$O$12+Y26*$O$13+Z26*$O$14+AA26*$O$15+AB26*$O$16+AC26*$O$17+AD26*$O$18+AE26*$O$19+AF26*$O$20+AG26*$O$21,2),""))))</f>
        <v/>
      </c>
      <c r="R26" s="246" t="str">
        <f t="shared" ref="R26:R39" si="5">IF(M26="","",IF(AND(M26&lt;&gt;"",OR($T$4&gt;0,$T$6="SI")),"",IF(AND(M26&lt;&gt;"",P26=""),"SE DIO DE ALTA LA LÍNEA PERO NO SE LE ASIGNÓ % DE DEDICACIÓN",IF(U26&gt;1,"LA LÍNEA SE HA DADO DE ALTA MÁS DE UNA VEZ",IF(SUM(V26:AG26)=0,CONCATENATE("LA SUMA DE LOS % DE DEDICACIÓN DE LA LÍNEA SON DEL 0%"),"")))))</f>
        <v/>
      </c>
      <c r="T26" s="246" t="str">
        <f t="shared" si="3"/>
        <v/>
      </c>
      <c r="U26" s="246">
        <f>COUNTIF('% DEDICACIÓN TRABAJADOR'!$D$37:$D$96,T26)</f>
        <v>0</v>
      </c>
      <c r="V26" s="249" t="str">
        <f>IFERROR(ROUND(VLOOKUP($T$26,'% DEDICACIÓN TRABAJADOR'!$D$37:$V$96,V$23,FALSE),4),"")</f>
        <v/>
      </c>
      <c r="W26" s="249" t="str">
        <f>IFERROR(ROUND(VLOOKUP($T$26,'% DEDICACIÓN TRABAJADOR'!$D$37:$V$96,W$23,FALSE),4),"")</f>
        <v/>
      </c>
      <c r="X26" s="249" t="str">
        <f>IFERROR(ROUND(VLOOKUP($T$26,'% DEDICACIÓN TRABAJADOR'!$D$37:$V$96,X$23,FALSE),4),"")</f>
        <v/>
      </c>
      <c r="Y26" s="249" t="str">
        <f>IFERROR(ROUND(VLOOKUP($T$26,'% DEDICACIÓN TRABAJADOR'!$D$37:$V$96,Y$23,FALSE),4),"")</f>
        <v/>
      </c>
      <c r="Z26" s="249" t="str">
        <f>IFERROR(ROUND(VLOOKUP($T$26,'% DEDICACIÓN TRABAJADOR'!$D$37:$V$96,Z$23,FALSE),4),"")</f>
        <v/>
      </c>
      <c r="AA26" s="249" t="str">
        <f>IFERROR(ROUND(VLOOKUP($T$26,'% DEDICACIÓN TRABAJADOR'!$D$37:$V$96,AA$23,FALSE),4),"")</f>
        <v/>
      </c>
      <c r="AB26" s="249" t="str">
        <f>IFERROR(ROUND(VLOOKUP($T$26,'% DEDICACIÓN TRABAJADOR'!$D$37:$V$96,AB$23,FALSE),4),"")</f>
        <v/>
      </c>
      <c r="AC26" s="249" t="str">
        <f>IFERROR(ROUND(VLOOKUP($T$26,'% DEDICACIÓN TRABAJADOR'!$D$37:$V$96,AC$23,FALSE),4),"")</f>
        <v/>
      </c>
      <c r="AD26" s="249" t="str">
        <f>IFERROR(ROUND(VLOOKUP($T$26,'% DEDICACIÓN TRABAJADOR'!$D$37:$V$96,AD$23,FALSE),4),"")</f>
        <v/>
      </c>
      <c r="AE26" s="249" t="str">
        <f>IFERROR(ROUND(VLOOKUP($T$26,'% DEDICACIÓN TRABAJADOR'!$D$37:$V$96,AE$23,FALSE),4),"")</f>
        <v/>
      </c>
      <c r="AF26" s="249" t="str">
        <f>IFERROR(ROUND(VLOOKUP($T$26,'% DEDICACIÓN TRABAJADOR'!$D$37:$V$96,AF$23,FALSE),4),"")</f>
        <v/>
      </c>
      <c r="AG26" s="249" t="str">
        <f>IFERROR(ROUND(VLOOKUP($T$26,'% DEDICACIÓN TRABAJADOR'!$D$37:$V$96,AG$23,FALSE),4),"")</f>
        <v/>
      </c>
    </row>
    <row r="27" spans="2:33" s="246" customFormat="1" ht="15" customHeight="1" x14ac:dyDescent="0.25">
      <c r="M27" s="436" t="str">
        <f>IF(AUXILIAR!N28="x","",CONCATENATE("SUBTOTAL ",AUXILIAR!N28))</f>
        <v/>
      </c>
      <c r="N27" s="436"/>
      <c r="O27" s="436"/>
      <c r="P27" s="248" t="str">
        <f t="shared" si="4"/>
        <v/>
      </c>
      <c r="R27" s="246" t="str">
        <f t="shared" si="5"/>
        <v/>
      </c>
      <c r="T27" s="246" t="str">
        <f>IF(M27="","",IF(MID(M27,19,1)=":",VALUE(CONCATENATE(MID(M27,16,1),MID(M27,18,1))),VALUE(CONCATENATE(MID(M27,16,1),MID(M27,18,2)))))</f>
        <v/>
      </c>
      <c r="U27" s="246">
        <f>COUNTIF('% DEDICACIÓN TRABAJADOR'!$D$37:$D$96,T27)</f>
        <v>0</v>
      </c>
      <c r="V27" s="249" t="str">
        <f>IFERROR(ROUND(VLOOKUP($T$27,'% DEDICACIÓN TRABAJADOR'!$D$37:$V$96,V$23,FALSE),4),"")</f>
        <v/>
      </c>
      <c r="W27" s="249" t="str">
        <f>IFERROR(ROUND(VLOOKUP($T$27,'% DEDICACIÓN TRABAJADOR'!$D$37:$V$96,W$23,FALSE),4),"")</f>
        <v/>
      </c>
      <c r="X27" s="249" t="str">
        <f>IFERROR(ROUND(VLOOKUP($T$27,'% DEDICACIÓN TRABAJADOR'!$D$37:$V$96,X$23,FALSE),4),"")</f>
        <v/>
      </c>
      <c r="Y27" s="249" t="str">
        <f>IFERROR(ROUND(VLOOKUP($T$27,'% DEDICACIÓN TRABAJADOR'!$D$37:$V$96,Y$23,FALSE),4),"")</f>
        <v/>
      </c>
      <c r="Z27" s="249" t="str">
        <f>IFERROR(ROUND(VLOOKUP($T$27,'% DEDICACIÓN TRABAJADOR'!$D$37:$V$96,Z$23,FALSE),4),"")</f>
        <v/>
      </c>
      <c r="AA27" s="249" t="str">
        <f>IFERROR(ROUND(VLOOKUP($T$27,'% DEDICACIÓN TRABAJADOR'!$D$37:$V$96,AA$23,FALSE),4),"")</f>
        <v/>
      </c>
      <c r="AB27" s="249" t="str">
        <f>IFERROR(ROUND(VLOOKUP($T$27,'% DEDICACIÓN TRABAJADOR'!$D$37:$V$96,AB$23,FALSE),4),"")</f>
        <v/>
      </c>
      <c r="AC27" s="249" t="str">
        <f>IFERROR(ROUND(VLOOKUP($T$27,'% DEDICACIÓN TRABAJADOR'!$D$37:$V$96,AC$23,FALSE),4),"")</f>
        <v/>
      </c>
      <c r="AD27" s="249" t="str">
        <f>IFERROR(ROUND(VLOOKUP($T$27,'% DEDICACIÓN TRABAJADOR'!$D$37:$V$96,AD$23,FALSE),4),"")</f>
        <v/>
      </c>
      <c r="AE27" s="249" t="str">
        <f>IFERROR(ROUND(VLOOKUP($T$27,'% DEDICACIÓN TRABAJADOR'!$D$37:$V$96,AE$23,FALSE),4),"")</f>
        <v/>
      </c>
      <c r="AF27" s="249" t="str">
        <f>IFERROR(ROUND(VLOOKUP($T$27,'% DEDICACIÓN TRABAJADOR'!$D$37:$V$96,AF$23,FALSE),4),"")</f>
        <v/>
      </c>
      <c r="AG27" s="249" t="str">
        <f>IFERROR(ROUND(VLOOKUP($T$27,'% DEDICACIÓN TRABAJADOR'!$D$37:$V$96,AG$23,FALSE),4),"")</f>
        <v/>
      </c>
    </row>
    <row r="28" spans="2:33" s="246" customFormat="1" ht="15" customHeight="1" x14ac:dyDescent="0.25">
      <c r="M28" s="436" t="str">
        <f>IF(AUXILIAR!N29="x","",CONCATENATE("SUBTOTAL ",AUXILIAR!N29))</f>
        <v/>
      </c>
      <c r="N28" s="436"/>
      <c r="O28" s="436"/>
      <c r="P28" s="248" t="str">
        <f t="shared" si="4"/>
        <v/>
      </c>
      <c r="R28" s="246" t="str">
        <f t="shared" si="5"/>
        <v/>
      </c>
      <c r="T28" s="246" t="str">
        <f t="shared" ref="T28:T39" si="6">IF(M28="","",IF(MID(M28,19,1)=":",VALUE(CONCATENATE(MID(M28,16,1),MID(M28,18,1))),VALUE(CONCATENATE(MID(M28,16,1),MID(M28,18,2)))))</f>
        <v/>
      </c>
      <c r="U28" s="246">
        <f>COUNTIF('% DEDICACIÓN TRABAJADOR'!$D$37:$D$96,T28)</f>
        <v>0</v>
      </c>
      <c r="V28" s="249" t="str">
        <f>IFERROR(ROUND(VLOOKUP($T$28,'% DEDICACIÓN TRABAJADOR'!$D$37:$V$96,V$23,FALSE),4),"")</f>
        <v/>
      </c>
      <c r="W28" s="249" t="str">
        <f>IFERROR(ROUND(VLOOKUP($T$28,'% DEDICACIÓN TRABAJADOR'!$D$37:$V$96,W$23,FALSE),4),"")</f>
        <v/>
      </c>
      <c r="X28" s="249" t="str">
        <f>IFERROR(ROUND(VLOOKUP($T$28,'% DEDICACIÓN TRABAJADOR'!$D$37:$V$96,X$23,FALSE),4),"")</f>
        <v/>
      </c>
      <c r="Y28" s="249" t="str">
        <f>IFERROR(ROUND(VLOOKUP($T$28,'% DEDICACIÓN TRABAJADOR'!$D$37:$V$96,Y$23,FALSE),4),"")</f>
        <v/>
      </c>
      <c r="Z28" s="249" t="str">
        <f>IFERROR(ROUND(VLOOKUP($T$28,'% DEDICACIÓN TRABAJADOR'!$D$37:$V$96,Z$23,FALSE),4),"")</f>
        <v/>
      </c>
      <c r="AA28" s="249" t="str">
        <f>IFERROR(ROUND(VLOOKUP($T$28,'% DEDICACIÓN TRABAJADOR'!$D$37:$V$96,AA$23,FALSE),4),"")</f>
        <v/>
      </c>
      <c r="AB28" s="249" t="str">
        <f>IFERROR(ROUND(VLOOKUP($T$28,'% DEDICACIÓN TRABAJADOR'!$D$37:$V$96,AB$23,FALSE),4),"")</f>
        <v/>
      </c>
      <c r="AC28" s="249" t="str">
        <f>IFERROR(ROUND(VLOOKUP($T$28,'% DEDICACIÓN TRABAJADOR'!$D$37:$V$96,AC$23,FALSE),4),"")</f>
        <v/>
      </c>
      <c r="AD28" s="249" t="str">
        <f>IFERROR(ROUND(VLOOKUP($T$28,'% DEDICACIÓN TRABAJADOR'!$D$37:$V$96,AD$23,FALSE),4),"")</f>
        <v/>
      </c>
      <c r="AE28" s="249" t="str">
        <f>IFERROR(ROUND(VLOOKUP($T$28,'% DEDICACIÓN TRABAJADOR'!$D$37:$V$96,AE$23,FALSE),4),"")</f>
        <v/>
      </c>
      <c r="AF28" s="249" t="str">
        <f>IFERROR(ROUND(VLOOKUP($T$28,'% DEDICACIÓN TRABAJADOR'!$D$37:$V$96,AF$23,FALSE),4),"")</f>
        <v/>
      </c>
      <c r="AG28" s="249" t="str">
        <f>IFERROR(ROUND(VLOOKUP($T$28,'% DEDICACIÓN TRABAJADOR'!$D$37:$V$96,AG$23,FALSE),4),"")</f>
        <v/>
      </c>
    </row>
    <row r="29" spans="2:33" s="246" customFormat="1" ht="15" customHeight="1" x14ac:dyDescent="0.25">
      <c r="M29" s="436" t="str">
        <f>IF(AUXILIAR!N30="x","",CONCATENATE("SUBTOTAL ",AUXILIAR!N30))</f>
        <v/>
      </c>
      <c r="N29" s="436"/>
      <c r="O29" s="436"/>
      <c r="P29" s="248" t="str">
        <f t="shared" si="4"/>
        <v/>
      </c>
      <c r="R29" s="246" t="str">
        <f t="shared" si="5"/>
        <v/>
      </c>
      <c r="T29" s="246" t="str">
        <f t="shared" si="6"/>
        <v/>
      </c>
      <c r="U29" s="246">
        <f>COUNTIF('% DEDICACIÓN TRABAJADOR'!$D$37:$D$96,T29)</f>
        <v>0</v>
      </c>
      <c r="V29" s="249" t="str">
        <f>IFERROR(ROUND(VLOOKUP($T$29,'% DEDICACIÓN TRABAJADOR'!$D$37:$V$96,V$23,FALSE),4),"")</f>
        <v/>
      </c>
      <c r="W29" s="249" t="str">
        <f>IFERROR(ROUND(VLOOKUP($T$29,'% DEDICACIÓN TRABAJADOR'!$D$37:$V$96,W$23,FALSE),4),"")</f>
        <v/>
      </c>
      <c r="X29" s="249" t="str">
        <f>IFERROR(ROUND(VLOOKUP($T$29,'% DEDICACIÓN TRABAJADOR'!$D$37:$V$96,X$23,FALSE),4),"")</f>
        <v/>
      </c>
      <c r="Y29" s="249" t="str">
        <f>IFERROR(ROUND(VLOOKUP($T$29,'% DEDICACIÓN TRABAJADOR'!$D$37:$V$96,Y$23,FALSE),4),"")</f>
        <v/>
      </c>
      <c r="Z29" s="249" t="str">
        <f>IFERROR(ROUND(VLOOKUP($T$29,'% DEDICACIÓN TRABAJADOR'!$D$37:$V$96,Z$23,FALSE),4),"")</f>
        <v/>
      </c>
      <c r="AA29" s="249" t="str">
        <f>IFERROR(ROUND(VLOOKUP($T$29,'% DEDICACIÓN TRABAJADOR'!$D$37:$V$96,AA$23,FALSE),4),"")</f>
        <v/>
      </c>
      <c r="AB29" s="249" t="str">
        <f>IFERROR(ROUND(VLOOKUP($T$29,'% DEDICACIÓN TRABAJADOR'!$D$37:$V$96,AB$23,FALSE),4),"")</f>
        <v/>
      </c>
      <c r="AC29" s="249" t="str">
        <f>IFERROR(ROUND(VLOOKUP($T$29,'% DEDICACIÓN TRABAJADOR'!$D$37:$V$96,AC$23,FALSE),4),"")</f>
        <v/>
      </c>
      <c r="AD29" s="249" t="str">
        <f>IFERROR(ROUND(VLOOKUP($T$29,'% DEDICACIÓN TRABAJADOR'!$D$37:$V$96,AD$23,FALSE),4),"")</f>
        <v/>
      </c>
      <c r="AE29" s="249" t="str">
        <f>IFERROR(ROUND(VLOOKUP($T$29,'% DEDICACIÓN TRABAJADOR'!$D$37:$V$96,AE$23,FALSE),4),"")</f>
        <v/>
      </c>
      <c r="AF29" s="249" t="str">
        <f>IFERROR(ROUND(VLOOKUP($T$29,'% DEDICACIÓN TRABAJADOR'!$D$37:$V$96,AF$23,FALSE),4),"")</f>
        <v/>
      </c>
      <c r="AG29" s="249" t="str">
        <f>IFERROR(ROUND(VLOOKUP($T$29,'% DEDICACIÓN TRABAJADOR'!$D$37:$V$96,AG$23,FALSE),4),"")</f>
        <v/>
      </c>
    </row>
    <row r="30" spans="2:33" s="246" customFormat="1" ht="15" customHeight="1" x14ac:dyDescent="0.25">
      <c r="M30" s="436" t="str">
        <f>IF(AUXILIAR!N31="x","",CONCATENATE("SUBTOTAL ",AUXILIAR!N31))</f>
        <v/>
      </c>
      <c r="N30" s="436"/>
      <c r="O30" s="436"/>
      <c r="P30" s="248" t="str">
        <f t="shared" si="4"/>
        <v/>
      </c>
      <c r="R30" s="246" t="str">
        <f t="shared" si="5"/>
        <v/>
      </c>
      <c r="T30" s="246" t="str">
        <f t="shared" si="6"/>
        <v/>
      </c>
      <c r="U30" s="246">
        <f>COUNTIF('% DEDICACIÓN TRABAJADOR'!$D$37:$D$96,T30)</f>
        <v>0</v>
      </c>
      <c r="V30" s="249" t="str">
        <f>IFERROR(ROUND(VLOOKUP($T$30,'% DEDICACIÓN TRABAJADOR'!$D$37:$V$96,V$23,FALSE),4),"")</f>
        <v/>
      </c>
      <c r="W30" s="249" t="str">
        <f>IFERROR(ROUND(VLOOKUP($T$30,'% DEDICACIÓN TRABAJADOR'!$D$37:$V$96,W$23,FALSE),4),"")</f>
        <v/>
      </c>
      <c r="X30" s="249" t="str">
        <f>IFERROR(ROUND(VLOOKUP($T$30,'% DEDICACIÓN TRABAJADOR'!$D$37:$V$96,X$23,FALSE),4),"")</f>
        <v/>
      </c>
      <c r="Y30" s="249" t="str">
        <f>IFERROR(ROUND(VLOOKUP($T$30,'% DEDICACIÓN TRABAJADOR'!$D$37:$V$96,Y$23,FALSE),4),"")</f>
        <v/>
      </c>
      <c r="Z30" s="249" t="str">
        <f>IFERROR(ROUND(VLOOKUP($T$30,'% DEDICACIÓN TRABAJADOR'!$D$37:$V$96,Z$23,FALSE),4),"")</f>
        <v/>
      </c>
      <c r="AA30" s="249" t="str">
        <f>IFERROR(ROUND(VLOOKUP($T$30,'% DEDICACIÓN TRABAJADOR'!$D$37:$V$96,AA$23,FALSE),4),"")</f>
        <v/>
      </c>
      <c r="AB30" s="249" t="str">
        <f>IFERROR(ROUND(VLOOKUP($T$30,'% DEDICACIÓN TRABAJADOR'!$D$37:$V$96,AB$23,FALSE),4),"")</f>
        <v/>
      </c>
      <c r="AC30" s="249" t="str">
        <f>IFERROR(ROUND(VLOOKUP($T$30,'% DEDICACIÓN TRABAJADOR'!$D$37:$V$96,AC$23,FALSE),4),"")</f>
        <v/>
      </c>
      <c r="AD30" s="249" t="str">
        <f>IFERROR(ROUND(VLOOKUP($T$30,'% DEDICACIÓN TRABAJADOR'!$D$37:$V$96,AD$23,FALSE),4),"")</f>
        <v/>
      </c>
      <c r="AE30" s="249" t="str">
        <f>IFERROR(ROUND(VLOOKUP($T$30,'% DEDICACIÓN TRABAJADOR'!$D$37:$V$96,AE$23,FALSE),4),"")</f>
        <v/>
      </c>
      <c r="AF30" s="249" t="str">
        <f>IFERROR(ROUND(VLOOKUP($T$30,'% DEDICACIÓN TRABAJADOR'!$D$37:$V$96,AF$23,FALSE),4),"")</f>
        <v/>
      </c>
      <c r="AG30" s="249" t="str">
        <f>IFERROR(ROUND(VLOOKUP($T$30,'% DEDICACIÓN TRABAJADOR'!$D$37:$V$96,AG$23,FALSE),4),"")</f>
        <v/>
      </c>
    </row>
    <row r="31" spans="2:33" s="246" customFormat="1" ht="15" customHeight="1" x14ac:dyDescent="0.25">
      <c r="M31" s="436" t="str">
        <f>IF(AUXILIAR!N32="x","",CONCATENATE("SUBTOTAL ",AUXILIAR!N32))</f>
        <v/>
      </c>
      <c r="N31" s="436"/>
      <c r="O31" s="436"/>
      <c r="P31" s="248" t="str">
        <f t="shared" si="4"/>
        <v/>
      </c>
      <c r="R31" s="246" t="str">
        <f t="shared" si="5"/>
        <v/>
      </c>
      <c r="T31" s="246" t="str">
        <f t="shared" si="6"/>
        <v/>
      </c>
      <c r="U31" s="246">
        <f>COUNTIF('% DEDICACIÓN TRABAJADOR'!$D$37:$D$96,T31)</f>
        <v>0</v>
      </c>
      <c r="V31" s="249" t="str">
        <f>IFERROR(ROUND(VLOOKUP($T$31,'% DEDICACIÓN TRABAJADOR'!$D$37:$V$96,V$23,FALSE),4),"")</f>
        <v/>
      </c>
      <c r="W31" s="249" t="str">
        <f>IFERROR(ROUND(VLOOKUP($T$31,'% DEDICACIÓN TRABAJADOR'!$D$37:$V$96,W$23,FALSE),4),"")</f>
        <v/>
      </c>
      <c r="X31" s="249" t="str">
        <f>IFERROR(ROUND(VLOOKUP($T$31,'% DEDICACIÓN TRABAJADOR'!$D$37:$V$96,X$23,FALSE),4),"")</f>
        <v/>
      </c>
      <c r="Y31" s="249" t="str">
        <f>IFERROR(ROUND(VLOOKUP($T$31,'% DEDICACIÓN TRABAJADOR'!$D$37:$V$96,Y$23,FALSE),4),"")</f>
        <v/>
      </c>
      <c r="Z31" s="249" t="str">
        <f>IFERROR(ROUND(VLOOKUP($T$31,'% DEDICACIÓN TRABAJADOR'!$D$37:$V$96,Z$23,FALSE),4),"")</f>
        <v/>
      </c>
      <c r="AA31" s="249" t="str">
        <f>IFERROR(ROUND(VLOOKUP($T$31,'% DEDICACIÓN TRABAJADOR'!$D$37:$V$96,AA$23,FALSE),4),"")</f>
        <v/>
      </c>
      <c r="AB31" s="249" t="str">
        <f>IFERROR(ROUND(VLOOKUP($T$31,'% DEDICACIÓN TRABAJADOR'!$D$37:$V$96,AB$23,FALSE),4),"")</f>
        <v/>
      </c>
      <c r="AC31" s="249" t="str">
        <f>IFERROR(ROUND(VLOOKUP($T$31,'% DEDICACIÓN TRABAJADOR'!$D$37:$V$96,AC$23,FALSE),4),"")</f>
        <v/>
      </c>
      <c r="AD31" s="249" t="str">
        <f>IFERROR(ROUND(VLOOKUP($T$31,'% DEDICACIÓN TRABAJADOR'!$D$37:$V$96,AD$23,FALSE),4),"")</f>
        <v/>
      </c>
      <c r="AE31" s="249" t="str">
        <f>IFERROR(ROUND(VLOOKUP($T$31,'% DEDICACIÓN TRABAJADOR'!$D$37:$V$96,AE$23,FALSE),4),"")</f>
        <v/>
      </c>
      <c r="AF31" s="249" t="str">
        <f>IFERROR(ROUND(VLOOKUP($T$31,'% DEDICACIÓN TRABAJADOR'!$D$37:$V$96,AF$23,FALSE),4),"")</f>
        <v/>
      </c>
      <c r="AG31" s="249" t="str">
        <f>IFERROR(ROUND(VLOOKUP($T$31,'% DEDICACIÓN TRABAJADOR'!$D$37:$V$96,AG$23,FALSE),4),"")</f>
        <v/>
      </c>
    </row>
    <row r="32" spans="2:33" s="246" customFormat="1" ht="15" customHeight="1" x14ac:dyDescent="0.25">
      <c r="M32" s="436" t="str">
        <f>IF(AUXILIAR!N33="x","",CONCATENATE("SUBTOTAL ",AUXILIAR!N33))</f>
        <v/>
      </c>
      <c r="N32" s="436"/>
      <c r="O32" s="436"/>
      <c r="P32" s="248" t="str">
        <f t="shared" si="4"/>
        <v/>
      </c>
      <c r="R32" s="246" t="str">
        <f t="shared" si="5"/>
        <v/>
      </c>
      <c r="T32" s="246" t="str">
        <f t="shared" si="6"/>
        <v/>
      </c>
      <c r="U32" s="246">
        <f>COUNTIF('% DEDICACIÓN TRABAJADOR'!$D$37:$D$96,T32)</f>
        <v>0</v>
      </c>
      <c r="V32" s="249" t="str">
        <f>IFERROR(ROUND(VLOOKUP($T$32,'% DEDICACIÓN TRABAJADOR'!$D$37:$V$96,V$23,FALSE),4),"")</f>
        <v/>
      </c>
      <c r="W32" s="249" t="str">
        <f>IFERROR(ROUND(VLOOKUP($T$32,'% DEDICACIÓN TRABAJADOR'!$D$37:$V$96,W$23,FALSE),4),"")</f>
        <v/>
      </c>
      <c r="X32" s="249" t="str">
        <f>IFERROR(ROUND(VLOOKUP($T$32,'% DEDICACIÓN TRABAJADOR'!$D$37:$V$96,X$23,FALSE),4),"")</f>
        <v/>
      </c>
      <c r="Y32" s="249" t="str">
        <f>IFERROR(ROUND(VLOOKUP($T$32,'% DEDICACIÓN TRABAJADOR'!$D$37:$V$96,Y$23,FALSE),4),"")</f>
        <v/>
      </c>
      <c r="Z32" s="249" t="str">
        <f>IFERROR(ROUND(VLOOKUP($T$32,'% DEDICACIÓN TRABAJADOR'!$D$37:$V$96,Z$23,FALSE),4),"")</f>
        <v/>
      </c>
      <c r="AA32" s="249" t="str">
        <f>IFERROR(ROUND(VLOOKUP($T$32,'% DEDICACIÓN TRABAJADOR'!$D$37:$V$96,AA$23,FALSE),4),"")</f>
        <v/>
      </c>
      <c r="AB32" s="249" t="str">
        <f>IFERROR(ROUND(VLOOKUP($T$32,'% DEDICACIÓN TRABAJADOR'!$D$37:$V$96,AB$23,FALSE),4),"")</f>
        <v/>
      </c>
      <c r="AC32" s="249" t="str">
        <f>IFERROR(ROUND(VLOOKUP($T$32,'% DEDICACIÓN TRABAJADOR'!$D$37:$V$96,AC$23,FALSE),4),"")</f>
        <v/>
      </c>
      <c r="AD32" s="249" t="str">
        <f>IFERROR(ROUND(VLOOKUP($T$32,'% DEDICACIÓN TRABAJADOR'!$D$37:$V$96,AD$23,FALSE),4),"")</f>
        <v/>
      </c>
      <c r="AE32" s="249" t="str">
        <f>IFERROR(ROUND(VLOOKUP($T$32,'% DEDICACIÓN TRABAJADOR'!$D$37:$V$96,AE$23,FALSE),4),"")</f>
        <v/>
      </c>
      <c r="AF32" s="249" t="str">
        <f>IFERROR(ROUND(VLOOKUP($T$32,'% DEDICACIÓN TRABAJADOR'!$D$37:$V$96,AF$23,FALSE),4),"")</f>
        <v/>
      </c>
      <c r="AG32" s="249" t="str">
        <f>IFERROR(ROUND(VLOOKUP($T$32,'% DEDICACIÓN TRABAJADOR'!$D$37:$V$96,AG$23,FALSE),4),"")</f>
        <v/>
      </c>
    </row>
    <row r="33" spans="13:33" s="246" customFormat="1" ht="15" customHeight="1" x14ac:dyDescent="0.25">
      <c r="M33" s="436" t="str">
        <f>IF(AUXILIAR!N34="x","",CONCATENATE("SUBTOTAL ",AUXILIAR!N34))</f>
        <v/>
      </c>
      <c r="N33" s="436"/>
      <c r="O33" s="436"/>
      <c r="P33" s="248" t="str">
        <f t="shared" si="4"/>
        <v/>
      </c>
      <c r="R33" s="246" t="str">
        <f t="shared" si="5"/>
        <v/>
      </c>
      <c r="T33" s="246" t="str">
        <f t="shared" si="6"/>
        <v/>
      </c>
      <c r="U33" s="246">
        <f>COUNTIF('% DEDICACIÓN TRABAJADOR'!$D$37:$D$96,T33)</f>
        <v>0</v>
      </c>
      <c r="V33" s="249" t="str">
        <f>IFERROR(ROUND(VLOOKUP($T$33,'% DEDICACIÓN TRABAJADOR'!$D$37:$V$96,V$23,FALSE),4),"")</f>
        <v/>
      </c>
      <c r="W33" s="249" t="str">
        <f>IFERROR(ROUND(VLOOKUP($T$33,'% DEDICACIÓN TRABAJADOR'!$D$37:$V$96,W$23,FALSE),4),"")</f>
        <v/>
      </c>
      <c r="X33" s="249" t="str">
        <f>IFERROR(ROUND(VLOOKUP($T$33,'% DEDICACIÓN TRABAJADOR'!$D$37:$V$96,X$23,FALSE),4),"")</f>
        <v/>
      </c>
      <c r="Y33" s="249" t="str">
        <f>IFERROR(ROUND(VLOOKUP($T$33,'% DEDICACIÓN TRABAJADOR'!$D$37:$V$96,Y$23,FALSE),4),"")</f>
        <v/>
      </c>
      <c r="Z33" s="249" t="str">
        <f>IFERROR(ROUND(VLOOKUP($T$33,'% DEDICACIÓN TRABAJADOR'!$D$37:$V$96,Z$23,FALSE),4),"")</f>
        <v/>
      </c>
      <c r="AA33" s="249" t="str">
        <f>IFERROR(ROUND(VLOOKUP($T$33,'% DEDICACIÓN TRABAJADOR'!$D$37:$V$96,AA$23,FALSE),4),"")</f>
        <v/>
      </c>
      <c r="AB33" s="249" t="str">
        <f>IFERROR(ROUND(VLOOKUP($T$33,'% DEDICACIÓN TRABAJADOR'!$D$37:$V$96,AB$23,FALSE),4),"")</f>
        <v/>
      </c>
      <c r="AC33" s="249" t="str">
        <f>IFERROR(ROUND(VLOOKUP($T$33,'% DEDICACIÓN TRABAJADOR'!$D$37:$V$96,AC$23,FALSE),4),"")</f>
        <v/>
      </c>
      <c r="AD33" s="249" t="str">
        <f>IFERROR(ROUND(VLOOKUP($T$33,'% DEDICACIÓN TRABAJADOR'!$D$37:$V$96,AD$23,FALSE),4),"")</f>
        <v/>
      </c>
      <c r="AE33" s="249" t="str">
        <f>IFERROR(ROUND(VLOOKUP($T$33,'% DEDICACIÓN TRABAJADOR'!$D$37:$V$96,AE$23,FALSE),4),"")</f>
        <v/>
      </c>
      <c r="AF33" s="249" t="str">
        <f>IFERROR(ROUND(VLOOKUP($T$33,'% DEDICACIÓN TRABAJADOR'!$D$37:$V$96,AF$23,FALSE),4),"")</f>
        <v/>
      </c>
      <c r="AG33" s="249" t="str">
        <f>IFERROR(ROUND(VLOOKUP($T$33,'% DEDICACIÓN TRABAJADOR'!$D$37:$V$96,AG$23,FALSE),4),"")</f>
        <v/>
      </c>
    </row>
    <row r="34" spans="13:33" s="246" customFormat="1" ht="15" customHeight="1" x14ac:dyDescent="0.25">
      <c r="M34" s="436" t="str">
        <f>IF(AUXILIAR!N35="x","",CONCATENATE("SUBTOTAL ",AUXILIAR!N35))</f>
        <v/>
      </c>
      <c r="N34" s="436"/>
      <c r="O34" s="436"/>
      <c r="P34" s="248" t="str">
        <f t="shared" si="4"/>
        <v/>
      </c>
      <c r="R34" s="246" t="str">
        <f t="shared" si="5"/>
        <v/>
      </c>
      <c r="T34" s="246" t="str">
        <f t="shared" si="6"/>
        <v/>
      </c>
      <c r="U34" s="246">
        <f>COUNTIF('% DEDICACIÓN TRABAJADOR'!$D$37:$D$96,T34)</f>
        <v>0</v>
      </c>
      <c r="V34" s="249" t="str">
        <f>IFERROR(ROUND(VLOOKUP($T$34,'% DEDICACIÓN TRABAJADOR'!$D$37:$V$96,V$23,FALSE),4),"")</f>
        <v/>
      </c>
      <c r="W34" s="249" t="str">
        <f>IFERROR(ROUND(VLOOKUP($T$34,'% DEDICACIÓN TRABAJADOR'!$D$37:$V$96,W$23,FALSE),4),"")</f>
        <v/>
      </c>
      <c r="X34" s="249" t="str">
        <f>IFERROR(ROUND(VLOOKUP($T$34,'% DEDICACIÓN TRABAJADOR'!$D$37:$V$96,X$23,FALSE),4),"")</f>
        <v/>
      </c>
      <c r="Y34" s="249" t="str">
        <f>IFERROR(ROUND(VLOOKUP($T$34,'% DEDICACIÓN TRABAJADOR'!$D$37:$V$96,Y$23,FALSE),4),"")</f>
        <v/>
      </c>
      <c r="Z34" s="249" t="str">
        <f>IFERROR(ROUND(VLOOKUP($T$34,'% DEDICACIÓN TRABAJADOR'!$D$37:$V$96,Z$23,FALSE),4),"")</f>
        <v/>
      </c>
      <c r="AA34" s="249" t="str">
        <f>IFERROR(ROUND(VLOOKUP($T$34,'% DEDICACIÓN TRABAJADOR'!$D$37:$V$96,AA$23,FALSE),4),"")</f>
        <v/>
      </c>
      <c r="AB34" s="249" t="str">
        <f>IFERROR(ROUND(VLOOKUP($T$34,'% DEDICACIÓN TRABAJADOR'!$D$37:$V$96,AB$23,FALSE),4),"")</f>
        <v/>
      </c>
      <c r="AC34" s="249" t="str">
        <f>IFERROR(ROUND(VLOOKUP($T$34,'% DEDICACIÓN TRABAJADOR'!$D$37:$V$96,AC$23,FALSE),4),"")</f>
        <v/>
      </c>
      <c r="AD34" s="249" t="str">
        <f>IFERROR(ROUND(VLOOKUP($T$34,'% DEDICACIÓN TRABAJADOR'!$D$37:$V$96,AD$23,FALSE),4),"")</f>
        <v/>
      </c>
      <c r="AE34" s="249" t="str">
        <f>IFERROR(ROUND(VLOOKUP($T$34,'% DEDICACIÓN TRABAJADOR'!$D$37:$V$96,AE$23,FALSE),4),"")</f>
        <v/>
      </c>
      <c r="AF34" s="249" t="str">
        <f>IFERROR(ROUND(VLOOKUP($T$34,'% DEDICACIÓN TRABAJADOR'!$D$37:$V$96,AF$23,FALSE),4),"")</f>
        <v/>
      </c>
      <c r="AG34" s="249" t="str">
        <f>IFERROR(ROUND(VLOOKUP($T$34,'% DEDICACIÓN TRABAJADOR'!$D$37:$V$96,AG$23,FALSE),4),"")</f>
        <v/>
      </c>
    </row>
    <row r="35" spans="13:33" s="246" customFormat="1" ht="15" customHeight="1" x14ac:dyDescent="0.25">
      <c r="M35" s="436" t="str">
        <f>IF(AUXILIAR!N36="x","",CONCATENATE("SUBTOTAL ",AUXILIAR!N36))</f>
        <v/>
      </c>
      <c r="N35" s="436"/>
      <c r="O35" s="436"/>
      <c r="P35" s="248" t="str">
        <f t="shared" si="4"/>
        <v/>
      </c>
      <c r="R35" s="246" t="str">
        <f t="shared" si="5"/>
        <v/>
      </c>
      <c r="T35" s="246" t="str">
        <f t="shared" si="6"/>
        <v/>
      </c>
      <c r="U35" s="246">
        <f>COUNTIF('% DEDICACIÓN TRABAJADOR'!$D$37:$D$96,T35)</f>
        <v>0</v>
      </c>
      <c r="V35" s="249" t="str">
        <f>IFERROR(ROUND(VLOOKUP($T$35,'% DEDICACIÓN TRABAJADOR'!$D$37:$V$96,V$23,FALSE),4),"")</f>
        <v/>
      </c>
      <c r="W35" s="249" t="str">
        <f>IFERROR(ROUND(VLOOKUP($T$35,'% DEDICACIÓN TRABAJADOR'!$D$37:$V$96,W$23,FALSE),4),"")</f>
        <v/>
      </c>
      <c r="X35" s="249" t="str">
        <f>IFERROR(ROUND(VLOOKUP($T$35,'% DEDICACIÓN TRABAJADOR'!$D$37:$V$96,X$23,FALSE),4),"")</f>
        <v/>
      </c>
      <c r="Y35" s="249" t="str">
        <f>IFERROR(ROUND(VLOOKUP($T$35,'% DEDICACIÓN TRABAJADOR'!$D$37:$V$96,Y$23,FALSE),4),"")</f>
        <v/>
      </c>
      <c r="Z35" s="249" t="str">
        <f>IFERROR(ROUND(VLOOKUP($T$35,'% DEDICACIÓN TRABAJADOR'!$D$37:$V$96,Z$23,FALSE),4),"")</f>
        <v/>
      </c>
      <c r="AA35" s="249" t="str">
        <f>IFERROR(ROUND(VLOOKUP($T$35,'% DEDICACIÓN TRABAJADOR'!$D$37:$V$96,AA$23,FALSE),4),"")</f>
        <v/>
      </c>
      <c r="AB35" s="249" t="str">
        <f>IFERROR(ROUND(VLOOKUP($T$35,'% DEDICACIÓN TRABAJADOR'!$D$37:$V$96,AB$23,FALSE),4),"")</f>
        <v/>
      </c>
      <c r="AC35" s="249" t="str">
        <f>IFERROR(ROUND(VLOOKUP($T$35,'% DEDICACIÓN TRABAJADOR'!$D$37:$V$96,AC$23,FALSE),4),"")</f>
        <v/>
      </c>
      <c r="AD35" s="249" t="str">
        <f>IFERROR(ROUND(VLOOKUP($T$35,'% DEDICACIÓN TRABAJADOR'!$D$37:$V$96,AD$23,FALSE),4),"")</f>
        <v/>
      </c>
      <c r="AE35" s="249" t="str">
        <f>IFERROR(ROUND(VLOOKUP($T$35,'% DEDICACIÓN TRABAJADOR'!$D$37:$V$96,AE$23,FALSE),4),"")</f>
        <v/>
      </c>
      <c r="AF35" s="249" t="str">
        <f>IFERROR(ROUND(VLOOKUP($T$35,'% DEDICACIÓN TRABAJADOR'!$D$37:$V$96,AF$23,FALSE),4),"")</f>
        <v/>
      </c>
      <c r="AG35" s="249" t="str">
        <f>IFERROR(ROUND(VLOOKUP($T$35,'% DEDICACIÓN TRABAJADOR'!$D$37:$V$96,AG$23,FALSE),4),"")</f>
        <v/>
      </c>
    </row>
    <row r="36" spans="13:33" s="246" customFormat="1" ht="15" customHeight="1" x14ac:dyDescent="0.25">
      <c r="M36" s="436" t="str">
        <f>IF(AUXILIAR!N37="x","",CONCATENATE("SUBTOTAL ",AUXILIAR!N37))</f>
        <v/>
      </c>
      <c r="N36" s="436"/>
      <c r="O36" s="436"/>
      <c r="P36" s="248" t="str">
        <f t="shared" si="4"/>
        <v/>
      </c>
      <c r="R36" s="246" t="str">
        <f t="shared" si="5"/>
        <v/>
      </c>
      <c r="T36" s="246" t="str">
        <f t="shared" si="6"/>
        <v/>
      </c>
      <c r="U36" s="246">
        <f>COUNTIF('% DEDICACIÓN TRABAJADOR'!$D$37:$D$96,T36)</f>
        <v>0</v>
      </c>
      <c r="V36" s="249" t="str">
        <f>IFERROR(ROUND(VLOOKUP($T$36,'% DEDICACIÓN TRABAJADOR'!$D$37:$V$96,V$23,FALSE),4),"")</f>
        <v/>
      </c>
      <c r="W36" s="249" t="str">
        <f>IFERROR(ROUND(VLOOKUP($T$36,'% DEDICACIÓN TRABAJADOR'!$D$37:$V$96,W$23,FALSE),4),"")</f>
        <v/>
      </c>
      <c r="X36" s="249" t="str">
        <f>IFERROR(ROUND(VLOOKUP($T$36,'% DEDICACIÓN TRABAJADOR'!$D$37:$V$96,X$23,FALSE),4),"")</f>
        <v/>
      </c>
      <c r="Y36" s="249" t="str">
        <f>IFERROR(ROUND(VLOOKUP($T$36,'% DEDICACIÓN TRABAJADOR'!$D$37:$V$96,Y$23,FALSE),4),"")</f>
        <v/>
      </c>
      <c r="Z36" s="249" t="str">
        <f>IFERROR(ROUND(VLOOKUP($T$36,'% DEDICACIÓN TRABAJADOR'!$D$37:$V$96,Z$23,FALSE),4),"")</f>
        <v/>
      </c>
      <c r="AA36" s="249" t="str">
        <f>IFERROR(ROUND(VLOOKUP($T$36,'% DEDICACIÓN TRABAJADOR'!$D$37:$V$96,AA$23,FALSE),4),"")</f>
        <v/>
      </c>
      <c r="AB36" s="249" t="str">
        <f>IFERROR(ROUND(VLOOKUP($T$36,'% DEDICACIÓN TRABAJADOR'!$D$37:$V$96,AB$23,FALSE),4),"")</f>
        <v/>
      </c>
      <c r="AC36" s="249" t="str">
        <f>IFERROR(ROUND(VLOOKUP($T$36,'% DEDICACIÓN TRABAJADOR'!$D$37:$V$96,AC$23,FALSE),4),"")</f>
        <v/>
      </c>
      <c r="AD36" s="249" t="str">
        <f>IFERROR(ROUND(VLOOKUP($T$36,'% DEDICACIÓN TRABAJADOR'!$D$37:$V$96,AD$23,FALSE),4),"")</f>
        <v/>
      </c>
      <c r="AE36" s="249" t="str">
        <f>IFERROR(ROUND(VLOOKUP($T$36,'% DEDICACIÓN TRABAJADOR'!$D$37:$V$96,AE$23,FALSE),4),"")</f>
        <v/>
      </c>
      <c r="AF36" s="249" t="str">
        <f>IFERROR(ROUND(VLOOKUP($T$36,'% DEDICACIÓN TRABAJADOR'!$D$37:$V$96,AF$23,FALSE),4),"")</f>
        <v/>
      </c>
      <c r="AG36" s="249" t="str">
        <f>IFERROR(ROUND(VLOOKUP($T$36,'% DEDICACIÓN TRABAJADOR'!$D$37:$V$96,AG$23,FALSE),4),"")</f>
        <v/>
      </c>
    </row>
    <row r="37" spans="13:33" s="246" customFormat="1" ht="15" customHeight="1" x14ac:dyDescent="0.25">
      <c r="M37" s="436" t="str">
        <f>IF(AUXILIAR!N38="x","",CONCATENATE("SUBTOTAL ",AUXILIAR!N38))</f>
        <v/>
      </c>
      <c r="N37" s="436"/>
      <c r="O37" s="436"/>
      <c r="P37" s="248" t="str">
        <f t="shared" si="4"/>
        <v/>
      </c>
      <c r="R37" s="246" t="str">
        <f t="shared" si="5"/>
        <v/>
      </c>
      <c r="T37" s="246" t="str">
        <f t="shared" si="6"/>
        <v/>
      </c>
      <c r="U37" s="246">
        <f>COUNTIF('% DEDICACIÓN TRABAJADOR'!$D$37:$D$96,T37)</f>
        <v>0</v>
      </c>
      <c r="V37" s="249" t="str">
        <f>IFERROR(ROUND(VLOOKUP($T$37,'% DEDICACIÓN TRABAJADOR'!$D$37:$V$96,V$23,FALSE),4),"")</f>
        <v/>
      </c>
      <c r="W37" s="249" t="str">
        <f>IFERROR(ROUND(VLOOKUP($T$37,'% DEDICACIÓN TRABAJADOR'!$D$37:$V$96,W$23,FALSE),4),"")</f>
        <v/>
      </c>
      <c r="X37" s="249" t="str">
        <f>IFERROR(ROUND(VLOOKUP($T$37,'% DEDICACIÓN TRABAJADOR'!$D$37:$V$96,X$23,FALSE),4),"")</f>
        <v/>
      </c>
      <c r="Y37" s="249" t="str">
        <f>IFERROR(ROUND(VLOOKUP($T$37,'% DEDICACIÓN TRABAJADOR'!$D$37:$V$96,Y$23,FALSE),4),"")</f>
        <v/>
      </c>
      <c r="Z37" s="249" t="str">
        <f>IFERROR(ROUND(VLOOKUP($T$37,'% DEDICACIÓN TRABAJADOR'!$D$37:$V$96,Z$23,FALSE),4),"")</f>
        <v/>
      </c>
      <c r="AA37" s="249" t="str">
        <f>IFERROR(ROUND(VLOOKUP($T$37,'% DEDICACIÓN TRABAJADOR'!$D$37:$V$96,AA$23,FALSE),4),"")</f>
        <v/>
      </c>
      <c r="AB37" s="249" t="str">
        <f>IFERROR(ROUND(VLOOKUP($T$37,'% DEDICACIÓN TRABAJADOR'!$D$37:$V$96,AB$23,FALSE),4),"")</f>
        <v/>
      </c>
      <c r="AC37" s="249" t="str">
        <f>IFERROR(ROUND(VLOOKUP($T$37,'% DEDICACIÓN TRABAJADOR'!$D$37:$V$96,AC$23,FALSE),4),"")</f>
        <v/>
      </c>
      <c r="AD37" s="249" t="str">
        <f>IFERROR(ROUND(VLOOKUP($T$37,'% DEDICACIÓN TRABAJADOR'!$D$37:$V$96,AD$23,FALSE),4),"")</f>
        <v/>
      </c>
      <c r="AE37" s="249" t="str">
        <f>IFERROR(ROUND(VLOOKUP($T$37,'% DEDICACIÓN TRABAJADOR'!$D$37:$V$96,AE$23,FALSE),4),"")</f>
        <v/>
      </c>
      <c r="AF37" s="249" t="str">
        <f>IFERROR(ROUND(VLOOKUP($T$37,'% DEDICACIÓN TRABAJADOR'!$D$37:$V$96,AF$23,FALSE),4),"")</f>
        <v/>
      </c>
      <c r="AG37" s="249" t="str">
        <f>IFERROR(ROUND(VLOOKUP($T$37,'% DEDICACIÓN TRABAJADOR'!$D$37:$V$96,AG$23,FALSE),4),"")</f>
        <v/>
      </c>
    </row>
    <row r="38" spans="13:33" s="246" customFormat="1" ht="15" customHeight="1" x14ac:dyDescent="0.25">
      <c r="M38" s="436" t="str">
        <f>IF(AUXILIAR!N39="x","",CONCATENATE("SUBTOTAL ",AUXILIAR!N39))</f>
        <v/>
      </c>
      <c r="N38" s="436"/>
      <c r="O38" s="436"/>
      <c r="P38" s="248" t="str">
        <f t="shared" si="4"/>
        <v/>
      </c>
      <c r="R38" s="246" t="str">
        <f t="shared" si="5"/>
        <v/>
      </c>
      <c r="T38" s="246" t="str">
        <f t="shared" si="6"/>
        <v/>
      </c>
      <c r="U38" s="246">
        <f>COUNTIF('% DEDICACIÓN TRABAJADOR'!$D$37:$D$96,T38)</f>
        <v>0</v>
      </c>
      <c r="V38" s="249" t="str">
        <f>IFERROR(ROUND(VLOOKUP($T$38,'% DEDICACIÓN TRABAJADOR'!$D$37:$V$96,V$23,FALSE),4),"")</f>
        <v/>
      </c>
      <c r="W38" s="249" t="str">
        <f>IFERROR(ROUND(VLOOKUP($T$38,'% DEDICACIÓN TRABAJADOR'!$D$37:$V$96,W$23,FALSE),4),"")</f>
        <v/>
      </c>
      <c r="X38" s="249" t="str">
        <f>IFERROR(ROUND(VLOOKUP($T$38,'% DEDICACIÓN TRABAJADOR'!$D$37:$V$96,X$23,FALSE),4),"")</f>
        <v/>
      </c>
      <c r="Y38" s="249" t="str">
        <f>IFERROR(ROUND(VLOOKUP($T$38,'% DEDICACIÓN TRABAJADOR'!$D$37:$V$96,Y$23,FALSE),4),"")</f>
        <v/>
      </c>
      <c r="Z38" s="249" t="str">
        <f>IFERROR(ROUND(VLOOKUP($T$38,'% DEDICACIÓN TRABAJADOR'!$D$37:$V$96,Z$23,FALSE),4),"")</f>
        <v/>
      </c>
      <c r="AA38" s="249" t="str">
        <f>IFERROR(ROUND(VLOOKUP($T$38,'% DEDICACIÓN TRABAJADOR'!$D$37:$V$96,AA$23,FALSE),4),"")</f>
        <v/>
      </c>
      <c r="AB38" s="249" t="str">
        <f>IFERROR(ROUND(VLOOKUP($T$38,'% DEDICACIÓN TRABAJADOR'!$D$37:$V$96,AB$23,FALSE),4),"")</f>
        <v/>
      </c>
      <c r="AC38" s="249" t="str">
        <f>IFERROR(ROUND(VLOOKUP($T$38,'% DEDICACIÓN TRABAJADOR'!$D$37:$V$96,AC$23,FALSE),4),"")</f>
        <v/>
      </c>
      <c r="AD38" s="249" t="str">
        <f>IFERROR(ROUND(VLOOKUP($T$38,'% DEDICACIÓN TRABAJADOR'!$D$37:$V$96,AD$23,FALSE),4),"")</f>
        <v/>
      </c>
      <c r="AE38" s="249" t="str">
        <f>IFERROR(ROUND(VLOOKUP($T$38,'% DEDICACIÓN TRABAJADOR'!$D$37:$V$96,AE$23,FALSE),4),"")</f>
        <v/>
      </c>
      <c r="AF38" s="249" t="str">
        <f>IFERROR(ROUND(VLOOKUP($T$38,'% DEDICACIÓN TRABAJADOR'!$D$37:$V$96,AF$23,FALSE),4),"")</f>
        <v/>
      </c>
      <c r="AG38" s="249" t="str">
        <f>IFERROR(ROUND(VLOOKUP($T$38,'% DEDICACIÓN TRABAJADOR'!$D$37:$V$96,AG$23,FALSE),4),"")</f>
        <v/>
      </c>
    </row>
    <row r="39" spans="13:33" s="246" customFormat="1" ht="15" customHeight="1" x14ac:dyDescent="0.25">
      <c r="M39" s="436" t="str">
        <f>IF(AUXILIAR!N40="x","",CONCATENATE("SUBTOTAL ",AUXILIAR!N40))</f>
        <v/>
      </c>
      <c r="N39" s="436"/>
      <c r="O39" s="436"/>
      <c r="P39" s="248" t="str">
        <f t="shared" si="4"/>
        <v/>
      </c>
      <c r="R39" s="246" t="str">
        <f t="shared" si="5"/>
        <v/>
      </c>
      <c r="T39" s="246" t="str">
        <f t="shared" si="6"/>
        <v/>
      </c>
      <c r="U39" s="246">
        <f>COUNTIF('% DEDICACIÓN TRABAJADOR'!$D$37:$D$96,T39)</f>
        <v>0</v>
      </c>
      <c r="V39" s="249" t="str">
        <f>IFERROR(ROUND(VLOOKUP($T$39,'% DEDICACIÓN TRABAJADOR'!$D$37:$V$96,V$23,FALSE),4),"")</f>
        <v/>
      </c>
      <c r="W39" s="249" t="str">
        <f>IFERROR(ROUND(VLOOKUP($T$39,'% DEDICACIÓN TRABAJADOR'!$D$37:$V$96,W$23,FALSE),4),"")</f>
        <v/>
      </c>
      <c r="X39" s="249" t="str">
        <f>IFERROR(ROUND(VLOOKUP($T$39,'% DEDICACIÓN TRABAJADOR'!$D$37:$V$96,X$23,FALSE),4),"")</f>
        <v/>
      </c>
      <c r="Y39" s="249" t="str">
        <f>IFERROR(ROUND(VLOOKUP($T$39,'% DEDICACIÓN TRABAJADOR'!$D$37:$V$96,Y$23,FALSE),4),"")</f>
        <v/>
      </c>
      <c r="Z39" s="249" t="str">
        <f>IFERROR(ROUND(VLOOKUP($T$39,'% DEDICACIÓN TRABAJADOR'!$D$37:$V$96,Z$23,FALSE),4),"")</f>
        <v/>
      </c>
      <c r="AA39" s="249" t="str">
        <f>IFERROR(ROUND(VLOOKUP($T$39,'% DEDICACIÓN TRABAJADOR'!$D$37:$V$96,AA$23,FALSE),4),"")</f>
        <v/>
      </c>
      <c r="AB39" s="249" t="str">
        <f>IFERROR(ROUND(VLOOKUP($T$39,'% DEDICACIÓN TRABAJADOR'!$D$37:$V$96,AB$23,FALSE),4),"")</f>
        <v/>
      </c>
      <c r="AC39" s="249" t="str">
        <f>IFERROR(ROUND(VLOOKUP($T$39,'% DEDICACIÓN TRABAJADOR'!$D$37:$V$96,AC$23,FALSE),4),"")</f>
        <v/>
      </c>
      <c r="AD39" s="249" t="str">
        <f>IFERROR(ROUND(VLOOKUP($T$39,'% DEDICACIÓN TRABAJADOR'!$D$37:$V$96,AD$23,FALSE),4),"")</f>
        <v/>
      </c>
      <c r="AE39" s="249" t="str">
        <f>IFERROR(ROUND(VLOOKUP($T$39,'% DEDICACIÓN TRABAJADOR'!$D$37:$V$96,AE$23,FALSE),4),"")</f>
        <v/>
      </c>
      <c r="AF39" s="249" t="str">
        <f>IFERROR(ROUND(VLOOKUP($T$39,'% DEDICACIÓN TRABAJADOR'!$D$37:$V$96,AF$23,FALSE),4),"")</f>
        <v/>
      </c>
      <c r="AG39" s="249" t="str">
        <f>IFERROR(ROUND(VLOOKUP($T$39,'% DEDICACIÓN TRABAJADOR'!$D$37:$V$96,AG$23,FALSE),4),"")</f>
        <v/>
      </c>
    </row>
  </sheetData>
  <sheetProtection algorithmName="SHA-512" hashValue="8rnXX6u3QsgMcfK6WKIQ4aYkTS6DG/4purihwUmyFAalvrT3lEAzlPq8zaeVoCjP8da+F5epigsz1O3b/WvUSg==" saltValue="CqzBrUI7Dq2Z9Tt9HNOWzA==" spinCount="100000" sheet="1" objects="1" scenarios="1" selectLockedCells="1" selectUnlockedCells="1"/>
  <mergeCells count="23">
    <mergeCell ref="M36:O36"/>
    <mergeCell ref="M37:O37"/>
    <mergeCell ref="M38:O38"/>
    <mergeCell ref="M39:O39"/>
    <mergeCell ref="M31:O31"/>
    <mergeCell ref="M32:O32"/>
    <mergeCell ref="M33:O33"/>
    <mergeCell ref="M34:O34"/>
    <mergeCell ref="M35:O35"/>
    <mergeCell ref="M26:O26"/>
    <mergeCell ref="M27:O27"/>
    <mergeCell ref="M28:O28"/>
    <mergeCell ref="M29:O29"/>
    <mergeCell ref="M30:O30"/>
    <mergeCell ref="P8:P9"/>
    <mergeCell ref="K8:M8"/>
    <mergeCell ref="G8:I8"/>
    <mergeCell ref="M25:O25"/>
    <mergeCell ref="B8:B9"/>
    <mergeCell ref="C8:C9"/>
    <mergeCell ref="D8:F8"/>
    <mergeCell ref="N8:N9"/>
    <mergeCell ref="O8:O9"/>
  </mergeCells>
  <conditionalFormatting sqref="P23">
    <cfRule type="expression" dxfId="55" priority="2">
      <formula>OR($T$4&gt;0,$T$6="SI")</formula>
    </cfRule>
  </conditionalFormatting>
  <conditionalFormatting sqref="R23">
    <cfRule type="cellIs" dxfId="54" priority="4" operator="notEqual">
      <formula>""</formula>
    </cfRule>
  </conditionalFormatting>
  <conditionalFormatting sqref="R25:R39">
    <cfRule type="cellIs" dxfId="53" priority="3" operator="notEqual">
      <formula>""</formula>
    </cfRule>
  </conditionalFormatting>
  <printOptions horizontalCentered="1"/>
  <pageMargins left="0.39370078740157483" right="0.39370078740157483" top="0.59055118110236227" bottom="0.39370078740157483" header="0.19685039370078741" footer="0.19685039370078741"/>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8" id="{399BE836-BE07-407D-A03A-7C82A8788AAC}">
            <xm:f>'% DEDICACIÓN TRABAJADOR'!$K$31=0</xm:f>
            <x14:dxf>
              <font>
                <color theme="0"/>
              </font>
            </x14:dxf>
          </x14:cfRule>
          <xm:sqref>D10:O10</xm:sqref>
        </x14:conditionalFormatting>
        <x14:conditionalFormatting xmlns:xm="http://schemas.microsoft.com/office/excel/2006/main">
          <x14:cfRule type="expression" priority="9" id="{94BE218B-66C0-485C-B4A4-C100ED6BF3BC}">
            <xm:f>'% DEDICACIÓN TRABAJADOR'!$L$31=0</xm:f>
            <x14:dxf>
              <font>
                <color theme="0"/>
              </font>
            </x14:dxf>
          </x14:cfRule>
          <xm:sqref>D11:O11</xm:sqref>
        </x14:conditionalFormatting>
        <x14:conditionalFormatting xmlns:xm="http://schemas.microsoft.com/office/excel/2006/main">
          <x14:cfRule type="expression" priority="10" id="{15D86DE1-9DE7-4BAD-8370-A3920C241A90}">
            <xm:f>'% DEDICACIÓN TRABAJADOR'!$M$31=0</xm:f>
            <x14:dxf>
              <font>
                <color theme="0"/>
              </font>
            </x14:dxf>
          </x14:cfRule>
          <xm:sqref>D12:O12</xm:sqref>
        </x14:conditionalFormatting>
        <x14:conditionalFormatting xmlns:xm="http://schemas.microsoft.com/office/excel/2006/main">
          <x14:cfRule type="expression" priority="11" id="{25E0381D-F697-43FD-B6A6-1EE6433E90B5}">
            <xm:f>'% DEDICACIÓN TRABAJADOR'!$N$31=0</xm:f>
            <x14:dxf>
              <font>
                <color theme="0"/>
              </font>
            </x14:dxf>
          </x14:cfRule>
          <xm:sqref>D13:O13</xm:sqref>
        </x14:conditionalFormatting>
        <x14:conditionalFormatting xmlns:xm="http://schemas.microsoft.com/office/excel/2006/main">
          <x14:cfRule type="expression" priority="12" id="{128E3C54-5740-4022-95BC-5A7D2313AF14}">
            <xm:f>'% DEDICACIÓN TRABAJADOR'!$O$31=0</xm:f>
            <x14:dxf>
              <font>
                <color theme="0"/>
              </font>
            </x14:dxf>
          </x14:cfRule>
          <xm:sqref>D14:O14</xm:sqref>
        </x14:conditionalFormatting>
        <x14:conditionalFormatting xmlns:xm="http://schemas.microsoft.com/office/excel/2006/main">
          <x14:cfRule type="expression" priority="13" id="{089E7DAA-9738-4B14-872B-6E6A425D4B46}">
            <xm:f>'% DEDICACIÓN TRABAJADOR'!$P$31=0</xm:f>
            <x14:dxf>
              <font>
                <color theme="0"/>
              </font>
            </x14:dxf>
          </x14:cfRule>
          <xm:sqref>D15:O15</xm:sqref>
        </x14:conditionalFormatting>
        <x14:conditionalFormatting xmlns:xm="http://schemas.microsoft.com/office/excel/2006/main">
          <x14:cfRule type="expression" priority="14" id="{A63D8682-FEC0-4B21-A4AA-25A1335D4D22}">
            <xm:f>'% DEDICACIÓN TRABAJADOR'!$Q$31=0</xm:f>
            <x14:dxf>
              <font>
                <color theme="0"/>
              </font>
            </x14:dxf>
          </x14:cfRule>
          <xm:sqref>D16:O16</xm:sqref>
        </x14:conditionalFormatting>
        <x14:conditionalFormatting xmlns:xm="http://schemas.microsoft.com/office/excel/2006/main">
          <x14:cfRule type="expression" priority="15" id="{4ED243F9-FA70-4796-ADF6-FC5E03CDD5BC}">
            <xm:f>'% DEDICACIÓN TRABAJADOR'!$R$31=0</xm:f>
            <x14:dxf>
              <font>
                <color theme="0"/>
              </font>
            </x14:dxf>
          </x14:cfRule>
          <xm:sqref>D17:O17</xm:sqref>
        </x14:conditionalFormatting>
        <x14:conditionalFormatting xmlns:xm="http://schemas.microsoft.com/office/excel/2006/main">
          <x14:cfRule type="expression" priority="16" id="{91CDA579-8A49-4C05-8907-3773110403EC}">
            <xm:f>'% DEDICACIÓN TRABAJADOR'!$S$31=0</xm:f>
            <x14:dxf>
              <font>
                <color theme="0"/>
              </font>
            </x14:dxf>
          </x14:cfRule>
          <xm:sqref>D18:O18</xm:sqref>
        </x14:conditionalFormatting>
        <x14:conditionalFormatting xmlns:xm="http://schemas.microsoft.com/office/excel/2006/main">
          <x14:cfRule type="expression" priority="17" id="{A9C1B04D-A0FB-4EA2-AF4D-E834DA7521BD}">
            <xm:f>'% DEDICACIÓN TRABAJADOR'!$T$31=0</xm:f>
            <x14:dxf>
              <font>
                <color theme="0"/>
              </font>
            </x14:dxf>
          </x14:cfRule>
          <xm:sqref>D19:O19</xm:sqref>
        </x14:conditionalFormatting>
        <x14:conditionalFormatting xmlns:xm="http://schemas.microsoft.com/office/excel/2006/main">
          <x14:cfRule type="expression" priority="18" id="{8D2A663C-B7C6-4D4B-9527-E6E57B152F89}">
            <xm:f>'% DEDICACIÓN TRABAJADOR'!$U$31=0</xm:f>
            <x14:dxf>
              <font>
                <color theme="0"/>
              </font>
            </x14:dxf>
          </x14:cfRule>
          <xm:sqref>D20:O20</xm:sqref>
        </x14:conditionalFormatting>
        <x14:conditionalFormatting xmlns:xm="http://schemas.microsoft.com/office/excel/2006/main">
          <x14:cfRule type="expression" priority="19" id="{F417CDA9-197A-43C1-AB2F-D5CB557251FF}">
            <xm:f>'% DEDICACIÓN TRABAJADOR'!$V$31=0</xm:f>
            <x14:dxf>
              <font>
                <color theme="0"/>
              </font>
            </x14:dxf>
          </x14:cfRule>
          <xm:sqref>D21:O21</xm:sqref>
        </x14:conditionalFormatting>
        <x14:conditionalFormatting xmlns:xm="http://schemas.microsoft.com/office/excel/2006/main">
          <x14:cfRule type="expression" priority="1" id="{49819497-B0BA-40F4-BA5A-24D7B49126F6}">
            <xm:f>EXPEDIENTE!$A$1&lt;&gt;1</xm:f>
            <x14:dxf>
              <font>
                <color theme="0"/>
              </font>
            </x14:dxf>
          </x14:cfRule>
          <xm:sqref>T1:AG22 T23:U23 T24:AG39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A187-23BC-4539-A4F2-C2D6B28397D4}">
  <dimension ref="B1:AG40"/>
  <sheetViews>
    <sheetView showGridLines="0" zoomScaleNormal="100" workbookViewId="0"/>
  </sheetViews>
  <sheetFormatPr baseColWidth="10" defaultColWidth="11.42578125" defaultRowHeight="13.5" x14ac:dyDescent="0.25"/>
  <cols>
    <col min="1" max="1" width="5.5703125" style="36" customWidth="1"/>
    <col min="2" max="2" width="12.5703125" style="36" customWidth="1"/>
    <col min="3" max="3" width="13.7109375" style="36" customWidth="1"/>
    <col min="4" max="4" width="15.5703125" style="36" customWidth="1"/>
    <col min="5" max="5" width="11.5703125" style="36" customWidth="1"/>
    <col min="6" max="6" width="15.5703125" style="36" customWidth="1"/>
    <col min="7" max="8" width="11.5703125" style="36" customWidth="1"/>
    <col min="9" max="9" width="15.5703125" style="36" customWidth="1"/>
    <col min="10" max="12" width="11.5703125" style="36" customWidth="1"/>
    <col min="13" max="13" width="15.5703125" style="36" customWidth="1"/>
    <col min="14" max="14" width="17.5703125" style="36" customWidth="1"/>
    <col min="15" max="15" width="18.7109375" style="36" customWidth="1"/>
    <col min="16" max="16" width="17.5703125" style="36" customWidth="1"/>
    <col min="17" max="17" width="5.5703125" style="36" customWidth="1"/>
    <col min="18" max="18" width="69.5703125" style="36" bestFit="1" customWidth="1"/>
    <col min="19" max="20" width="5.5703125" style="36" hidden="1" customWidth="1"/>
    <col min="21" max="33" width="8.5703125" style="36" hidden="1" customWidth="1"/>
    <col min="34" max="16384" width="11.42578125" style="36"/>
  </cols>
  <sheetData>
    <row r="1" spans="2:31" ht="20.100000000000001" customHeight="1" x14ac:dyDescent="0.25"/>
    <row r="2" spans="2:31" ht="20.100000000000001" customHeight="1" x14ac:dyDescent="0.25"/>
    <row r="3" spans="2:31" ht="20.100000000000001" customHeight="1" x14ac:dyDescent="0.25">
      <c r="D3" s="257" t="str">
        <f>'IDENTIFICACIÓN TRABAJADOR'!G3</f>
        <v>Nº DE EXPEDIENTE: 2023.11.ACEE.0000</v>
      </c>
      <c r="E3" s="193"/>
      <c r="F3" s="257"/>
      <c r="T3" s="36" t="s">
        <v>256</v>
      </c>
    </row>
    <row r="4" spans="2:31" ht="20.100000000000001" customHeight="1" x14ac:dyDescent="0.25">
      <c r="E4" s="51"/>
      <c r="F4" s="202"/>
      <c r="T4" s="202">
        <f>COUNTIFS('% DEDICACIÓN TRABAJADOR'!$B$37:$B$96,2,'% DEDICACIÓN TRABAJADOR'!$E$37:$E$96,"&gt;0")</f>
        <v>0</v>
      </c>
    </row>
    <row r="5" spans="2:31" ht="20.100000000000001" customHeight="1" x14ac:dyDescent="0.25">
      <c r="D5" s="258" t="str">
        <f>'LINEAS CON DEDICACIÓN'!C6</f>
        <v xml:space="preserve">TRABAJADOR:   </v>
      </c>
      <c r="E5" s="259"/>
      <c r="F5" s="202"/>
      <c r="T5" s="36" t="s">
        <v>255</v>
      </c>
    </row>
    <row r="6" spans="2:31" ht="20.100000000000001" customHeight="1" x14ac:dyDescent="0.25">
      <c r="D6" s="258" t="str">
        <f>'LINEAS CON DEDICACIÓN'!C7</f>
        <v xml:space="preserve">ACRÓNIMO: </v>
      </c>
      <c r="E6" s="259"/>
      <c r="F6" s="202"/>
      <c r="T6" s="36" t="str">
        <f>IF(COUNTIF(U25:U39,"&gt;1")&gt;0,"SI","NO")</f>
        <v>NO</v>
      </c>
    </row>
    <row r="7" spans="2:31" ht="20.100000000000001" customHeight="1" thickBot="1" x14ac:dyDescent="0.3">
      <c r="D7" s="258"/>
      <c r="E7" s="259"/>
      <c r="F7" s="202"/>
    </row>
    <row r="8" spans="2:31" s="55" customFormat="1" ht="25.5" customHeight="1" x14ac:dyDescent="0.25">
      <c r="B8" s="437">
        <f>EXPEDIENTE!C16</f>
        <v>2023</v>
      </c>
      <c r="C8" s="439" t="s">
        <v>236</v>
      </c>
      <c r="D8" s="434" t="s">
        <v>139</v>
      </c>
      <c r="E8" s="319"/>
      <c r="F8" s="435"/>
      <c r="G8" s="434" t="s">
        <v>142</v>
      </c>
      <c r="H8" s="319"/>
      <c r="I8" s="435"/>
      <c r="J8" s="158" t="s">
        <v>140</v>
      </c>
      <c r="K8" s="434" t="s">
        <v>72</v>
      </c>
      <c r="L8" s="319"/>
      <c r="M8" s="435"/>
      <c r="N8" s="439" t="s">
        <v>311</v>
      </c>
      <c r="O8" s="439" t="s">
        <v>312</v>
      </c>
      <c r="P8" s="432" t="s">
        <v>98</v>
      </c>
    </row>
    <row r="9" spans="2:31" s="39" customFormat="1" ht="64.5" thickBot="1" x14ac:dyDescent="0.3">
      <c r="B9" s="438"/>
      <c r="C9" s="440"/>
      <c r="D9" s="160" t="s">
        <v>138</v>
      </c>
      <c r="E9" s="151" t="s">
        <v>75</v>
      </c>
      <c r="F9" s="161" t="s">
        <v>99</v>
      </c>
      <c r="G9" s="160" t="s">
        <v>90</v>
      </c>
      <c r="H9" s="151" t="s">
        <v>143</v>
      </c>
      <c r="I9" s="168" t="s">
        <v>91</v>
      </c>
      <c r="J9" s="159" t="s">
        <v>141</v>
      </c>
      <c r="K9" s="160" t="s">
        <v>94</v>
      </c>
      <c r="L9" s="151" t="s">
        <v>86</v>
      </c>
      <c r="M9" s="168" t="s">
        <v>95</v>
      </c>
      <c r="N9" s="440"/>
      <c r="O9" s="440"/>
      <c r="P9" s="433"/>
      <c r="Z9" s="43"/>
      <c r="AA9" s="43"/>
      <c r="AB9" s="43"/>
      <c r="AC9" s="43"/>
    </row>
    <row r="10" spans="2:31" ht="15" customHeight="1" x14ac:dyDescent="0.25">
      <c r="B10" s="152" t="s">
        <v>52</v>
      </c>
      <c r="C10" s="155">
        <f>ROUND('% DEDICACIÓN TRABAJADOR'!K33,4)</f>
        <v>0</v>
      </c>
      <c r="D10" s="162">
        <f>'GASTOS TRABAJADOR'!F20+'GASTOS TRABAJADOR'!L20</f>
        <v>0</v>
      </c>
      <c r="E10" s="48" t="str">
        <f>IF('GASTOS TRABAJADOR'!AA20="","",'GASTOS TRABAJADOR'!AA20)</f>
        <v/>
      </c>
      <c r="F10" s="163">
        <f>IF(E10&lt;=EXPEDIENTE!$H$29,D10,0)</f>
        <v>0</v>
      </c>
      <c r="G10" s="162">
        <f>'GASTOS TRABAJADOR'!Y20</f>
        <v>0</v>
      </c>
      <c r="H10" s="48" t="str">
        <f>IF('GASTOS TRABAJADOR'!AB20="","",'GASTOS TRABAJADOR'!AB20)</f>
        <v/>
      </c>
      <c r="I10" s="163">
        <f>IF(H10&lt;=EXPEDIENTE!$H$29,G10,0)</f>
        <v>0</v>
      </c>
      <c r="J10" s="169">
        <f>'GASTOS TRABAJADOR'!T62</f>
        <v>0</v>
      </c>
      <c r="K10" s="162">
        <f>'GASTOS TRABAJADOR'!E45-'GASTOS TRABAJADOR'!F45</f>
        <v>0</v>
      </c>
      <c r="L10" s="48" t="str">
        <f>IF('GASTOS TRABAJADOR'!G45="","",'GASTOS TRABAJADOR'!G45)</f>
        <v/>
      </c>
      <c r="M10" s="163">
        <f>IF(L10&lt;=EXPEDIENTE!$H$29,K10,0)</f>
        <v>0</v>
      </c>
      <c r="N10" s="169">
        <f t="shared" ref="N10:N21" si="0">F10+J10+M10+I10</f>
        <v>0</v>
      </c>
      <c r="O10" s="169">
        <f>ROUND(N10*32.72/30,2)</f>
        <v>0</v>
      </c>
      <c r="P10" s="172">
        <f>IF(AND($T$4=0,$T$6="NO"),ROUND(C10*O10,2),0)</f>
        <v>0</v>
      </c>
      <c r="U10" s="39"/>
      <c r="V10" s="39"/>
      <c r="W10" s="39"/>
      <c r="Z10" s="37"/>
      <c r="AA10" s="37"/>
      <c r="AB10" s="43"/>
      <c r="AC10" s="43"/>
      <c r="AD10" s="39"/>
      <c r="AE10" s="39"/>
    </row>
    <row r="11" spans="2:31" ht="15" customHeight="1" x14ac:dyDescent="0.25">
      <c r="B11" s="153" t="s">
        <v>53</v>
      </c>
      <c r="C11" s="156">
        <f>ROUND('% DEDICACIÓN TRABAJADOR'!L33,4)</f>
        <v>0</v>
      </c>
      <c r="D11" s="164">
        <f>'GASTOS TRABAJADOR'!F21+'GASTOS TRABAJADOR'!L21</f>
        <v>0</v>
      </c>
      <c r="E11" s="49" t="str">
        <f>IF('GASTOS TRABAJADOR'!AA21="","",'GASTOS TRABAJADOR'!AA21)</f>
        <v/>
      </c>
      <c r="F11" s="165">
        <f>IF(E11&lt;=EXPEDIENTE!$H$29,D11,0)</f>
        <v>0</v>
      </c>
      <c r="G11" s="164">
        <f>'GASTOS TRABAJADOR'!Y21</f>
        <v>0</v>
      </c>
      <c r="H11" s="49" t="str">
        <f>IF('GASTOS TRABAJADOR'!AB21="","",'GASTOS TRABAJADOR'!AB21)</f>
        <v/>
      </c>
      <c r="I11" s="165">
        <f>IF(H11&lt;=EXPEDIENTE!$H$29,G11,0)</f>
        <v>0</v>
      </c>
      <c r="J11" s="170">
        <f>'GASTOS TRABAJADOR'!T63</f>
        <v>0</v>
      </c>
      <c r="K11" s="164">
        <f>'GASTOS TRABAJADOR'!E46-'GASTOS TRABAJADOR'!F46</f>
        <v>0</v>
      </c>
      <c r="L11" s="49" t="str">
        <f>IF('GASTOS TRABAJADOR'!G46="","",'GASTOS TRABAJADOR'!G46)</f>
        <v/>
      </c>
      <c r="M11" s="165">
        <f>IF(L11&lt;=EXPEDIENTE!$H$29,K11,0)</f>
        <v>0</v>
      </c>
      <c r="N11" s="170">
        <f t="shared" si="0"/>
        <v>0</v>
      </c>
      <c r="O11" s="170">
        <f t="shared" ref="O11:O21" si="1">ROUND(N11*32.72/30,2)</f>
        <v>0</v>
      </c>
      <c r="P11" s="173">
        <f t="shared" ref="P11:P21" si="2">IF(AND($T$4=0,$T$6="NO"),ROUND(C11*O11,2),0)</f>
        <v>0</v>
      </c>
      <c r="U11" s="39"/>
      <c r="V11" s="39"/>
      <c r="W11" s="39"/>
      <c r="Z11" s="37"/>
      <c r="AA11" s="37"/>
      <c r="AB11" s="43"/>
      <c r="AC11" s="43"/>
      <c r="AD11" s="39"/>
      <c r="AE11" s="39"/>
    </row>
    <row r="12" spans="2:31" ht="15" customHeight="1" x14ac:dyDescent="0.25">
      <c r="B12" s="153" t="s">
        <v>54</v>
      </c>
      <c r="C12" s="156">
        <f>ROUND('% DEDICACIÓN TRABAJADOR'!M33,4)</f>
        <v>0</v>
      </c>
      <c r="D12" s="164">
        <f>'GASTOS TRABAJADOR'!F22+'GASTOS TRABAJADOR'!L22</f>
        <v>0</v>
      </c>
      <c r="E12" s="49" t="str">
        <f>IF('GASTOS TRABAJADOR'!AA22="","",'GASTOS TRABAJADOR'!AA22)</f>
        <v/>
      </c>
      <c r="F12" s="165">
        <f>IF(E12&lt;=EXPEDIENTE!$H$29,D12,0)</f>
        <v>0</v>
      </c>
      <c r="G12" s="164">
        <f>'GASTOS TRABAJADOR'!Y22</f>
        <v>0</v>
      </c>
      <c r="H12" s="49" t="str">
        <f>IF('GASTOS TRABAJADOR'!AB22="","",'GASTOS TRABAJADOR'!AB22)</f>
        <v/>
      </c>
      <c r="I12" s="165">
        <f>IF(H12&lt;=EXPEDIENTE!$H$29,G12,0)</f>
        <v>0</v>
      </c>
      <c r="J12" s="170">
        <f>'GASTOS TRABAJADOR'!T64</f>
        <v>0</v>
      </c>
      <c r="K12" s="164">
        <f>'GASTOS TRABAJADOR'!E47-'GASTOS TRABAJADOR'!F47</f>
        <v>0</v>
      </c>
      <c r="L12" s="49" t="str">
        <f>IF('GASTOS TRABAJADOR'!G47="","",'GASTOS TRABAJADOR'!G47)</f>
        <v/>
      </c>
      <c r="M12" s="165">
        <f>IF(L12&lt;=EXPEDIENTE!$H$29,K12,0)</f>
        <v>0</v>
      </c>
      <c r="N12" s="170">
        <f t="shared" si="0"/>
        <v>0</v>
      </c>
      <c r="O12" s="170">
        <f t="shared" si="1"/>
        <v>0</v>
      </c>
      <c r="P12" s="173">
        <f t="shared" si="2"/>
        <v>0</v>
      </c>
      <c r="U12" s="39"/>
      <c r="V12" s="39"/>
      <c r="W12" s="39"/>
      <c r="Z12" s="37"/>
      <c r="AA12" s="37"/>
      <c r="AB12" s="43"/>
      <c r="AC12" s="43"/>
      <c r="AD12" s="39"/>
      <c r="AE12" s="39"/>
    </row>
    <row r="13" spans="2:31" ht="15" customHeight="1" x14ac:dyDescent="0.25">
      <c r="B13" s="153" t="s">
        <v>55</v>
      </c>
      <c r="C13" s="156">
        <f>ROUND('% DEDICACIÓN TRABAJADOR'!N33,4)</f>
        <v>0</v>
      </c>
      <c r="D13" s="164">
        <f>'GASTOS TRABAJADOR'!F23+'GASTOS TRABAJADOR'!L23</f>
        <v>0</v>
      </c>
      <c r="E13" s="49" t="str">
        <f>IF('GASTOS TRABAJADOR'!AA23="","",'GASTOS TRABAJADOR'!AA23)</f>
        <v/>
      </c>
      <c r="F13" s="165">
        <f>IF(E13&lt;=EXPEDIENTE!$H$29,D13,0)</f>
        <v>0</v>
      </c>
      <c r="G13" s="164">
        <f>'GASTOS TRABAJADOR'!Y23</f>
        <v>0</v>
      </c>
      <c r="H13" s="49" t="str">
        <f>IF('GASTOS TRABAJADOR'!AB23="","",'GASTOS TRABAJADOR'!AB23)</f>
        <v/>
      </c>
      <c r="I13" s="165">
        <f>IF(H13&lt;=EXPEDIENTE!$H$29,G13,0)</f>
        <v>0</v>
      </c>
      <c r="J13" s="170">
        <f>'GASTOS TRABAJADOR'!T65</f>
        <v>0</v>
      </c>
      <c r="K13" s="164">
        <f>'GASTOS TRABAJADOR'!E48-'GASTOS TRABAJADOR'!F48</f>
        <v>0</v>
      </c>
      <c r="L13" s="49" t="str">
        <f>IF('GASTOS TRABAJADOR'!G48="","",'GASTOS TRABAJADOR'!G48)</f>
        <v/>
      </c>
      <c r="M13" s="165">
        <f>IF(L13&lt;=EXPEDIENTE!$H$29,K13,0)</f>
        <v>0</v>
      </c>
      <c r="N13" s="170">
        <f t="shared" si="0"/>
        <v>0</v>
      </c>
      <c r="O13" s="170">
        <f t="shared" si="1"/>
        <v>0</v>
      </c>
      <c r="P13" s="173">
        <f t="shared" si="2"/>
        <v>0</v>
      </c>
      <c r="U13" s="39"/>
      <c r="V13" s="39"/>
      <c r="W13" s="39"/>
      <c r="Z13" s="37"/>
      <c r="AA13" s="37"/>
      <c r="AB13" s="43"/>
      <c r="AC13" s="43"/>
      <c r="AD13" s="39"/>
      <c r="AE13" s="39"/>
    </row>
    <row r="14" spans="2:31" ht="15" customHeight="1" x14ac:dyDescent="0.25">
      <c r="B14" s="153" t="s">
        <v>56</v>
      </c>
      <c r="C14" s="156">
        <f>ROUND('% DEDICACIÓN TRABAJADOR'!O33,4)</f>
        <v>0</v>
      </c>
      <c r="D14" s="164">
        <f>'GASTOS TRABAJADOR'!F24+'GASTOS TRABAJADOR'!L24</f>
        <v>0</v>
      </c>
      <c r="E14" s="49" t="str">
        <f>IF('GASTOS TRABAJADOR'!AA24="","",'GASTOS TRABAJADOR'!AA24)</f>
        <v/>
      </c>
      <c r="F14" s="165">
        <f>IF(E14&lt;=EXPEDIENTE!$H$29,D14,0)</f>
        <v>0</v>
      </c>
      <c r="G14" s="164">
        <f>'GASTOS TRABAJADOR'!Y24</f>
        <v>0</v>
      </c>
      <c r="H14" s="49" t="str">
        <f>IF('GASTOS TRABAJADOR'!AB24="","",'GASTOS TRABAJADOR'!AB24)</f>
        <v/>
      </c>
      <c r="I14" s="165">
        <f>IF(H14&lt;=EXPEDIENTE!$H$29,G14,0)</f>
        <v>0</v>
      </c>
      <c r="J14" s="170">
        <f>'GASTOS TRABAJADOR'!T66</f>
        <v>0</v>
      </c>
      <c r="K14" s="164">
        <f>'GASTOS TRABAJADOR'!E49-'GASTOS TRABAJADOR'!F49</f>
        <v>0</v>
      </c>
      <c r="L14" s="49" t="str">
        <f>IF('GASTOS TRABAJADOR'!G49="","",'GASTOS TRABAJADOR'!G49)</f>
        <v/>
      </c>
      <c r="M14" s="165">
        <f>IF(L14&lt;=EXPEDIENTE!$H$29,K14,0)</f>
        <v>0</v>
      </c>
      <c r="N14" s="170">
        <f t="shared" si="0"/>
        <v>0</v>
      </c>
      <c r="O14" s="170">
        <f t="shared" si="1"/>
        <v>0</v>
      </c>
      <c r="P14" s="173">
        <f t="shared" si="2"/>
        <v>0</v>
      </c>
      <c r="U14" s="39"/>
      <c r="V14" s="39"/>
      <c r="W14" s="39"/>
      <c r="Z14" s="37"/>
      <c r="AA14" s="37"/>
      <c r="AB14" s="43"/>
      <c r="AC14" s="43"/>
      <c r="AD14" s="39"/>
      <c r="AE14" s="39"/>
    </row>
    <row r="15" spans="2:31" ht="15" customHeight="1" x14ac:dyDescent="0.25">
      <c r="B15" s="153" t="s">
        <v>57</v>
      </c>
      <c r="C15" s="156">
        <f>ROUND('% DEDICACIÓN TRABAJADOR'!P33,4)</f>
        <v>0</v>
      </c>
      <c r="D15" s="164">
        <f>'GASTOS TRABAJADOR'!F25+'GASTOS TRABAJADOR'!L25</f>
        <v>0</v>
      </c>
      <c r="E15" s="49" t="str">
        <f>IF('GASTOS TRABAJADOR'!AA25="","",'GASTOS TRABAJADOR'!AA25)</f>
        <v/>
      </c>
      <c r="F15" s="165">
        <f>IF(E15&lt;=EXPEDIENTE!$H$29,D15,0)</f>
        <v>0</v>
      </c>
      <c r="G15" s="164">
        <f>'GASTOS TRABAJADOR'!Y25</f>
        <v>0</v>
      </c>
      <c r="H15" s="49" t="str">
        <f>IF('GASTOS TRABAJADOR'!AB25="","",'GASTOS TRABAJADOR'!AB25)</f>
        <v/>
      </c>
      <c r="I15" s="165">
        <f>IF(H15&lt;=EXPEDIENTE!$H$29,G15,0)</f>
        <v>0</v>
      </c>
      <c r="J15" s="170">
        <f>'GASTOS TRABAJADOR'!S67</f>
        <v>0</v>
      </c>
      <c r="K15" s="164">
        <f>'GASTOS TRABAJADOR'!E50-'GASTOS TRABAJADOR'!F50</f>
        <v>0</v>
      </c>
      <c r="L15" s="49" t="str">
        <f>IF('GASTOS TRABAJADOR'!G50="","",'GASTOS TRABAJADOR'!G50)</f>
        <v/>
      </c>
      <c r="M15" s="165">
        <f>IF(L15&lt;=EXPEDIENTE!$H$29,K15,0)</f>
        <v>0</v>
      </c>
      <c r="N15" s="170">
        <f t="shared" si="0"/>
        <v>0</v>
      </c>
      <c r="O15" s="170">
        <f t="shared" si="1"/>
        <v>0</v>
      </c>
      <c r="P15" s="173">
        <f t="shared" si="2"/>
        <v>0</v>
      </c>
      <c r="U15" s="39"/>
      <c r="V15" s="39"/>
      <c r="W15" s="39"/>
      <c r="Z15" s="37"/>
      <c r="AA15" s="37"/>
      <c r="AC15" s="37"/>
    </row>
    <row r="16" spans="2:31" ht="15" customHeight="1" x14ac:dyDescent="0.25">
      <c r="B16" s="153" t="s">
        <v>58</v>
      </c>
      <c r="C16" s="156">
        <f>ROUND('% DEDICACIÓN TRABAJADOR'!Q33,4)</f>
        <v>0</v>
      </c>
      <c r="D16" s="164">
        <f>'GASTOS TRABAJADOR'!F26+'GASTOS TRABAJADOR'!L26</f>
        <v>0</v>
      </c>
      <c r="E16" s="49" t="str">
        <f>IF('GASTOS TRABAJADOR'!AA26="","",'GASTOS TRABAJADOR'!AA26)</f>
        <v/>
      </c>
      <c r="F16" s="165">
        <f>IF(E16&lt;=EXPEDIENTE!$H$29,D16,0)</f>
        <v>0</v>
      </c>
      <c r="G16" s="164">
        <f>'GASTOS TRABAJADOR'!Y26</f>
        <v>0</v>
      </c>
      <c r="H16" s="49" t="str">
        <f>IF('GASTOS TRABAJADOR'!AB26="","",'GASTOS TRABAJADOR'!AB26)</f>
        <v/>
      </c>
      <c r="I16" s="165">
        <f>IF(H16&lt;=EXPEDIENTE!$H$29,G16,0)</f>
        <v>0</v>
      </c>
      <c r="J16" s="170">
        <f>'GASTOS TRABAJADOR'!S68</f>
        <v>0</v>
      </c>
      <c r="K16" s="164">
        <f>'GASTOS TRABAJADOR'!E51-'GASTOS TRABAJADOR'!F51</f>
        <v>0</v>
      </c>
      <c r="L16" s="49" t="str">
        <f>IF('GASTOS TRABAJADOR'!G51="","",'GASTOS TRABAJADOR'!G51)</f>
        <v/>
      </c>
      <c r="M16" s="165">
        <f>IF(L16&lt;=EXPEDIENTE!$H$29,K16,0)</f>
        <v>0</v>
      </c>
      <c r="N16" s="170">
        <f t="shared" si="0"/>
        <v>0</v>
      </c>
      <c r="O16" s="170">
        <f t="shared" si="1"/>
        <v>0</v>
      </c>
      <c r="P16" s="173">
        <f t="shared" si="2"/>
        <v>0</v>
      </c>
      <c r="Z16" s="37"/>
      <c r="AA16" s="37"/>
      <c r="AC16" s="37"/>
    </row>
    <row r="17" spans="2:33" ht="15" customHeight="1" x14ac:dyDescent="0.25">
      <c r="B17" s="153" t="s">
        <v>59</v>
      </c>
      <c r="C17" s="156">
        <f>ROUND('% DEDICACIÓN TRABAJADOR'!R33,4)</f>
        <v>0</v>
      </c>
      <c r="D17" s="164">
        <f>'GASTOS TRABAJADOR'!F27+'GASTOS TRABAJADOR'!L27</f>
        <v>0</v>
      </c>
      <c r="E17" s="49" t="str">
        <f>IF('GASTOS TRABAJADOR'!AA27="","",'GASTOS TRABAJADOR'!AA27)</f>
        <v/>
      </c>
      <c r="F17" s="165">
        <f>IF(E17&lt;=EXPEDIENTE!$H$29,D17,0)</f>
        <v>0</v>
      </c>
      <c r="G17" s="164">
        <f>'GASTOS TRABAJADOR'!Y27</f>
        <v>0</v>
      </c>
      <c r="H17" s="49" t="str">
        <f>IF('GASTOS TRABAJADOR'!AB27="","",'GASTOS TRABAJADOR'!AB27)</f>
        <v/>
      </c>
      <c r="I17" s="165">
        <f>IF(H17&lt;=EXPEDIENTE!$H$29,G17,0)</f>
        <v>0</v>
      </c>
      <c r="J17" s="170">
        <f>'GASTOS TRABAJADOR'!S69</f>
        <v>0</v>
      </c>
      <c r="K17" s="164">
        <f>'GASTOS TRABAJADOR'!E52-'GASTOS TRABAJADOR'!F52</f>
        <v>0</v>
      </c>
      <c r="L17" s="49" t="str">
        <f>IF('GASTOS TRABAJADOR'!G52="","",'GASTOS TRABAJADOR'!G52)</f>
        <v/>
      </c>
      <c r="M17" s="165">
        <f>IF(L17&lt;=EXPEDIENTE!$H$29,K17,0)</f>
        <v>0</v>
      </c>
      <c r="N17" s="170">
        <f t="shared" si="0"/>
        <v>0</v>
      </c>
      <c r="O17" s="170">
        <f t="shared" si="1"/>
        <v>0</v>
      </c>
      <c r="P17" s="173">
        <f t="shared" si="2"/>
        <v>0</v>
      </c>
      <c r="Z17" s="37"/>
      <c r="AA17" s="37"/>
      <c r="AC17" s="37"/>
    </row>
    <row r="18" spans="2:33" ht="15" customHeight="1" x14ac:dyDescent="0.25">
      <c r="B18" s="153" t="s">
        <v>60</v>
      </c>
      <c r="C18" s="156">
        <f>ROUND('% DEDICACIÓN TRABAJADOR'!S33,4)</f>
        <v>0</v>
      </c>
      <c r="D18" s="164">
        <f>'GASTOS TRABAJADOR'!F28+'GASTOS TRABAJADOR'!L28</f>
        <v>0</v>
      </c>
      <c r="E18" s="49" t="str">
        <f>IF('GASTOS TRABAJADOR'!AA28="","",'GASTOS TRABAJADOR'!AA28)</f>
        <v/>
      </c>
      <c r="F18" s="165">
        <f>IF(E18&lt;=EXPEDIENTE!$H$29,D18,0)</f>
        <v>0</v>
      </c>
      <c r="G18" s="164">
        <f>'GASTOS TRABAJADOR'!Y28</f>
        <v>0</v>
      </c>
      <c r="H18" s="49" t="str">
        <f>IF('GASTOS TRABAJADOR'!AB28="","",'GASTOS TRABAJADOR'!AB28)</f>
        <v/>
      </c>
      <c r="I18" s="165">
        <f>IF(H18&lt;=EXPEDIENTE!$H$29,G18,0)</f>
        <v>0</v>
      </c>
      <c r="J18" s="170">
        <f>'GASTOS TRABAJADOR'!S70</f>
        <v>0</v>
      </c>
      <c r="K18" s="164">
        <f>'GASTOS TRABAJADOR'!E53-'GASTOS TRABAJADOR'!F53</f>
        <v>0</v>
      </c>
      <c r="L18" s="49" t="str">
        <f>IF('GASTOS TRABAJADOR'!G53="","",'GASTOS TRABAJADOR'!G53)</f>
        <v/>
      </c>
      <c r="M18" s="165">
        <f>IF(L18&lt;=EXPEDIENTE!$H$29,K18,0)</f>
        <v>0</v>
      </c>
      <c r="N18" s="170">
        <f t="shared" si="0"/>
        <v>0</v>
      </c>
      <c r="O18" s="170">
        <f t="shared" si="1"/>
        <v>0</v>
      </c>
      <c r="P18" s="173">
        <f t="shared" si="2"/>
        <v>0</v>
      </c>
      <c r="Z18" s="37"/>
      <c r="AA18" s="37"/>
      <c r="AC18" s="37"/>
    </row>
    <row r="19" spans="2:33" ht="15" customHeight="1" x14ac:dyDescent="0.25">
      <c r="B19" s="153" t="s">
        <v>61</v>
      </c>
      <c r="C19" s="156">
        <f>ROUND('% DEDICACIÓN TRABAJADOR'!T33,4)</f>
        <v>0</v>
      </c>
      <c r="D19" s="164">
        <f>'GASTOS TRABAJADOR'!F29+'GASTOS TRABAJADOR'!L29</f>
        <v>0</v>
      </c>
      <c r="E19" s="49" t="str">
        <f>IF('GASTOS TRABAJADOR'!AA29="","",'GASTOS TRABAJADOR'!AA29)</f>
        <v/>
      </c>
      <c r="F19" s="165">
        <f>IF(E19&lt;=EXPEDIENTE!$H$29,D19,0)</f>
        <v>0</v>
      </c>
      <c r="G19" s="164">
        <f>'GASTOS TRABAJADOR'!Y29</f>
        <v>0</v>
      </c>
      <c r="H19" s="49" t="str">
        <f>IF('GASTOS TRABAJADOR'!AB29="","",'GASTOS TRABAJADOR'!AB29)</f>
        <v/>
      </c>
      <c r="I19" s="165">
        <f>IF(H19&lt;=EXPEDIENTE!$H$29,G19,0)</f>
        <v>0</v>
      </c>
      <c r="J19" s="170">
        <f>'GASTOS TRABAJADOR'!S71</f>
        <v>0</v>
      </c>
      <c r="K19" s="164">
        <f>'GASTOS TRABAJADOR'!E54-'GASTOS TRABAJADOR'!F54</f>
        <v>0</v>
      </c>
      <c r="L19" s="49" t="str">
        <f>IF('GASTOS TRABAJADOR'!G54="","",'GASTOS TRABAJADOR'!G54)</f>
        <v/>
      </c>
      <c r="M19" s="165">
        <f>IF(L19&lt;=EXPEDIENTE!$H$29,K19,0)</f>
        <v>0</v>
      </c>
      <c r="N19" s="170">
        <f t="shared" si="0"/>
        <v>0</v>
      </c>
      <c r="O19" s="170">
        <f t="shared" si="1"/>
        <v>0</v>
      </c>
      <c r="P19" s="173">
        <f t="shared" si="2"/>
        <v>0</v>
      </c>
      <c r="Z19" s="37"/>
      <c r="AA19" s="37"/>
      <c r="AC19" s="37"/>
    </row>
    <row r="20" spans="2:33" ht="15" customHeight="1" x14ac:dyDescent="0.25">
      <c r="B20" s="153" t="s">
        <v>62</v>
      </c>
      <c r="C20" s="156">
        <f>ROUND('% DEDICACIÓN TRABAJADOR'!U33,4)</f>
        <v>0</v>
      </c>
      <c r="D20" s="164">
        <f>'GASTOS TRABAJADOR'!F30+'GASTOS TRABAJADOR'!L30</f>
        <v>0</v>
      </c>
      <c r="E20" s="49" t="str">
        <f>IF('GASTOS TRABAJADOR'!AA30="","",'GASTOS TRABAJADOR'!AA30)</f>
        <v/>
      </c>
      <c r="F20" s="165">
        <f>IF(E20&lt;=EXPEDIENTE!$H$29,D20,0)</f>
        <v>0</v>
      </c>
      <c r="G20" s="164">
        <f>'GASTOS TRABAJADOR'!Y30</f>
        <v>0</v>
      </c>
      <c r="H20" s="49" t="str">
        <f>IF('GASTOS TRABAJADOR'!AB30="","",'GASTOS TRABAJADOR'!AB30)</f>
        <v/>
      </c>
      <c r="I20" s="165">
        <f>IF(H20&lt;=EXPEDIENTE!$H$29,G20,0)</f>
        <v>0</v>
      </c>
      <c r="J20" s="170">
        <f>'GASTOS TRABAJADOR'!S72</f>
        <v>0</v>
      </c>
      <c r="K20" s="164">
        <f>'GASTOS TRABAJADOR'!E55-'GASTOS TRABAJADOR'!F55</f>
        <v>0</v>
      </c>
      <c r="L20" s="49" t="str">
        <f>IF('GASTOS TRABAJADOR'!G55="","",'GASTOS TRABAJADOR'!G55)</f>
        <v/>
      </c>
      <c r="M20" s="165">
        <f>IF(L20&lt;=EXPEDIENTE!$H$29,K20,0)</f>
        <v>0</v>
      </c>
      <c r="N20" s="170">
        <f t="shared" si="0"/>
        <v>0</v>
      </c>
      <c r="O20" s="170">
        <f t="shared" si="1"/>
        <v>0</v>
      </c>
      <c r="P20" s="173">
        <f t="shared" si="2"/>
        <v>0</v>
      </c>
      <c r="Z20" s="37"/>
      <c r="AA20" s="37"/>
      <c r="AC20" s="37"/>
    </row>
    <row r="21" spans="2:33" ht="15" customHeight="1" thickBot="1" x14ac:dyDescent="0.3">
      <c r="B21" s="154" t="s">
        <v>63</v>
      </c>
      <c r="C21" s="157">
        <f>ROUND('% DEDICACIÓN TRABAJADOR'!V33,4)</f>
        <v>0</v>
      </c>
      <c r="D21" s="166">
        <f>'GASTOS TRABAJADOR'!F31+'GASTOS TRABAJADOR'!L31</f>
        <v>0</v>
      </c>
      <c r="E21" s="50" t="str">
        <f>IF('GASTOS TRABAJADOR'!AA31="","",'GASTOS TRABAJADOR'!AA31)</f>
        <v/>
      </c>
      <c r="F21" s="167">
        <f>IF(E21&lt;=EXPEDIENTE!$H$29,D21,0)</f>
        <v>0</v>
      </c>
      <c r="G21" s="166">
        <f>'GASTOS TRABAJADOR'!Y31</f>
        <v>0</v>
      </c>
      <c r="H21" s="50" t="str">
        <f>IF('GASTOS TRABAJADOR'!AB31="","",'GASTOS TRABAJADOR'!AB31)</f>
        <v/>
      </c>
      <c r="I21" s="167">
        <f>IF(H21&lt;=EXPEDIENTE!$H$29,G21,0)</f>
        <v>0</v>
      </c>
      <c r="J21" s="171">
        <f>'GASTOS TRABAJADOR'!S73</f>
        <v>0</v>
      </c>
      <c r="K21" s="166">
        <f>'GASTOS TRABAJADOR'!E56-'GASTOS TRABAJADOR'!F56</f>
        <v>0</v>
      </c>
      <c r="L21" s="50" t="str">
        <f>IF('GASTOS TRABAJADOR'!G56="","",'GASTOS TRABAJADOR'!G56)</f>
        <v/>
      </c>
      <c r="M21" s="167">
        <f>IF(L21&lt;=EXPEDIENTE!$H$29,K21,0)</f>
        <v>0</v>
      </c>
      <c r="N21" s="171">
        <f t="shared" si="0"/>
        <v>0</v>
      </c>
      <c r="O21" s="171">
        <f t="shared" si="1"/>
        <v>0</v>
      </c>
      <c r="P21" s="174">
        <f t="shared" si="2"/>
        <v>0</v>
      </c>
      <c r="Z21" s="37"/>
      <c r="AA21" s="37"/>
      <c r="AC21" s="37"/>
    </row>
    <row r="22" spans="2:33" ht="14.25" thickBot="1" x14ac:dyDescent="0.3">
      <c r="M22" s="179"/>
      <c r="N22" s="179"/>
      <c r="O22" s="179"/>
      <c r="P22" s="179"/>
      <c r="Z22" s="37"/>
      <c r="AA22" s="37"/>
      <c r="AC22" s="37"/>
    </row>
    <row r="23" spans="2:33" ht="20.100000000000001" customHeight="1" thickBot="1" x14ac:dyDescent="0.3">
      <c r="G23" s="38"/>
      <c r="N23" s="261"/>
      <c r="O23" s="194" t="s">
        <v>237</v>
      </c>
      <c r="P23" s="175">
        <f>SUM(P10:P21)</f>
        <v>0</v>
      </c>
      <c r="R23" s="36" t="str">
        <f>IF(T4&gt;0,"EXISTE ALGÚN % DE DEDICACIÓN SUPERIOR AL 100% EN ESTA ACTUACIÓN",IF(T6="SI","EXISTEN LÍNEAS REPETIDAS EN ESTA ACTUACIÓN",""))</f>
        <v/>
      </c>
      <c r="T23" s="54" t="s">
        <v>227</v>
      </c>
      <c r="U23" s="54" t="s">
        <v>254</v>
      </c>
      <c r="V23" s="36">
        <v>8</v>
      </c>
      <c r="W23" s="36">
        <v>9</v>
      </c>
      <c r="X23" s="36">
        <v>10</v>
      </c>
      <c r="Y23" s="36">
        <v>11</v>
      </c>
      <c r="Z23" s="36">
        <v>12</v>
      </c>
      <c r="AA23" s="36">
        <v>13</v>
      </c>
      <c r="AB23" s="36">
        <v>14</v>
      </c>
      <c r="AC23" s="36">
        <v>15</v>
      </c>
      <c r="AD23" s="36">
        <v>16</v>
      </c>
      <c r="AE23" s="36">
        <v>17</v>
      </c>
      <c r="AF23" s="36">
        <v>18</v>
      </c>
      <c r="AG23" s="36">
        <v>19</v>
      </c>
    </row>
    <row r="24" spans="2:33" x14ac:dyDescent="0.25">
      <c r="M24" s="179"/>
      <c r="N24" s="179"/>
      <c r="O24" s="179"/>
      <c r="P24" s="179"/>
      <c r="AA24" s="37"/>
      <c r="AB24" s="37"/>
    </row>
    <row r="25" spans="2:33" s="246" customFormat="1" ht="15" customHeight="1" x14ac:dyDescent="0.25">
      <c r="M25" s="436" t="str">
        <f>IF(AUXILIAR!R41="x","",CONCATENATE("SUBTOTAL ",AUXILIAR!R41))</f>
        <v/>
      </c>
      <c r="N25" s="436"/>
      <c r="O25" s="436"/>
      <c r="P25" s="248" t="str">
        <f>IF(M25="","",IF($T$4&gt;0,0,IF($T$6="SI",0,IFERROR(ROUND(V25*$O$10+W25*$O$11+X25*$O$12+Y25*$O$13+Z25*$O$14+AA25*$O$15+AB25*$O$16+AC25*$O$17+AD25*$O$18+AE25*$O$19+AF25*$O$20+AG25*$O$21,2),""))))</f>
        <v/>
      </c>
      <c r="R25" s="246" t="str">
        <f>IF(M25="","",IF(AND(M25&lt;&gt;"",OR($T$4&gt;0,$T$6="SI")),"",IF(AND(M25&lt;&gt;"",P25=""),"SE DIO DE ALTA LA LÍNEA PERO NO SE LE ASIGNÓ % DE DEDICACIÓN",IF(U25&gt;1,"LA LÍNEA SE HA DADO DE ALTA MÁS DE UNA VEZ",IF(SUM(V25:AG25)=0,CONCATENATE("LA SUMA DE LOS % DE DEDICACIÓN DE LA LÍNEA SON DEL 0%"),"")))))</f>
        <v/>
      </c>
      <c r="T25" s="246" t="str">
        <f t="shared" ref="T25:T26" si="3">IF(M25="","",IF(MID(M25,19,1)=":",VALUE(CONCATENATE(MID(M25,16,1),MID(M25,18,1))),VALUE(CONCATENATE(MID(M25,16,1),MID(M25,18,2)))))</f>
        <v/>
      </c>
      <c r="U25" s="246">
        <f>COUNTIF('% DEDICACIÓN TRABAJADOR'!$D$37:$D$96,T25)</f>
        <v>0</v>
      </c>
      <c r="V25" s="249" t="str">
        <f>IFERROR(ROUND(VLOOKUP($T$25,'% DEDICACIÓN TRABAJADOR'!$D$37:$V$96,V$23,FALSE),4),"")</f>
        <v/>
      </c>
      <c r="W25" s="249" t="str">
        <f>IFERROR(ROUND(VLOOKUP($T$25,'% DEDICACIÓN TRABAJADOR'!$D$37:$V$96,W$23,FALSE),4),"")</f>
        <v/>
      </c>
      <c r="X25" s="249" t="str">
        <f>IFERROR(ROUND(VLOOKUP($T$25,'% DEDICACIÓN TRABAJADOR'!$D$37:$V$96,X$23,FALSE),4),"")</f>
        <v/>
      </c>
      <c r="Y25" s="249" t="str">
        <f>IFERROR(ROUND(VLOOKUP($T$25,'% DEDICACIÓN TRABAJADOR'!$D$37:$V$96,Y$23,FALSE),4),"")</f>
        <v/>
      </c>
      <c r="Z25" s="249" t="str">
        <f>IFERROR(ROUND(VLOOKUP($T$25,'% DEDICACIÓN TRABAJADOR'!$D$37:$V$96,Z$23,FALSE),4),"")</f>
        <v/>
      </c>
      <c r="AA25" s="249" t="str">
        <f>IFERROR(ROUND(VLOOKUP($T$25,'% DEDICACIÓN TRABAJADOR'!$D$37:$V$96,AA$23,FALSE),4),"")</f>
        <v/>
      </c>
      <c r="AB25" s="249" t="str">
        <f>IFERROR(ROUND(VLOOKUP($T$25,'% DEDICACIÓN TRABAJADOR'!$D$37:$V$96,AB$23,FALSE),4),"")</f>
        <v/>
      </c>
      <c r="AC25" s="249" t="str">
        <f>IFERROR(ROUND(VLOOKUP($T$25,'% DEDICACIÓN TRABAJADOR'!$D$37:$V$96,AC$23,FALSE),4),"")</f>
        <v/>
      </c>
      <c r="AD25" s="249" t="str">
        <f>IFERROR(ROUND(VLOOKUP($T$25,'% DEDICACIÓN TRABAJADOR'!$D$37:$V$96,AD$23,FALSE),4),"")</f>
        <v/>
      </c>
      <c r="AE25" s="249" t="str">
        <f>IFERROR(ROUND(VLOOKUP($T$25,'% DEDICACIÓN TRABAJADOR'!$D$37:$V$96,AE$23,FALSE),4),"")</f>
        <v/>
      </c>
      <c r="AF25" s="249" t="str">
        <f>IFERROR(ROUND(VLOOKUP($T$25,'% DEDICACIÓN TRABAJADOR'!$D$37:$V$96,AF$23,FALSE),4),"")</f>
        <v/>
      </c>
      <c r="AG25" s="249" t="str">
        <f>IFERROR(ROUND(VLOOKUP($T$25,'% DEDICACIÓN TRABAJADOR'!$D$37:$V$96,AG$23,FALSE),4),"")</f>
        <v/>
      </c>
    </row>
    <row r="26" spans="2:33" s="246" customFormat="1" ht="15" customHeight="1" x14ac:dyDescent="0.25">
      <c r="M26" s="436" t="str">
        <f>IF(AUXILIAR!R42="x","",CONCATENATE("SUBTOTAL ",AUXILIAR!R42))</f>
        <v/>
      </c>
      <c r="N26" s="436"/>
      <c r="O26" s="436"/>
      <c r="P26" s="248" t="str">
        <f t="shared" ref="P26:P39" si="4">IF(M26="","",IF($T$4&gt;0,0,IF($T$6="SI",0,IFERROR(ROUND(V26*$O$10+W26*$O$11+X26*$O$12+Y26*$O$13+Z26*$O$14+AA26*$O$15+AB26*$O$16+AC26*$O$17+AD26*$O$18+AE26*$O$19+AF26*$O$20+AG26*$O$21,2),""))))</f>
        <v/>
      </c>
      <c r="R26" s="246" t="str">
        <f t="shared" ref="R26:R39" si="5">IF(M26="","",IF(AND(M26&lt;&gt;"",OR($T$4&gt;0,$T$6="SI")),"",IF(AND(M26&lt;&gt;"",P26=""),"SE DIO DE ALTA LA LÍNEA PERO NO SE LE ASIGNÓ % DE DEDICACIÓN",IF(U26&gt;1,"LA LÍNEA SE HA DADO DE ALTA MÁS DE UNA VEZ",IF(SUM(V26:AG26)=0,CONCATENATE("LA SUMA DE LOS % DE DEDICACIÓN DE LA LÍNEA SON DEL 0%"),"")))))</f>
        <v/>
      </c>
      <c r="T26" s="246" t="str">
        <f t="shared" si="3"/>
        <v/>
      </c>
      <c r="U26" s="246">
        <f>COUNTIF('% DEDICACIÓN TRABAJADOR'!$D$37:$D$96,T26)</f>
        <v>0</v>
      </c>
      <c r="V26" s="249" t="str">
        <f>IFERROR(ROUND(VLOOKUP($T$26,'% DEDICACIÓN TRABAJADOR'!$D$37:$V$96,V$23,FALSE),4),"")</f>
        <v/>
      </c>
      <c r="W26" s="249" t="str">
        <f>IFERROR(ROUND(VLOOKUP($T$26,'% DEDICACIÓN TRABAJADOR'!$D$37:$V$96,W$23,FALSE),4),"")</f>
        <v/>
      </c>
      <c r="X26" s="249" t="str">
        <f>IFERROR(ROUND(VLOOKUP($T$26,'% DEDICACIÓN TRABAJADOR'!$D$37:$V$96,X$23,FALSE),4),"")</f>
        <v/>
      </c>
      <c r="Y26" s="249" t="str">
        <f>IFERROR(ROUND(VLOOKUP($T$26,'% DEDICACIÓN TRABAJADOR'!$D$37:$V$96,Y$23,FALSE),4),"")</f>
        <v/>
      </c>
      <c r="Z26" s="249" t="str">
        <f>IFERROR(ROUND(VLOOKUP($T$26,'% DEDICACIÓN TRABAJADOR'!$D$37:$V$96,Z$23,FALSE),4),"")</f>
        <v/>
      </c>
      <c r="AA26" s="249" t="str">
        <f>IFERROR(ROUND(VLOOKUP($T$26,'% DEDICACIÓN TRABAJADOR'!$D$37:$V$96,AA$23,FALSE),4),"")</f>
        <v/>
      </c>
      <c r="AB26" s="249" t="str">
        <f>IFERROR(ROUND(VLOOKUP($T$26,'% DEDICACIÓN TRABAJADOR'!$D$37:$V$96,AB$23,FALSE),4),"")</f>
        <v/>
      </c>
      <c r="AC26" s="249" t="str">
        <f>IFERROR(ROUND(VLOOKUP($T$26,'% DEDICACIÓN TRABAJADOR'!$D$37:$V$96,AC$23,FALSE),4),"")</f>
        <v/>
      </c>
      <c r="AD26" s="249" t="str">
        <f>IFERROR(ROUND(VLOOKUP($T$26,'% DEDICACIÓN TRABAJADOR'!$D$37:$V$96,AD$23,FALSE),4),"")</f>
        <v/>
      </c>
      <c r="AE26" s="249" t="str">
        <f>IFERROR(ROUND(VLOOKUP($T$26,'% DEDICACIÓN TRABAJADOR'!$D$37:$V$96,AE$23,FALSE),4),"")</f>
        <v/>
      </c>
      <c r="AF26" s="249" t="str">
        <f>IFERROR(ROUND(VLOOKUP($T$26,'% DEDICACIÓN TRABAJADOR'!$D$37:$V$96,AF$23,FALSE),4),"")</f>
        <v/>
      </c>
      <c r="AG26" s="249" t="str">
        <f>IFERROR(ROUND(VLOOKUP($T$26,'% DEDICACIÓN TRABAJADOR'!$D$37:$V$96,AG$23,FALSE),4),"")</f>
        <v/>
      </c>
    </row>
    <row r="27" spans="2:33" s="246" customFormat="1" ht="15" customHeight="1" x14ac:dyDescent="0.25">
      <c r="M27" s="436" t="str">
        <f>IF(AUXILIAR!R43="x","",CONCATENATE("SUBTOTAL ",AUXILIAR!R43))</f>
        <v/>
      </c>
      <c r="N27" s="436"/>
      <c r="O27" s="436"/>
      <c r="P27" s="248" t="str">
        <f t="shared" si="4"/>
        <v/>
      </c>
      <c r="R27" s="246" t="str">
        <f t="shared" si="5"/>
        <v/>
      </c>
      <c r="T27" s="246" t="str">
        <f>IF(M27="","",IF(MID(M27,19,1)=":",VALUE(CONCATENATE(MID(M27,16,1),MID(M27,18,1))),VALUE(CONCATENATE(MID(M27,16,1),MID(M27,18,2)))))</f>
        <v/>
      </c>
      <c r="U27" s="246">
        <f>COUNTIF('% DEDICACIÓN TRABAJADOR'!$D$37:$D$96,T27)</f>
        <v>0</v>
      </c>
      <c r="V27" s="249" t="str">
        <f>IFERROR(ROUND(VLOOKUP($T$27,'% DEDICACIÓN TRABAJADOR'!$D$37:$V$96,V$23,FALSE),4),"")</f>
        <v/>
      </c>
      <c r="W27" s="249" t="str">
        <f>IFERROR(ROUND(VLOOKUP($T$27,'% DEDICACIÓN TRABAJADOR'!$D$37:$V$96,W$23,FALSE),4),"")</f>
        <v/>
      </c>
      <c r="X27" s="249" t="str">
        <f>IFERROR(ROUND(VLOOKUP($T$27,'% DEDICACIÓN TRABAJADOR'!$D$37:$V$96,X$23,FALSE),4),"")</f>
        <v/>
      </c>
      <c r="Y27" s="249" t="str">
        <f>IFERROR(ROUND(VLOOKUP($T$27,'% DEDICACIÓN TRABAJADOR'!$D$37:$V$96,Y$23,FALSE),4),"")</f>
        <v/>
      </c>
      <c r="Z27" s="249" t="str">
        <f>IFERROR(ROUND(VLOOKUP($T$27,'% DEDICACIÓN TRABAJADOR'!$D$37:$V$96,Z$23,FALSE),4),"")</f>
        <v/>
      </c>
      <c r="AA27" s="249" t="str">
        <f>IFERROR(ROUND(VLOOKUP($T$27,'% DEDICACIÓN TRABAJADOR'!$D$37:$V$96,AA$23,FALSE),4),"")</f>
        <v/>
      </c>
      <c r="AB27" s="249" t="str">
        <f>IFERROR(ROUND(VLOOKUP($T$27,'% DEDICACIÓN TRABAJADOR'!$D$37:$V$96,AB$23,FALSE),4),"")</f>
        <v/>
      </c>
      <c r="AC27" s="249" t="str">
        <f>IFERROR(ROUND(VLOOKUP($T$27,'% DEDICACIÓN TRABAJADOR'!$D$37:$V$96,AC$23,FALSE),4),"")</f>
        <v/>
      </c>
      <c r="AD27" s="249" t="str">
        <f>IFERROR(ROUND(VLOOKUP($T$27,'% DEDICACIÓN TRABAJADOR'!$D$37:$V$96,AD$23,FALSE),4),"")</f>
        <v/>
      </c>
      <c r="AE27" s="249" t="str">
        <f>IFERROR(ROUND(VLOOKUP($T$27,'% DEDICACIÓN TRABAJADOR'!$D$37:$V$96,AE$23,FALSE),4),"")</f>
        <v/>
      </c>
      <c r="AF27" s="249" t="str">
        <f>IFERROR(ROUND(VLOOKUP($T$27,'% DEDICACIÓN TRABAJADOR'!$D$37:$V$96,AF$23,FALSE),4),"")</f>
        <v/>
      </c>
      <c r="AG27" s="249" t="str">
        <f>IFERROR(ROUND(VLOOKUP($T$27,'% DEDICACIÓN TRABAJADOR'!$D$37:$V$96,AG$23,FALSE),4),"")</f>
        <v/>
      </c>
    </row>
    <row r="28" spans="2:33" s="246" customFormat="1" ht="15" customHeight="1" x14ac:dyDescent="0.25">
      <c r="M28" s="436" t="str">
        <f>IF(AUXILIAR!R44="x","",CONCATENATE("SUBTOTAL ",AUXILIAR!R44))</f>
        <v/>
      </c>
      <c r="N28" s="436"/>
      <c r="O28" s="436"/>
      <c r="P28" s="248" t="str">
        <f t="shared" si="4"/>
        <v/>
      </c>
      <c r="R28" s="246" t="str">
        <f t="shared" si="5"/>
        <v/>
      </c>
      <c r="T28" s="246" t="str">
        <f t="shared" ref="T28:T39" si="6">IF(M28="","",IF(MID(M28,19,1)=":",VALUE(CONCATENATE(MID(M28,16,1),MID(M28,18,1))),VALUE(CONCATENATE(MID(M28,16,1),MID(M28,18,2)))))</f>
        <v/>
      </c>
      <c r="U28" s="246">
        <f>COUNTIF('% DEDICACIÓN TRABAJADOR'!$D$37:$D$96,T28)</f>
        <v>0</v>
      </c>
      <c r="V28" s="249" t="str">
        <f>IFERROR(ROUND(VLOOKUP($T$28,'% DEDICACIÓN TRABAJADOR'!$D$37:$V$96,V$23,FALSE),4),"")</f>
        <v/>
      </c>
      <c r="W28" s="249" t="str">
        <f>IFERROR(ROUND(VLOOKUP($T$28,'% DEDICACIÓN TRABAJADOR'!$D$37:$V$96,W$23,FALSE),4),"")</f>
        <v/>
      </c>
      <c r="X28" s="249" t="str">
        <f>IFERROR(ROUND(VLOOKUP($T$28,'% DEDICACIÓN TRABAJADOR'!$D$37:$V$96,X$23,FALSE),4),"")</f>
        <v/>
      </c>
      <c r="Y28" s="249" t="str">
        <f>IFERROR(ROUND(VLOOKUP($T$28,'% DEDICACIÓN TRABAJADOR'!$D$37:$V$96,Y$23,FALSE),4),"")</f>
        <v/>
      </c>
      <c r="Z28" s="249" t="str">
        <f>IFERROR(ROUND(VLOOKUP($T$28,'% DEDICACIÓN TRABAJADOR'!$D$37:$V$96,Z$23,FALSE),4),"")</f>
        <v/>
      </c>
      <c r="AA28" s="249" t="str">
        <f>IFERROR(ROUND(VLOOKUP($T$28,'% DEDICACIÓN TRABAJADOR'!$D$37:$V$96,AA$23,FALSE),4),"")</f>
        <v/>
      </c>
      <c r="AB28" s="249" t="str">
        <f>IFERROR(ROUND(VLOOKUP($T$28,'% DEDICACIÓN TRABAJADOR'!$D$37:$V$96,AB$23,FALSE),4),"")</f>
        <v/>
      </c>
      <c r="AC28" s="249" t="str">
        <f>IFERROR(ROUND(VLOOKUP($T$28,'% DEDICACIÓN TRABAJADOR'!$D$37:$V$96,AC$23,FALSE),4),"")</f>
        <v/>
      </c>
      <c r="AD28" s="249" t="str">
        <f>IFERROR(ROUND(VLOOKUP($T$28,'% DEDICACIÓN TRABAJADOR'!$D$37:$V$96,AD$23,FALSE),4),"")</f>
        <v/>
      </c>
      <c r="AE28" s="249" t="str">
        <f>IFERROR(ROUND(VLOOKUP($T$28,'% DEDICACIÓN TRABAJADOR'!$D$37:$V$96,AE$23,FALSE),4),"")</f>
        <v/>
      </c>
      <c r="AF28" s="249" t="str">
        <f>IFERROR(ROUND(VLOOKUP($T$28,'% DEDICACIÓN TRABAJADOR'!$D$37:$V$96,AF$23,FALSE),4),"")</f>
        <v/>
      </c>
      <c r="AG28" s="249" t="str">
        <f>IFERROR(ROUND(VLOOKUP($T$28,'% DEDICACIÓN TRABAJADOR'!$D$37:$V$96,AG$23,FALSE),4),"")</f>
        <v/>
      </c>
    </row>
    <row r="29" spans="2:33" s="246" customFormat="1" ht="15" customHeight="1" x14ac:dyDescent="0.25">
      <c r="M29" s="436" t="str">
        <f>IF(AUXILIAR!R45="x","",CONCATENATE("SUBTOTAL ",AUXILIAR!R45))</f>
        <v/>
      </c>
      <c r="N29" s="436"/>
      <c r="O29" s="436"/>
      <c r="P29" s="248" t="str">
        <f t="shared" si="4"/>
        <v/>
      </c>
      <c r="R29" s="246" t="str">
        <f t="shared" si="5"/>
        <v/>
      </c>
      <c r="T29" s="246" t="str">
        <f t="shared" si="6"/>
        <v/>
      </c>
      <c r="U29" s="246">
        <f>COUNTIF('% DEDICACIÓN TRABAJADOR'!$D$37:$D$96,T29)</f>
        <v>0</v>
      </c>
      <c r="V29" s="249" t="str">
        <f>IFERROR(ROUND(VLOOKUP($T$29,'% DEDICACIÓN TRABAJADOR'!$D$37:$V$96,V$23,FALSE),4),"")</f>
        <v/>
      </c>
      <c r="W29" s="249" t="str">
        <f>IFERROR(ROUND(VLOOKUP($T$29,'% DEDICACIÓN TRABAJADOR'!$D$37:$V$96,W$23,FALSE),4),"")</f>
        <v/>
      </c>
      <c r="X29" s="249" t="str">
        <f>IFERROR(ROUND(VLOOKUP($T$29,'% DEDICACIÓN TRABAJADOR'!$D$37:$V$96,X$23,FALSE),4),"")</f>
        <v/>
      </c>
      <c r="Y29" s="249" t="str">
        <f>IFERROR(ROUND(VLOOKUP($T$29,'% DEDICACIÓN TRABAJADOR'!$D$37:$V$96,Y$23,FALSE),4),"")</f>
        <v/>
      </c>
      <c r="Z29" s="249" t="str">
        <f>IFERROR(ROUND(VLOOKUP($T$29,'% DEDICACIÓN TRABAJADOR'!$D$37:$V$96,Z$23,FALSE),4),"")</f>
        <v/>
      </c>
      <c r="AA29" s="249" t="str">
        <f>IFERROR(ROUND(VLOOKUP($T$29,'% DEDICACIÓN TRABAJADOR'!$D$37:$V$96,AA$23,FALSE),4),"")</f>
        <v/>
      </c>
      <c r="AB29" s="249" t="str">
        <f>IFERROR(ROUND(VLOOKUP($T$29,'% DEDICACIÓN TRABAJADOR'!$D$37:$V$96,AB$23,FALSE),4),"")</f>
        <v/>
      </c>
      <c r="AC29" s="249" t="str">
        <f>IFERROR(ROUND(VLOOKUP($T$29,'% DEDICACIÓN TRABAJADOR'!$D$37:$V$96,AC$23,FALSE),4),"")</f>
        <v/>
      </c>
      <c r="AD29" s="249" t="str">
        <f>IFERROR(ROUND(VLOOKUP($T$29,'% DEDICACIÓN TRABAJADOR'!$D$37:$V$96,AD$23,FALSE),4),"")</f>
        <v/>
      </c>
      <c r="AE29" s="249" t="str">
        <f>IFERROR(ROUND(VLOOKUP($T$29,'% DEDICACIÓN TRABAJADOR'!$D$37:$V$96,AE$23,FALSE),4),"")</f>
        <v/>
      </c>
      <c r="AF29" s="249" t="str">
        <f>IFERROR(ROUND(VLOOKUP($T$29,'% DEDICACIÓN TRABAJADOR'!$D$37:$V$96,AF$23,FALSE),4),"")</f>
        <v/>
      </c>
      <c r="AG29" s="249" t="str">
        <f>IFERROR(ROUND(VLOOKUP($T$29,'% DEDICACIÓN TRABAJADOR'!$D$37:$V$96,AG$23,FALSE),4),"")</f>
        <v/>
      </c>
    </row>
    <row r="30" spans="2:33" s="246" customFormat="1" ht="15" customHeight="1" x14ac:dyDescent="0.25">
      <c r="M30" s="436" t="str">
        <f>IF(AUXILIAR!R46="x","",CONCATENATE("SUBTOTAL ",AUXILIAR!R46))</f>
        <v/>
      </c>
      <c r="N30" s="436"/>
      <c r="O30" s="436"/>
      <c r="P30" s="248" t="str">
        <f t="shared" si="4"/>
        <v/>
      </c>
      <c r="R30" s="246" t="str">
        <f t="shared" si="5"/>
        <v/>
      </c>
      <c r="T30" s="246" t="str">
        <f t="shared" si="6"/>
        <v/>
      </c>
      <c r="U30" s="246">
        <f>COUNTIF('% DEDICACIÓN TRABAJADOR'!$D$37:$D$96,T30)</f>
        <v>0</v>
      </c>
      <c r="V30" s="249" t="str">
        <f>IFERROR(ROUND(VLOOKUP($T$30,'% DEDICACIÓN TRABAJADOR'!$D$37:$V$96,V$23,FALSE),4),"")</f>
        <v/>
      </c>
      <c r="W30" s="249" t="str">
        <f>IFERROR(ROUND(VLOOKUP($T$30,'% DEDICACIÓN TRABAJADOR'!$D$37:$V$96,W$23,FALSE),4),"")</f>
        <v/>
      </c>
      <c r="X30" s="249" t="str">
        <f>IFERROR(ROUND(VLOOKUP($T$30,'% DEDICACIÓN TRABAJADOR'!$D$37:$V$96,X$23,FALSE),4),"")</f>
        <v/>
      </c>
      <c r="Y30" s="249" t="str">
        <f>IFERROR(ROUND(VLOOKUP($T$30,'% DEDICACIÓN TRABAJADOR'!$D$37:$V$96,Y$23,FALSE),4),"")</f>
        <v/>
      </c>
      <c r="Z30" s="249" t="str">
        <f>IFERROR(ROUND(VLOOKUP($T$30,'% DEDICACIÓN TRABAJADOR'!$D$37:$V$96,Z$23,FALSE),4),"")</f>
        <v/>
      </c>
      <c r="AA30" s="249" t="str">
        <f>IFERROR(ROUND(VLOOKUP($T$30,'% DEDICACIÓN TRABAJADOR'!$D$37:$V$96,AA$23,FALSE),4),"")</f>
        <v/>
      </c>
      <c r="AB30" s="249" t="str">
        <f>IFERROR(ROUND(VLOOKUP($T$30,'% DEDICACIÓN TRABAJADOR'!$D$37:$V$96,AB$23,FALSE),4),"")</f>
        <v/>
      </c>
      <c r="AC30" s="249" t="str">
        <f>IFERROR(ROUND(VLOOKUP($T$30,'% DEDICACIÓN TRABAJADOR'!$D$37:$V$96,AC$23,FALSE),4),"")</f>
        <v/>
      </c>
      <c r="AD30" s="249" t="str">
        <f>IFERROR(ROUND(VLOOKUP($T$30,'% DEDICACIÓN TRABAJADOR'!$D$37:$V$96,AD$23,FALSE),4),"")</f>
        <v/>
      </c>
      <c r="AE30" s="249" t="str">
        <f>IFERROR(ROUND(VLOOKUP($T$30,'% DEDICACIÓN TRABAJADOR'!$D$37:$V$96,AE$23,FALSE),4),"")</f>
        <v/>
      </c>
      <c r="AF30" s="249" t="str">
        <f>IFERROR(ROUND(VLOOKUP($T$30,'% DEDICACIÓN TRABAJADOR'!$D$37:$V$96,AF$23,FALSE),4),"")</f>
        <v/>
      </c>
      <c r="AG30" s="249" t="str">
        <f>IFERROR(ROUND(VLOOKUP($T$30,'% DEDICACIÓN TRABAJADOR'!$D$37:$V$96,AG$23,FALSE),4),"")</f>
        <v/>
      </c>
    </row>
    <row r="31" spans="2:33" s="246" customFormat="1" ht="15" customHeight="1" x14ac:dyDescent="0.25">
      <c r="M31" s="436" t="str">
        <f>IF(AUXILIAR!R47="x","",CONCATENATE("SUBTOTAL ",AUXILIAR!R47))</f>
        <v/>
      </c>
      <c r="N31" s="436"/>
      <c r="O31" s="436"/>
      <c r="P31" s="248" t="str">
        <f t="shared" si="4"/>
        <v/>
      </c>
      <c r="R31" s="246" t="str">
        <f t="shared" si="5"/>
        <v/>
      </c>
      <c r="T31" s="246" t="str">
        <f t="shared" si="6"/>
        <v/>
      </c>
      <c r="U31" s="246">
        <f>COUNTIF('% DEDICACIÓN TRABAJADOR'!$D$37:$D$96,T31)</f>
        <v>0</v>
      </c>
      <c r="V31" s="249" t="str">
        <f>IFERROR(ROUND(VLOOKUP($T$31,'% DEDICACIÓN TRABAJADOR'!$D$37:$V$96,V$23,FALSE),4),"")</f>
        <v/>
      </c>
      <c r="W31" s="249" t="str">
        <f>IFERROR(ROUND(VLOOKUP($T$31,'% DEDICACIÓN TRABAJADOR'!$D$37:$V$96,W$23,FALSE),4),"")</f>
        <v/>
      </c>
      <c r="X31" s="249" t="str">
        <f>IFERROR(ROUND(VLOOKUP($T$31,'% DEDICACIÓN TRABAJADOR'!$D$37:$V$96,X$23,FALSE),4),"")</f>
        <v/>
      </c>
      <c r="Y31" s="249" t="str">
        <f>IFERROR(ROUND(VLOOKUP($T$31,'% DEDICACIÓN TRABAJADOR'!$D$37:$V$96,Y$23,FALSE),4),"")</f>
        <v/>
      </c>
      <c r="Z31" s="249" t="str">
        <f>IFERROR(ROUND(VLOOKUP($T$31,'% DEDICACIÓN TRABAJADOR'!$D$37:$V$96,Z$23,FALSE),4),"")</f>
        <v/>
      </c>
      <c r="AA31" s="249" t="str">
        <f>IFERROR(ROUND(VLOOKUP($T$31,'% DEDICACIÓN TRABAJADOR'!$D$37:$V$96,AA$23,FALSE),4),"")</f>
        <v/>
      </c>
      <c r="AB31" s="249" t="str">
        <f>IFERROR(ROUND(VLOOKUP($T$31,'% DEDICACIÓN TRABAJADOR'!$D$37:$V$96,AB$23,FALSE),4),"")</f>
        <v/>
      </c>
      <c r="AC31" s="249" t="str">
        <f>IFERROR(ROUND(VLOOKUP($T$31,'% DEDICACIÓN TRABAJADOR'!$D$37:$V$96,AC$23,FALSE),4),"")</f>
        <v/>
      </c>
      <c r="AD31" s="249" t="str">
        <f>IFERROR(ROUND(VLOOKUP($T$31,'% DEDICACIÓN TRABAJADOR'!$D$37:$V$96,AD$23,FALSE),4),"")</f>
        <v/>
      </c>
      <c r="AE31" s="249" t="str">
        <f>IFERROR(ROUND(VLOOKUP($T$31,'% DEDICACIÓN TRABAJADOR'!$D$37:$V$96,AE$23,FALSE),4),"")</f>
        <v/>
      </c>
      <c r="AF31" s="249" t="str">
        <f>IFERROR(ROUND(VLOOKUP($T$31,'% DEDICACIÓN TRABAJADOR'!$D$37:$V$96,AF$23,FALSE),4),"")</f>
        <v/>
      </c>
      <c r="AG31" s="249" t="str">
        <f>IFERROR(ROUND(VLOOKUP($T$31,'% DEDICACIÓN TRABAJADOR'!$D$37:$V$96,AG$23,FALSE),4),"")</f>
        <v/>
      </c>
    </row>
    <row r="32" spans="2:33" s="246" customFormat="1" ht="15" customHeight="1" x14ac:dyDescent="0.25">
      <c r="M32" s="436" t="str">
        <f>IF(AUXILIAR!R48="x","",CONCATENATE("SUBTOTAL ",AUXILIAR!R48))</f>
        <v/>
      </c>
      <c r="N32" s="436"/>
      <c r="O32" s="436"/>
      <c r="P32" s="248" t="str">
        <f t="shared" si="4"/>
        <v/>
      </c>
      <c r="R32" s="246" t="str">
        <f t="shared" si="5"/>
        <v/>
      </c>
      <c r="T32" s="246" t="str">
        <f t="shared" si="6"/>
        <v/>
      </c>
      <c r="U32" s="246">
        <f>COUNTIF('% DEDICACIÓN TRABAJADOR'!$D$37:$D$96,T32)</f>
        <v>0</v>
      </c>
      <c r="V32" s="249" t="str">
        <f>IFERROR(ROUND(VLOOKUP($T$32,'% DEDICACIÓN TRABAJADOR'!$D$37:$V$96,V$23,FALSE),4),"")</f>
        <v/>
      </c>
      <c r="W32" s="249" t="str">
        <f>IFERROR(ROUND(VLOOKUP($T$32,'% DEDICACIÓN TRABAJADOR'!$D$37:$V$96,W$23,FALSE),4),"")</f>
        <v/>
      </c>
      <c r="X32" s="249" t="str">
        <f>IFERROR(ROUND(VLOOKUP($T$32,'% DEDICACIÓN TRABAJADOR'!$D$37:$V$96,X$23,FALSE),4),"")</f>
        <v/>
      </c>
      <c r="Y32" s="249" t="str">
        <f>IFERROR(ROUND(VLOOKUP($T$32,'% DEDICACIÓN TRABAJADOR'!$D$37:$V$96,Y$23,FALSE),4),"")</f>
        <v/>
      </c>
      <c r="Z32" s="249" t="str">
        <f>IFERROR(ROUND(VLOOKUP($T$32,'% DEDICACIÓN TRABAJADOR'!$D$37:$V$96,Z$23,FALSE),4),"")</f>
        <v/>
      </c>
      <c r="AA32" s="249" t="str">
        <f>IFERROR(ROUND(VLOOKUP($T$32,'% DEDICACIÓN TRABAJADOR'!$D$37:$V$96,AA$23,FALSE),4),"")</f>
        <v/>
      </c>
      <c r="AB32" s="249" t="str">
        <f>IFERROR(ROUND(VLOOKUP($T$32,'% DEDICACIÓN TRABAJADOR'!$D$37:$V$96,AB$23,FALSE),4),"")</f>
        <v/>
      </c>
      <c r="AC32" s="249" t="str">
        <f>IFERROR(ROUND(VLOOKUP($T$32,'% DEDICACIÓN TRABAJADOR'!$D$37:$V$96,AC$23,FALSE),4),"")</f>
        <v/>
      </c>
      <c r="AD32" s="249" t="str">
        <f>IFERROR(ROUND(VLOOKUP($T$32,'% DEDICACIÓN TRABAJADOR'!$D$37:$V$96,AD$23,FALSE),4),"")</f>
        <v/>
      </c>
      <c r="AE32" s="249" t="str">
        <f>IFERROR(ROUND(VLOOKUP($T$32,'% DEDICACIÓN TRABAJADOR'!$D$37:$V$96,AE$23,FALSE),4),"")</f>
        <v/>
      </c>
      <c r="AF32" s="249" t="str">
        <f>IFERROR(ROUND(VLOOKUP($T$32,'% DEDICACIÓN TRABAJADOR'!$D$37:$V$96,AF$23,FALSE),4),"")</f>
        <v/>
      </c>
      <c r="AG32" s="249" t="str">
        <f>IFERROR(ROUND(VLOOKUP($T$32,'% DEDICACIÓN TRABAJADOR'!$D$37:$V$96,AG$23,FALSE),4),"")</f>
        <v/>
      </c>
    </row>
    <row r="33" spans="12:33" s="246" customFormat="1" ht="15" customHeight="1" x14ac:dyDescent="0.25">
      <c r="M33" s="436" t="str">
        <f>IF(AUXILIAR!R49="x","",CONCATENATE("SUBTOTAL ",AUXILIAR!R49))</f>
        <v/>
      </c>
      <c r="N33" s="436"/>
      <c r="O33" s="436"/>
      <c r="P33" s="248" t="str">
        <f t="shared" si="4"/>
        <v/>
      </c>
      <c r="R33" s="246" t="str">
        <f t="shared" si="5"/>
        <v/>
      </c>
      <c r="T33" s="246" t="str">
        <f t="shared" si="6"/>
        <v/>
      </c>
      <c r="U33" s="246">
        <f>COUNTIF('% DEDICACIÓN TRABAJADOR'!$D$37:$D$96,T33)</f>
        <v>0</v>
      </c>
      <c r="V33" s="249" t="str">
        <f>IFERROR(ROUND(VLOOKUP($T$33,'% DEDICACIÓN TRABAJADOR'!$D$37:$V$96,V$23,FALSE),4),"")</f>
        <v/>
      </c>
      <c r="W33" s="249" t="str">
        <f>IFERROR(ROUND(VLOOKUP($T$33,'% DEDICACIÓN TRABAJADOR'!$D$37:$V$96,W$23,FALSE),4),"")</f>
        <v/>
      </c>
      <c r="X33" s="249" t="str">
        <f>IFERROR(ROUND(VLOOKUP($T$33,'% DEDICACIÓN TRABAJADOR'!$D$37:$V$96,X$23,FALSE),4),"")</f>
        <v/>
      </c>
      <c r="Y33" s="249" t="str">
        <f>IFERROR(ROUND(VLOOKUP($T$33,'% DEDICACIÓN TRABAJADOR'!$D$37:$V$96,Y$23,FALSE),4),"")</f>
        <v/>
      </c>
      <c r="Z33" s="249" t="str">
        <f>IFERROR(ROUND(VLOOKUP($T$33,'% DEDICACIÓN TRABAJADOR'!$D$37:$V$96,Z$23,FALSE),4),"")</f>
        <v/>
      </c>
      <c r="AA33" s="249" t="str">
        <f>IFERROR(ROUND(VLOOKUP($T$33,'% DEDICACIÓN TRABAJADOR'!$D$37:$V$96,AA$23,FALSE),4),"")</f>
        <v/>
      </c>
      <c r="AB33" s="249" t="str">
        <f>IFERROR(ROUND(VLOOKUP($T$33,'% DEDICACIÓN TRABAJADOR'!$D$37:$V$96,AB$23,FALSE),4),"")</f>
        <v/>
      </c>
      <c r="AC33" s="249" t="str">
        <f>IFERROR(ROUND(VLOOKUP($T$33,'% DEDICACIÓN TRABAJADOR'!$D$37:$V$96,AC$23,FALSE),4),"")</f>
        <v/>
      </c>
      <c r="AD33" s="249" t="str">
        <f>IFERROR(ROUND(VLOOKUP($T$33,'% DEDICACIÓN TRABAJADOR'!$D$37:$V$96,AD$23,FALSE),4),"")</f>
        <v/>
      </c>
      <c r="AE33" s="249" t="str">
        <f>IFERROR(ROUND(VLOOKUP($T$33,'% DEDICACIÓN TRABAJADOR'!$D$37:$V$96,AE$23,FALSE),4),"")</f>
        <v/>
      </c>
      <c r="AF33" s="249" t="str">
        <f>IFERROR(ROUND(VLOOKUP($T$33,'% DEDICACIÓN TRABAJADOR'!$D$37:$V$96,AF$23,FALSE),4),"")</f>
        <v/>
      </c>
      <c r="AG33" s="249" t="str">
        <f>IFERROR(ROUND(VLOOKUP($T$33,'% DEDICACIÓN TRABAJADOR'!$D$37:$V$96,AG$23,FALSE),4),"")</f>
        <v/>
      </c>
    </row>
    <row r="34" spans="12:33" s="246" customFormat="1" ht="15" customHeight="1" x14ac:dyDescent="0.25">
      <c r="M34" s="436" t="str">
        <f>IF(AUXILIAR!R50="x","",CONCATENATE("SUBTOTAL ",AUXILIAR!R50))</f>
        <v/>
      </c>
      <c r="N34" s="436"/>
      <c r="O34" s="436"/>
      <c r="P34" s="248" t="str">
        <f t="shared" si="4"/>
        <v/>
      </c>
      <c r="R34" s="246" t="str">
        <f t="shared" si="5"/>
        <v/>
      </c>
      <c r="T34" s="246" t="str">
        <f t="shared" si="6"/>
        <v/>
      </c>
      <c r="U34" s="246">
        <f>COUNTIF('% DEDICACIÓN TRABAJADOR'!$D$37:$D$96,T34)</f>
        <v>0</v>
      </c>
      <c r="V34" s="249" t="str">
        <f>IFERROR(ROUND(VLOOKUP($T$34,'% DEDICACIÓN TRABAJADOR'!$D$37:$V$96,V$23,FALSE),4),"")</f>
        <v/>
      </c>
      <c r="W34" s="249" t="str">
        <f>IFERROR(ROUND(VLOOKUP($T$34,'% DEDICACIÓN TRABAJADOR'!$D$37:$V$96,W$23,FALSE),4),"")</f>
        <v/>
      </c>
      <c r="X34" s="249" t="str">
        <f>IFERROR(ROUND(VLOOKUP($T$34,'% DEDICACIÓN TRABAJADOR'!$D$37:$V$96,X$23,FALSE),4),"")</f>
        <v/>
      </c>
      <c r="Y34" s="249" t="str">
        <f>IFERROR(ROUND(VLOOKUP($T$34,'% DEDICACIÓN TRABAJADOR'!$D$37:$V$96,Y$23,FALSE),4),"")</f>
        <v/>
      </c>
      <c r="Z34" s="249" t="str">
        <f>IFERROR(ROUND(VLOOKUP($T$34,'% DEDICACIÓN TRABAJADOR'!$D$37:$V$96,Z$23,FALSE),4),"")</f>
        <v/>
      </c>
      <c r="AA34" s="249" t="str">
        <f>IFERROR(ROUND(VLOOKUP($T$34,'% DEDICACIÓN TRABAJADOR'!$D$37:$V$96,AA$23,FALSE),4),"")</f>
        <v/>
      </c>
      <c r="AB34" s="249" t="str">
        <f>IFERROR(ROUND(VLOOKUP($T$34,'% DEDICACIÓN TRABAJADOR'!$D$37:$V$96,AB$23,FALSE),4),"")</f>
        <v/>
      </c>
      <c r="AC34" s="249" t="str">
        <f>IFERROR(ROUND(VLOOKUP($T$34,'% DEDICACIÓN TRABAJADOR'!$D$37:$V$96,AC$23,FALSE),4),"")</f>
        <v/>
      </c>
      <c r="AD34" s="249" t="str">
        <f>IFERROR(ROUND(VLOOKUP($T$34,'% DEDICACIÓN TRABAJADOR'!$D$37:$V$96,AD$23,FALSE),4),"")</f>
        <v/>
      </c>
      <c r="AE34" s="249" t="str">
        <f>IFERROR(ROUND(VLOOKUP($T$34,'% DEDICACIÓN TRABAJADOR'!$D$37:$V$96,AE$23,FALSE),4),"")</f>
        <v/>
      </c>
      <c r="AF34" s="249" t="str">
        <f>IFERROR(ROUND(VLOOKUP($T$34,'% DEDICACIÓN TRABAJADOR'!$D$37:$V$96,AF$23,FALSE),4),"")</f>
        <v/>
      </c>
      <c r="AG34" s="249" t="str">
        <f>IFERROR(ROUND(VLOOKUP($T$34,'% DEDICACIÓN TRABAJADOR'!$D$37:$V$96,AG$23,FALSE),4),"")</f>
        <v/>
      </c>
    </row>
    <row r="35" spans="12:33" s="246" customFormat="1" ht="15" customHeight="1" x14ac:dyDescent="0.25">
      <c r="M35" s="436" t="str">
        <f>IF(AUXILIAR!R51="x","",CONCATENATE("SUBTOTAL ",AUXILIAR!R51))</f>
        <v/>
      </c>
      <c r="N35" s="436"/>
      <c r="O35" s="436"/>
      <c r="P35" s="248" t="str">
        <f t="shared" si="4"/>
        <v/>
      </c>
      <c r="R35" s="246" t="str">
        <f t="shared" si="5"/>
        <v/>
      </c>
      <c r="T35" s="246" t="str">
        <f t="shared" si="6"/>
        <v/>
      </c>
      <c r="U35" s="246">
        <f>COUNTIF('% DEDICACIÓN TRABAJADOR'!$D$37:$D$96,T35)</f>
        <v>0</v>
      </c>
      <c r="V35" s="249" t="str">
        <f>IFERROR(ROUND(VLOOKUP($T$35,'% DEDICACIÓN TRABAJADOR'!$D$37:$V$96,V$23,FALSE),4),"")</f>
        <v/>
      </c>
      <c r="W35" s="249" t="str">
        <f>IFERROR(ROUND(VLOOKUP($T$35,'% DEDICACIÓN TRABAJADOR'!$D$37:$V$96,W$23,FALSE),4),"")</f>
        <v/>
      </c>
      <c r="X35" s="249" t="str">
        <f>IFERROR(ROUND(VLOOKUP($T$35,'% DEDICACIÓN TRABAJADOR'!$D$37:$V$96,X$23,FALSE),4),"")</f>
        <v/>
      </c>
      <c r="Y35" s="249" t="str">
        <f>IFERROR(ROUND(VLOOKUP($T$35,'% DEDICACIÓN TRABAJADOR'!$D$37:$V$96,Y$23,FALSE),4),"")</f>
        <v/>
      </c>
      <c r="Z35" s="249" t="str">
        <f>IFERROR(ROUND(VLOOKUP($T$35,'% DEDICACIÓN TRABAJADOR'!$D$37:$V$96,Z$23,FALSE),4),"")</f>
        <v/>
      </c>
      <c r="AA35" s="249" t="str">
        <f>IFERROR(ROUND(VLOOKUP($T$35,'% DEDICACIÓN TRABAJADOR'!$D$37:$V$96,AA$23,FALSE),4),"")</f>
        <v/>
      </c>
      <c r="AB35" s="249" t="str">
        <f>IFERROR(ROUND(VLOOKUP($T$35,'% DEDICACIÓN TRABAJADOR'!$D$37:$V$96,AB$23,FALSE),4),"")</f>
        <v/>
      </c>
      <c r="AC35" s="249" t="str">
        <f>IFERROR(ROUND(VLOOKUP($T$35,'% DEDICACIÓN TRABAJADOR'!$D$37:$V$96,AC$23,FALSE),4),"")</f>
        <v/>
      </c>
      <c r="AD35" s="249" t="str">
        <f>IFERROR(ROUND(VLOOKUP($T$35,'% DEDICACIÓN TRABAJADOR'!$D$37:$V$96,AD$23,FALSE),4),"")</f>
        <v/>
      </c>
      <c r="AE35" s="249" t="str">
        <f>IFERROR(ROUND(VLOOKUP($T$35,'% DEDICACIÓN TRABAJADOR'!$D$37:$V$96,AE$23,FALSE),4),"")</f>
        <v/>
      </c>
      <c r="AF35" s="249" t="str">
        <f>IFERROR(ROUND(VLOOKUP($T$35,'% DEDICACIÓN TRABAJADOR'!$D$37:$V$96,AF$23,FALSE),4),"")</f>
        <v/>
      </c>
      <c r="AG35" s="249" t="str">
        <f>IFERROR(ROUND(VLOOKUP($T$35,'% DEDICACIÓN TRABAJADOR'!$D$37:$V$96,AG$23,FALSE),4),"")</f>
        <v/>
      </c>
    </row>
    <row r="36" spans="12:33" s="246" customFormat="1" ht="15" customHeight="1" x14ac:dyDescent="0.25">
      <c r="M36" s="436" t="str">
        <f>IF(AUXILIAR!R52="x","",CONCATENATE("SUBTOTAL ",AUXILIAR!R52))</f>
        <v/>
      </c>
      <c r="N36" s="436"/>
      <c r="O36" s="436"/>
      <c r="P36" s="248" t="str">
        <f t="shared" si="4"/>
        <v/>
      </c>
      <c r="R36" s="246" t="str">
        <f t="shared" si="5"/>
        <v/>
      </c>
      <c r="T36" s="246" t="str">
        <f t="shared" si="6"/>
        <v/>
      </c>
      <c r="U36" s="246">
        <f>COUNTIF('% DEDICACIÓN TRABAJADOR'!$D$37:$D$96,T36)</f>
        <v>0</v>
      </c>
      <c r="V36" s="249" t="str">
        <f>IFERROR(ROUND(VLOOKUP($T$36,'% DEDICACIÓN TRABAJADOR'!$D$37:$V$96,V$23,FALSE),4),"")</f>
        <v/>
      </c>
      <c r="W36" s="249" t="str">
        <f>IFERROR(ROUND(VLOOKUP($T$36,'% DEDICACIÓN TRABAJADOR'!$D$37:$V$96,W$23,FALSE),4),"")</f>
        <v/>
      </c>
      <c r="X36" s="249" t="str">
        <f>IFERROR(ROUND(VLOOKUP($T$36,'% DEDICACIÓN TRABAJADOR'!$D$37:$V$96,X$23,FALSE),4),"")</f>
        <v/>
      </c>
      <c r="Y36" s="249" t="str">
        <f>IFERROR(ROUND(VLOOKUP($T$36,'% DEDICACIÓN TRABAJADOR'!$D$37:$V$96,Y$23,FALSE),4),"")</f>
        <v/>
      </c>
      <c r="Z36" s="249" t="str">
        <f>IFERROR(ROUND(VLOOKUP($T$36,'% DEDICACIÓN TRABAJADOR'!$D$37:$V$96,Z$23,FALSE),4),"")</f>
        <v/>
      </c>
      <c r="AA36" s="249" t="str">
        <f>IFERROR(ROUND(VLOOKUP($T$36,'% DEDICACIÓN TRABAJADOR'!$D$37:$V$96,AA$23,FALSE),4),"")</f>
        <v/>
      </c>
      <c r="AB36" s="249" t="str">
        <f>IFERROR(ROUND(VLOOKUP($T$36,'% DEDICACIÓN TRABAJADOR'!$D$37:$V$96,AB$23,FALSE),4),"")</f>
        <v/>
      </c>
      <c r="AC36" s="249" t="str">
        <f>IFERROR(ROUND(VLOOKUP($T$36,'% DEDICACIÓN TRABAJADOR'!$D$37:$V$96,AC$23,FALSE),4),"")</f>
        <v/>
      </c>
      <c r="AD36" s="249" t="str">
        <f>IFERROR(ROUND(VLOOKUP($T$36,'% DEDICACIÓN TRABAJADOR'!$D$37:$V$96,AD$23,FALSE),4),"")</f>
        <v/>
      </c>
      <c r="AE36" s="249" t="str">
        <f>IFERROR(ROUND(VLOOKUP($T$36,'% DEDICACIÓN TRABAJADOR'!$D$37:$V$96,AE$23,FALSE),4),"")</f>
        <v/>
      </c>
      <c r="AF36" s="249" t="str">
        <f>IFERROR(ROUND(VLOOKUP($T$36,'% DEDICACIÓN TRABAJADOR'!$D$37:$V$96,AF$23,FALSE),4),"")</f>
        <v/>
      </c>
      <c r="AG36" s="249" t="str">
        <f>IFERROR(ROUND(VLOOKUP($T$36,'% DEDICACIÓN TRABAJADOR'!$D$37:$V$96,AG$23,FALSE),4),"")</f>
        <v/>
      </c>
    </row>
    <row r="37" spans="12:33" s="246" customFormat="1" ht="15" customHeight="1" x14ac:dyDescent="0.25">
      <c r="M37" s="436" t="str">
        <f>IF(AUXILIAR!R53="x","",CONCATENATE("SUBTOTAL ",AUXILIAR!R53))</f>
        <v/>
      </c>
      <c r="N37" s="436"/>
      <c r="O37" s="436"/>
      <c r="P37" s="248" t="str">
        <f t="shared" si="4"/>
        <v/>
      </c>
      <c r="R37" s="246" t="str">
        <f t="shared" si="5"/>
        <v/>
      </c>
      <c r="T37" s="246" t="str">
        <f t="shared" si="6"/>
        <v/>
      </c>
      <c r="U37" s="246">
        <f>COUNTIF('% DEDICACIÓN TRABAJADOR'!$D$37:$D$96,T37)</f>
        <v>0</v>
      </c>
      <c r="V37" s="249" t="str">
        <f>IFERROR(ROUND(VLOOKUP($T$37,'% DEDICACIÓN TRABAJADOR'!$D$37:$V$96,V$23,FALSE),4),"")</f>
        <v/>
      </c>
      <c r="W37" s="249" t="str">
        <f>IFERROR(ROUND(VLOOKUP($T$37,'% DEDICACIÓN TRABAJADOR'!$D$37:$V$96,W$23,FALSE),4),"")</f>
        <v/>
      </c>
      <c r="X37" s="249" t="str">
        <f>IFERROR(ROUND(VLOOKUP($T$37,'% DEDICACIÓN TRABAJADOR'!$D$37:$V$96,X$23,FALSE),4),"")</f>
        <v/>
      </c>
      <c r="Y37" s="249" t="str">
        <f>IFERROR(ROUND(VLOOKUP($T$37,'% DEDICACIÓN TRABAJADOR'!$D$37:$V$96,Y$23,FALSE),4),"")</f>
        <v/>
      </c>
      <c r="Z37" s="249" t="str">
        <f>IFERROR(ROUND(VLOOKUP($T$37,'% DEDICACIÓN TRABAJADOR'!$D$37:$V$96,Z$23,FALSE),4),"")</f>
        <v/>
      </c>
      <c r="AA37" s="249" t="str">
        <f>IFERROR(ROUND(VLOOKUP($T$37,'% DEDICACIÓN TRABAJADOR'!$D$37:$V$96,AA$23,FALSE),4),"")</f>
        <v/>
      </c>
      <c r="AB37" s="249" t="str">
        <f>IFERROR(ROUND(VLOOKUP($T$37,'% DEDICACIÓN TRABAJADOR'!$D$37:$V$96,AB$23,FALSE),4),"")</f>
        <v/>
      </c>
      <c r="AC37" s="249" t="str">
        <f>IFERROR(ROUND(VLOOKUP($T$37,'% DEDICACIÓN TRABAJADOR'!$D$37:$V$96,AC$23,FALSE),4),"")</f>
        <v/>
      </c>
      <c r="AD37" s="249" t="str">
        <f>IFERROR(ROUND(VLOOKUP($T$37,'% DEDICACIÓN TRABAJADOR'!$D$37:$V$96,AD$23,FALSE),4),"")</f>
        <v/>
      </c>
      <c r="AE37" s="249" t="str">
        <f>IFERROR(ROUND(VLOOKUP($T$37,'% DEDICACIÓN TRABAJADOR'!$D$37:$V$96,AE$23,FALSE),4),"")</f>
        <v/>
      </c>
      <c r="AF37" s="249" t="str">
        <f>IFERROR(ROUND(VLOOKUP($T$37,'% DEDICACIÓN TRABAJADOR'!$D$37:$V$96,AF$23,FALSE),4),"")</f>
        <v/>
      </c>
      <c r="AG37" s="249" t="str">
        <f>IFERROR(ROUND(VLOOKUP($T$37,'% DEDICACIÓN TRABAJADOR'!$D$37:$V$96,AG$23,FALSE),4),"")</f>
        <v/>
      </c>
    </row>
    <row r="38" spans="12:33" s="246" customFormat="1" ht="15" customHeight="1" x14ac:dyDescent="0.25">
      <c r="M38" s="436" t="str">
        <f>IF(AUXILIAR!R54="x","",CONCATENATE("SUBTOTAL ",AUXILIAR!R54))</f>
        <v/>
      </c>
      <c r="N38" s="436"/>
      <c r="O38" s="436"/>
      <c r="P38" s="248" t="str">
        <f t="shared" si="4"/>
        <v/>
      </c>
      <c r="R38" s="246" t="str">
        <f t="shared" si="5"/>
        <v/>
      </c>
      <c r="T38" s="246" t="str">
        <f t="shared" si="6"/>
        <v/>
      </c>
      <c r="U38" s="246">
        <f>COUNTIF('% DEDICACIÓN TRABAJADOR'!$D$37:$D$96,T38)</f>
        <v>0</v>
      </c>
      <c r="V38" s="249" t="str">
        <f>IFERROR(ROUND(VLOOKUP($T$38,'% DEDICACIÓN TRABAJADOR'!$D$37:$V$96,V$23,FALSE),4),"")</f>
        <v/>
      </c>
      <c r="W38" s="249" t="str">
        <f>IFERROR(ROUND(VLOOKUP($T$38,'% DEDICACIÓN TRABAJADOR'!$D$37:$V$96,W$23,FALSE),4),"")</f>
        <v/>
      </c>
      <c r="X38" s="249" t="str">
        <f>IFERROR(ROUND(VLOOKUP($T$38,'% DEDICACIÓN TRABAJADOR'!$D$37:$V$96,X$23,FALSE),4),"")</f>
        <v/>
      </c>
      <c r="Y38" s="249" t="str">
        <f>IFERROR(ROUND(VLOOKUP($T$38,'% DEDICACIÓN TRABAJADOR'!$D$37:$V$96,Y$23,FALSE),4),"")</f>
        <v/>
      </c>
      <c r="Z38" s="249" t="str">
        <f>IFERROR(ROUND(VLOOKUP($T$38,'% DEDICACIÓN TRABAJADOR'!$D$37:$V$96,Z$23,FALSE),4),"")</f>
        <v/>
      </c>
      <c r="AA38" s="249" t="str">
        <f>IFERROR(ROUND(VLOOKUP($T$38,'% DEDICACIÓN TRABAJADOR'!$D$37:$V$96,AA$23,FALSE),4),"")</f>
        <v/>
      </c>
      <c r="AB38" s="249" t="str">
        <f>IFERROR(ROUND(VLOOKUP($T$38,'% DEDICACIÓN TRABAJADOR'!$D$37:$V$96,AB$23,FALSE),4),"")</f>
        <v/>
      </c>
      <c r="AC38" s="249" t="str">
        <f>IFERROR(ROUND(VLOOKUP($T$38,'% DEDICACIÓN TRABAJADOR'!$D$37:$V$96,AC$23,FALSE),4),"")</f>
        <v/>
      </c>
      <c r="AD38" s="249" t="str">
        <f>IFERROR(ROUND(VLOOKUP($T$38,'% DEDICACIÓN TRABAJADOR'!$D$37:$V$96,AD$23,FALSE),4),"")</f>
        <v/>
      </c>
      <c r="AE38" s="249" t="str">
        <f>IFERROR(ROUND(VLOOKUP($T$38,'% DEDICACIÓN TRABAJADOR'!$D$37:$V$96,AE$23,FALSE),4),"")</f>
        <v/>
      </c>
      <c r="AF38" s="249" t="str">
        <f>IFERROR(ROUND(VLOOKUP($T$38,'% DEDICACIÓN TRABAJADOR'!$D$37:$V$96,AF$23,FALSE),4),"")</f>
        <v/>
      </c>
      <c r="AG38" s="249" t="str">
        <f>IFERROR(ROUND(VLOOKUP($T$38,'% DEDICACIÓN TRABAJADOR'!$D$37:$V$96,AG$23,FALSE),4),"")</f>
        <v/>
      </c>
    </row>
    <row r="39" spans="12:33" s="246" customFormat="1" ht="15" customHeight="1" x14ac:dyDescent="0.25">
      <c r="M39" s="436" t="str">
        <f>IF(AUXILIAR!R55="x","",CONCATENATE("SUBTOTAL ",AUXILIAR!R55))</f>
        <v/>
      </c>
      <c r="N39" s="436"/>
      <c r="O39" s="436"/>
      <c r="P39" s="248" t="str">
        <f t="shared" si="4"/>
        <v/>
      </c>
      <c r="R39" s="246" t="str">
        <f t="shared" si="5"/>
        <v/>
      </c>
      <c r="T39" s="246" t="str">
        <f t="shared" si="6"/>
        <v/>
      </c>
      <c r="U39" s="246">
        <f>COUNTIF('% DEDICACIÓN TRABAJADOR'!$D$37:$D$96,T39)</f>
        <v>0</v>
      </c>
      <c r="V39" s="249" t="str">
        <f>IFERROR(ROUND(VLOOKUP($T$39,'% DEDICACIÓN TRABAJADOR'!$D$37:$V$96,V$23,FALSE),4),"")</f>
        <v/>
      </c>
      <c r="W39" s="249" t="str">
        <f>IFERROR(ROUND(VLOOKUP($T$39,'% DEDICACIÓN TRABAJADOR'!$D$37:$V$96,W$23,FALSE),4),"")</f>
        <v/>
      </c>
      <c r="X39" s="249" t="str">
        <f>IFERROR(ROUND(VLOOKUP($T$39,'% DEDICACIÓN TRABAJADOR'!$D$37:$V$96,X$23,FALSE),4),"")</f>
        <v/>
      </c>
      <c r="Y39" s="249" t="str">
        <f>IFERROR(ROUND(VLOOKUP($T$39,'% DEDICACIÓN TRABAJADOR'!$D$37:$V$96,Y$23,FALSE),4),"")</f>
        <v/>
      </c>
      <c r="Z39" s="249" t="str">
        <f>IFERROR(ROUND(VLOOKUP($T$39,'% DEDICACIÓN TRABAJADOR'!$D$37:$V$96,Z$23,FALSE),4),"")</f>
        <v/>
      </c>
      <c r="AA39" s="249" t="str">
        <f>IFERROR(ROUND(VLOOKUP($T$39,'% DEDICACIÓN TRABAJADOR'!$D$37:$V$96,AA$23,FALSE),4),"")</f>
        <v/>
      </c>
      <c r="AB39" s="249" t="str">
        <f>IFERROR(ROUND(VLOOKUP($T$39,'% DEDICACIÓN TRABAJADOR'!$D$37:$V$96,AB$23,FALSE),4),"")</f>
        <v/>
      </c>
      <c r="AC39" s="249" t="str">
        <f>IFERROR(ROUND(VLOOKUP($T$39,'% DEDICACIÓN TRABAJADOR'!$D$37:$V$96,AC$23,FALSE),4),"")</f>
        <v/>
      </c>
      <c r="AD39" s="249" t="str">
        <f>IFERROR(ROUND(VLOOKUP($T$39,'% DEDICACIÓN TRABAJADOR'!$D$37:$V$96,AD$23,FALSE),4),"")</f>
        <v/>
      </c>
      <c r="AE39" s="249" t="str">
        <f>IFERROR(ROUND(VLOOKUP($T$39,'% DEDICACIÓN TRABAJADOR'!$D$37:$V$96,AE$23,FALSE),4),"")</f>
        <v/>
      </c>
      <c r="AF39" s="249" t="str">
        <f>IFERROR(ROUND(VLOOKUP($T$39,'% DEDICACIÓN TRABAJADOR'!$D$37:$V$96,AF$23,FALSE),4),"")</f>
        <v/>
      </c>
      <c r="AG39" s="249" t="str">
        <f>IFERROR(ROUND(VLOOKUP($T$39,'% DEDICACIÓN TRABAJADOR'!$D$37:$V$96,AG$23,FALSE),4),"")</f>
        <v/>
      </c>
    </row>
    <row r="40" spans="12:33" ht="14.25" x14ac:dyDescent="0.25">
      <c r="L40" s="246"/>
    </row>
  </sheetData>
  <sheetProtection algorithmName="SHA-512" hashValue="hEBAqMdqVTpMIPX4Sch7Fr5gqCexqowjER6n/hV8HHgbB/8kFe9GNs3fPEzH4e7KPmejTUF8PRazvuwNsjSeUA==" saltValue="TfT8ad8TLubJPhUZ50lt7g==" spinCount="100000" sheet="1" objects="1" scenarios="1" selectLockedCells="1" selectUnlockedCells="1"/>
  <mergeCells count="23">
    <mergeCell ref="M29:O29"/>
    <mergeCell ref="B8:B9"/>
    <mergeCell ref="C8:C9"/>
    <mergeCell ref="D8:F8"/>
    <mergeCell ref="G8:I8"/>
    <mergeCell ref="K8:M8"/>
    <mergeCell ref="N8:N9"/>
    <mergeCell ref="O8:O9"/>
    <mergeCell ref="P8:P9"/>
    <mergeCell ref="M25:O25"/>
    <mergeCell ref="M26:O26"/>
    <mergeCell ref="M27:O27"/>
    <mergeCell ref="M28:O28"/>
    <mergeCell ref="M36:O36"/>
    <mergeCell ref="M37:O37"/>
    <mergeCell ref="M38:O38"/>
    <mergeCell ref="M39:O39"/>
    <mergeCell ref="M30:O30"/>
    <mergeCell ref="M31:O31"/>
    <mergeCell ref="M32:O32"/>
    <mergeCell ref="M33:O33"/>
    <mergeCell ref="M34:O34"/>
    <mergeCell ref="M35:O35"/>
  </mergeCells>
  <conditionalFormatting sqref="P23">
    <cfRule type="expression" dxfId="39" priority="5">
      <formula>OR($T$4&gt;0,$T$6="SI")</formula>
    </cfRule>
  </conditionalFormatting>
  <conditionalFormatting sqref="R23">
    <cfRule type="cellIs" dxfId="38" priority="2" operator="notEqual">
      <formula>""</formula>
    </cfRule>
  </conditionalFormatting>
  <conditionalFormatting sqref="R25:R39">
    <cfRule type="cellIs" dxfId="37" priority="1" operator="notEqual">
      <formula>""</formula>
    </cfRule>
  </conditionalFormatting>
  <printOptions horizontalCentered="1"/>
  <pageMargins left="0.39370078740157483" right="0.39370078740157483" top="0.59055118110236227" bottom="0.39370078740157483" header="0.19685039370078741" footer="0.19685039370078741"/>
  <pageSetup paperSize="9" scale="6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9" id="{BC94AD63-F16C-4741-B5E3-360B9A674E2A}">
            <xm:f>'% DEDICACIÓN TRABAJADOR'!$K$31=0</xm:f>
            <x14:dxf>
              <font>
                <color theme="0"/>
              </font>
            </x14:dxf>
          </x14:cfRule>
          <xm:sqref>D10:O10</xm:sqref>
        </x14:conditionalFormatting>
        <x14:conditionalFormatting xmlns:xm="http://schemas.microsoft.com/office/excel/2006/main">
          <x14:cfRule type="expression" priority="10" id="{1E49049B-CD6C-4FA1-9CEC-24B8A19162D5}">
            <xm:f>'% DEDICACIÓN TRABAJADOR'!$L$31=0</xm:f>
            <x14:dxf>
              <font>
                <color theme="0"/>
              </font>
            </x14:dxf>
          </x14:cfRule>
          <xm:sqref>D11:O11</xm:sqref>
        </x14:conditionalFormatting>
        <x14:conditionalFormatting xmlns:xm="http://schemas.microsoft.com/office/excel/2006/main">
          <x14:cfRule type="expression" priority="11" id="{6E0F42CB-BBD7-4C5D-85FC-A254D871789F}">
            <xm:f>'% DEDICACIÓN TRABAJADOR'!$M$31=0</xm:f>
            <x14:dxf>
              <font>
                <color theme="0"/>
              </font>
            </x14:dxf>
          </x14:cfRule>
          <xm:sqref>D12:O12</xm:sqref>
        </x14:conditionalFormatting>
        <x14:conditionalFormatting xmlns:xm="http://schemas.microsoft.com/office/excel/2006/main">
          <x14:cfRule type="expression" priority="12" id="{24175F37-7D15-474B-92A3-ADE3307E5957}">
            <xm:f>'% DEDICACIÓN TRABAJADOR'!$N$31=0</xm:f>
            <x14:dxf>
              <font>
                <color theme="0"/>
              </font>
            </x14:dxf>
          </x14:cfRule>
          <xm:sqref>D13:O13</xm:sqref>
        </x14:conditionalFormatting>
        <x14:conditionalFormatting xmlns:xm="http://schemas.microsoft.com/office/excel/2006/main">
          <x14:cfRule type="expression" priority="13" id="{38978E69-D8C4-4212-97C8-FAE5E5EA0AE6}">
            <xm:f>'% DEDICACIÓN TRABAJADOR'!$O$31=0</xm:f>
            <x14:dxf>
              <font>
                <color theme="0"/>
              </font>
            </x14:dxf>
          </x14:cfRule>
          <xm:sqref>D14:O14</xm:sqref>
        </x14:conditionalFormatting>
        <x14:conditionalFormatting xmlns:xm="http://schemas.microsoft.com/office/excel/2006/main">
          <x14:cfRule type="expression" priority="14" id="{3CFD7268-32A5-4606-AC43-7034F53383C5}">
            <xm:f>'% DEDICACIÓN TRABAJADOR'!$P$31=0</xm:f>
            <x14:dxf>
              <font>
                <color theme="0"/>
              </font>
            </x14:dxf>
          </x14:cfRule>
          <xm:sqref>D15:O15</xm:sqref>
        </x14:conditionalFormatting>
        <x14:conditionalFormatting xmlns:xm="http://schemas.microsoft.com/office/excel/2006/main">
          <x14:cfRule type="expression" priority="15" id="{936B2825-62D9-4B9C-840A-7A4F0E1A1A31}">
            <xm:f>'% DEDICACIÓN TRABAJADOR'!$Q$31=0</xm:f>
            <x14:dxf>
              <font>
                <color theme="0"/>
              </font>
            </x14:dxf>
          </x14:cfRule>
          <xm:sqref>D16:O16</xm:sqref>
        </x14:conditionalFormatting>
        <x14:conditionalFormatting xmlns:xm="http://schemas.microsoft.com/office/excel/2006/main">
          <x14:cfRule type="expression" priority="16" id="{C614BD89-7787-4C25-84A4-E0F808FE3CE1}">
            <xm:f>'% DEDICACIÓN TRABAJADOR'!$R$31=0</xm:f>
            <x14:dxf>
              <font>
                <color theme="0"/>
              </font>
            </x14:dxf>
          </x14:cfRule>
          <xm:sqref>D17:O17</xm:sqref>
        </x14:conditionalFormatting>
        <x14:conditionalFormatting xmlns:xm="http://schemas.microsoft.com/office/excel/2006/main">
          <x14:cfRule type="expression" priority="17" id="{12764919-C6FE-43DD-BEA0-5C2702205694}">
            <xm:f>'% DEDICACIÓN TRABAJADOR'!$S$31=0</xm:f>
            <x14:dxf>
              <font>
                <color theme="0"/>
              </font>
            </x14:dxf>
          </x14:cfRule>
          <xm:sqref>D18:O18</xm:sqref>
        </x14:conditionalFormatting>
        <x14:conditionalFormatting xmlns:xm="http://schemas.microsoft.com/office/excel/2006/main">
          <x14:cfRule type="expression" priority="18" id="{45229B1F-6D2F-425D-8D69-64E87F9D2A4E}">
            <xm:f>'% DEDICACIÓN TRABAJADOR'!$T$31=0</xm:f>
            <x14:dxf>
              <font>
                <color theme="0"/>
              </font>
            </x14:dxf>
          </x14:cfRule>
          <xm:sqref>D19:O19</xm:sqref>
        </x14:conditionalFormatting>
        <x14:conditionalFormatting xmlns:xm="http://schemas.microsoft.com/office/excel/2006/main">
          <x14:cfRule type="expression" priority="19" id="{393E2880-5D2A-4378-B8EC-BCC435516EB3}">
            <xm:f>'% DEDICACIÓN TRABAJADOR'!$U$31=0</xm:f>
            <x14:dxf>
              <font>
                <color theme="0"/>
              </font>
            </x14:dxf>
          </x14:cfRule>
          <xm:sqref>D20:O20</xm:sqref>
        </x14:conditionalFormatting>
        <x14:conditionalFormatting xmlns:xm="http://schemas.microsoft.com/office/excel/2006/main">
          <x14:cfRule type="expression" priority="20" id="{EF40140A-4E92-4E74-85A9-A4DF7C10C8E3}">
            <xm:f>'% DEDICACIÓN TRABAJADOR'!$V$31=0</xm:f>
            <x14:dxf>
              <font>
                <color theme="0"/>
              </font>
            </x14:dxf>
          </x14:cfRule>
          <xm:sqref>D21:O21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28BF1-232E-4E09-8A36-470A478C93DA}">
  <dimension ref="B1:AG39"/>
  <sheetViews>
    <sheetView showGridLines="0" zoomScaleNormal="100" workbookViewId="0"/>
  </sheetViews>
  <sheetFormatPr baseColWidth="10" defaultColWidth="11.42578125" defaultRowHeight="13.5" x14ac:dyDescent="0.25"/>
  <cols>
    <col min="1" max="1" width="5.5703125" style="36" customWidth="1"/>
    <col min="2" max="2" width="12.5703125" style="36" customWidth="1"/>
    <col min="3" max="3" width="13.7109375" style="36" customWidth="1"/>
    <col min="4" max="4" width="15.5703125" style="36" customWidth="1"/>
    <col min="5" max="5" width="11.5703125" style="36" customWidth="1"/>
    <col min="6" max="6" width="15.5703125" style="36" customWidth="1"/>
    <col min="7" max="8" width="11.5703125" style="36" customWidth="1"/>
    <col min="9" max="9" width="15.5703125" style="36" customWidth="1"/>
    <col min="10" max="12" width="11.5703125" style="36" customWidth="1"/>
    <col min="13" max="13" width="15.5703125" style="36" customWidth="1"/>
    <col min="14" max="14" width="17.5703125" style="36" customWidth="1"/>
    <col min="15" max="15" width="18.7109375" style="36" customWidth="1"/>
    <col min="16" max="16" width="17.5703125" style="36" customWidth="1"/>
    <col min="17" max="17" width="5.5703125" style="36" customWidth="1"/>
    <col min="18" max="18" width="69.5703125" style="36" bestFit="1" customWidth="1"/>
    <col min="19" max="21" width="5.5703125" style="36" hidden="1" customWidth="1"/>
    <col min="22" max="33" width="8.5703125" style="36" hidden="1" customWidth="1"/>
    <col min="34" max="34" width="8.5703125" style="36" customWidth="1"/>
    <col min="35" max="16384" width="11.42578125" style="36"/>
  </cols>
  <sheetData>
    <row r="1" spans="2:33" ht="20.100000000000001" customHeight="1" x14ac:dyDescent="0.25"/>
    <row r="2" spans="2:33" ht="20.100000000000001" customHeight="1" x14ac:dyDescent="0.25"/>
    <row r="3" spans="2:33" ht="20.100000000000001" customHeight="1" x14ac:dyDescent="0.25">
      <c r="D3" s="257" t="str">
        <f>'IDENTIFICACIÓN TRABAJADOR'!G3</f>
        <v>Nº DE EXPEDIENTE: 2023.11.ACEE.0000</v>
      </c>
      <c r="E3" s="193"/>
      <c r="F3" s="257"/>
      <c r="T3" s="36" t="s">
        <v>256</v>
      </c>
    </row>
    <row r="4" spans="2:33" ht="20.100000000000001" customHeight="1" x14ac:dyDescent="0.25">
      <c r="E4" s="51"/>
      <c r="F4" s="202"/>
      <c r="T4" s="202">
        <f>COUNTIFS('% DEDICACIÓN TRABAJADOR'!$B$37:$B$96,3,'% DEDICACIÓN TRABAJADOR'!$E$37:$E$96,"&gt;0")</f>
        <v>0</v>
      </c>
    </row>
    <row r="5" spans="2:33" ht="20.100000000000001" customHeight="1" x14ac:dyDescent="0.25">
      <c r="D5" s="258" t="str">
        <f>'LINEAS CON DEDICACIÓN'!C6</f>
        <v xml:space="preserve">TRABAJADOR:   </v>
      </c>
      <c r="E5" s="259"/>
      <c r="F5" s="202"/>
      <c r="T5" s="36" t="s">
        <v>255</v>
      </c>
    </row>
    <row r="6" spans="2:33" ht="20.100000000000001" customHeight="1" x14ac:dyDescent="0.25">
      <c r="D6" s="258" t="str">
        <f>'LINEAS CON DEDICACIÓN'!C7</f>
        <v xml:space="preserve">ACRÓNIMO: </v>
      </c>
      <c r="E6" s="259"/>
      <c r="F6" s="202"/>
      <c r="T6" s="36" t="str">
        <f>IF(COUNTIF(U25:U39,"&gt;1")&gt;0,"SI","NO")</f>
        <v>NO</v>
      </c>
    </row>
    <row r="7" spans="2:33" ht="20.100000000000001" customHeight="1" thickBot="1" x14ac:dyDescent="0.3">
      <c r="D7" s="258"/>
      <c r="E7" s="259"/>
      <c r="F7" s="202"/>
    </row>
    <row r="8" spans="2:33" s="55" customFormat="1" ht="25.5" customHeight="1" x14ac:dyDescent="0.25">
      <c r="B8" s="437">
        <f>EXPEDIENTE!C16</f>
        <v>2023</v>
      </c>
      <c r="C8" s="439" t="s">
        <v>238</v>
      </c>
      <c r="D8" s="434" t="s">
        <v>139</v>
      </c>
      <c r="E8" s="319"/>
      <c r="F8" s="435"/>
      <c r="G8" s="434" t="s">
        <v>142</v>
      </c>
      <c r="H8" s="319"/>
      <c r="I8" s="435"/>
      <c r="J8" s="158" t="s">
        <v>140</v>
      </c>
      <c r="K8" s="434" t="s">
        <v>72</v>
      </c>
      <c r="L8" s="319"/>
      <c r="M8" s="435"/>
      <c r="N8" s="439" t="s">
        <v>311</v>
      </c>
      <c r="O8" s="439" t="s">
        <v>312</v>
      </c>
      <c r="P8" s="432" t="s">
        <v>98</v>
      </c>
    </row>
    <row r="9" spans="2:33" s="39" customFormat="1" ht="64.5" thickBot="1" x14ac:dyDescent="0.3">
      <c r="B9" s="438"/>
      <c r="C9" s="440"/>
      <c r="D9" s="160" t="s">
        <v>138</v>
      </c>
      <c r="E9" s="151" t="s">
        <v>75</v>
      </c>
      <c r="F9" s="161" t="s">
        <v>99</v>
      </c>
      <c r="G9" s="160" t="s">
        <v>90</v>
      </c>
      <c r="H9" s="151" t="s">
        <v>143</v>
      </c>
      <c r="I9" s="168" t="s">
        <v>91</v>
      </c>
      <c r="J9" s="159" t="s">
        <v>141</v>
      </c>
      <c r="K9" s="160" t="s">
        <v>94</v>
      </c>
      <c r="L9" s="151" t="s">
        <v>86</v>
      </c>
      <c r="M9" s="168" t="s">
        <v>95</v>
      </c>
      <c r="N9" s="440"/>
      <c r="O9" s="440"/>
      <c r="P9" s="433"/>
      <c r="AB9" s="43"/>
      <c r="AC9" s="43"/>
      <c r="AD9" s="43"/>
      <c r="AE9" s="43"/>
    </row>
    <row r="10" spans="2:33" ht="15" customHeight="1" x14ac:dyDescent="0.25">
      <c r="B10" s="152" t="s">
        <v>52</v>
      </c>
      <c r="C10" s="155">
        <f>ROUND('% DEDICACIÓN TRABAJADOR'!K34,4)</f>
        <v>0</v>
      </c>
      <c r="D10" s="162">
        <f>'GASTOS TRABAJADOR'!F20+'GASTOS TRABAJADOR'!L20</f>
        <v>0</v>
      </c>
      <c r="E10" s="48" t="str">
        <f>IF('GASTOS TRABAJADOR'!AA20="","",'GASTOS TRABAJADOR'!AA20)</f>
        <v/>
      </c>
      <c r="F10" s="163">
        <f>IF(E10&lt;=EXPEDIENTE!$H$29,D10,0)</f>
        <v>0</v>
      </c>
      <c r="G10" s="162">
        <f>'GASTOS TRABAJADOR'!Y20</f>
        <v>0</v>
      </c>
      <c r="H10" s="48" t="str">
        <f>IF('GASTOS TRABAJADOR'!AB20="","",'GASTOS TRABAJADOR'!AB20)</f>
        <v/>
      </c>
      <c r="I10" s="163">
        <f>IF(H10&lt;=EXPEDIENTE!$H$29,G10,0)</f>
        <v>0</v>
      </c>
      <c r="J10" s="169">
        <f>'GASTOS TRABAJADOR'!T62</f>
        <v>0</v>
      </c>
      <c r="K10" s="162">
        <f>'GASTOS TRABAJADOR'!E45-'GASTOS TRABAJADOR'!F45</f>
        <v>0</v>
      </c>
      <c r="L10" s="48" t="str">
        <f>IF('GASTOS TRABAJADOR'!G45="","",'GASTOS TRABAJADOR'!G45)</f>
        <v/>
      </c>
      <c r="M10" s="163">
        <f>IF(L10&lt;=EXPEDIENTE!$H$29,K10,0)</f>
        <v>0</v>
      </c>
      <c r="N10" s="169">
        <f t="shared" ref="N10:N21" si="0">F10+J10+M10+I10</f>
        <v>0</v>
      </c>
      <c r="O10" s="169">
        <f>ROUND(N10*32.72/30,2)</f>
        <v>0</v>
      </c>
      <c r="P10" s="172">
        <f>IF(AND($T$4=0,$T$6="NO"),ROUND(C10*O10,2),0)</f>
        <v>0</v>
      </c>
      <c r="AB10" s="37"/>
      <c r="AC10" s="37"/>
      <c r="AD10" s="43"/>
      <c r="AE10" s="43"/>
      <c r="AF10" s="39"/>
      <c r="AG10" s="39"/>
    </row>
    <row r="11" spans="2:33" ht="15" customHeight="1" x14ac:dyDescent="0.25">
      <c r="B11" s="153" t="s">
        <v>53</v>
      </c>
      <c r="C11" s="156">
        <f>ROUND('% DEDICACIÓN TRABAJADOR'!L34,4)</f>
        <v>0</v>
      </c>
      <c r="D11" s="164">
        <f>'GASTOS TRABAJADOR'!F21+'GASTOS TRABAJADOR'!L21</f>
        <v>0</v>
      </c>
      <c r="E11" s="49" t="str">
        <f>IF('GASTOS TRABAJADOR'!AA21="","",'GASTOS TRABAJADOR'!AA21)</f>
        <v/>
      </c>
      <c r="F11" s="165">
        <f>IF(E11&lt;=EXPEDIENTE!$H$29,D11,0)</f>
        <v>0</v>
      </c>
      <c r="G11" s="164">
        <f>'GASTOS TRABAJADOR'!Y21</f>
        <v>0</v>
      </c>
      <c r="H11" s="49" t="str">
        <f>IF('GASTOS TRABAJADOR'!AB21="","",'GASTOS TRABAJADOR'!AB21)</f>
        <v/>
      </c>
      <c r="I11" s="165">
        <f>IF(H11&lt;=EXPEDIENTE!$H$29,G11,0)</f>
        <v>0</v>
      </c>
      <c r="J11" s="170">
        <f>'GASTOS TRABAJADOR'!T63</f>
        <v>0</v>
      </c>
      <c r="K11" s="164">
        <f>'GASTOS TRABAJADOR'!E46-'GASTOS TRABAJADOR'!F46</f>
        <v>0</v>
      </c>
      <c r="L11" s="49" t="str">
        <f>IF('GASTOS TRABAJADOR'!G46="","",'GASTOS TRABAJADOR'!G46)</f>
        <v/>
      </c>
      <c r="M11" s="165">
        <f>IF(L11&lt;=EXPEDIENTE!$H$29,K11,0)</f>
        <v>0</v>
      </c>
      <c r="N11" s="170">
        <f t="shared" si="0"/>
        <v>0</v>
      </c>
      <c r="O11" s="170">
        <f t="shared" ref="O11:O21" si="1">ROUND(N11*32.72/30,2)</f>
        <v>0</v>
      </c>
      <c r="P11" s="173">
        <f t="shared" ref="P11:P21" si="2">IF(AND($T$4=0,$T$6="NO"),ROUND(C11*O11,2),0)</f>
        <v>0</v>
      </c>
      <c r="AB11" s="37"/>
      <c r="AC11" s="37"/>
      <c r="AD11" s="43"/>
      <c r="AE11" s="43"/>
      <c r="AF11" s="39"/>
      <c r="AG11" s="39"/>
    </row>
    <row r="12" spans="2:33" ht="15" customHeight="1" x14ac:dyDescent="0.25">
      <c r="B12" s="153" t="s">
        <v>54</v>
      </c>
      <c r="C12" s="156">
        <f>ROUND('% DEDICACIÓN TRABAJADOR'!M34,4)</f>
        <v>0</v>
      </c>
      <c r="D12" s="164">
        <f>'GASTOS TRABAJADOR'!F22+'GASTOS TRABAJADOR'!L22</f>
        <v>0</v>
      </c>
      <c r="E12" s="49" t="str">
        <f>IF('GASTOS TRABAJADOR'!AA22="","",'GASTOS TRABAJADOR'!AA22)</f>
        <v/>
      </c>
      <c r="F12" s="165">
        <f>IF(E12&lt;=EXPEDIENTE!$H$29,D12,0)</f>
        <v>0</v>
      </c>
      <c r="G12" s="164">
        <f>'GASTOS TRABAJADOR'!Y22</f>
        <v>0</v>
      </c>
      <c r="H12" s="49" t="str">
        <f>IF('GASTOS TRABAJADOR'!AB22="","",'GASTOS TRABAJADOR'!AB22)</f>
        <v/>
      </c>
      <c r="I12" s="165">
        <f>IF(H12&lt;=EXPEDIENTE!$H$29,G12,0)</f>
        <v>0</v>
      </c>
      <c r="J12" s="170">
        <f>'GASTOS TRABAJADOR'!T64</f>
        <v>0</v>
      </c>
      <c r="K12" s="164">
        <f>'GASTOS TRABAJADOR'!E47-'GASTOS TRABAJADOR'!F47</f>
        <v>0</v>
      </c>
      <c r="L12" s="49" t="str">
        <f>IF('GASTOS TRABAJADOR'!G47="","",'GASTOS TRABAJADOR'!G47)</f>
        <v/>
      </c>
      <c r="M12" s="165">
        <f>IF(L12&lt;=EXPEDIENTE!$H$29,K12,0)</f>
        <v>0</v>
      </c>
      <c r="N12" s="170">
        <f t="shared" si="0"/>
        <v>0</v>
      </c>
      <c r="O12" s="170">
        <f t="shared" si="1"/>
        <v>0</v>
      </c>
      <c r="P12" s="173">
        <f t="shared" si="2"/>
        <v>0</v>
      </c>
      <c r="AB12" s="37"/>
      <c r="AC12" s="37"/>
      <c r="AD12" s="43"/>
      <c r="AE12" s="43"/>
      <c r="AF12" s="39"/>
      <c r="AG12" s="39"/>
    </row>
    <row r="13" spans="2:33" ht="15" customHeight="1" x14ac:dyDescent="0.25">
      <c r="B13" s="153" t="s">
        <v>55</v>
      </c>
      <c r="C13" s="156">
        <f>ROUND('% DEDICACIÓN TRABAJADOR'!N34,4)</f>
        <v>0</v>
      </c>
      <c r="D13" s="164">
        <f>'GASTOS TRABAJADOR'!F23+'GASTOS TRABAJADOR'!L23</f>
        <v>0</v>
      </c>
      <c r="E13" s="49" t="str">
        <f>IF('GASTOS TRABAJADOR'!AA23="","",'GASTOS TRABAJADOR'!AA23)</f>
        <v/>
      </c>
      <c r="F13" s="165">
        <f>IF(E13&lt;=EXPEDIENTE!$H$29,D13,0)</f>
        <v>0</v>
      </c>
      <c r="G13" s="164">
        <f>'GASTOS TRABAJADOR'!Y23</f>
        <v>0</v>
      </c>
      <c r="H13" s="49" t="str">
        <f>IF('GASTOS TRABAJADOR'!AB23="","",'GASTOS TRABAJADOR'!AB23)</f>
        <v/>
      </c>
      <c r="I13" s="165">
        <f>IF(H13&lt;=EXPEDIENTE!$H$29,G13,0)</f>
        <v>0</v>
      </c>
      <c r="J13" s="170">
        <f>'GASTOS TRABAJADOR'!T65</f>
        <v>0</v>
      </c>
      <c r="K13" s="164">
        <f>'GASTOS TRABAJADOR'!E48-'GASTOS TRABAJADOR'!F48</f>
        <v>0</v>
      </c>
      <c r="L13" s="49" t="str">
        <f>IF('GASTOS TRABAJADOR'!G48="","",'GASTOS TRABAJADOR'!G48)</f>
        <v/>
      </c>
      <c r="M13" s="165">
        <f>IF(L13&lt;=EXPEDIENTE!$H$29,K13,0)</f>
        <v>0</v>
      </c>
      <c r="N13" s="170">
        <f t="shared" si="0"/>
        <v>0</v>
      </c>
      <c r="O13" s="170">
        <f t="shared" si="1"/>
        <v>0</v>
      </c>
      <c r="P13" s="173">
        <f t="shared" si="2"/>
        <v>0</v>
      </c>
      <c r="AB13" s="37"/>
      <c r="AC13" s="37"/>
      <c r="AD13" s="43"/>
      <c r="AE13" s="43"/>
      <c r="AF13" s="39"/>
      <c r="AG13" s="39"/>
    </row>
    <row r="14" spans="2:33" ht="15" customHeight="1" x14ac:dyDescent="0.25">
      <c r="B14" s="153" t="s">
        <v>56</v>
      </c>
      <c r="C14" s="156">
        <f>ROUND('% DEDICACIÓN TRABAJADOR'!O34,4)</f>
        <v>0</v>
      </c>
      <c r="D14" s="164">
        <f>'GASTOS TRABAJADOR'!F24+'GASTOS TRABAJADOR'!L24</f>
        <v>0</v>
      </c>
      <c r="E14" s="49" t="str">
        <f>IF('GASTOS TRABAJADOR'!AA24="","",'GASTOS TRABAJADOR'!AA24)</f>
        <v/>
      </c>
      <c r="F14" s="165">
        <f>IF(E14&lt;=EXPEDIENTE!$H$29,D14,0)</f>
        <v>0</v>
      </c>
      <c r="G14" s="164">
        <f>'GASTOS TRABAJADOR'!Y24</f>
        <v>0</v>
      </c>
      <c r="H14" s="49" t="str">
        <f>IF('GASTOS TRABAJADOR'!AB24="","",'GASTOS TRABAJADOR'!AB24)</f>
        <v/>
      </c>
      <c r="I14" s="165">
        <f>IF(H14&lt;=EXPEDIENTE!$H$29,G14,0)</f>
        <v>0</v>
      </c>
      <c r="J14" s="170">
        <f>'GASTOS TRABAJADOR'!T66</f>
        <v>0</v>
      </c>
      <c r="K14" s="164">
        <f>'GASTOS TRABAJADOR'!E49-'GASTOS TRABAJADOR'!F49</f>
        <v>0</v>
      </c>
      <c r="L14" s="49" t="str">
        <f>IF('GASTOS TRABAJADOR'!G49="","",'GASTOS TRABAJADOR'!G49)</f>
        <v/>
      </c>
      <c r="M14" s="165">
        <f>IF(L14&lt;=EXPEDIENTE!$H$29,K14,0)</f>
        <v>0</v>
      </c>
      <c r="N14" s="170">
        <f t="shared" si="0"/>
        <v>0</v>
      </c>
      <c r="O14" s="170">
        <f t="shared" si="1"/>
        <v>0</v>
      </c>
      <c r="P14" s="173">
        <f t="shared" si="2"/>
        <v>0</v>
      </c>
      <c r="AB14" s="37"/>
      <c r="AC14" s="37"/>
      <c r="AD14" s="43"/>
      <c r="AE14" s="43"/>
      <c r="AF14" s="39"/>
      <c r="AG14" s="39"/>
    </row>
    <row r="15" spans="2:33" ht="15" customHeight="1" x14ac:dyDescent="0.25">
      <c r="B15" s="153" t="s">
        <v>57</v>
      </c>
      <c r="C15" s="156">
        <f>ROUND('% DEDICACIÓN TRABAJADOR'!P34,4)</f>
        <v>0</v>
      </c>
      <c r="D15" s="164">
        <f>'GASTOS TRABAJADOR'!F25+'GASTOS TRABAJADOR'!L25</f>
        <v>0</v>
      </c>
      <c r="E15" s="49" t="str">
        <f>IF('GASTOS TRABAJADOR'!AA25="","",'GASTOS TRABAJADOR'!AA25)</f>
        <v/>
      </c>
      <c r="F15" s="165">
        <f>IF(E15&lt;=EXPEDIENTE!$H$29,D15,0)</f>
        <v>0</v>
      </c>
      <c r="G15" s="164">
        <f>'GASTOS TRABAJADOR'!Y25</f>
        <v>0</v>
      </c>
      <c r="H15" s="49" t="str">
        <f>IF('GASTOS TRABAJADOR'!AB25="","",'GASTOS TRABAJADOR'!AB25)</f>
        <v/>
      </c>
      <c r="I15" s="165">
        <f>IF(H15&lt;=EXPEDIENTE!$H$29,G15,0)</f>
        <v>0</v>
      </c>
      <c r="J15" s="170">
        <f>'GASTOS TRABAJADOR'!S67</f>
        <v>0</v>
      </c>
      <c r="K15" s="164">
        <f>'GASTOS TRABAJADOR'!E50-'GASTOS TRABAJADOR'!F50</f>
        <v>0</v>
      </c>
      <c r="L15" s="49" t="str">
        <f>IF('GASTOS TRABAJADOR'!G50="","",'GASTOS TRABAJADOR'!G50)</f>
        <v/>
      </c>
      <c r="M15" s="165">
        <f>IF(L15&lt;=EXPEDIENTE!$H$29,K15,0)</f>
        <v>0</v>
      </c>
      <c r="N15" s="170">
        <f t="shared" si="0"/>
        <v>0</v>
      </c>
      <c r="O15" s="170">
        <f t="shared" si="1"/>
        <v>0</v>
      </c>
      <c r="P15" s="173">
        <f t="shared" si="2"/>
        <v>0</v>
      </c>
      <c r="AB15" s="37"/>
      <c r="AC15" s="37"/>
      <c r="AE15" s="37"/>
    </row>
    <row r="16" spans="2:33" ht="15" customHeight="1" x14ac:dyDescent="0.25">
      <c r="B16" s="153" t="s">
        <v>58</v>
      </c>
      <c r="C16" s="156">
        <f>ROUND('% DEDICACIÓN TRABAJADOR'!Q34,4)</f>
        <v>0</v>
      </c>
      <c r="D16" s="164">
        <f>'GASTOS TRABAJADOR'!F26+'GASTOS TRABAJADOR'!L26</f>
        <v>0</v>
      </c>
      <c r="E16" s="49" t="str">
        <f>IF('GASTOS TRABAJADOR'!AA26="","",'GASTOS TRABAJADOR'!AA26)</f>
        <v/>
      </c>
      <c r="F16" s="165">
        <f>IF(E16&lt;=EXPEDIENTE!$H$29,D16,0)</f>
        <v>0</v>
      </c>
      <c r="G16" s="164">
        <f>'GASTOS TRABAJADOR'!Y26</f>
        <v>0</v>
      </c>
      <c r="H16" s="49" t="str">
        <f>IF('GASTOS TRABAJADOR'!AB26="","",'GASTOS TRABAJADOR'!AB26)</f>
        <v/>
      </c>
      <c r="I16" s="165">
        <f>IF(H16&lt;=EXPEDIENTE!$H$29,G16,0)</f>
        <v>0</v>
      </c>
      <c r="J16" s="170">
        <f>'GASTOS TRABAJADOR'!S68</f>
        <v>0</v>
      </c>
      <c r="K16" s="164">
        <f>'GASTOS TRABAJADOR'!E51-'GASTOS TRABAJADOR'!F51</f>
        <v>0</v>
      </c>
      <c r="L16" s="49" t="str">
        <f>IF('GASTOS TRABAJADOR'!G51="","",'GASTOS TRABAJADOR'!G51)</f>
        <v/>
      </c>
      <c r="M16" s="165">
        <f>IF(L16&lt;=EXPEDIENTE!$H$29,K16,0)</f>
        <v>0</v>
      </c>
      <c r="N16" s="170">
        <f t="shared" si="0"/>
        <v>0</v>
      </c>
      <c r="O16" s="170">
        <f t="shared" si="1"/>
        <v>0</v>
      </c>
      <c r="P16" s="173">
        <f t="shared" si="2"/>
        <v>0</v>
      </c>
      <c r="AB16" s="37"/>
      <c r="AC16" s="37"/>
      <c r="AE16" s="37"/>
    </row>
    <row r="17" spans="2:33" ht="15" customHeight="1" x14ac:dyDescent="0.25">
      <c r="B17" s="153" t="s">
        <v>59</v>
      </c>
      <c r="C17" s="156">
        <f>ROUND('% DEDICACIÓN TRABAJADOR'!R34,4)</f>
        <v>0</v>
      </c>
      <c r="D17" s="164">
        <f>'GASTOS TRABAJADOR'!F27+'GASTOS TRABAJADOR'!L27</f>
        <v>0</v>
      </c>
      <c r="E17" s="49" t="str">
        <f>IF('GASTOS TRABAJADOR'!AA27="","",'GASTOS TRABAJADOR'!AA27)</f>
        <v/>
      </c>
      <c r="F17" s="165">
        <f>IF(E17&lt;=EXPEDIENTE!$H$29,D17,0)</f>
        <v>0</v>
      </c>
      <c r="G17" s="164">
        <f>'GASTOS TRABAJADOR'!Y27</f>
        <v>0</v>
      </c>
      <c r="H17" s="49" t="str">
        <f>IF('GASTOS TRABAJADOR'!AB27="","",'GASTOS TRABAJADOR'!AB27)</f>
        <v/>
      </c>
      <c r="I17" s="165">
        <f>IF(H17&lt;=EXPEDIENTE!$H$29,G17,0)</f>
        <v>0</v>
      </c>
      <c r="J17" s="170">
        <f>'GASTOS TRABAJADOR'!S69</f>
        <v>0</v>
      </c>
      <c r="K17" s="164">
        <f>'GASTOS TRABAJADOR'!E52-'GASTOS TRABAJADOR'!F52</f>
        <v>0</v>
      </c>
      <c r="L17" s="49" t="str">
        <f>IF('GASTOS TRABAJADOR'!G52="","",'GASTOS TRABAJADOR'!G52)</f>
        <v/>
      </c>
      <c r="M17" s="165">
        <f>IF(L17&lt;=EXPEDIENTE!$H$29,K17,0)</f>
        <v>0</v>
      </c>
      <c r="N17" s="170">
        <f t="shared" si="0"/>
        <v>0</v>
      </c>
      <c r="O17" s="170">
        <f t="shared" si="1"/>
        <v>0</v>
      </c>
      <c r="P17" s="173">
        <f t="shared" si="2"/>
        <v>0</v>
      </c>
      <c r="AB17" s="37"/>
      <c r="AC17" s="37"/>
      <c r="AE17" s="37"/>
    </row>
    <row r="18" spans="2:33" ht="15" customHeight="1" x14ac:dyDescent="0.25">
      <c r="B18" s="153" t="s">
        <v>60</v>
      </c>
      <c r="C18" s="156">
        <f>ROUND('% DEDICACIÓN TRABAJADOR'!S34,4)</f>
        <v>0</v>
      </c>
      <c r="D18" s="164">
        <f>'GASTOS TRABAJADOR'!F28+'GASTOS TRABAJADOR'!L28</f>
        <v>0</v>
      </c>
      <c r="E18" s="49" t="str">
        <f>IF('GASTOS TRABAJADOR'!AA28="","",'GASTOS TRABAJADOR'!AA28)</f>
        <v/>
      </c>
      <c r="F18" s="165">
        <f>IF(E18&lt;=EXPEDIENTE!$H$29,D18,0)</f>
        <v>0</v>
      </c>
      <c r="G18" s="164">
        <f>'GASTOS TRABAJADOR'!Y28</f>
        <v>0</v>
      </c>
      <c r="H18" s="49" t="str">
        <f>IF('GASTOS TRABAJADOR'!AB28="","",'GASTOS TRABAJADOR'!AB28)</f>
        <v/>
      </c>
      <c r="I18" s="165">
        <f>IF(H18&lt;=EXPEDIENTE!$H$29,G18,0)</f>
        <v>0</v>
      </c>
      <c r="J18" s="170">
        <f>'GASTOS TRABAJADOR'!S70</f>
        <v>0</v>
      </c>
      <c r="K18" s="164">
        <f>'GASTOS TRABAJADOR'!E53-'GASTOS TRABAJADOR'!F53</f>
        <v>0</v>
      </c>
      <c r="L18" s="49" t="str">
        <f>IF('GASTOS TRABAJADOR'!G53="","",'GASTOS TRABAJADOR'!G53)</f>
        <v/>
      </c>
      <c r="M18" s="165">
        <f>IF(L18&lt;=EXPEDIENTE!$H$29,K18,0)</f>
        <v>0</v>
      </c>
      <c r="N18" s="170">
        <f t="shared" si="0"/>
        <v>0</v>
      </c>
      <c r="O18" s="170">
        <f t="shared" si="1"/>
        <v>0</v>
      </c>
      <c r="P18" s="173">
        <f t="shared" si="2"/>
        <v>0</v>
      </c>
      <c r="AB18" s="37"/>
      <c r="AC18" s="37"/>
      <c r="AE18" s="37"/>
    </row>
    <row r="19" spans="2:33" ht="15" customHeight="1" x14ac:dyDescent="0.25">
      <c r="B19" s="153" t="s">
        <v>61</v>
      </c>
      <c r="C19" s="156">
        <f>ROUND('% DEDICACIÓN TRABAJADOR'!T34,4)</f>
        <v>0</v>
      </c>
      <c r="D19" s="164">
        <f>'GASTOS TRABAJADOR'!F29+'GASTOS TRABAJADOR'!L29</f>
        <v>0</v>
      </c>
      <c r="E19" s="49" t="str">
        <f>IF('GASTOS TRABAJADOR'!AA29="","",'GASTOS TRABAJADOR'!AA29)</f>
        <v/>
      </c>
      <c r="F19" s="165">
        <f>IF(E19&lt;=EXPEDIENTE!$H$29,D19,0)</f>
        <v>0</v>
      </c>
      <c r="G19" s="164">
        <f>'GASTOS TRABAJADOR'!Y29</f>
        <v>0</v>
      </c>
      <c r="H19" s="49" t="str">
        <f>IF('GASTOS TRABAJADOR'!AB29="","",'GASTOS TRABAJADOR'!AB29)</f>
        <v/>
      </c>
      <c r="I19" s="165">
        <f>IF(H19&lt;=EXPEDIENTE!$H$29,G19,0)</f>
        <v>0</v>
      </c>
      <c r="J19" s="170">
        <f>'GASTOS TRABAJADOR'!S71</f>
        <v>0</v>
      </c>
      <c r="K19" s="164">
        <f>'GASTOS TRABAJADOR'!E54-'GASTOS TRABAJADOR'!F54</f>
        <v>0</v>
      </c>
      <c r="L19" s="49" t="str">
        <f>IF('GASTOS TRABAJADOR'!G54="","",'GASTOS TRABAJADOR'!G54)</f>
        <v/>
      </c>
      <c r="M19" s="165">
        <f>IF(L19&lt;=EXPEDIENTE!$H$29,K19,0)</f>
        <v>0</v>
      </c>
      <c r="N19" s="170">
        <f t="shared" si="0"/>
        <v>0</v>
      </c>
      <c r="O19" s="170">
        <f t="shared" si="1"/>
        <v>0</v>
      </c>
      <c r="P19" s="173">
        <f t="shared" si="2"/>
        <v>0</v>
      </c>
      <c r="AB19" s="37"/>
      <c r="AC19" s="37"/>
      <c r="AE19" s="37"/>
    </row>
    <row r="20" spans="2:33" ht="15" customHeight="1" x14ac:dyDescent="0.25">
      <c r="B20" s="153" t="s">
        <v>62</v>
      </c>
      <c r="C20" s="156">
        <f>ROUND('% DEDICACIÓN TRABAJADOR'!U34,4)</f>
        <v>0</v>
      </c>
      <c r="D20" s="164">
        <f>'GASTOS TRABAJADOR'!F30+'GASTOS TRABAJADOR'!L30</f>
        <v>0</v>
      </c>
      <c r="E20" s="49" t="str">
        <f>IF('GASTOS TRABAJADOR'!AA30="","",'GASTOS TRABAJADOR'!AA30)</f>
        <v/>
      </c>
      <c r="F20" s="165">
        <f>IF(E20&lt;=EXPEDIENTE!$H$29,D20,0)</f>
        <v>0</v>
      </c>
      <c r="G20" s="164">
        <f>'GASTOS TRABAJADOR'!Y30</f>
        <v>0</v>
      </c>
      <c r="H20" s="49" t="str">
        <f>IF('GASTOS TRABAJADOR'!AB30="","",'GASTOS TRABAJADOR'!AB30)</f>
        <v/>
      </c>
      <c r="I20" s="165">
        <f>IF(H20&lt;=EXPEDIENTE!$H$29,G20,0)</f>
        <v>0</v>
      </c>
      <c r="J20" s="170">
        <f>'GASTOS TRABAJADOR'!S72</f>
        <v>0</v>
      </c>
      <c r="K20" s="164">
        <f>'GASTOS TRABAJADOR'!E55-'GASTOS TRABAJADOR'!F55</f>
        <v>0</v>
      </c>
      <c r="L20" s="49" t="str">
        <f>IF('GASTOS TRABAJADOR'!G55="","",'GASTOS TRABAJADOR'!G55)</f>
        <v/>
      </c>
      <c r="M20" s="165">
        <f>IF(L20&lt;=EXPEDIENTE!$H$29,K20,0)</f>
        <v>0</v>
      </c>
      <c r="N20" s="170">
        <f t="shared" si="0"/>
        <v>0</v>
      </c>
      <c r="O20" s="170">
        <f t="shared" si="1"/>
        <v>0</v>
      </c>
      <c r="P20" s="173">
        <f t="shared" si="2"/>
        <v>0</v>
      </c>
      <c r="AB20" s="37"/>
      <c r="AC20" s="37"/>
      <c r="AE20" s="37"/>
    </row>
    <row r="21" spans="2:33" ht="15" customHeight="1" thickBot="1" x14ac:dyDescent="0.3">
      <c r="B21" s="154" t="s">
        <v>63</v>
      </c>
      <c r="C21" s="157">
        <f>ROUND('% DEDICACIÓN TRABAJADOR'!V34,4)</f>
        <v>0</v>
      </c>
      <c r="D21" s="166">
        <f>'GASTOS TRABAJADOR'!F31+'GASTOS TRABAJADOR'!L31</f>
        <v>0</v>
      </c>
      <c r="E21" s="50" t="str">
        <f>IF('GASTOS TRABAJADOR'!AA31="","",'GASTOS TRABAJADOR'!AA31)</f>
        <v/>
      </c>
      <c r="F21" s="167">
        <f>IF(E21&lt;=EXPEDIENTE!$H$29,D21,0)</f>
        <v>0</v>
      </c>
      <c r="G21" s="166">
        <f>'GASTOS TRABAJADOR'!Y31</f>
        <v>0</v>
      </c>
      <c r="H21" s="50" t="str">
        <f>IF('GASTOS TRABAJADOR'!AB31="","",'GASTOS TRABAJADOR'!AB31)</f>
        <v/>
      </c>
      <c r="I21" s="167">
        <f>IF(H21&lt;=EXPEDIENTE!$H$29,G21,0)</f>
        <v>0</v>
      </c>
      <c r="J21" s="171">
        <f>'GASTOS TRABAJADOR'!S73</f>
        <v>0</v>
      </c>
      <c r="K21" s="166">
        <f>'GASTOS TRABAJADOR'!E56-'GASTOS TRABAJADOR'!F56</f>
        <v>0</v>
      </c>
      <c r="L21" s="50" t="str">
        <f>IF('GASTOS TRABAJADOR'!G56="","",'GASTOS TRABAJADOR'!G56)</f>
        <v/>
      </c>
      <c r="M21" s="167">
        <f>IF(L21&lt;=EXPEDIENTE!$H$29,K21,0)</f>
        <v>0</v>
      </c>
      <c r="N21" s="171">
        <f t="shared" si="0"/>
        <v>0</v>
      </c>
      <c r="O21" s="171">
        <f t="shared" si="1"/>
        <v>0</v>
      </c>
      <c r="P21" s="174">
        <f t="shared" si="2"/>
        <v>0</v>
      </c>
      <c r="W21" s="36" t="e">
        <f>W25*N11</f>
        <v>#VALUE!</v>
      </c>
      <c r="AA21" s="37"/>
      <c r="AB21" s="37"/>
      <c r="AD21" s="37"/>
    </row>
    <row r="22" spans="2:33" ht="14.25" thickBot="1" x14ac:dyDescent="0.3">
      <c r="M22" s="179"/>
      <c r="N22" s="179"/>
      <c r="O22" s="179"/>
      <c r="P22" s="179"/>
      <c r="AA22" s="37"/>
      <c r="AB22" s="37"/>
      <c r="AD22" s="37"/>
    </row>
    <row r="23" spans="2:33" ht="20.100000000000001" customHeight="1" thickBot="1" x14ac:dyDescent="0.3">
      <c r="G23" s="38"/>
      <c r="N23" s="261"/>
      <c r="O23" s="194" t="s">
        <v>239</v>
      </c>
      <c r="P23" s="175">
        <f>SUM(P10:P21)</f>
        <v>0</v>
      </c>
      <c r="R23" s="36" t="str">
        <f>IF(T4&gt;0,"EXISTE ALGÚN % DE DEDICACIÓN SUPERIOR AL 100% EN ESTA ACTUACIÓN",IF(T6="SI","EXISTEN LÍNEAS REPETIDAS EN ESTA ACTUACIÓN",""))</f>
        <v/>
      </c>
      <c r="T23" s="54" t="s">
        <v>227</v>
      </c>
      <c r="U23" s="54" t="s">
        <v>254</v>
      </c>
      <c r="V23" s="36">
        <v>8</v>
      </c>
      <c r="W23" s="36">
        <v>9</v>
      </c>
      <c r="X23" s="36">
        <v>10</v>
      </c>
      <c r="Y23" s="36">
        <v>11</v>
      </c>
      <c r="Z23" s="36">
        <v>12</v>
      </c>
      <c r="AA23" s="36">
        <v>13</v>
      </c>
      <c r="AB23" s="36">
        <v>14</v>
      </c>
      <c r="AC23" s="36">
        <v>15</v>
      </c>
      <c r="AD23" s="36">
        <v>16</v>
      </c>
      <c r="AE23" s="36">
        <v>17</v>
      </c>
      <c r="AF23" s="36">
        <v>18</v>
      </c>
      <c r="AG23" s="36">
        <v>19</v>
      </c>
    </row>
    <row r="24" spans="2:33" x14ac:dyDescent="0.25">
      <c r="M24" s="179"/>
      <c r="N24" s="179"/>
      <c r="O24" s="179"/>
      <c r="P24" s="179"/>
      <c r="AA24" s="37"/>
      <c r="AB24" s="37"/>
    </row>
    <row r="25" spans="2:33" s="246" customFormat="1" ht="15" customHeight="1" x14ac:dyDescent="0.25">
      <c r="M25" s="436" t="str">
        <f>IF(AUXILIAR!V56="x","",CONCATENATE("SUBTOTAL ",AUXILIAR!V56))</f>
        <v/>
      </c>
      <c r="N25" s="436"/>
      <c r="O25" s="436"/>
      <c r="P25" s="248" t="str">
        <f>IF(M25="","",IF($T$4&gt;0,0,IF($T$6="SI",0,IFERROR(ROUND(V25*$O$10+W25*$O$11+X25*$O$12+Y25*$O$13+Z25*$O$14+AA25*$O$15+AB25*$O$16+AC25*$O$17+AD25*$O$18+AE25*$O$19+AF25*$O$20+AG25*$O$21,2),""))))</f>
        <v/>
      </c>
      <c r="R25" s="246" t="str">
        <f>IF(M25="","",IF(AND(M25&lt;&gt;"",OR($T$4&gt;0,$T$6="SI")),"",IF(AND(M25&lt;&gt;"",P25=""),"SE DIO DE ALTA LA LÍNEA PERO NO SE LE ASIGNÓ % DE DEDICACIÓN",IF(U25&gt;1,"LA LÍNEA SE HA DADO DE ALTA MÁS DE UNA VEZ",IF(SUM(V25:AG25)=0,CONCATENATE("LA SUMA DE LOS % DE DEDICACIÓN DE LA LÍNEA SON DEL 0%"),"")))))</f>
        <v/>
      </c>
      <c r="T25" s="246" t="str">
        <f t="shared" ref="T25:T39" si="3">IF(M25="","",IF(MID(M25,19,1)=":",VALUE(CONCATENATE(MID(M25,16,1),MID(M25,18,1))),VALUE(CONCATENATE(MID(M25,16,1),MID(M25,18,2)))))</f>
        <v/>
      </c>
      <c r="U25" s="246">
        <f>COUNTIF('% DEDICACIÓN TRABAJADOR'!$D$37:$D$96,T25)</f>
        <v>0</v>
      </c>
      <c r="V25" s="249" t="str">
        <f>IFERROR(ROUND(VLOOKUP($T$25,'% DEDICACIÓN TRABAJADOR'!$D$37:$V$96,V$23,FALSE),4),"")</f>
        <v/>
      </c>
      <c r="W25" s="249" t="str">
        <f>IFERROR(ROUND(VLOOKUP($T$25,'% DEDICACIÓN TRABAJADOR'!$D$37:$V$96,W$23,FALSE),4),"")</f>
        <v/>
      </c>
      <c r="X25" s="249" t="str">
        <f>IFERROR(ROUND(VLOOKUP($T$25,'% DEDICACIÓN TRABAJADOR'!$D$37:$V$96,X$23,FALSE),4),"")</f>
        <v/>
      </c>
      <c r="Y25" s="249" t="str">
        <f>IFERROR(ROUND(VLOOKUP($T$25,'% DEDICACIÓN TRABAJADOR'!$D$37:$V$96,Y$23,FALSE),4),"")</f>
        <v/>
      </c>
      <c r="Z25" s="249" t="str">
        <f>IFERROR(ROUND(VLOOKUP($T$25,'% DEDICACIÓN TRABAJADOR'!$D$37:$V$96,Z$23,FALSE),4),"")</f>
        <v/>
      </c>
      <c r="AA25" s="249" t="str">
        <f>IFERROR(ROUND(VLOOKUP($T$25,'% DEDICACIÓN TRABAJADOR'!$D$37:$V$96,AA$23,FALSE),4),"")</f>
        <v/>
      </c>
      <c r="AB25" s="249" t="str">
        <f>IFERROR(ROUND(VLOOKUP($T$25,'% DEDICACIÓN TRABAJADOR'!$D$37:$V$96,AB$23,FALSE),4),"")</f>
        <v/>
      </c>
      <c r="AC25" s="249" t="str">
        <f>IFERROR(ROUND(VLOOKUP($T$25,'% DEDICACIÓN TRABAJADOR'!$D$37:$V$96,AC$23,FALSE),4),"")</f>
        <v/>
      </c>
      <c r="AD25" s="249" t="str">
        <f>IFERROR(ROUND(VLOOKUP($T$25,'% DEDICACIÓN TRABAJADOR'!$D$37:$V$96,AD$23,FALSE),4),"")</f>
        <v/>
      </c>
      <c r="AE25" s="249" t="str">
        <f>IFERROR(ROUND(VLOOKUP($T$25,'% DEDICACIÓN TRABAJADOR'!$D$37:$V$96,AE$23,FALSE),4),"")</f>
        <v/>
      </c>
      <c r="AF25" s="249" t="str">
        <f>IFERROR(ROUND(VLOOKUP($T$25,'% DEDICACIÓN TRABAJADOR'!$D$37:$V$96,AF$23,FALSE),4),"")</f>
        <v/>
      </c>
      <c r="AG25" s="249" t="str">
        <f>IFERROR(ROUND(VLOOKUP($T$25,'% DEDICACIÓN TRABAJADOR'!$D$37:$V$96,AG$23,FALSE),4),"")</f>
        <v/>
      </c>
    </row>
    <row r="26" spans="2:33" s="246" customFormat="1" ht="15" customHeight="1" x14ac:dyDescent="0.25">
      <c r="M26" s="436" t="str">
        <f>IF(AUXILIAR!V57="x","",CONCATENATE("SUBTOTAL ",AUXILIAR!V57))</f>
        <v/>
      </c>
      <c r="N26" s="436"/>
      <c r="O26" s="436"/>
      <c r="P26" s="248" t="str">
        <f t="shared" ref="P26:P39" si="4">IF(M26="","",IF($T$4&gt;0,0,IF($T$6="SI",0,IFERROR(ROUND(V26*$O$10+W26*$O$11+X26*$O$12+Y26*$O$13+Z26*$O$14+AA26*$O$15+AB26*$O$16+AC26*$O$17+AD26*$O$18+AE26*$O$19+AF26*$O$20+AG26*$O$21,2),""))))</f>
        <v/>
      </c>
      <c r="R26" s="246" t="str">
        <f t="shared" ref="R26:R39" si="5">IF(M26="","",IF(AND(M26&lt;&gt;"",OR($T$4&gt;0,$T$6="SI")),"",IF(AND(M26&lt;&gt;"",P26=""),"SE DIO DE ALTA LA LÍNEA PERO NO SE LE ASIGNÓ % DE DEDICACIÓN",IF(U26&gt;1,"LA LÍNEA SE HA DADO DE ALTA MÁS DE UNA VEZ",IF(SUM(V26:AG26)=0,CONCATENATE("LA SUMA DE LOS % DE DEDICACIÓN DE LA LÍNEA SON DEL 0%"),"")))))</f>
        <v/>
      </c>
      <c r="T26" s="246" t="str">
        <f t="shared" si="3"/>
        <v/>
      </c>
      <c r="U26" s="246">
        <f>COUNTIF('% DEDICACIÓN TRABAJADOR'!$D$37:$D$96,T26)</f>
        <v>0</v>
      </c>
      <c r="V26" s="249" t="str">
        <f>IFERROR(ROUND(VLOOKUP($T$26,'% DEDICACIÓN TRABAJADOR'!$D$37:$V$96,V$23,FALSE),4),"")</f>
        <v/>
      </c>
      <c r="W26" s="249" t="str">
        <f>IFERROR(ROUND(VLOOKUP($T$26,'% DEDICACIÓN TRABAJADOR'!$D$37:$V$96,W$23,FALSE),4),"")</f>
        <v/>
      </c>
      <c r="X26" s="249" t="str">
        <f>IFERROR(ROUND(VLOOKUP($T$26,'% DEDICACIÓN TRABAJADOR'!$D$37:$V$96,X$23,FALSE),4),"")</f>
        <v/>
      </c>
      <c r="Y26" s="249" t="str">
        <f>IFERROR(ROUND(VLOOKUP($T$26,'% DEDICACIÓN TRABAJADOR'!$D$37:$V$96,Y$23,FALSE),4),"")</f>
        <v/>
      </c>
      <c r="Z26" s="249" t="str">
        <f>IFERROR(ROUND(VLOOKUP($T$26,'% DEDICACIÓN TRABAJADOR'!$D$37:$V$96,Z$23,FALSE),4),"")</f>
        <v/>
      </c>
      <c r="AA26" s="249" t="str">
        <f>IFERROR(ROUND(VLOOKUP($T$26,'% DEDICACIÓN TRABAJADOR'!$D$37:$V$96,AA$23,FALSE),4),"")</f>
        <v/>
      </c>
      <c r="AB26" s="249" t="str">
        <f>IFERROR(ROUND(VLOOKUP($T$26,'% DEDICACIÓN TRABAJADOR'!$D$37:$V$96,AB$23,FALSE),4),"")</f>
        <v/>
      </c>
      <c r="AC26" s="249" t="str">
        <f>IFERROR(ROUND(VLOOKUP($T$26,'% DEDICACIÓN TRABAJADOR'!$D$37:$V$96,AC$23,FALSE),4),"")</f>
        <v/>
      </c>
      <c r="AD26" s="249" t="str">
        <f>IFERROR(ROUND(VLOOKUP($T$26,'% DEDICACIÓN TRABAJADOR'!$D$37:$V$96,AD$23,FALSE),4),"")</f>
        <v/>
      </c>
      <c r="AE26" s="249" t="str">
        <f>IFERROR(ROUND(VLOOKUP($T$26,'% DEDICACIÓN TRABAJADOR'!$D$37:$V$96,AE$23,FALSE),4),"")</f>
        <v/>
      </c>
      <c r="AF26" s="249" t="str">
        <f>IFERROR(ROUND(VLOOKUP($T$26,'% DEDICACIÓN TRABAJADOR'!$D$37:$V$96,AF$23,FALSE),4),"")</f>
        <v/>
      </c>
      <c r="AG26" s="249" t="str">
        <f>IFERROR(ROUND(VLOOKUP($T$26,'% DEDICACIÓN TRABAJADOR'!$D$37:$V$96,AG$23,FALSE),4),"")</f>
        <v/>
      </c>
    </row>
    <row r="27" spans="2:33" s="246" customFormat="1" ht="15" customHeight="1" x14ac:dyDescent="0.25">
      <c r="M27" s="436" t="str">
        <f>IF(AUXILIAR!V58="x","",CONCATENATE("SUBTOTAL ",AUXILIAR!V58))</f>
        <v/>
      </c>
      <c r="N27" s="436"/>
      <c r="O27" s="436"/>
      <c r="P27" s="248" t="str">
        <f t="shared" si="4"/>
        <v/>
      </c>
      <c r="R27" s="246" t="str">
        <f t="shared" si="5"/>
        <v/>
      </c>
      <c r="T27" s="246" t="str">
        <f t="shared" si="3"/>
        <v/>
      </c>
      <c r="U27" s="246">
        <f>COUNTIF('% DEDICACIÓN TRABAJADOR'!$D$37:$D$96,T27)</f>
        <v>0</v>
      </c>
      <c r="V27" s="249" t="str">
        <f>IFERROR(ROUND(VLOOKUP($T$27,'% DEDICACIÓN TRABAJADOR'!$D$37:$V$96,V$23,FALSE),4),"")</f>
        <v/>
      </c>
      <c r="W27" s="249" t="str">
        <f>IFERROR(ROUND(VLOOKUP($T$27,'% DEDICACIÓN TRABAJADOR'!$D$37:$V$96,W$23,FALSE),4),"")</f>
        <v/>
      </c>
      <c r="X27" s="249" t="str">
        <f>IFERROR(ROUND(VLOOKUP($T$27,'% DEDICACIÓN TRABAJADOR'!$D$37:$V$96,X$23,FALSE),4),"")</f>
        <v/>
      </c>
      <c r="Y27" s="249" t="str">
        <f>IFERROR(ROUND(VLOOKUP($T$27,'% DEDICACIÓN TRABAJADOR'!$D$37:$V$96,Y$23,FALSE),4),"")</f>
        <v/>
      </c>
      <c r="Z27" s="249" t="str">
        <f>IFERROR(ROUND(VLOOKUP($T$27,'% DEDICACIÓN TRABAJADOR'!$D$37:$V$96,Z$23,FALSE),4),"")</f>
        <v/>
      </c>
      <c r="AA27" s="249" t="str">
        <f>IFERROR(ROUND(VLOOKUP($T$27,'% DEDICACIÓN TRABAJADOR'!$D$37:$V$96,AA$23,FALSE),4),"")</f>
        <v/>
      </c>
      <c r="AB27" s="249" t="str">
        <f>IFERROR(ROUND(VLOOKUP($T$27,'% DEDICACIÓN TRABAJADOR'!$D$37:$V$96,AB$23,FALSE),4),"")</f>
        <v/>
      </c>
      <c r="AC27" s="249" t="str">
        <f>IFERROR(ROUND(VLOOKUP($T$27,'% DEDICACIÓN TRABAJADOR'!$D$37:$V$96,AC$23,FALSE),4),"")</f>
        <v/>
      </c>
      <c r="AD27" s="249" t="str">
        <f>IFERROR(ROUND(VLOOKUP($T$27,'% DEDICACIÓN TRABAJADOR'!$D$37:$V$96,AD$23,FALSE),4),"")</f>
        <v/>
      </c>
      <c r="AE27" s="249" t="str">
        <f>IFERROR(ROUND(VLOOKUP($T$27,'% DEDICACIÓN TRABAJADOR'!$D$37:$V$96,AE$23,FALSE),4),"")</f>
        <v/>
      </c>
      <c r="AF27" s="249" t="str">
        <f>IFERROR(ROUND(VLOOKUP($T$27,'% DEDICACIÓN TRABAJADOR'!$D$37:$V$96,AF$23,FALSE),4),"")</f>
        <v/>
      </c>
      <c r="AG27" s="249" t="str">
        <f>IFERROR(ROUND(VLOOKUP($T$27,'% DEDICACIÓN TRABAJADOR'!$D$37:$V$96,AG$23,FALSE),4),"")</f>
        <v/>
      </c>
    </row>
    <row r="28" spans="2:33" s="246" customFormat="1" ht="15" customHeight="1" x14ac:dyDescent="0.25">
      <c r="M28" s="436" t="str">
        <f>IF(AUXILIAR!V59="x","",CONCATENATE("SUBTOTAL ",AUXILIAR!V59))</f>
        <v/>
      </c>
      <c r="N28" s="436"/>
      <c r="O28" s="436"/>
      <c r="P28" s="248" t="str">
        <f t="shared" si="4"/>
        <v/>
      </c>
      <c r="R28" s="246" t="str">
        <f t="shared" si="5"/>
        <v/>
      </c>
      <c r="T28" s="246" t="str">
        <f t="shared" si="3"/>
        <v/>
      </c>
      <c r="U28" s="246">
        <f>COUNTIF('% DEDICACIÓN TRABAJADOR'!$D$37:$D$96,T28)</f>
        <v>0</v>
      </c>
      <c r="V28" s="249" t="str">
        <f>IFERROR(ROUND(VLOOKUP($T$28,'% DEDICACIÓN TRABAJADOR'!$D$37:$V$96,V$23,FALSE),4),"")</f>
        <v/>
      </c>
      <c r="W28" s="249" t="str">
        <f>IFERROR(ROUND(VLOOKUP($T$28,'% DEDICACIÓN TRABAJADOR'!$D$37:$V$96,W$23,FALSE),4),"")</f>
        <v/>
      </c>
      <c r="X28" s="249" t="str">
        <f>IFERROR(ROUND(VLOOKUP($T$28,'% DEDICACIÓN TRABAJADOR'!$D$37:$V$96,X$23,FALSE),4),"")</f>
        <v/>
      </c>
      <c r="Y28" s="249" t="str">
        <f>IFERROR(ROUND(VLOOKUP($T$28,'% DEDICACIÓN TRABAJADOR'!$D$37:$V$96,Y$23,FALSE),4),"")</f>
        <v/>
      </c>
      <c r="Z28" s="249" t="str">
        <f>IFERROR(ROUND(VLOOKUP($T$28,'% DEDICACIÓN TRABAJADOR'!$D$37:$V$96,Z$23,FALSE),4),"")</f>
        <v/>
      </c>
      <c r="AA28" s="249" t="str">
        <f>IFERROR(ROUND(VLOOKUP($T$28,'% DEDICACIÓN TRABAJADOR'!$D$37:$V$96,AA$23,FALSE),4),"")</f>
        <v/>
      </c>
      <c r="AB28" s="249" t="str">
        <f>IFERROR(ROUND(VLOOKUP($T$28,'% DEDICACIÓN TRABAJADOR'!$D$37:$V$96,AB$23,FALSE),4),"")</f>
        <v/>
      </c>
      <c r="AC28" s="249" t="str">
        <f>IFERROR(ROUND(VLOOKUP($T$28,'% DEDICACIÓN TRABAJADOR'!$D$37:$V$96,AC$23,FALSE),4),"")</f>
        <v/>
      </c>
      <c r="AD28" s="249" t="str">
        <f>IFERROR(ROUND(VLOOKUP($T$28,'% DEDICACIÓN TRABAJADOR'!$D$37:$V$96,AD$23,FALSE),4),"")</f>
        <v/>
      </c>
      <c r="AE28" s="249" t="str">
        <f>IFERROR(ROUND(VLOOKUP($T$28,'% DEDICACIÓN TRABAJADOR'!$D$37:$V$96,AE$23,FALSE),4),"")</f>
        <v/>
      </c>
      <c r="AF28" s="249" t="str">
        <f>IFERROR(ROUND(VLOOKUP($T$28,'% DEDICACIÓN TRABAJADOR'!$D$37:$V$96,AF$23,FALSE),4),"")</f>
        <v/>
      </c>
      <c r="AG28" s="249" t="str">
        <f>IFERROR(ROUND(VLOOKUP($T$28,'% DEDICACIÓN TRABAJADOR'!$D$37:$V$96,AG$23,FALSE),4),"")</f>
        <v/>
      </c>
    </row>
    <row r="29" spans="2:33" s="246" customFormat="1" ht="15" customHeight="1" x14ac:dyDescent="0.25">
      <c r="M29" s="436" t="str">
        <f>IF(AUXILIAR!V60="x","",CONCATENATE("SUBTOTAL ",AUXILIAR!V60))</f>
        <v/>
      </c>
      <c r="N29" s="436"/>
      <c r="O29" s="436"/>
      <c r="P29" s="248" t="str">
        <f t="shared" si="4"/>
        <v/>
      </c>
      <c r="R29" s="246" t="str">
        <f t="shared" si="5"/>
        <v/>
      </c>
      <c r="T29" s="246" t="str">
        <f t="shared" si="3"/>
        <v/>
      </c>
      <c r="U29" s="246">
        <f>COUNTIF('% DEDICACIÓN TRABAJADOR'!$D$37:$D$96,T29)</f>
        <v>0</v>
      </c>
      <c r="V29" s="249" t="str">
        <f>IFERROR(ROUND(VLOOKUP($T$29,'% DEDICACIÓN TRABAJADOR'!$D$37:$V$96,V$23,FALSE),4),"")</f>
        <v/>
      </c>
      <c r="W29" s="249" t="str">
        <f>IFERROR(ROUND(VLOOKUP($T$29,'% DEDICACIÓN TRABAJADOR'!$D$37:$V$96,W$23,FALSE),4),"")</f>
        <v/>
      </c>
      <c r="X29" s="249" t="str">
        <f>IFERROR(ROUND(VLOOKUP($T$29,'% DEDICACIÓN TRABAJADOR'!$D$37:$V$96,X$23,FALSE),4),"")</f>
        <v/>
      </c>
      <c r="Y29" s="249" t="str">
        <f>IFERROR(ROUND(VLOOKUP($T$29,'% DEDICACIÓN TRABAJADOR'!$D$37:$V$96,Y$23,FALSE),4),"")</f>
        <v/>
      </c>
      <c r="Z29" s="249" t="str">
        <f>IFERROR(ROUND(VLOOKUP($T$29,'% DEDICACIÓN TRABAJADOR'!$D$37:$V$96,Z$23,FALSE),4),"")</f>
        <v/>
      </c>
      <c r="AA29" s="249" t="str">
        <f>IFERROR(ROUND(VLOOKUP($T$29,'% DEDICACIÓN TRABAJADOR'!$D$37:$V$96,AA$23,FALSE),4),"")</f>
        <v/>
      </c>
      <c r="AB29" s="249" t="str">
        <f>IFERROR(ROUND(VLOOKUP($T$29,'% DEDICACIÓN TRABAJADOR'!$D$37:$V$96,AB$23,FALSE),4),"")</f>
        <v/>
      </c>
      <c r="AC29" s="249" t="str">
        <f>IFERROR(ROUND(VLOOKUP($T$29,'% DEDICACIÓN TRABAJADOR'!$D$37:$V$96,AC$23,FALSE),4),"")</f>
        <v/>
      </c>
      <c r="AD29" s="249" t="str">
        <f>IFERROR(ROUND(VLOOKUP($T$29,'% DEDICACIÓN TRABAJADOR'!$D$37:$V$96,AD$23,FALSE),4),"")</f>
        <v/>
      </c>
      <c r="AE29" s="249" t="str">
        <f>IFERROR(ROUND(VLOOKUP($T$29,'% DEDICACIÓN TRABAJADOR'!$D$37:$V$96,AE$23,FALSE),4),"")</f>
        <v/>
      </c>
      <c r="AF29" s="249" t="str">
        <f>IFERROR(ROUND(VLOOKUP($T$29,'% DEDICACIÓN TRABAJADOR'!$D$37:$V$96,AF$23,FALSE),4),"")</f>
        <v/>
      </c>
      <c r="AG29" s="249" t="str">
        <f>IFERROR(ROUND(VLOOKUP($T$29,'% DEDICACIÓN TRABAJADOR'!$D$37:$V$96,AG$23,FALSE),4),"")</f>
        <v/>
      </c>
    </row>
    <row r="30" spans="2:33" s="246" customFormat="1" ht="15" customHeight="1" x14ac:dyDescent="0.25">
      <c r="M30" s="436" t="str">
        <f>IF(AUXILIAR!V61="x","",CONCATENATE("SUBTOTAL ",AUXILIAR!V61))</f>
        <v/>
      </c>
      <c r="N30" s="436"/>
      <c r="O30" s="436"/>
      <c r="P30" s="248" t="str">
        <f t="shared" si="4"/>
        <v/>
      </c>
      <c r="R30" s="246" t="str">
        <f t="shared" si="5"/>
        <v/>
      </c>
      <c r="T30" s="246" t="str">
        <f t="shared" si="3"/>
        <v/>
      </c>
      <c r="U30" s="246">
        <f>COUNTIF('% DEDICACIÓN TRABAJADOR'!$D$37:$D$96,T30)</f>
        <v>0</v>
      </c>
      <c r="V30" s="249" t="str">
        <f>IFERROR(ROUND(VLOOKUP($T$30,'% DEDICACIÓN TRABAJADOR'!$D$37:$V$96,V$23,FALSE),4),"")</f>
        <v/>
      </c>
      <c r="W30" s="249" t="str">
        <f>IFERROR(ROUND(VLOOKUP($T$30,'% DEDICACIÓN TRABAJADOR'!$D$37:$V$96,W$23,FALSE),4),"")</f>
        <v/>
      </c>
      <c r="X30" s="249" t="str">
        <f>IFERROR(ROUND(VLOOKUP($T$30,'% DEDICACIÓN TRABAJADOR'!$D$37:$V$96,X$23,FALSE),4),"")</f>
        <v/>
      </c>
      <c r="Y30" s="249" t="str">
        <f>IFERROR(ROUND(VLOOKUP($T$30,'% DEDICACIÓN TRABAJADOR'!$D$37:$V$96,Y$23,FALSE),4),"")</f>
        <v/>
      </c>
      <c r="Z30" s="249" t="str">
        <f>IFERROR(ROUND(VLOOKUP($T$30,'% DEDICACIÓN TRABAJADOR'!$D$37:$V$96,Z$23,FALSE),4),"")</f>
        <v/>
      </c>
      <c r="AA30" s="249" t="str">
        <f>IFERROR(ROUND(VLOOKUP($T$30,'% DEDICACIÓN TRABAJADOR'!$D$37:$V$96,AA$23,FALSE),4),"")</f>
        <v/>
      </c>
      <c r="AB30" s="249" t="str">
        <f>IFERROR(ROUND(VLOOKUP($T$30,'% DEDICACIÓN TRABAJADOR'!$D$37:$V$96,AB$23,FALSE),4),"")</f>
        <v/>
      </c>
      <c r="AC30" s="249" t="str">
        <f>IFERROR(ROUND(VLOOKUP($T$30,'% DEDICACIÓN TRABAJADOR'!$D$37:$V$96,AC$23,FALSE),4),"")</f>
        <v/>
      </c>
      <c r="AD30" s="249" t="str">
        <f>IFERROR(ROUND(VLOOKUP($T$30,'% DEDICACIÓN TRABAJADOR'!$D$37:$V$96,AD$23,FALSE),4),"")</f>
        <v/>
      </c>
      <c r="AE30" s="249" t="str">
        <f>IFERROR(ROUND(VLOOKUP($T$30,'% DEDICACIÓN TRABAJADOR'!$D$37:$V$96,AE$23,FALSE),4),"")</f>
        <v/>
      </c>
      <c r="AF30" s="249" t="str">
        <f>IFERROR(ROUND(VLOOKUP($T$30,'% DEDICACIÓN TRABAJADOR'!$D$37:$V$96,AF$23,FALSE),4),"")</f>
        <v/>
      </c>
      <c r="AG30" s="249" t="str">
        <f>IFERROR(ROUND(VLOOKUP($T$30,'% DEDICACIÓN TRABAJADOR'!$D$37:$V$96,AG$23,FALSE),4),"")</f>
        <v/>
      </c>
    </row>
    <row r="31" spans="2:33" s="246" customFormat="1" ht="15" customHeight="1" x14ac:dyDescent="0.25">
      <c r="M31" s="436" t="str">
        <f>IF(AUXILIAR!V62="x","",CONCATENATE("SUBTOTAL ",AUXILIAR!V62))</f>
        <v/>
      </c>
      <c r="N31" s="436"/>
      <c r="O31" s="436"/>
      <c r="P31" s="248" t="str">
        <f t="shared" si="4"/>
        <v/>
      </c>
      <c r="R31" s="246" t="str">
        <f t="shared" si="5"/>
        <v/>
      </c>
      <c r="T31" s="246" t="str">
        <f t="shared" si="3"/>
        <v/>
      </c>
      <c r="U31" s="246">
        <f>COUNTIF('% DEDICACIÓN TRABAJADOR'!$D$37:$D$96,T31)</f>
        <v>0</v>
      </c>
      <c r="V31" s="249" t="str">
        <f>IFERROR(ROUND(VLOOKUP($T$31,'% DEDICACIÓN TRABAJADOR'!$D$37:$V$96,V$23,FALSE),4),"")</f>
        <v/>
      </c>
      <c r="W31" s="249" t="str">
        <f>IFERROR(ROUND(VLOOKUP($T$31,'% DEDICACIÓN TRABAJADOR'!$D$37:$V$96,W$23,FALSE),4),"")</f>
        <v/>
      </c>
      <c r="X31" s="249" t="str">
        <f>IFERROR(ROUND(VLOOKUP($T$31,'% DEDICACIÓN TRABAJADOR'!$D$37:$V$96,X$23,FALSE),4),"")</f>
        <v/>
      </c>
      <c r="Y31" s="249" t="str">
        <f>IFERROR(ROUND(VLOOKUP($T$31,'% DEDICACIÓN TRABAJADOR'!$D$37:$V$96,Y$23,FALSE),4),"")</f>
        <v/>
      </c>
      <c r="Z31" s="249" t="str">
        <f>IFERROR(ROUND(VLOOKUP($T$31,'% DEDICACIÓN TRABAJADOR'!$D$37:$V$96,Z$23,FALSE),4),"")</f>
        <v/>
      </c>
      <c r="AA31" s="249" t="str">
        <f>IFERROR(ROUND(VLOOKUP($T$31,'% DEDICACIÓN TRABAJADOR'!$D$37:$V$96,AA$23,FALSE),4),"")</f>
        <v/>
      </c>
      <c r="AB31" s="249" t="str">
        <f>IFERROR(ROUND(VLOOKUP($T$31,'% DEDICACIÓN TRABAJADOR'!$D$37:$V$96,AB$23,FALSE),4),"")</f>
        <v/>
      </c>
      <c r="AC31" s="249" t="str">
        <f>IFERROR(ROUND(VLOOKUP($T$31,'% DEDICACIÓN TRABAJADOR'!$D$37:$V$96,AC$23,FALSE),4),"")</f>
        <v/>
      </c>
      <c r="AD31" s="249" t="str">
        <f>IFERROR(ROUND(VLOOKUP($T$31,'% DEDICACIÓN TRABAJADOR'!$D$37:$V$96,AD$23,FALSE),4),"")</f>
        <v/>
      </c>
      <c r="AE31" s="249" t="str">
        <f>IFERROR(ROUND(VLOOKUP($T$31,'% DEDICACIÓN TRABAJADOR'!$D$37:$V$96,AE$23,FALSE),4),"")</f>
        <v/>
      </c>
      <c r="AF31" s="249" t="str">
        <f>IFERROR(ROUND(VLOOKUP($T$31,'% DEDICACIÓN TRABAJADOR'!$D$37:$V$96,AF$23,FALSE),4),"")</f>
        <v/>
      </c>
      <c r="AG31" s="249" t="str">
        <f>IFERROR(ROUND(VLOOKUP($T$31,'% DEDICACIÓN TRABAJADOR'!$D$37:$V$96,AG$23,FALSE),4),"")</f>
        <v/>
      </c>
    </row>
    <row r="32" spans="2:33" s="246" customFormat="1" ht="15" customHeight="1" x14ac:dyDescent="0.25">
      <c r="M32" s="436" t="str">
        <f>IF(AUXILIAR!V63="x","",CONCATENATE("SUBTOTAL ",AUXILIAR!V63))</f>
        <v/>
      </c>
      <c r="N32" s="436"/>
      <c r="O32" s="436"/>
      <c r="P32" s="248" t="str">
        <f t="shared" si="4"/>
        <v/>
      </c>
      <c r="R32" s="246" t="str">
        <f t="shared" si="5"/>
        <v/>
      </c>
      <c r="T32" s="246" t="str">
        <f t="shared" si="3"/>
        <v/>
      </c>
      <c r="U32" s="246">
        <f>COUNTIF('% DEDICACIÓN TRABAJADOR'!$D$37:$D$96,T32)</f>
        <v>0</v>
      </c>
      <c r="V32" s="249" t="str">
        <f>IFERROR(ROUND(VLOOKUP($T$32,'% DEDICACIÓN TRABAJADOR'!$D$37:$V$96,V$23,FALSE),4),"")</f>
        <v/>
      </c>
      <c r="W32" s="249" t="str">
        <f>IFERROR(ROUND(VLOOKUP($T$32,'% DEDICACIÓN TRABAJADOR'!$D$37:$V$96,W$23,FALSE),4),"")</f>
        <v/>
      </c>
      <c r="X32" s="249" t="str">
        <f>IFERROR(ROUND(VLOOKUP($T$32,'% DEDICACIÓN TRABAJADOR'!$D$37:$V$96,X$23,FALSE),4),"")</f>
        <v/>
      </c>
      <c r="Y32" s="249" t="str">
        <f>IFERROR(ROUND(VLOOKUP($T$32,'% DEDICACIÓN TRABAJADOR'!$D$37:$V$96,Y$23,FALSE),4),"")</f>
        <v/>
      </c>
      <c r="Z32" s="249" t="str">
        <f>IFERROR(ROUND(VLOOKUP($T$32,'% DEDICACIÓN TRABAJADOR'!$D$37:$V$96,Z$23,FALSE),4),"")</f>
        <v/>
      </c>
      <c r="AA32" s="249" t="str">
        <f>IFERROR(ROUND(VLOOKUP($T$32,'% DEDICACIÓN TRABAJADOR'!$D$37:$V$96,AA$23,FALSE),4),"")</f>
        <v/>
      </c>
      <c r="AB32" s="249" t="str">
        <f>IFERROR(ROUND(VLOOKUP($T$32,'% DEDICACIÓN TRABAJADOR'!$D$37:$V$96,AB$23,FALSE),4),"")</f>
        <v/>
      </c>
      <c r="AC32" s="249" t="str">
        <f>IFERROR(ROUND(VLOOKUP($T$32,'% DEDICACIÓN TRABAJADOR'!$D$37:$V$96,AC$23,FALSE),4),"")</f>
        <v/>
      </c>
      <c r="AD32" s="249" t="str">
        <f>IFERROR(ROUND(VLOOKUP($T$32,'% DEDICACIÓN TRABAJADOR'!$D$37:$V$96,AD$23,FALSE),4),"")</f>
        <v/>
      </c>
      <c r="AE32" s="249" t="str">
        <f>IFERROR(ROUND(VLOOKUP($T$32,'% DEDICACIÓN TRABAJADOR'!$D$37:$V$96,AE$23,FALSE),4),"")</f>
        <v/>
      </c>
      <c r="AF32" s="249" t="str">
        <f>IFERROR(ROUND(VLOOKUP($T$32,'% DEDICACIÓN TRABAJADOR'!$D$37:$V$96,AF$23,FALSE),4),"")</f>
        <v/>
      </c>
      <c r="AG32" s="249" t="str">
        <f>IFERROR(ROUND(VLOOKUP($T$32,'% DEDICACIÓN TRABAJADOR'!$D$37:$V$96,AG$23,FALSE),4),"")</f>
        <v/>
      </c>
    </row>
    <row r="33" spans="13:33" s="246" customFormat="1" ht="15" customHeight="1" x14ac:dyDescent="0.25">
      <c r="M33" s="436" t="str">
        <f>IF(AUXILIAR!V64="x","",CONCATENATE("SUBTOTAL ",AUXILIAR!V64))</f>
        <v/>
      </c>
      <c r="N33" s="436"/>
      <c r="O33" s="436"/>
      <c r="P33" s="248" t="str">
        <f t="shared" si="4"/>
        <v/>
      </c>
      <c r="R33" s="246" t="str">
        <f t="shared" si="5"/>
        <v/>
      </c>
      <c r="T33" s="246" t="str">
        <f t="shared" si="3"/>
        <v/>
      </c>
      <c r="U33" s="246">
        <f>COUNTIF('% DEDICACIÓN TRABAJADOR'!$D$37:$D$96,T33)</f>
        <v>0</v>
      </c>
      <c r="V33" s="249" t="str">
        <f>IFERROR(ROUND(VLOOKUP($T$33,'% DEDICACIÓN TRABAJADOR'!$D$37:$V$96,V$23,FALSE),4),"")</f>
        <v/>
      </c>
      <c r="W33" s="249" t="str">
        <f>IFERROR(ROUND(VLOOKUP($T$33,'% DEDICACIÓN TRABAJADOR'!$D$37:$V$96,W$23,FALSE),4),"")</f>
        <v/>
      </c>
      <c r="X33" s="249" t="str">
        <f>IFERROR(ROUND(VLOOKUP($T$33,'% DEDICACIÓN TRABAJADOR'!$D$37:$V$96,X$23,FALSE),4),"")</f>
        <v/>
      </c>
      <c r="Y33" s="249" t="str">
        <f>IFERROR(ROUND(VLOOKUP($T$33,'% DEDICACIÓN TRABAJADOR'!$D$37:$V$96,Y$23,FALSE),4),"")</f>
        <v/>
      </c>
      <c r="Z33" s="249" t="str">
        <f>IFERROR(ROUND(VLOOKUP($T$33,'% DEDICACIÓN TRABAJADOR'!$D$37:$V$96,Z$23,FALSE),4),"")</f>
        <v/>
      </c>
      <c r="AA33" s="249" t="str">
        <f>IFERROR(ROUND(VLOOKUP($T$33,'% DEDICACIÓN TRABAJADOR'!$D$37:$V$96,AA$23,FALSE),4),"")</f>
        <v/>
      </c>
      <c r="AB33" s="249" t="str">
        <f>IFERROR(ROUND(VLOOKUP($T$33,'% DEDICACIÓN TRABAJADOR'!$D$37:$V$96,AB$23,FALSE),4),"")</f>
        <v/>
      </c>
      <c r="AC33" s="249" t="str">
        <f>IFERROR(ROUND(VLOOKUP($T$33,'% DEDICACIÓN TRABAJADOR'!$D$37:$V$96,AC$23,FALSE),4),"")</f>
        <v/>
      </c>
      <c r="AD33" s="249" t="str">
        <f>IFERROR(ROUND(VLOOKUP($T$33,'% DEDICACIÓN TRABAJADOR'!$D$37:$V$96,AD$23,FALSE),4),"")</f>
        <v/>
      </c>
      <c r="AE33" s="249" t="str">
        <f>IFERROR(ROUND(VLOOKUP($T$33,'% DEDICACIÓN TRABAJADOR'!$D$37:$V$96,AE$23,FALSE),4),"")</f>
        <v/>
      </c>
      <c r="AF33" s="249" t="str">
        <f>IFERROR(ROUND(VLOOKUP($T$33,'% DEDICACIÓN TRABAJADOR'!$D$37:$V$96,AF$23,FALSE),4),"")</f>
        <v/>
      </c>
      <c r="AG33" s="249" t="str">
        <f>IFERROR(ROUND(VLOOKUP($T$33,'% DEDICACIÓN TRABAJADOR'!$D$37:$V$96,AG$23,FALSE),4),"")</f>
        <v/>
      </c>
    </row>
    <row r="34" spans="13:33" s="246" customFormat="1" ht="15" customHeight="1" x14ac:dyDescent="0.25">
      <c r="M34" s="436" t="str">
        <f>IF(AUXILIAR!V65="x","",CONCATENATE("SUBTOTAL ",AUXILIAR!V65))</f>
        <v/>
      </c>
      <c r="N34" s="436"/>
      <c r="O34" s="436"/>
      <c r="P34" s="248" t="str">
        <f t="shared" si="4"/>
        <v/>
      </c>
      <c r="R34" s="246" t="str">
        <f t="shared" si="5"/>
        <v/>
      </c>
      <c r="T34" s="246" t="str">
        <f t="shared" si="3"/>
        <v/>
      </c>
      <c r="U34" s="246">
        <f>COUNTIF('% DEDICACIÓN TRABAJADOR'!$D$37:$D$96,T34)</f>
        <v>0</v>
      </c>
      <c r="V34" s="249" t="str">
        <f>IFERROR(ROUND(VLOOKUP($T$34,'% DEDICACIÓN TRABAJADOR'!$D$37:$V$96,V$23,FALSE),4),"")</f>
        <v/>
      </c>
      <c r="W34" s="249" t="str">
        <f>IFERROR(ROUND(VLOOKUP($T$34,'% DEDICACIÓN TRABAJADOR'!$D$37:$V$96,W$23,FALSE),4),"")</f>
        <v/>
      </c>
      <c r="X34" s="249" t="str">
        <f>IFERROR(ROUND(VLOOKUP($T$34,'% DEDICACIÓN TRABAJADOR'!$D$37:$V$96,X$23,FALSE),4),"")</f>
        <v/>
      </c>
      <c r="Y34" s="249" t="str">
        <f>IFERROR(ROUND(VLOOKUP($T$34,'% DEDICACIÓN TRABAJADOR'!$D$37:$V$96,Y$23,FALSE),4),"")</f>
        <v/>
      </c>
      <c r="Z34" s="249" t="str">
        <f>IFERROR(ROUND(VLOOKUP($T$34,'% DEDICACIÓN TRABAJADOR'!$D$37:$V$96,Z$23,FALSE),4),"")</f>
        <v/>
      </c>
      <c r="AA34" s="249" t="str">
        <f>IFERROR(ROUND(VLOOKUP($T$34,'% DEDICACIÓN TRABAJADOR'!$D$37:$V$96,AA$23,FALSE),4),"")</f>
        <v/>
      </c>
      <c r="AB34" s="249" t="str">
        <f>IFERROR(ROUND(VLOOKUP($T$34,'% DEDICACIÓN TRABAJADOR'!$D$37:$V$96,AB$23,FALSE),4),"")</f>
        <v/>
      </c>
      <c r="AC34" s="249" t="str">
        <f>IFERROR(ROUND(VLOOKUP($T$34,'% DEDICACIÓN TRABAJADOR'!$D$37:$V$96,AC$23,FALSE),4),"")</f>
        <v/>
      </c>
      <c r="AD34" s="249" t="str">
        <f>IFERROR(ROUND(VLOOKUP($T$34,'% DEDICACIÓN TRABAJADOR'!$D$37:$V$96,AD$23,FALSE),4),"")</f>
        <v/>
      </c>
      <c r="AE34" s="249" t="str">
        <f>IFERROR(ROUND(VLOOKUP($T$34,'% DEDICACIÓN TRABAJADOR'!$D$37:$V$96,AE$23,FALSE),4),"")</f>
        <v/>
      </c>
      <c r="AF34" s="249" t="str">
        <f>IFERROR(ROUND(VLOOKUP($T$34,'% DEDICACIÓN TRABAJADOR'!$D$37:$V$96,AF$23,FALSE),4),"")</f>
        <v/>
      </c>
      <c r="AG34" s="249" t="str">
        <f>IFERROR(ROUND(VLOOKUP($T$34,'% DEDICACIÓN TRABAJADOR'!$D$37:$V$96,AG$23,FALSE),4),"")</f>
        <v/>
      </c>
    </row>
    <row r="35" spans="13:33" s="246" customFormat="1" ht="15" customHeight="1" x14ac:dyDescent="0.25">
      <c r="M35" s="436" t="str">
        <f>IF(AUXILIAR!V66="x","",CONCATENATE("SUBTOTAL ",AUXILIAR!V66))</f>
        <v/>
      </c>
      <c r="N35" s="436"/>
      <c r="O35" s="436"/>
      <c r="P35" s="248" t="str">
        <f t="shared" si="4"/>
        <v/>
      </c>
      <c r="R35" s="246" t="str">
        <f t="shared" si="5"/>
        <v/>
      </c>
      <c r="T35" s="246" t="str">
        <f t="shared" si="3"/>
        <v/>
      </c>
      <c r="U35" s="246">
        <f>COUNTIF('% DEDICACIÓN TRABAJADOR'!$D$37:$D$96,T35)</f>
        <v>0</v>
      </c>
      <c r="V35" s="249" t="str">
        <f>IFERROR(ROUND(VLOOKUP($T$35,'% DEDICACIÓN TRABAJADOR'!$D$37:$V$96,V$23,FALSE),4),"")</f>
        <v/>
      </c>
      <c r="W35" s="249" t="str">
        <f>IFERROR(ROUND(VLOOKUP($T$35,'% DEDICACIÓN TRABAJADOR'!$D$37:$V$96,W$23,FALSE),4),"")</f>
        <v/>
      </c>
      <c r="X35" s="249" t="str">
        <f>IFERROR(ROUND(VLOOKUP($T$35,'% DEDICACIÓN TRABAJADOR'!$D$37:$V$96,X$23,FALSE),4),"")</f>
        <v/>
      </c>
      <c r="Y35" s="249" t="str">
        <f>IFERROR(ROUND(VLOOKUP($T$35,'% DEDICACIÓN TRABAJADOR'!$D$37:$V$96,Y$23,FALSE),4),"")</f>
        <v/>
      </c>
      <c r="Z35" s="249" t="str">
        <f>IFERROR(ROUND(VLOOKUP($T$35,'% DEDICACIÓN TRABAJADOR'!$D$37:$V$96,Z$23,FALSE),4),"")</f>
        <v/>
      </c>
      <c r="AA35" s="249" t="str">
        <f>IFERROR(ROUND(VLOOKUP($T$35,'% DEDICACIÓN TRABAJADOR'!$D$37:$V$96,AA$23,FALSE),4),"")</f>
        <v/>
      </c>
      <c r="AB35" s="249" t="str">
        <f>IFERROR(ROUND(VLOOKUP($T$35,'% DEDICACIÓN TRABAJADOR'!$D$37:$V$96,AB$23,FALSE),4),"")</f>
        <v/>
      </c>
      <c r="AC35" s="249" t="str">
        <f>IFERROR(ROUND(VLOOKUP($T$35,'% DEDICACIÓN TRABAJADOR'!$D$37:$V$96,AC$23,FALSE),4),"")</f>
        <v/>
      </c>
      <c r="AD35" s="249" t="str">
        <f>IFERROR(ROUND(VLOOKUP($T$35,'% DEDICACIÓN TRABAJADOR'!$D$37:$V$96,AD$23,FALSE),4),"")</f>
        <v/>
      </c>
      <c r="AE35" s="249" t="str">
        <f>IFERROR(ROUND(VLOOKUP($T$35,'% DEDICACIÓN TRABAJADOR'!$D$37:$V$96,AE$23,FALSE),4),"")</f>
        <v/>
      </c>
      <c r="AF35" s="249" t="str">
        <f>IFERROR(ROUND(VLOOKUP($T$35,'% DEDICACIÓN TRABAJADOR'!$D$37:$V$96,AF$23,FALSE),4),"")</f>
        <v/>
      </c>
      <c r="AG35" s="249" t="str">
        <f>IFERROR(ROUND(VLOOKUP($T$35,'% DEDICACIÓN TRABAJADOR'!$D$37:$V$96,AG$23,FALSE),4),"")</f>
        <v/>
      </c>
    </row>
    <row r="36" spans="13:33" s="246" customFormat="1" ht="15" customHeight="1" x14ac:dyDescent="0.25">
      <c r="M36" s="436" t="str">
        <f>IF(AUXILIAR!V67="x","",CONCATENATE("SUBTOTAL ",AUXILIAR!V67))</f>
        <v/>
      </c>
      <c r="N36" s="436"/>
      <c r="O36" s="436"/>
      <c r="P36" s="248" t="str">
        <f t="shared" si="4"/>
        <v/>
      </c>
      <c r="R36" s="246" t="str">
        <f t="shared" si="5"/>
        <v/>
      </c>
      <c r="T36" s="246" t="str">
        <f t="shared" si="3"/>
        <v/>
      </c>
      <c r="U36" s="246">
        <f>COUNTIF('% DEDICACIÓN TRABAJADOR'!$D$37:$D$96,T36)</f>
        <v>0</v>
      </c>
      <c r="V36" s="249" t="str">
        <f>IFERROR(ROUND(VLOOKUP($T$36,'% DEDICACIÓN TRABAJADOR'!$D$37:$V$96,V$23,FALSE),4),"")</f>
        <v/>
      </c>
      <c r="W36" s="249" t="str">
        <f>IFERROR(ROUND(VLOOKUP($T$36,'% DEDICACIÓN TRABAJADOR'!$D$37:$V$96,W$23,FALSE),4),"")</f>
        <v/>
      </c>
      <c r="X36" s="249" t="str">
        <f>IFERROR(ROUND(VLOOKUP($T$36,'% DEDICACIÓN TRABAJADOR'!$D$37:$V$96,X$23,FALSE),4),"")</f>
        <v/>
      </c>
      <c r="Y36" s="249" t="str">
        <f>IFERROR(ROUND(VLOOKUP($T$36,'% DEDICACIÓN TRABAJADOR'!$D$37:$V$96,Y$23,FALSE),4),"")</f>
        <v/>
      </c>
      <c r="Z36" s="249" t="str">
        <f>IFERROR(ROUND(VLOOKUP($T$36,'% DEDICACIÓN TRABAJADOR'!$D$37:$V$96,Z$23,FALSE),4),"")</f>
        <v/>
      </c>
      <c r="AA36" s="249" t="str">
        <f>IFERROR(ROUND(VLOOKUP($T$36,'% DEDICACIÓN TRABAJADOR'!$D$37:$V$96,AA$23,FALSE),4),"")</f>
        <v/>
      </c>
      <c r="AB36" s="249" t="str">
        <f>IFERROR(ROUND(VLOOKUP($T$36,'% DEDICACIÓN TRABAJADOR'!$D$37:$V$96,AB$23,FALSE),4),"")</f>
        <v/>
      </c>
      <c r="AC36" s="249" t="str">
        <f>IFERROR(ROUND(VLOOKUP($T$36,'% DEDICACIÓN TRABAJADOR'!$D$37:$V$96,AC$23,FALSE),4),"")</f>
        <v/>
      </c>
      <c r="AD36" s="249" t="str">
        <f>IFERROR(ROUND(VLOOKUP($T$36,'% DEDICACIÓN TRABAJADOR'!$D$37:$V$96,AD$23,FALSE),4),"")</f>
        <v/>
      </c>
      <c r="AE36" s="249" t="str">
        <f>IFERROR(ROUND(VLOOKUP($T$36,'% DEDICACIÓN TRABAJADOR'!$D$37:$V$96,AE$23,FALSE),4),"")</f>
        <v/>
      </c>
      <c r="AF36" s="249" t="str">
        <f>IFERROR(ROUND(VLOOKUP($T$36,'% DEDICACIÓN TRABAJADOR'!$D$37:$V$96,AF$23,FALSE),4),"")</f>
        <v/>
      </c>
      <c r="AG36" s="249" t="str">
        <f>IFERROR(ROUND(VLOOKUP($T$36,'% DEDICACIÓN TRABAJADOR'!$D$37:$V$96,AG$23,FALSE),4),"")</f>
        <v/>
      </c>
    </row>
    <row r="37" spans="13:33" s="246" customFormat="1" ht="15" customHeight="1" x14ac:dyDescent="0.25">
      <c r="M37" s="436" t="str">
        <f>IF(AUXILIAR!V68="x","",CONCATENATE("SUBTOTAL ",AUXILIAR!V68))</f>
        <v/>
      </c>
      <c r="N37" s="436"/>
      <c r="O37" s="436"/>
      <c r="P37" s="248" t="str">
        <f t="shared" si="4"/>
        <v/>
      </c>
      <c r="R37" s="246" t="str">
        <f t="shared" si="5"/>
        <v/>
      </c>
      <c r="T37" s="246" t="str">
        <f t="shared" si="3"/>
        <v/>
      </c>
      <c r="U37" s="246">
        <f>COUNTIF('% DEDICACIÓN TRABAJADOR'!$D$37:$D$96,T37)</f>
        <v>0</v>
      </c>
      <c r="V37" s="249" t="str">
        <f>IFERROR(ROUND(VLOOKUP($T$37,'% DEDICACIÓN TRABAJADOR'!$D$37:$V$96,V$23,FALSE),4),"")</f>
        <v/>
      </c>
      <c r="W37" s="249" t="str">
        <f>IFERROR(ROUND(VLOOKUP($T$37,'% DEDICACIÓN TRABAJADOR'!$D$37:$V$96,W$23,FALSE),4),"")</f>
        <v/>
      </c>
      <c r="X37" s="249" t="str">
        <f>IFERROR(ROUND(VLOOKUP($T$37,'% DEDICACIÓN TRABAJADOR'!$D$37:$V$96,X$23,FALSE),4),"")</f>
        <v/>
      </c>
      <c r="Y37" s="249" t="str">
        <f>IFERROR(ROUND(VLOOKUP($T$37,'% DEDICACIÓN TRABAJADOR'!$D$37:$V$96,Y$23,FALSE),4),"")</f>
        <v/>
      </c>
      <c r="Z37" s="249" t="str">
        <f>IFERROR(ROUND(VLOOKUP($T$37,'% DEDICACIÓN TRABAJADOR'!$D$37:$V$96,Z$23,FALSE),4),"")</f>
        <v/>
      </c>
      <c r="AA37" s="249" t="str">
        <f>IFERROR(ROUND(VLOOKUP($T$37,'% DEDICACIÓN TRABAJADOR'!$D$37:$V$96,AA$23,FALSE),4),"")</f>
        <v/>
      </c>
      <c r="AB37" s="249" t="str">
        <f>IFERROR(ROUND(VLOOKUP($T$37,'% DEDICACIÓN TRABAJADOR'!$D$37:$V$96,AB$23,FALSE),4),"")</f>
        <v/>
      </c>
      <c r="AC37" s="249" t="str">
        <f>IFERROR(ROUND(VLOOKUP($T$37,'% DEDICACIÓN TRABAJADOR'!$D$37:$V$96,AC$23,FALSE),4),"")</f>
        <v/>
      </c>
      <c r="AD37" s="249" t="str">
        <f>IFERROR(ROUND(VLOOKUP($T$37,'% DEDICACIÓN TRABAJADOR'!$D$37:$V$96,AD$23,FALSE),4),"")</f>
        <v/>
      </c>
      <c r="AE37" s="249" t="str">
        <f>IFERROR(ROUND(VLOOKUP($T$37,'% DEDICACIÓN TRABAJADOR'!$D$37:$V$96,AE$23,FALSE),4),"")</f>
        <v/>
      </c>
      <c r="AF37" s="249" t="str">
        <f>IFERROR(ROUND(VLOOKUP($T$37,'% DEDICACIÓN TRABAJADOR'!$D$37:$V$96,AF$23,FALSE),4),"")</f>
        <v/>
      </c>
      <c r="AG37" s="249" t="str">
        <f>IFERROR(ROUND(VLOOKUP($T$37,'% DEDICACIÓN TRABAJADOR'!$D$37:$V$96,AG$23,FALSE),4),"")</f>
        <v/>
      </c>
    </row>
    <row r="38" spans="13:33" s="246" customFormat="1" ht="15" customHeight="1" x14ac:dyDescent="0.25">
      <c r="M38" s="436" t="str">
        <f>IF(AUXILIAR!V69="x","",CONCATENATE("SUBTOTAL ",AUXILIAR!V69))</f>
        <v/>
      </c>
      <c r="N38" s="436"/>
      <c r="O38" s="436"/>
      <c r="P38" s="248" t="str">
        <f t="shared" si="4"/>
        <v/>
      </c>
      <c r="R38" s="246" t="str">
        <f t="shared" si="5"/>
        <v/>
      </c>
      <c r="T38" s="246" t="str">
        <f t="shared" si="3"/>
        <v/>
      </c>
      <c r="U38" s="246">
        <f>COUNTIF('% DEDICACIÓN TRABAJADOR'!$D$37:$D$96,T38)</f>
        <v>0</v>
      </c>
      <c r="V38" s="249" t="str">
        <f>IFERROR(ROUND(VLOOKUP($T$38,'% DEDICACIÓN TRABAJADOR'!$D$37:$V$96,V$23,FALSE),4),"")</f>
        <v/>
      </c>
      <c r="W38" s="249" t="str">
        <f>IFERROR(ROUND(VLOOKUP($T$38,'% DEDICACIÓN TRABAJADOR'!$D$37:$V$96,W$23,FALSE),4),"")</f>
        <v/>
      </c>
      <c r="X38" s="249" t="str">
        <f>IFERROR(ROUND(VLOOKUP($T$38,'% DEDICACIÓN TRABAJADOR'!$D$37:$V$96,X$23,FALSE),4),"")</f>
        <v/>
      </c>
      <c r="Y38" s="249" t="str">
        <f>IFERROR(ROUND(VLOOKUP($T$38,'% DEDICACIÓN TRABAJADOR'!$D$37:$V$96,Y$23,FALSE),4),"")</f>
        <v/>
      </c>
      <c r="Z38" s="249" t="str">
        <f>IFERROR(ROUND(VLOOKUP($T$38,'% DEDICACIÓN TRABAJADOR'!$D$37:$V$96,Z$23,FALSE),4),"")</f>
        <v/>
      </c>
      <c r="AA38" s="249" t="str">
        <f>IFERROR(ROUND(VLOOKUP($T$38,'% DEDICACIÓN TRABAJADOR'!$D$37:$V$96,AA$23,FALSE),4),"")</f>
        <v/>
      </c>
      <c r="AB38" s="249" t="str">
        <f>IFERROR(ROUND(VLOOKUP($T$38,'% DEDICACIÓN TRABAJADOR'!$D$37:$V$96,AB$23,FALSE),4),"")</f>
        <v/>
      </c>
      <c r="AC38" s="249" t="str">
        <f>IFERROR(ROUND(VLOOKUP($T$38,'% DEDICACIÓN TRABAJADOR'!$D$37:$V$96,AC$23,FALSE),4),"")</f>
        <v/>
      </c>
      <c r="AD38" s="249" t="str">
        <f>IFERROR(ROUND(VLOOKUP($T$38,'% DEDICACIÓN TRABAJADOR'!$D$37:$V$96,AD$23,FALSE),4),"")</f>
        <v/>
      </c>
      <c r="AE38" s="249" t="str">
        <f>IFERROR(ROUND(VLOOKUP($T$38,'% DEDICACIÓN TRABAJADOR'!$D$37:$V$96,AE$23,FALSE),4),"")</f>
        <v/>
      </c>
      <c r="AF38" s="249" t="str">
        <f>IFERROR(ROUND(VLOOKUP($T$38,'% DEDICACIÓN TRABAJADOR'!$D$37:$V$96,AF$23,FALSE),4),"")</f>
        <v/>
      </c>
      <c r="AG38" s="249" t="str">
        <f>IFERROR(ROUND(VLOOKUP($T$38,'% DEDICACIÓN TRABAJADOR'!$D$37:$V$96,AG$23,FALSE),4),"")</f>
        <v/>
      </c>
    </row>
    <row r="39" spans="13:33" s="246" customFormat="1" ht="15" customHeight="1" x14ac:dyDescent="0.25">
      <c r="M39" s="436" t="str">
        <f>IF(AUXILIAR!V70="x","",CONCATENATE("SUBTOTAL ",AUXILIAR!V70))</f>
        <v/>
      </c>
      <c r="N39" s="436"/>
      <c r="O39" s="436"/>
      <c r="P39" s="248" t="str">
        <f t="shared" si="4"/>
        <v/>
      </c>
      <c r="R39" s="246" t="str">
        <f t="shared" si="5"/>
        <v/>
      </c>
      <c r="T39" s="246" t="str">
        <f t="shared" si="3"/>
        <v/>
      </c>
      <c r="U39" s="246">
        <f>COUNTIF('% DEDICACIÓN TRABAJADOR'!$D$37:$D$96,T39)</f>
        <v>0</v>
      </c>
      <c r="V39" s="249" t="str">
        <f>IFERROR(ROUND(VLOOKUP($T$39,'% DEDICACIÓN TRABAJADOR'!$D$37:$V$96,V$23,FALSE),4),"")</f>
        <v/>
      </c>
      <c r="W39" s="249" t="str">
        <f>IFERROR(ROUND(VLOOKUP($T$39,'% DEDICACIÓN TRABAJADOR'!$D$37:$V$96,W$23,FALSE),4),"")</f>
        <v/>
      </c>
      <c r="X39" s="249" t="str">
        <f>IFERROR(ROUND(VLOOKUP($T$39,'% DEDICACIÓN TRABAJADOR'!$D$37:$V$96,X$23,FALSE),4),"")</f>
        <v/>
      </c>
      <c r="Y39" s="249" t="str">
        <f>IFERROR(ROUND(VLOOKUP($T$39,'% DEDICACIÓN TRABAJADOR'!$D$37:$V$96,Y$23,FALSE),4),"")</f>
        <v/>
      </c>
      <c r="Z39" s="249" t="str">
        <f>IFERROR(ROUND(VLOOKUP($T$39,'% DEDICACIÓN TRABAJADOR'!$D$37:$V$96,Z$23,FALSE),4),"")</f>
        <v/>
      </c>
      <c r="AA39" s="249" t="str">
        <f>IFERROR(ROUND(VLOOKUP($T$39,'% DEDICACIÓN TRABAJADOR'!$D$37:$V$96,AA$23,FALSE),4),"")</f>
        <v/>
      </c>
      <c r="AB39" s="249" t="str">
        <f>IFERROR(ROUND(VLOOKUP($T$39,'% DEDICACIÓN TRABAJADOR'!$D$37:$V$96,AB$23,FALSE),4),"")</f>
        <v/>
      </c>
      <c r="AC39" s="249" t="str">
        <f>IFERROR(ROUND(VLOOKUP($T$39,'% DEDICACIÓN TRABAJADOR'!$D$37:$V$96,AC$23,FALSE),4),"")</f>
        <v/>
      </c>
      <c r="AD39" s="249" t="str">
        <f>IFERROR(ROUND(VLOOKUP($T$39,'% DEDICACIÓN TRABAJADOR'!$D$37:$V$96,AD$23,FALSE),4),"")</f>
        <v/>
      </c>
      <c r="AE39" s="249" t="str">
        <f>IFERROR(ROUND(VLOOKUP($T$39,'% DEDICACIÓN TRABAJADOR'!$D$37:$V$96,AE$23,FALSE),4),"")</f>
        <v/>
      </c>
      <c r="AF39" s="249" t="str">
        <f>IFERROR(ROUND(VLOOKUP($T$39,'% DEDICACIÓN TRABAJADOR'!$D$37:$V$96,AF$23,FALSE),4),"")</f>
        <v/>
      </c>
      <c r="AG39" s="249" t="str">
        <f>IFERROR(ROUND(VLOOKUP($T$39,'% DEDICACIÓN TRABAJADOR'!$D$37:$V$96,AG$23,FALSE),4),"")</f>
        <v/>
      </c>
    </row>
  </sheetData>
  <sheetProtection algorithmName="SHA-512" hashValue="8aYTwsrvdIXuB/Uu6L3mHu0eWsBb0qeJ0tbd3uqyRt911wngpwXXhoEtV/6cS5Ii0LesGfYklgN2eOpM2nB+pQ==" saltValue="gSGtkl4en+vMVuUMFeIPHw==" spinCount="100000" sheet="1" objects="1" scenarios="1" selectLockedCells="1" selectUnlockedCells="1"/>
  <mergeCells count="23">
    <mergeCell ref="M29:O29"/>
    <mergeCell ref="B8:B9"/>
    <mergeCell ref="C8:C9"/>
    <mergeCell ref="D8:F8"/>
    <mergeCell ref="G8:I8"/>
    <mergeCell ref="K8:M8"/>
    <mergeCell ref="N8:N9"/>
    <mergeCell ref="O8:O9"/>
    <mergeCell ref="P8:P9"/>
    <mergeCell ref="M25:O25"/>
    <mergeCell ref="M26:O26"/>
    <mergeCell ref="M27:O27"/>
    <mergeCell ref="M28:O28"/>
    <mergeCell ref="M36:O36"/>
    <mergeCell ref="M37:O37"/>
    <mergeCell ref="M38:O38"/>
    <mergeCell ref="M39:O39"/>
    <mergeCell ref="M30:O30"/>
    <mergeCell ref="M31:O31"/>
    <mergeCell ref="M32:O32"/>
    <mergeCell ref="M33:O33"/>
    <mergeCell ref="M34:O34"/>
    <mergeCell ref="M35:O35"/>
  </mergeCells>
  <conditionalFormatting sqref="P23">
    <cfRule type="expression" dxfId="24" priority="3">
      <formula>OR($T$4&gt;0,$T$6="SI")</formula>
    </cfRule>
  </conditionalFormatting>
  <conditionalFormatting sqref="R23">
    <cfRule type="cellIs" dxfId="23" priority="2" operator="notEqual">
      <formula>""</formula>
    </cfRule>
  </conditionalFormatting>
  <conditionalFormatting sqref="R25:R39">
    <cfRule type="cellIs" dxfId="22" priority="1" operator="notEqual">
      <formula>""</formula>
    </cfRule>
  </conditionalFormatting>
  <printOptions horizontalCentered="1"/>
  <pageMargins left="0.39370078740157483" right="0.39370078740157483" top="0.59055118110236227" bottom="0.39370078740157483" header="0.19685039370078741" footer="0.19685039370078741"/>
  <pageSetup paperSize="9" scale="6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6" id="{0E8203C6-C206-44EB-8595-D74AA042A8FA}">
            <xm:f>'% DEDICACIÓN TRABAJADOR'!$K$31=0</xm:f>
            <x14:dxf>
              <font>
                <color theme="0"/>
              </font>
            </x14:dxf>
          </x14:cfRule>
          <xm:sqref>D10:O10</xm:sqref>
        </x14:conditionalFormatting>
        <x14:conditionalFormatting xmlns:xm="http://schemas.microsoft.com/office/excel/2006/main">
          <x14:cfRule type="expression" priority="7" id="{777254EE-8C73-4096-A909-F6E1921E4A90}">
            <xm:f>'% DEDICACIÓN TRABAJADOR'!$L$31=0</xm:f>
            <x14:dxf>
              <font>
                <color theme="0"/>
              </font>
            </x14:dxf>
          </x14:cfRule>
          <xm:sqref>D11:O11</xm:sqref>
        </x14:conditionalFormatting>
        <x14:conditionalFormatting xmlns:xm="http://schemas.microsoft.com/office/excel/2006/main">
          <x14:cfRule type="expression" priority="8" id="{089A83FF-0192-4F69-829C-61B36E537784}">
            <xm:f>'% DEDICACIÓN TRABAJADOR'!$M$31=0</xm:f>
            <x14:dxf>
              <font>
                <color theme="0"/>
              </font>
            </x14:dxf>
          </x14:cfRule>
          <xm:sqref>D12:O12</xm:sqref>
        </x14:conditionalFormatting>
        <x14:conditionalFormatting xmlns:xm="http://schemas.microsoft.com/office/excel/2006/main">
          <x14:cfRule type="expression" priority="9" id="{29A3A330-A9E3-4BB9-BAE6-C015CD38D6FB}">
            <xm:f>'% DEDICACIÓN TRABAJADOR'!$N$31=0</xm:f>
            <x14:dxf>
              <font>
                <color theme="0"/>
              </font>
            </x14:dxf>
          </x14:cfRule>
          <xm:sqref>D13:O13</xm:sqref>
        </x14:conditionalFormatting>
        <x14:conditionalFormatting xmlns:xm="http://schemas.microsoft.com/office/excel/2006/main">
          <x14:cfRule type="expression" priority="10" id="{86B75204-74AA-41DB-9871-03126D6ADBCD}">
            <xm:f>'% DEDICACIÓN TRABAJADOR'!$O$31=0</xm:f>
            <x14:dxf>
              <font>
                <color theme="0"/>
              </font>
            </x14:dxf>
          </x14:cfRule>
          <xm:sqref>D14:O14</xm:sqref>
        </x14:conditionalFormatting>
        <x14:conditionalFormatting xmlns:xm="http://schemas.microsoft.com/office/excel/2006/main">
          <x14:cfRule type="expression" priority="11" id="{85B31F50-4583-4D29-A263-CC0761DD8E30}">
            <xm:f>'% DEDICACIÓN TRABAJADOR'!$P$31=0</xm:f>
            <x14:dxf>
              <font>
                <color theme="0"/>
              </font>
            </x14:dxf>
          </x14:cfRule>
          <xm:sqref>D15:O15</xm:sqref>
        </x14:conditionalFormatting>
        <x14:conditionalFormatting xmlns:xm="http://schemas.microsoft.com/office/excel/2006/main">
          <x14:cfRule type="expression" priority="12" id="{528A1C3B-E05B-41A6-91C7-6E4B7E0DDB4D}">
            <xm:f>'% DEDICACIÓN TRABAJADOR'!$Q$31=0</xm:f>
            <x14:dxf>
              <font>
                <color theme="0"/>
              </font>
            </x14:dxf>
          </x14:cfRule>
          <xm:sqref>D16:O16</xm:sqref>
        </x14:conditionalFormatting>
        <x14:conditionalFormatting xmlns:xm="http://schemas.microsoft.com/office/excel/2006/main">
          <x14:cfRule type="expression" priority="13" id="{9C127770-6C53-46F1-B513-554E34AFCABC}">
            <xm:f>'% DEDICACIÓN TRABAJADOR'!$R$31=0</xm:f>
            <x14:dxf>
              <font>
                <color theme="0"/>
              </font>
            </x14:dxf>
          </x14:cfRule>
          <xm:sqref>D17:O17</xm:sqref>
        </x14:conditionalFormatting>
        <x14:conditionalFormatting xmlns:xm="http://schemas.microsoft.com/office/excel/2006/main">
          <x14:cfRule type="expression" priority="14" id="{AAE9B964-06F9-47F5-AA80-8B2EE068FEEF}">
            <xm:f>'% DEDICACIÓN TRABAJADOR'!$S$31=0</xm:f>
            <x14:dxf>
              <font>
                <color theme="0"/>
              </font>
            </x14:dxf>
          </x14:cfRule>
          <xm:sqref>D18:O18</xm:sqref>
        </x14:conditionalFormatting>
        <x14:conditionalFormatting xmlns:xm="http://schemas.microsoft.com/office/excel/2006/main">
          <x14:cfRule type="expression" priority="15" id="{616CBFB4-1303-4123-9B49-B7955BBDC452}">
            <xm:f>'% DEDICACIÓN TRABAJADOR'!$T$31=0</xm:f>
            <x14:dxf>
              <font>
                <color theme="0"/>
              </font>
            </x14:dxf>
          </x14:cfRule>
          <xm:sqref>D19:O19</xm:sqref>
        </x14:conditionalFormatting>
        <x14:conditionalFormatting xmlns:xm="http://schemas.microsoft.com/office/excel/2006/main">
          <x14:cfRule type="expression" priority="16" id="{09CF3398-E33F-40F4-9643-F5A68C1510F6}">
            <xm:f>'% DEDICACIÓN TRABAJADOR'!$U$31=0</xm:f>
            <x14:dxf>
              <font>
                <color theme="0"/>
              </font>
            </x14:dxf>
          </x14:cfRule>
          <xm:sqref>D20:O20</xm:sqref>
        </x14:conditionalFormatting>
        <x14:conditionalFormatting xmlns:xm="http://schemas.microsoft.com/office/excel/2006/main">
          <x14:cfRule type="expression" priority="17" id="{F5D8958C-31DA-42DA-8513-5D498F258CEA}">
            <xm:f>'% DEDICACIÓN TRABAJADOR'!$V$31=0</xm:f>
            <x14:dxf>
              <font>
                <color theme="0"/>
              </font>
            </x14:dxf>
          </x14:cfRule>
          <xm:sqref>D21:O21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4ca4520e05683ea6a53695b6ce327a4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929ba027d7e59255d7e7a90e973084f9"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4010D3-A042-4820-AD6F-B40D7355F802}"/>
</file>

<file path=customXml/itemProps2.xml><?xml version="1.0" encoding="utf-8"?>
<ds:datastoreItem xmlns:ds="http://schemas.openxmlformats.org/officeDocument/2006/customXml" ds:itemID="{5AA4FAF2-C503-4007-9762-C4211A6C086E}">
  <ds:schemaRefs>
    <ds:schemaRef ds:uri="http://schemas.microsoft.com/sharepoint/v3/contenttype/forms"/>
  </ds:schemaRefs>
</ds:datastoreItem>
</file>

<file path=customXml/itemProps3.xml><?xml version="1.0" encoding="utf-8"?>
<ds:datastoreItem xmlns:ds="http://schemas.openxmlformats.org/officeDocument/2006/customXml" ds:itemID="{B0DE91E8-1C23-4F39-AE3B-C392C62347FC}">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12</vt:i4>
      </vt:variant>
    </vt:vector>
  </HeadingPairs>
  <TitlesOfParts>
    <vt:vector size="24" baseType="lpstr">
      <vt:lpstr>INSTRUCCIONES</vt:lpstr>
      <vt:lpstr>EXPEDIENTE</vt:lpstr>
      <vt:lpstr>IDENTIFICACIÓN TRABAJADOR</vt:lpstr>
      <vt:lpstr>LINEAS CON DEDICACIÓN</vt:lpstr>
      <vt:lpstr>% DEDICACIÓN TRABAJADOR</vt:lpstr>
      <vt:lpstr>GASTOS TRABAJADOR</vt:lpstr>
      <vt:lpstr>RESUMEN TRABAJADOR ACTUACIÓN 1</vt:lpstr>
      <vt:lpstr>RESUMEN TRABAJADOR ACTUACIÓN 2</vt:lpstr>
      <vt:lpstr>RESUMEN TRABAJADOR ACTUACIÓN 3</vt:lpstr>
      <vt:lpstr>RESUMEN TRABAJADOR ACTUACIÓN 4</vt:lpstr>
      <vt:lpstr>DATOS A INCORPORAR AL MOD-66</vt:lpstr>
      <vt:lpstr>AUXILIAR</vt:lpstr>
      <vt:lpstr>'% DEDICACIÓN TRABAJADOR'!Área_de_impresión</vt:lpstr>
      <vt:lpstr>AUXILIAR!Área_de_impresión</vt:lpstr>
      <vt:lpstr>'DATOS A INCORPORAR AL MOD-66'!Área_de_impresión</vt:lpstr>
      <vt:lpstr>EXPEDIENTE!Área_de_impresión</vt:lpstr>
      <vt:lpstr>'GASTOS TRABAJADOR'!Área_de_impresión</vt:lpstr>
      <vt:lpstr>'IDENTIFICACIÓN TRABAJADOR'!Área_de_impresión</vt:lpstr>
      <vt:lpstr>'LINEAS CON DEDICACIÓN'!Área_de_impresión</vt:lpstr>
      <vt:lpstr>'RESUMEN TRABAJADOR ACTUACIÓN 1'!Área_de_impresión</vt:lpstr>
      <vt:lpstr>'RESUMEN TRABAJADOR ACTUACIÓN 2'!Área_de_impresión</vt:lpstr>
      <vt:lpstr>'RESUMEN TRABAJADOR ACTUACIÓN 3'!Área_de_impresión</vt:lpstr>
      <vt:lpstr>'RESUMEN TRABAJADOR ACTUACIÓN 4'!Área_de_impresión</vt:lpstr>
      <vt:lpstr>Lineas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Marco Adrián</dc:creator>
  <cp:lastModifiedBy>Vicente Marco Adrián</cp:lastModifiedBy>
  <cp:lastPrinted>2024-02-05T10:25:09Z</cp:lastPrinted>
  <dcterms:created xsi:type="dcterms:W3CDTF">2023-12-14T12:28:36Z</dcterms:created>
  <dcterms:modified xsi:type="dcterms:W3CDTF">2024-02-08T11:08:44Z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0x010100A0318DC7C631D14DA8A9E220C61C5A1F</vt:lpwstr>
  </property>
</Properties>
</file>