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3-1-TRAMITACION/2023-PAPE/"/>
    </mc:Choice>
  </mc:AlternateContent>
  <xr:revisionPtr revIDLastSave="30" documentId="8_{6A59C32E-34A7-4ADA-9336-6B59621D1AD9}" xr6:coauthVersionLast="47" xr6:coauthVersionMax="47" xr10:uidLastSave="{EFDA0728-55CA-49E8-A822-C86B216BEA15}"/>
  <bookViews>
    <workbookView xWindow="28680" yWindow="-120" windowWidth="29040" windowHeight="15720" tabRatio="743" firstSheet="1"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FACTURAS'!$L$7:$AJ$7</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FACTURAS'!$K$2:$AJ$84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9" l="1"/>
  <c r="X84" i="2"/>
  <c r="I27" i="8"/>
  <c r="I25" i="8"/>
  <c r="J6" i="4" l="1"/>
  <c r="S6" i="4" l="1"/>
  <c r="D44" i="9" l="1"/>
  <c r="E44" i="9" s="1"/>
  <c r="M44" i="9"/>
  <c r="N44" i="9"/>
  <c r="S44" i="9"/>
  <c r="U44" i="9"/>
  <c r="V44" i="9"/>
  <c r="X44" i="9"/>
  <c r="D45" i="9"/>
  <c r="E45" i="9" s="1"/>
  <c r="J45" i="9"/>
  <c r="M45" i="9"/>
  <c r="N45" i="9"/>
  <c r="S45" i="9"/>
  <c r="U45" i="9"/>
  <c r="V45" i="9"/>
  <c r="X45" i="9"/>
  <c r="D46" i="9"/>
  <c r="E46" i="9" s="1"/>
  <c r="J46" i="9"/>
  <c r="M46" i="9"/>
  <c r="N46" i="9"/>
  <c r="S46" i="9"/>
  <c r="U46" i="9"/>
  <c r="V46" i="9"/>
  <c r="X46" i="9"/>
  <c r="D47" i="9"/>
  <c r="E47" i="9" s="1"/>
  <c r="J47" i="9"/>
  <c r="M47" i="9"/>
  <c r="N47" i="9"/>
  <c r="S47" i="9"/>
  <c r="U47" i="9"/>
  <c r="V47" i="9"/>
  <c r="X47" i="9"/>
  <c r="D48" i="9"/>
  <c r="E48" i="9" s="1"/>
  <c r="J48" i="9"/>
  <c r="M48" i="9"/>
  <c r="N48" i="9"/>
  <c r="S48" i="9"/>
  <c r="U48" i="9"/>
  <c r="V48" i="9"/>
  <c r="X48" i="9"/>
  <c r="D49" i="9"/>
  <c r="E49" i="9" s="1"/>
  <c r="J49" i="9"/>
  <c r="M49" i="9"/>
  <c r="N49" i="9"/>
  <c r="S49" i="9"/>
  <c r="U49" i="9"/>
  <c r="V49" i="9"/>
  <c r="X49" i="9"/>
  <c r="D50" i="9"/>
  <c r="E50" i="9" s="1"/>
  <c r="J50" i="9"/>
  <c r="M50" i="9"/>
  <c r="N50" i="9"/>
  <c r="S50" i="9"/>
  <c r="U50" i="9"/>
  <c r="V50" i="9"/>
  <c r="X50" i="9"/>
  <c r="D51" i="9"/>
  <c r="E51" i="9" s="1"/>
  <c r="J51" i="9"/>
  <c r="M51" i="9"/>
  <c r="N51" i="9"/>
  <c r="S51" i="9"/>
  <c r="U51" i="9"/>
  <c r="V51" i="9"/>
  <c r="X51" i="9"/>
  <c r="D52" i="9"/>
  <c r="E52" i="9" s="1"/>
  <c r="J52" i="9"/>
  <c r="M52" i="9"/>
  <c r="N52" i="9"/>
  <c r="S52" i="9"/>
  <c r="U52" i="9"/>
  <c r="V52" i="9"/>
  <c r="X52" i="9"/>
  <c r="D53" i="9"/>
  <c r="E53" i="9" s="1"/>
  <c r="J53" i="9"/>
  <c r="M53" i="9"/>
  <c r="N53" i="9"/>
  <c r="S53" i="9"/>
  <c r="U53" i="9"/>
  <c r="V53" i="9"/>
  <c r="X53" i="9"/>
  <c r="D54" i="9"/>
  <c r="E54" i="9" s="1"/>
  <c r="J54" i="9"/>
  <c r="M54" i="9"/>
  <c r="N54" i="9"/>
  <c r="S54" i="9"/>
  <c r="U54" i="9"/>
  <c r="V54" i="9"/>
  <c r="X54" i="9"/>
  <c r="D55" i="9"/>
  <c r="E55" i="9" s="1"/>
  <c r="J55" i="9"/>
  <c r="M55" i="9"/>
  <c r="N55" i="9"/>
  <c r="S55" i="9"/>
  <c r="U55" i="9"/>
  <c r="V55" i="9"/>
  <c r="X55" i="9"/>
  <c r="D56" i="9"/>
  <c r="E56" i="9" s="1"/>
  <c r="J56" i="9"/>
  <c r="M56" i="9"/>
  <c r="N56" i="9"/>
  <c r="S56" i="9"/>
  <c r="U56" i="9"/>
  <c r="V56" i="9"/>
  <c r="X56" i="9"/>
  <c r="D57" i="9"/>
  <c r="E57" i="9" s="1"/>
  <c r="J57" i="9"/>
  <c r="M57" i="9"/>
  <c r="N57" i="9"/>
  <c r="S57" i="9"/>
  <c r="U57" i="9"/>
  <c r="V57" i="9"/>
  <c r="X57" i="9"/>
  <c r="D58" i="9"/>
  <c r="E58" i="9" s="1"/>
  <c r="M58" i="9"/>
  <c r="N58" i="9"/>
  <c r="S58" i="9"/>
  <c r="U58" i="9"/>
  <c r="V58" i="9"/>
  <c r="X58" i="9"/>
  <c r="D59" i="9"/>
  <c r="E59" i="9" s="1"/>
  <c r="G59" i="9"/>
  <c r="J59" i="9"/>
  <c r="M59" i="9"/>
  <c r="N59" i="9"/>
  <c r="S59" i="9"/>
  <c r="U59" i="9"/>
  <c r="V59" i="9"/>
  <c r="X59" i="9"/>
  <c r="D60" i="9"/>
  <c r="E60" i="9" s="1"/>
  <c r="G60" i="9"/>
  <c r="J60" i="9"/>
  <c r="M60" i="9"/>
  <c r="N60" i="9"/>
  <c r="S60" i="9"/>
  <c r="U60" i="9"/>
  <c r="V60" i="9"/>
  <c r="X60" i="9"/>
  <c r="D61" i="9"/>
  <c r="E61" i="9" s="1"/>
  <c r="G61" i="9"/>
  <c r="J61" i="9"/>
  <c r="M61" i="9"/>
  <c r="N61" i="9"/>
  <c r="S61" i="9"/>
  <c r="U61" i="9"/>
  <c r="V61" i="9"/>
  <c r="X61" i="9"/>
  <c r="D62" i="9"/>
  <c r="E62" i="9" s="1"/>
  <c r="G62" i="9"/>
  <c r="M62" i="9"/>
  <c r="N62" i="9"/>
  <c r="S62" i="9"/>
  <c r="U62" i="9"/>
  <c r="V62" i="9"/>
  <c r="X62" i="9"/>
  <c r="D63" i="9"/>
  <c r="E63" i="9" s="1"/>
  <c r="G63" i="9"/>
  <c r="M63" i="9"/>
  <c r="N63" i="9"/>
  <c r="S63" i="9"/>
  <c r="U63" i="9"/>
  <c r="V63" i="9"/>
  <c r="X63" i="9"/>
  <c r="D64" i="9"/>
  <c r="E64" i="9" s="1"/>
  <c r="G64" i="9"/>
  <c r="M64" i="9"/>
  <c r="N64" i="9"/>
  <c r="S64" i="9"/>
  <c r="U64" i="9"/>
  <c r="V64" i="9"/>
  <c r="X64" i="9"/>
  <c r="D65" i="9"/>
  <c r="E65" i="9" s="1"/>
  <c r="G65" i="9"/>
  <c r="M65" i="9"/>
  <c r="N65" i="9"/>
  <c r="S65" i="9"/>
  <c r="U65" i="9"/>
  <c r="V65" i="9"/>
  <c r="X65" i="9"/>
  <c r="D66" i="9"/>
  <c r="E66" i="9" s="1"/>
  <c r="G66" i="9"/>
  <c r="M66" i="9"/>
  <c r="N66" i="9"/>
  <c r="S66" i="9"/>
  <c r="U66" i="9"/>
  <c r="V66" i="9"/>
  <c r="X66" i="9"/>
  <c r="D67" i="9"/>
  <c r="E67" i="9" s="1"/>
  <c r="G67" i="9"/>
  <c r="M67" i="9"/>
  <c r="N67" i="9"/>
  <c r="S67" i="9"/>
  <c r="U67" i="9"/>
  <c r="V67" i="9"/>
  <c r="X67" i="9"/>
  <c r="D68" i="9"/>
  <c r="E68" i="9" s="1"/>
  <c r="G68" i="9"/>
  <c r="M68" i="9"/>
  <c r="N68" i="9"/>
  <c r="S68" i="9"/>
  <c r="U68" i="9"/>
  <c r="V68" i="9"/>
  <c r="X68" i="9"/>
  <c r="D69" i="9"/>
  <c r="E69" i="9" s="1"/>
  <c r="G69" i="9"/>
  <c r="M69" i="9"/>
  <c r="N69" i="9"/>
  <c r="S69" i="9"/>
  <c r="U69" i="9"/>
  <c r="V69" i="9"/>
  <c r="X69" i="9"/>
  <c r="D70" i="9"/>
  <c r="E70" i="9" s="1"/>
  <c r="G70" i="9"/>
  <c r="M70" i="9"/>
  <c r="N70" i="9"/>
  <c r="S70" i="9"/>
  <c r="U70" i="9"/>
  <c r="V70" i="9"/>
  <c r="X70" i="9"/>
  <c r="D71" i="9"/>
  <c r="E71" i="9" s="1"/>
  <c r="G71" i="9"/>
  <c r="M71" i="9"/>
  <c r="N71" i="9"/>
  <c r="S71" i="9"/>
  <c r="U71" i="9"/>
  <c r="V71" i="9"/>
  <c r="X71" i="9"/>
  <c r="D72" i="9"/>
  <c r="E72" i="9" s="1"/>
  <c r="G72" i="9"/>
  <c r="M72" i="9"/>
  <c r="N72" i="9"/>
  <c r="S72" i="9"/>
  <c r="U72" i="9"/>
  <c r="V72" i="9"/>
  <c r="X72" i="9"/>
  <c r="D73" i="9"/>
  <c r="E73" i="9" s="1"/>
  <c r="G73" i="9"/>
  <c r="M73" i="9"/>
  <c r="N73" i="9"/>
  <c r="S73" i="9"/>
  <c r="U73" i="9"/>
  <c r="V73" i="9"/>
  <c r="X73" i="9"/>
  <c r="D74" i="9"/>
  <c r="E74" i="9" s="1"/>
  <c r="G74" i="9"/>
  <c r="M74" i="9"/>
  <c r="N74" i="9"/>
  <c r="S74" i="9"/>
  <c r="U74" i="9"/>
  <c r="V74" i="9"/>
  <c r="X74" i="9"/>
  <c r="D75" i="9"/>
  <c r="E75" i="9" s="1"/>
  <c r="G75" i="9"/>
  <c r="M75" i="9"/>
  <c r="N75" i="9"/>
  <c r="S75" i="9"/>
  <c r="U75" i="9"/>
  <c r="V75" i="9"/>
  <c r="X75" i="9"/>
  <c r="D76" i="9"/>
  <c r="E76" i="9" s="1"/>
  <c r="G76" i="9"/>
  <c r="M76" i="9"/>
  <c r="N76" i="9"/>
  <c r="S76" i="9"/>
  <c r="U76" i="9"/>
  <c r="V76" i="9"/>
  <c r="X76" i="9"/>
  <c r="D77" i="9"/>
  <c r="E77" i="9" s="1"/>
  <c r="G77" i="9"/>
  <c r="M77" i="9"/>
  <c r="N77" i="9"/>
  <c r="S77" i="9"/>
  <c r="U77" i="9"/>
  <c r="V77" i="9"/>
  <c r="X77" i="9"/>
  <c r="D78" i="9"/>
  <c r="E78" i="9" s="1"/>
  <c r="G78" i="9"/>
  <c r="M78" i="9"/>
  <c r="N78" i="9"/>
  <c r="S78" i="9"/>
  <c r="U78" i="9"/>
  <c r="V78" i="9"/>
  <c r="X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Z48" i="2"/>
  <c r="AB48" i="2"/>
  <c r="AC48" i="2" s="1"/>
  <c r="B48" i="2" s="1"/>
  <c r="Z49" i="2"/>
  <c r="AB49" i="2"/>
  <c r="AC49" i="2"/>
  <c r="Z50" i="2"/>
  <c r="AB50" i="2"/>
  <c r="AC50" i="2" s="1"/>
  <c r="Z51" i="2"/>
  <c r="AC51" i="2" s="1"/>
  <c r="AB51" i="2"/>
  <c r="Z52" i="2"/>
  <c r="AB52" i="2"/>
  <c r="AC52" i="2" s="1"/>
  <c r="B52" i="2" s="1"/>
  <c r="Z53" i="2"/>
  <c r="AB53" i="2"/>
  <c r="Z54" i="2"/>
  <c r="AB54" i="2"/>
  <c r="AC54" i="2" s="1"/>
  <c r="Z55" i="2"/>
  <c r="AB55" i="2"/>
  <c r="AC55" i="2"/>
  <c r="B55" i="2" s="1"/>
  <c r="Z56" i="2"/>
  <c r="AB56" i="2"/>
  <c r="AC56" i="2" s="1"/>
  <c r="Z57" i="2"/>
  <c r="AB57" i="2"/>
  <c r="AC57" i="2"/>
  <c r="Z58" i="2"/>
  <c r="AB58" i="2"/>
  <c r="AC58" i="2" s="1"/>
  <c r="Z59" i="2"/>
  <c r="AC59" i="2" s="1"/>
  <c r="AB59" i="2"/>
  <c r="Z60" i="2"/>
  <c r="AB60" i="2"/>
  <c r="AC60" i="2" s="1"/>
  <c r="Z61" i="2"/>
  <c r="AC61" i="2" s="1"/>
  <c r="AB61" i="2"/>
  <c r="Z62" i="2"/>
  <c r="AB62" i="2"/>
  <c r="AC62" i="2" s="1"/>
  <c r="Z63" i="2"/>
  <c r="AB63" i="2"/>
  <c r="AC63" i="2"/>
  <c r="B63" i="2" s="1"/>
  <c r="Z64" i="2"/>
  <c r="AB64" i="2"/>
  <c r="AC64" i="2" s="1"/>
  <c r="Z65" i="2"/>
  <c r="AB65" i="2"/>
  <c r="AC65" i="2"/>
  <c r="Z66" i="2"/>
  <c r="AB66" i="2"/>
  <c r="AC66" i="2" s="1"/>
  <c r="Z67" i="2"/>
  <c r="AC67" i="2" s="1"/>
  <c r="AB67" i="2"/>
  <c r="Z68" i="2"/>
  <c r="AB68" i="2"/>
  <c r="AC68" i="2" s="1"/>
  <c r="Z69" i="2"/>
  <c r="AC69" i="2" s="1"/>
  <c r="AB69" i="2"/>
  <c r="Z70" i="2"/>
  <c r="AB70" i="2"/>
  <c r="AC70" i="2" s="1"/>
  <c r="Z71" i="2"/>
  <c r="AB71" i="2"/>
  <c r="AC71" i="2"/>
  <c r="C71" i="2" s="1"/>
  <c r="Z72" i="2"/>
  <c r="AB72" i="2"/>
  <c r="AC72" i="2" s="1"/>
  <c r="Z73" i="2"/>
  <c r="AB73" i="2"/>
  <c r="AC73" i="2"/>
  <c r="Z74" i="2"/>
  <c r="AB74" i="2"/>
  <c r="AC74" i="2" s="1"/>
  <c r="B74" i="2" s="1"/>
  <c r="Z75" i="2"/>
  <c r="AC75" i="2" s="1"/>
  <c r="AB75" i="2"/>
  <c r="Z76" i="2"/>
  <c r="AB76" i="2"/>
  <c r="AC76" i="2" s="1"/>
  <c r="Z77" i="2"/>
  <c r="AC77" i="2" s="1"/>
  <c r="AB77" i="2"/>
  <c r="Z78" i="2"/>
  <c r="AB78" i="2"/>
  <c r="AC78" i="2" s="1"/>
  <c r="Z79" i="2"/>
  <c r="AB79" i="2"/>
  <c r="AC79" i="2"/>
  <c r="B79" i="2" s="1"/>
  <c r="Z80" i="2"/>
  <c r="AB80" i="2"/>
  <c r="AC80" i="2" s="1"/>
  <c r="B80" i="2" s="1"/>
  <c r="Z81" i="2"/>
  <c r="AB81" i="2"/>
  <c r="AC81" i="2"/>
  <c r="Z82" i="2"/>
  <c r="AB82" i="2"/>
  <c r="AC82" i="2" s="1"/>
  <c r="C82" i="2" s="1"/>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48" i="2"/>
  <c r="D48" i="2"/>
  <c r="E48" i="2"/>
  <c r="H48" i="2"/>
  <c r="B49" i="2"/>
  <c r="C49" i="2"/>
  <c r="D49" i="2"/>
  <c r="E49" i="2"/>
  <c r="H49" i="2"/>
  <c r="E50" i="2"/>
  <c r="H50" i="2"/>
  <c r="D51" i="2"/>
  <c r="E51" i="2"/>
  <c r="H51" i="2"/>
  <c r="D52" i="2"/>
  <c r="E52" i="2"/>
  <c r="H52" i="2"/>
  <c r="D53" i="2"/>
  <c r="E53" i="2"/>
  <c r="H53" i="2"/>
  <c r="D54" i="2"/>
  <c r="E54" i="2"/>
  <c r="H54" i="2"/>
  <c r="D55" i="2"/>
  <c r="E55" i="2"/>
  <c r="H55" i="2"/>
  <c r="E56" i="2"/>
  <c r="H56" i="2"/>
  <c r="B57" i="2"/>
  <c r="C57" i="2"/>
  <c r="D57" i="2"/>
  <c r="E57" i="2"/>
  <c r="H57" i="2"/>
  <c r="D58" i="2"/>
  <c r="E58" i="2"/>
  <c r="H58" i="2"/>
  <c r="D59" i="2"/>
  <c r="E59" i="2"/>
  <c r="H59" i="2"/>
  <c r="D60" i="2"/>
  <c r="E60" i="2"/>
  <c r="H60" i="2"/>
  <c r="D61" i="2"/>
  <c r="E61" i="2"/>
  <c r="H61" i="2"/>
  <c r="D62" i="2"/>
  <c r="E62" i="2"/>
  <c r="H62" i="2"/>
  <c r="D63" i="2"/>
  <c r="E63" i="2"/>
  <c r="H63" i="2"/>
  <c r="E64" i="2"/>
  <c r="H64" i="2"/>
  <c r="B65" i="2"/>
  <c r="C65" i="2"/>
  <c r="D65" i="2"/>
  <c r="E65" i="2"/>
  <c r="H65" i="2"/>
  <c r="D66" i="2"/>
  <c r="E66" i="2"/>
  <c r="H66" i="2"/>
  <c r="D67" i="2"/>
  <c r="E67" i="2"/>
  <c r="H67" i="2"/>
  <c r="D68" i="2"/>
  <c r="E68" i="2"/>
  <c r="H68" i="2"/>
  <c r="D69" i="2"/>
  <c r="E69" i="2"/>
  <c r="H69" i="2"/>
  <c r="D70" i="2"/>
  <c r="E70" i="2"/>
  <c r="H70" i="2"/>
  <c r="B71" i="2"/>
  <c r="D71" i="2"/>
  <c r="E71" i="2"/>
  <c r="H71" i="2"/>
  <c r="D72" i="2"/>
  <c r="E72" i="2"/>
  <c r="H72" i="2"/>
  <c r="B73" i="2"/>
  <c r="C73" i="2"/>
  <c r="D73" i="2"/>
  <c r="E73" i="2"/>
  <c r="H73" i="2"/>
  <c r="D74" i="2"/>
  <c r="E74" i="2"/>
  <c r="H74" i="2"/>
  <c r="D75" i="2"/>
  <c r="E75" i="2"/>
  <c r="H75" i="2"/>
  <c r="D76" i="2"/>
  <c r="E76" i="2"/>
  <c r="H76" i="2"/>
  <c r="D77" i="2"/>
  <c r="E77" i="2"/>
  <c r="H77" i="2"/>
  <c r="D78" i="2"/>
  <c r="E78" i="2"/>
  <c r="H78" i="2"/>
  <c r="D79" i="2"/>
  <c r="E79" i="2"/>
  <c r="H79" i="2"/>
  <c r="D80" i="2"/>
  <c r="E80" i="2"/>
  <c r="H80" i="2"/>
  <c r="B81" i="2"/>
  <c r="C81" i="2"/>
  <c r="D81" i="2"/>
  <c r="E81" i="2"/>
  <c r="H81" i="2"/>
  <c r="D82" i="2"/>
  <c r="E82" i="2"/>
  <c r="H82"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K78" i="9" l="1"/>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B68" i="2"/>
  <c r="C68" i="2"/>
  <c r="B75" i="2"/>
  <c r="C75" i="2"/>
  <c r="C60" i="2"/>
  <c r="B60" i="2"/>
  <c r="B54" i="2"/>
  <c r="C54" i="2"/>
  <c r="F54" i="2" s="1"/>
  <c r="C78" i="2"/>
  <c r="F78" i="2" s="1"/>
  <c r="G78" i="2" s="1"/>
  <c r="B78" i="2"/>
  <c r="C67" i="2"/>
  <c r="B67" i="2"/>
  <c r="B51" i="2"/>
  <c r="C51" i="2"/>
  <c r="B70" i="2"/>
  <c r="C70" i="2"/>
  <c r="F70" i="2" s="1"/>
  <c r="B59" i="2"/>
  <c r="C59" i="2"/>
  <c r="B76" i="2"/>
  <c r="C76" i="2"/>
  <c r="B62" i="2"/>
  <c r="C62" i="2"/>
  <c r="F62" i="2" s="1"/>
  <c r="G62" i="2" s="1"/>
  <c r="B82" i="2"/>
  <c r="C79" i="2"/>
  <c r="C61" i="2"/>
  <c r="F69" i="2"/>
  <c r="G69" i="2" s="1"/>
  <c r="B61" i="2"/>
  <c r="C69" i="2"/>
  <c r="C55" i="2"/>
  <c r="C50" i="2"/>
  <c r="C52" i="2"/>
  <c r="F77" i="2"/>
  <c r="G77" i="2" s="1"/>
  <c r="B69" i="2"/>
  <c r="C58" i="2"/>
  <c r="F58" i="2" s="1"/>
  <c r="G58" i="2" s="1"/>
  <c r="C48" i="2"/>
  <c r="F48" i="2" s="1"/>
  <c r="G48" i="2" s="1"/>
  <c r="F61" i="2"/>
  <c r="G61" i="2" s="1"/>
  <c r="C77" i="2"/>
  <c r="C63" i="2"/>
  <c r="B58" i="2"/>
  <c r="B77" i="2"/>
  <c r="C66" i="2"/>
  <c r="F66" i="2" s="1"/>
  <c r="G66" i="2" s="1"/>
  <c r="AC53" i="2"/>
  <c r="B53" i="2" s="1"/>
  <c r="C74" i="2"/>
  <c r="F74" i="2" s="1"/>
  <c r="G74" i="2" s="1"/>
  <c r="I74" i="2" s="1"/>
  <c r="K74" i="2" s="1"/>
  <c r="B66" i="2"/>
  <c r="B50" i="2"/>
  <c r="C80" i="2"/>
  <c r="B72" i="2"/>
  <c r="B64" i="2"/>
  <c r="B56" i="2"/>
  <c r="F73" i="2"/>
  <c r="G73" i="2" s="1"/>
  <c r="C72" i="2"/>
  <c r="F68" i="2"/>
  <c r="G68" i="2" s="1"/>
  <c r="F63" i="2"/>
  <c r="G63" i="2" s="1"/>
  <c r="D64" i="2"/>
  <c r="F82" i="2"/>
  <c r="G82" i="2" s="1"/>
  <c r="F65" i="2"/>
  <c r="G65" i="2" s="1"/>
  <c r="C64" i="2"/>
  <c r="F60" i="2"/>
  <c r="G60" i="2" s="1"/>
  <c r="F55" i="2"/>
  <c r="G55" i="2" s="1"/>
  <c r="I55" i="2" s="1"/>
  <c r="K55" i="2" s="1"/>
  <c r="D56" i="2"/>
  <c r="F72" i="2"/>
  <c r="G72" i="2" s="1"/>
  <c r="F57" i="2"/>
  <c r="G57" i="2" s="1"/>
  <c r="C56" i="2"/>
  <c r="F81" i="2"/>
  <c r="G81" i="2" s="1"/>
  <c r="F80" i="2"/>
  <c r="G80" i="2" s="1"/>
  <c r="F76" i="2"/>
  <c r="G76" i="2" s="1"/>
  <c r="F71" i="2"/>
  <c r="G71" i="2" s="1"/>
  <c r="I71" i="2" s="1"/>
  <c r="K71" i="2" s="1"/>
  <c r="F49" i="2"/>
  <c r="G49" i="2" s="1"/>
  <c r="D50" i="2"/>
  <c r="F50" i="2" s="1"/>
  <c r="G50" i="2" s="1"/>
  <c r="F75" i="2"/>
  <c r="G75" i="2" s="1"/>
  <c r="F67" i="2"/>
  <c r="G67" i="2" s="1"/>
  <c r="F59" i="2"/>
  <c r="G59"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I48" i="2" l="1"/>
  <c r="K48" i="2" s="1"/>
  <c r="I73" i="2"/>
  <c r="K73" i="2" s="1"/>
  <c r="I58" i="2"/>
  <c r="K58" i="2" s="1"/>
  <c r="I66" i="2"/>
  <c r="K66" i="2" s="1"/>
  <c r="I57" i="2"/>
  <c r="K57" i="2" s="1"/>
  <c r="I50" i="2"/>
  <c r="K50" i="2" s="1"/>
  <c r="I77" i="2"/>
  <c r="K77" i="2" s="1"/>
  <c r="M10" i="3"/>
  <c r="I49" i="2"/>
  <c r="K49" i="2" s="1"/>
  <c r="I81" i="2"/>
  <c r="K81" i="2" s="1"/>
  <c r="I82" i="2"/>
  <c r="K82" i="2" s="1"/>
  <c r="I80" i="2"/>
  <c r="K80" i="2" s="1"/>
  <c r="AB19" i="4"/>
  <c r="I63" i="2"/>
  <c r="K63" i="2" s="1"/>
  <c r="G54" i="2"/>
  <c r="I54" i="2" s="1"/>
  <c r="K54" i="2" s="1"/>
  <c r="F52" i="2"/>
  <c r="G52" i="2" s="1"/>
  <c r="I62" i="2"/>
  <c r="K62" i="2" s="1"/>
  <c r="I60" i="2"/>
  <c r="K60" i="2" s="1"/>
  <c r="I72" i="2"/>
  <c r="K72" i="2" s="1"/>
  <c r="I76" i="2"/>
  <c r="K76" i="2" s="1"/>
  <c r="C53" i="2"/>
  <c r="F53" i="2" s="1"/>
  <c r="G53" i="2" s="1"/>
  <c r="I53" i="2" s="1"/>
  <c r="K53" i="2" s="1"/>
  <c r="I61" i="2"/>
  <c r="K61" i="2" s="1"/>
  <c r="I75" i="2"/>
  <c r="K75" i="2" s="1"/>
  <c r="I67" i="2"/>
  <c r="K67" i="2" s="1"/>
  <c r="F79" i="2"/>
  <c r="G79" i="2" s="1"/>
  <c r="G70" i="2"/>
  <c r="I70" i="2" s="1"/>
  <c r="K70" i="2" s="1"/>
  <c r="F51" i="2"/>
  <c r="G51" i="2" s="1"/>
  <c r="I51" i="2" s="1"/>
  <c r="K51" i="2" s="1"/>
  <c r="I65" i="2"/>
  <c r="K65" i="2" s="1"/>
  <c r="I59" i="2"/>
  <c r="K59" i="2" s="1"/>
  <c r="I69" i="2"/>
  <c r="K69" i="2" s="1"/>
  <c r="I78" i="2"/>
  <c r="K78" i="2" s="1"/>
  <c r="I68" i="2"/>
  <c r="K68" i="2" s="1"/>
  <c r="F56" i="2"/>
  <c r="G56" i="2" s="1"/>
  <c r="F64" i="2"/>
  <c r="G64" i="2" s="1"/>
  <c r="AB26" i="4"/>
  <c r="AB25" i="4"/>
  <c r="AB24" i="4"/>
  <c r="AB23" i="4"/>
  <c r="AB22" i="4"/>
  <c r="AB21" i="4"/>
  <c r="AB18" i="4"/>
  <c r="AB20" i="4"/>
  <c r="AB27" i="4"/>
  <c r="B33" i="8"/>
  <c r="I64" i="2" l="1"/>
  <c r="K64" i="2" s="1"/>
  <c r="I56" i="2"/>
  <c r="K56" i="2" s="1"/>
  <c r="I52" i="2"/>
  <c r="K52" i="2" s="1"/>
  <c r="I79" i="2"/>
  <c r="K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B10" i="2"/>
  <c r="AD84" i="2"/>
  <c r="W84" i="2"/>
  <c r="V84" i="2"/>
  <c r="M37" i="2"/>
  <c r="M38" i="2"/>
  <c r="M39" i="2"/>
  <c r="M40" i="2"/>
  <c r="M41" i="2"/>
  <c r="M42" i="2"/>
  <c r="M43" i="2"/>
  <c r="M44" i="2"/>
  <c r="M45" i="2"/>
  <c r="M46" i="2"/>
  <c r="M47" i="2"/>
  <c r="M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Z9" i="2"/>
  <c r="AB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8" i="9"/>
  <c r="I8" i="9"/>
  <c r="T8" i="9"/>
  <c r="M43" i="9"/>
  <c r="T43" i="9"/>
  <c r="I43" i="9"/>
  <c r="I41" i="9"/>
  <c r="T41" i="9"/>
  <c r="M41" i="9"/>
  <c r="I37" i="9"/>
  <c r="M37" i="9"/>
  <c r="T37" i="9"/>
  <c r="M33" i="9"/>
  <c r="I33" i="9"/>
  <c r="T33" i="9"/>
  <c r="M16" i="9"/>
  <c r="I16" i="9"/>
  <c r="T16" i="9"/>
  <c r="I31" i="9"/>
  <c r="T31" i="9"/>
  <c r="M31" i="9"/>
  <c r="I23" i="9"/>
  <c r="M23" i="9"/>
  <c r="T23" i="9"/>
  <c r="I15" i="9"/>
  <c r="T15" i="9"/>
  <c r="M15" i="9"/>
  <c r="T6" i="9"/>
  <c r="M6" i="9"/>
  <c r="I6"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I7" i="9"/>
  <c r="M7" i="9"/>
  <c r="T7"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C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X5" i="4"/>
  <c r="Z15" i="4"/>
  <c r="Z14" i="4"/>
  <c r="Z13" i="4"/>
  <c r="Z12" i="4"/>
  <c r="Z11" i="4"/>
  <c r="Z10" i="4"/>
  <c r="Z9" i="4"/>
  <c r="Z8" i="4"/>
  <c r="Z7" i="4"/>
  <c r="Z6" i="4"/>
  <c r="Z10" i="2"/>
  <c r="AC10" i="2" s="1"/>
  <c r="Z11" i="2"/>
  <c r="AB11" i="2"/>
  <c r="Z12" i="2"/>
  <c r="AB12" i="2"/>
  <c r="AB84" i="2" s="1"/>
  <c r="Z13" i="2"/>
  <c r="AB13" i="2"/>
  <c r="Z14" i="2"/>
  <c r="AB14" i="2"/>
  <c r="Z15" i="2"/>
  <c r="AB15" i="2"/>
  <c r="Z16" i="2"/>
  <c r="AB16" i="2"/>
  <c r="Z17" i="2"/>
  <c r="AB17" i="2"/>
  <c r="Z18" i="2"/>
  <c r="AB18" i="2"/>
  <c r="Z19" i="2"/>
  <c r="AB19" i="2"/>
  <c r="Z20" i="2"/>
  <c r="AB20" i="2"/>
  <c r="Z21" i="2"/>
  <c r="AB21" i="2"/>
  <c r="Z22" i="2"/>
  <c r="AB22" i="2"/>
  <c r="Z23" i="2"/>
  <c r="AB23" i="2"/>
  <c r="Z24" i="2"/>
  <c r="AB24" i="2"/>
  <c r="Z25" i="2"/>
  <c r="AB25" i="2"/>
  <c r="Z26" i="2"/>
  <c r="AB26" i="2"/>
  <c r="Z27" i="2"/>
  <c r="AB27" i="2"/>
  <c r="Z28" i="2"/>
  <c r="AB28" i="2"/>
  <c r="Z29" i="2"/>
  <c r="AB29" i="2"/>
  <c r="Z30" i="2"/>
  <c r="AB30" i="2"/>
  <c r="Z31" i="2"/>
  <c r="AB31" i="2"/>
  <c r="Z32" i="2"/>
  <c r="AB32" i="2"/>
  <c r="Z33" i="2"/>
  <c r="AB33" i="2"/>
  <c r="Z34" i="2"/>
  <c r="AB34" i="2"/>
  <c r="Z35" i="2"/>
  <c r="AB35" i="2"/>
  <c r="Z36" i="2"/>
  <c r="AB36" i="2"/>
  <c r="Z37" i="2"/>
  <c r="AB37" i="2"/>
  <c r="Z38" i="2"/>
  <c r="AB38" i="2"/>
  <c r="Z39" i="2"/>
  <c r="AB39" i="2"/>
  <c r="Z40" i="2"/>
  <c r="AB40" i="2"/>
  <c r="Z41" i="2"/>
  <c r="AB41" i="2"/>
  <c r="Z42" i="2"/>
  <c r="AB42" i="2"/>
  <c r="Z43" i="2"/>
  <c r="AB43" i="2"/>
  <c r="Z44" i="2"/>
  <c r="AB44" i="2"/>
  <c r="Z45" i="2"/>
  <c r="AB45" i="2"/>
  <c r="Z46" i="2"/>
  <c r="AB46" i="2"/>
  <c r="Z47" i="2"/>
  <c r="AB47" i="2"/>
  <c r="Z83" i="2"/>
  <c r="AB83" i="2"/>
  <c r="P3" i="2"/>
  <c r="E81" i="7" s="1"/>
  <c r="E5" i="7"/>
  <c r="E6" i="7"/>
  <c r="E7" i="7"/>
  <c r="E8" i="7"/>
  <c r="E9" i="7"/>
  <c r="E10" i="7"/>
  <c r="E11" i="7"/>
  <c r="E12" i="7"/>
  <c r="E13" i="7"/>
  <c r="E14" i="7"/>
  <c r="E15" i="7"/>
  <c r="E16" i="7"/>
  <c r="E17" i="7"/>
  <c r="E4" i="7"/>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E47" i="2"/>
  <c r="H47" i="2"/>
  <c r="E83" i="2"/>
  <c r="H83" i="2"/>
  <c r="P7" i="4" l="1"/>
  <c r="C12" i="8"/>
  <c r="C18" i="8"/>
  <c r="C22" i="8" s="1"/>
  <c r="AC46" i="2"/>
  <c r="B46" i="2" s="1"/>
  <c r="AC30" i="2"/>
  <c r="AC22" i="2"/>
  <c r="AC33" i="2"/>
  <c r="AC25" i="2"/>
  <c r="AC21" i="2"/>
  <c r="AC26" i="2"/>
  <c r="AC83" i="2"/>
  <c r="AC40" i="2"/>
  <c r="B40" i="2" s="1"/>
  <c r="AC18" i="2"/>
  <c r="AC28" i="2"/>
  <c r="AC38" i="2"/>
  <c r="C38" i="2" s="1"/>
  <c r="AC19" i="2"/>
  <c r="AC15" i="2"/>
  <c r="AC47" i="2"/>
  <c r="AC43" i="2"/>
  <c r="C43" i="2" s="1"/>
  <c r="F43" i="2" s="1"/>
  <c r="G43" i="2" s="1"/>
  <c r="AC44" i="2"/>
  <c r="C44" i="2" s="1"/>
  <c r="AC32" i="2"/>
  <c r="AC45" i="2"/>
  <c r="B45" i="2" s="1"/>
  <c r="AC36" i="2"/>
  <c r="AC24" i="2"/>
  <c r="AC42" i="2"/>
  <c r="B42" i="2" s="1"/>
  <c r="AC35" i="2"/>
  <c r="AC27" i="2"/>
  <c r="AC23" i="2"/>
  <c r="P5" i="4"/>
  <c r="P6" i="4"/>
  <c r="AC29" i="2"/>
  <c r="AC41" i="2"/>
  <c r="B41" i="2" s="1"/>
  <c r="AC31" i="2"/>
  <c r="AC17" i="2"/>
  <c r="AC34" i="2"/>
  <c r="AC37" i="2"/>
  <c r="B37" i="2" s="1"/>
  <c r="AC20" i="2"/>
  <c r="AC13" i="2"/>
  <c r="AC14" i="2"/>
  <c r="AC11" i="2"/>
  <c r="AC12" i="2"/>
  <c r="AC84" i="2" s="1"/>
  <c r="AC16" i="2"/>
  <c r="AC39" i="2"/>
  <c r="B39" i="2" s="1"/>
  <c r="C46" i="2"/>
  <c r="F46" i="2" s="1"/>
  <c r="U9" i="9"/>
  <c r="I16" i="8" l="1"/>
  <c r="B43" i="2"/>
  <c r="I43" i="2" s="1"/>
  <c r="C37" i="2"/>
  <c r="F37" i="2" s="1"/>
  <c r="G37" i="2" s="1"/>
  <c r="I37" i="2" s="1"/>
  <c r="B38" i="2"/>
  <c r="C45" i="2"/>
  <c r="F45" i="2" s="1"/>
  <c r="C42" i="2"/>
  <c r="F42" i="2" s="1"/>
  <c r="G42" i="2" s="1"/>
  <c r="I42" i="2" s="1"/>
  <c r="C41" i="2"/>
  <c r="F41" i="2" s="1"/>
  <c r="C39" i="2"/>
  <c r="F39" i="2" s="1"/>
  <c r="G39" i="2" s="1"/>
  <c r="I39" i="2" s="1"/>
  <c r="F44" i="2"/>
  <c r="G44" i="2" s="1"/>
  <c r="F38" i="2"/>
  <c r="G38" i="2" s="1"/>
  <c r="G46" i="2"/>
  <c r="I46" i="2" s="1"/>
  <c r="C40" i="2"/>
  <c r="F40" i="2" s="1"/>
  <c r="B44"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M10" i="2"/>
  <c r="M11" i="2"/>
  <c r="M12" i="2"/>
  <c r="M13" i="2"/>
  <c r="M14" i="2"/>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36" i="2"/>
  <c r="D36" i="2" s="1"/>
  <c r="D47" i="2"/>
  <c r="D83" i="2"/>
  <c r="M9" i="2"/>
  <c r="B7" i="9"/>
  <c r="B14" i="9"/>
  <c r="B15" i="9"/>
  <c r="B16" i="9"/>
  <c r="B17" i="9"/>
  <c r="B18" i="9"/>
  <c r="B19" i="9"/>
  <c r="B20" i="9"/>
  <c r="B21" i="9"/>
  <c r="B22" i="9"/>
  <c r="B23" i="9"/>
  <c r="B24" i="9"/>
  <c r="B25" i="9"/>
  <c r="B26" i="9"/>
  <c r="B27" i="9"/>
  <c r="B28" i="9"/>
  <c r="B29" i="9"/>
  <c r="B30" i="9"/>
  <c r="B31" i="9"/>
  <c r="B32" i="9"/>
  <c r="B5" i="9"/>
  <c r="G51" i="7" l="1"/>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I38" i="2"/>
  <c r="G45" i="2"/>
  <c r="I45" i="2" s="1"/>
  <c r="G42" i="7"/>
  <c r="H42" i="7" s="1"/>
  <c r="G37" i="7"/>
  <c r="H37" i="7" s="1"/>
  <c r="G38" i="7"/>
  <c r="H38" i="7" s="1"/>
  <c r="G35" i="7"/>
  <c r="H35" i="7" s="1"/>
  <c r="G36" i="7"/>
  <c r="H36" i="7" s="1"/>
  <c r="G39" i="7"/>
  <c r="H39" i="7" s="1"/>
  <c r="G34" i="7"/>
  <c r="H34" i="7" s="1"/>
  <c r="G33" i="7"/>
  <c r="H33" i="7" s="1"/>
  <c r="G78" i="7"/>
  <c r="H78" i="7" s="1"/>
  <c r="G40" i="7"/>
  <c r="H40" i="7" s="1"/>
  <c r="G41" i="7"/>
  <c r="H41" i="7" s="1"/>
  <c r="B6" i="9"/>
  <c r="E14" i="2"/>
  <c r="D14" i="2"/>
  <c r="E13" i="2"/>
  <c r="D13" i="2"/>
  <c r="D12" i="2"/>
  <c r="E12" i="2"/>
  <c r="D11" i="2"/>
  <c r="E11" i="2"/>
  <c r="E10" i="2"/>
  <c r="G41" i="2"/>
  <c r="I41" i="2" s="1"/>
  <c r="D10" i="2"/>
  <c r="G40" i="2"/>
  <c r="I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B83" i="2"/>
  <c r="C83" i="2"/>
  <c r="F83" i="2" s="1"/>
  <c r="C30" i="2"/>
  <c r="F30" i="2" s="1"/>
  <c r="B30" i="2"/>
  <c r="B36" i="2"/>
  <c r="C36" i="2"/>
  <c r="F36" i="2" s="1"/>
  <c r="C34" i="2"/>
  <c r="F34" i="2" s="1"/>
  <c r="B34" i="2"/>
  <c r="I40" i="2"/>
  <c r="B27" i="2"/>
  <c r="C27" i="2"/>
  <c r="F27" i="2" s="1"/>
  <c r="C31" i="2"/>
  <c r="F31" i="2" s="1"/>
  <c r="B31" i="2"/>
  <c r="B13" i="2"/>
  <c r="C13" i="2"/>
  <c r="F13" i="2" s="1"/>
  <c r="C22" i="2"/>
  <c r="F22" i="2" s="1"/>
  <c r="B22" i="2"/>
  <c r="B17" i="2"/>
  <c r="C17" i="2"/>
  <c r="F17" i="2" s="1"/>
  <c r="B11" i="2"/>
  <c r="C11" i="2"/>
  <c r="F11" i="2" s="1"/>
  <c r="B21" i="2"/>
  <c r="C21" i="2"/>
  <c r="F21" i="2" s="1"/>
  <c r="C18" i="2"/>
  <c r="F18" i="2" s="1"/>
  <c r="B18" i="2"/>
  <c r="B28" i="2"/>
  <c r="C28" i="2"/>
  <c r="F28" i="2" s="1"/>
  <c r="B23" i="2"/>
  <c r="C23" i="2"/>
  <c r="F23" i="2" s="1"/>
  <c r="B29" i="2"/>
  <c r="C29" i="2"/>
  <c r="F29" i="2" s="1"/>
  <c r="C25" i="2"/>
  <c r="F25" i="2" s="1"/>
  <c r="B25" i="2"/>
  <c r="B24" i="2"/>
  <c r="C24" i="2"/>
  <c r="F24" i="2" s="1"/>
  <c r="B16" i="2"/>
  <c r="C16" i="2"/>
  <c r="F16" i="2" s="1"/>
  <c r="B20" i="2"/>
  <c r="C20" i="2"/>
  <c r="F20" i="2" s="1"/>
  <c r="B35" i="2"/>
  <c r="C35" i="2"/>
  <c r="F35" i="2" s="1"/>
  <c r="B33" i="2"/>
  <c r="C33" i="2"/>
  <c r="F33" i="2" s="1"/>
  <c r="C15" i="2"/>
  <c r="F15" i="2" s="1"/>
  <c r="B15" i="2"/>
  <c r="B26" i="2"/>
  <c r="C26" i="2"/>
  <c r="F26" i="2" s="1"/>
  <c r="B19" i="2"/>
  <c r="C19" i="2"/>
  <c r="F19" i="2" s="1"/>
  <c r="C14" i="2"/>
  <c r="F14" i="2" s="1"/>
  <c r="B14" i="2"/>
  <c r="B12" i="2"/>
  <c r="C12" i="2"/>
  <c r="F12" i="2" s="1"/>
  <c r="B32" i="2"/>
  <c r="C32" i="2"/>
  <c r="F32" i="2" s="1"/>
  <c r="B10" i="2"/>
  <c r="C10" i="2"/>
  <c r="F10" i="2" s="1"/>
  <c r="C47" i="2"/>
  <c r="F47" i="2" s="1"/>
  <c r="B47"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G17" i="2"/>
  <c r="G25" i="2"/>
  <c r="G26" i="2"/>
  <c r="G34" i="2"/>
  <c r="G20" i="2"/>
  <c r="G16" i="2"/>
  <c r="G30" i="2"/>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X17" i="9"/>
  <c r="X24" i="9"/>
  <c r="X16" i="9"/>
  <c r="K31" i="9"/>
  <c r="X31" i="9"/>
  <c r="K23" i="9"/>
  <c r="X23" i="9"/>
  <c r="K15" i="9"/>
  <c r="X15" i="9"/>
  <c r="K7" i="9"/>
  <c r="N7" i="9" s="1"/>
  <c r="X30" i="9"/>
  <c r="K6" i="9"/>
  <c r="N6" i="9" s="1"/>
  <c r="K19" i="9"/>
  <c r="X19" i="9"/>
  <c r="K26" i="9"/>
  <c r="X26" i="9"/>
  <c r="X22" i="9"/>
  <c r="X14" i="9"/>
  <c r="K29" i="9"/>
  <c r="X29" i="9"/>
  <c r="K21" i="9"/>
  <c r="X21" i="9"/>
  <c r="K13" i="9"/>
  <c r="X13" i="9"/>
  <c r="X28" i="9"/>
  <c r="X20" i="9"/>
  <c r="X12" i="9"/>
  <c r="G32" i="2"/>
  <c r="I32" i="2" s="1"/>
  <c r="G35" i="2"/>
  <c r="I35" i="2" s="1"/>
  <c r="G15" i="2"/>
  <c r="I15" i="2" s="1"/>
  <c r="G83" i="2"/>
  <c r="I83" i="2" s="1"/>
  <c r="G23" i="2"/>
  <c r="I23" i="2" s="1"/>
  <c r="G18" i="2"/>
  <c r="I18" i="2" s="1"/>
  <c r="G19" i="2"/>
  <c r="I19" i="2" s="1"/>
  <c r="G36" i="2"/>
  <c r="I36" i="2" s="1"/>
  <c r="G27" i="2"/>
  <c r="I27" i="2" s="1"/>
  <c r="G47" i="2"/>
  <c r="I47" i="2" s="1"/>
  <c r="G13" i="2"/>
  <c r="G29" i="2"/>
  <c r="I29" i="2" s="1"/>
  <c r="G14" i="2"/>
  <c r="G24" i="2"/>
  <c r="I24" i="2" s="1"/>
  <c r="G21" i="2"/>
  <c r="I21" i="2" s="1"/>
  <c r="G28" i="2"/>
  <c r="I28" i="2" s="1"/>
  <c r="G31" i="2"/>
  <c r="I31" i="2" s="1"/>
  <c r="I20" i="2"/>
  <c r="G22" i="2"/>
  <c r="I22" i="2" s="1"/>
  <c r="G33" i="2"/>
  <c r="I33" i="2" s="1"/>
  <c r="G12" i="2"/>
  <c r="G10" i="2"/>
  <c r="G11" i="2"/>
  <c r="I16" i="2"/>
  <c r="I25" i="2"/>
  <c r="I26" i="2"/>
  <c r="I34" i="2"/>
  <c r="I17" i="2"/>
  <c r="I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E71" i="6"/>
  <c r="J5" i="9"/>
  <c r="I5" i="9" s="1"/>
  <c r="B12" i="9"/>
  <c r="D66" i="6" s="1"/>
  <c r="H12" i="2"/>
  <c r="I12" i="2" s="1"/>
  <c r="H11" i="2"/>
  <c r="I11" i="2" s="1"/>
  <c r="H13" i="2"/>
  <c r="I13" i="2" s="1"/>
  <c r="H10" i="2"/>
  <c r="I10" i="2"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H14" i="2" l="1"/>
  <c r="I14" i="2" s="1"/>
  <c r="I29" i="8"/>
  <c r="H9" i="2"/>
  <c r="C75" i="6"/>
  <c r="C84" i="6"/>
  <c r="C34" i="6"/>
  <c r="C79" i="6"/>
  <c r="D87" i="6"/>
  <c r="C72" i="6"/>
  <c r="C82" i="6"/>
  <c r="D52" i="6"/>
  <c r="E74" i="6"/>
  <c r="D76" i="6"/>
  <c r="E67" i="6"/>
  <c r="E75" i="6"/>
  <c r="C73" i="6"/>
  <c r="C68" i="6"/>
  <c r="E80" i="6"/>
  <c r="E59" i="6"/>
  <c r="E65" i="6"/>
  <c r="E85" i="6"/>
  <c r="E52" i="6"/>
  <c r="D60" i="6"/>
  <c r="M5" i="9"/>
  <c r="O53" i="9"/>
  <c r="O60" i="9"/>
  <c r="O67" i="9"/>
  <c r="O59"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40"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P11" i="9"/>
  <c r="J10" i="9"/>
  <c r="J7" i="9"/>
  <c r="J9" i="9"/>
  <c r="D3" i="6"/>
  <c r="O62" i="9" l="1"/>
  <c r="J12" i="2"/>
  <c r="J11" i="2"/>
  <c r="J67" i="2"/>
  <c r="J57" i="2"/>
  <c r="J50" i="2"/>
  <c r="J63" i="2"/>
  <c r="J48" i="2"/>
  <c r="J82" i="2"/>
  <c r="J61" i="2"/>
  <c r="J29" i="2"/>
  <c r="J53" i="2"/>
  <c r="J44" i="2"/>
  <c r="J32" i="2"/>
  <c r="J55" i="2"/>
  <c r="J13" i="2"/>
  <c r="J65" i="2"/>
  <c r="J27" i="2"/>
  <c r="J40" i="2"/>
  <c r="J56" i="2"/>
  <c r="J47" i="2"/>
  <c r="J46" i="2"/>
  <c r="J19" i="2"/>
  <c r="J20" i="2"/>
  <c r="J38" i="2"/>
  <c r="J39" i="2"/>
  <c r="J36" i="2"/>
  <c r="J24" i="2"/>
  <c r="J78" i="2"/>
  <c r="J22" i="2"/>
  <c r="J49" i="2"/>
  <c r="J59" i="2"/>
  <c r="J25" i="2"/>
  <c r="J30" i="2"/>
  <c r="J66" i="2"/>
  <c r="J23" i="2"/>
  <c r="J71" i="2"/>
  <c r="J16" i="2"/>
  <c r="J83" i="2"/>
  <c r="J35" i="2"/>
  <c r="J54" i="2"/>
  <c r="J43" i="2"/>
  <c r="J26" i="2"/>
  <c r="J73" i="2"/>
  <c r="J41" i="2"/>
  <c r="J14" i="2"/>
  <c r="J69" i="2"/>
  <c r="J21" i="2"/>
  <c r="J37" i="2"/>
  <c r="J52" i="2"/>
  <c r="J28" i="2"/>
  <c r="J68" i="2"/>
  <c r="J18" i="2"/>
  <c r="J72" i="2"/>
  <c r="J60" i="2"/>
  <c r="J31" i="2"/>
  <c r="J33" i="2"/>
  <c r="J75" i="2"/>
  <c r="J9" i="2"/>
  <c r="J64" i="2"/>
  <c r="J62" i="2"/>
  <c r="J42" i="2"/>
  <c r="J58" i="2"/>
  <c r="J10" i="2"/>
  <c r="J17" i="2"/>
  <c r="J79" i="2"/>
  <c r="J81" i="2"/>
  <c r="J77" i="2"/>
  <c r="J74" i="2"/>
  <c r="J15" i="2"/>
  <c r="J45" i="2"/>
  <c r="J51" i="2"/>
  <c r="J76" i="2"/>
  <c r="J80" i="2"/>
  <c r="J70" i="2"/>
  <c r="J34"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P10" i="9"/>
  <c r="J8" i="9"/>
  <c r="K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F9" i="2" s="1"/>
  <c r="K14" i="2"/>
  <c r="K10" i="2"/>
  <c r="K11" i="2"/>
  <c r="K47" i="2"/>
  <c r="K22" i="2"/>
  <c r="K19" i="2"/>
  <c r="K28" i="2"/>
  <c r="K24" i="2"/>
  <c r="K34" i="2"/>
  <c r="P8" i="9"/>
  <c r="K13" i="2"/>
  <c r="K17" i="2"/>
  <c r="K23" i="2"/>
  <c r="K20" i="2"/>
  <c r="K32" i="2"/>
  <c r="K30" i="2"/>
  <c r="K18" i="2"/>
  <c r="K15" i="2"/>
  <c r="K16" i="2"/>
  <c r="K21" i="2"/>
  <c r="K31" i="2"/>
  <c r="K33" i="2"/>
  <c r="K26" i="2"/>
  <c r="K36" i="2"/>
  <c r="K25" i="2"/>
  <c r="K27" i="2"/>
  <c r="K29" i="2"/>
  <c r="K35" i="2"/>
  <c r="D90" i="7" l="1"/>
  <c r="X8" i="9"/>
  <c r="P4" i="7"/>
  <c r="F89" i="7" s="1"/>
  <c r="P6" i="7"/>
  <c r="F91" i="7" s="1"/>
  <c r="C89" i="7"/>
  <c r="L5" i="7"/>
  <c r="B90" i="7" s="1"/>
  <c r="K83" i="2"/>
  <c r="G9" i="2" l="1"/>
  <c r="I9" i="2" s="1"/>
  <c r="K9" i="2" s="1"/>
</calcChain>
</file>

<file path=xl/sharedStrings.xml><?xml version="1.0" encoding="utf-8"?>
<sst xmlns="http://schemas.openxmlformats.org/spreadsheetml/2006/main" count="297" uniqueCount="239">
  <si>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</si>
  <si>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</si>
  <si>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</si>
  <si>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</si>
  <si>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</si>
  <si>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</si>
  <si>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</si>
  <si>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</si>
  <si>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</si>
  <si>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</si>
  <si>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</si>
  <si>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</si>
  <si>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</si>
  <si>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</si>
  <si>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</si>
  <si>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</si>
  <si>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</si>
  <si>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</si>
  <si>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</si>
  <si>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</si>
  <si>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</si>
  <si>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</si>
  <si>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</si>
  <si>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</si>
  <si>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</si>
  <si>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</si>
  <si>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</si>
  <si>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</si>
  <si>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</si>
  <si>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</si>
  <si>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</si>
  <si>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</si>
  <si>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</si>
  <si>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</si>
  <si>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</si>
  <si>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</si>
  <si>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</si>
  <si>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</si>
  <si>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</si>
  <si>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</si>
  <si>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</si>
  <si>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</si>
  <si>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</si>
  <si>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</si>
  <si>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</si>
  <si>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</si>
  <si>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</si>
  <si>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</si>
  <si>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</si>
  <si>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</si>
  <si>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</si>
  <si>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</si>
  <si>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</si>
  <si>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</si>
  <si>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</si>
  <si>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</si>
  <si>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</si>
  <si>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</si>
  <si>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</si>
  <si>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</si>
  <si>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</si>
  <si>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</si>
  <si>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</si>
  <si>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</si>
  <si>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</si>
  <si>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</si>
  <si>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</si>
  <si>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</si>
  <si>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</si>
  <si>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</si>
  <si>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</si>
  <si>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</si>
  <si>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</si>
  <si>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</si>
  <si>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</si>
  <si>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</si>
  <si>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</si>
  <si>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</si>
  <si>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</si>
  <si>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</si>
  <si>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</si>
  <si>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</si>
  <si>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</si>
  <si>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</si>
  <si>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</si>
  <si>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</si>
  <si>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</si>
  <si>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</si>
  <si>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</si>
  <si>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</si>
  <si>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</si>
  <si>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</si>
  <si>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</si>
  <si>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</si>
  <si>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</si>
  <si>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</si>
  <si>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</si>
  <si>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</si>
  <si>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</si>
  <si>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</si>
  <si>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</si>
  <si>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</si>
  <si>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</si>
  <si>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</si>
  <si>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</si>
  <si>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</si>
  <si>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</si>
  <si>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</si>
  <si>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</si>
  <si>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</si>
  <si>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</si>
  <si>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</si>
  <si>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</si>
  <si>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</si>
  <si>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</si>
  <si>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</si>
  <si>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</si>
  <si>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</si>
  <si>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</si>
  <si>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</si>
  <si>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</si>
  <si>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</si>
  <si>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</si>
  <si>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</si>
  <si>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</si>
  <si>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</si>
  <si>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</si>
  <si>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</si>
  <si>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</si>
  <si>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</si>
  <si>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</si>
  <si>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</si>
  <si>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</si>
  <si>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</si>
  <si>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</si>
  <si>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</si>
  <si>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</si>
  <si>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</si>
  <si>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</si>
  <si>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</si>
  <si>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</si>
  <si>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</si>
  <si>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</si>
  <si>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</si>
  <si>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</si>
  <si>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</si>
  <si>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</si>
  <si>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</si>
  <si>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</si>
  <si>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</si>
  <si>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</si>
  <si>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</si>
  <si>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</si>
  <si>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</si>
  <si>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</si>
  <si>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</si>
  <si>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</si>
  <si>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</si>
  <si>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</si>
  <si>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</si>
  <si>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</si>
  <si>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</si>
  <si>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</si>
  <si>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</si>
  <si>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</si>
  <si>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</si>
  <si>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</si>
  <si>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</si>
  <si>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</si>
  <si>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</si>
  <si>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</si>
  <si>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</si>
  <si>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</si>
  <si>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</si>
  <si>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</si>
  <si>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</si>
  <si>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</si>
  <si>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</si>
  <si>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</si>
  <si>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</si>
  <si>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</si>
  <si>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</si>
  <si>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</si>
  <si>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</si>
  <si>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</si>
  <si>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</si>
  <si>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</si>
  <si>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</si>
  <si>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</si>
  <si>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</si>
  <si>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</si>
  <si>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</si>
  <si>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</si>
  <si>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</si>
  <si>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</si>
  <si>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</si>
  <si>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</si>
  <si>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</si>
  <si>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</si>
  <si>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</si>
  <si>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</si>
  <si>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</si>
  <si>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</si>
  <si>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</si>
  <si>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</si>
  <si>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</si>
  <si>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</si>
  <si>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</si>
  <si>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</si>
  <si>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</si>
  <si>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</si>
  <si>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</si>
  <si>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</si>
  <si>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</si>
  <si>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</si>
  <si>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</si>
  <si>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</si>
  <si>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</si>
  <si>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</si>
  <si>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</si>
  <si>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</si>
  <si>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</si>
  <si>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</si>
  <si>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</si>
  <si>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</si>
  <si>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</si>
  <si>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</si>
  <si>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</si>
  <si>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</si>
  <si>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</si>
  <si>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</si>
  <si>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NO</t>
  </si>
  <si>
    <t>nº 295, 23 de diciembre de 2021</t>
  </si>
  <si>
    <t>nº 283, 9 de diciembre de 2022</t>
  </si>
  <si>
    <t>nº 158, de 11 de julio 2023</t>
  </si>
  <si>
    <t>Obras</t>
  </si>
  <si>
    <t>Suministros</t>
  </si>
  <si>
    <t>Proyectos técnicos</t>
  </si>
  <si>
    <t>Dirección de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</si>
</sst>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3">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6" borderId="1" xfId="0" applyFont="1" applyFill="1" applyBorder="1"/>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4" borderId="1" xfId="1" applyFont="1" applyFill="1" applyBorder="1" applyAlignment="1" applyProtection="1">
      <alignment horizontal="left" vertical="center" indent="1"/>
      <protection locked="0"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0" fontId="16" fillId="8" borderId="7" xfId="0" applyFont="1" applyFill="1" applyBorder="1" applyAlignment="1" applyProtection="1">
      <alignment horizontal="center" vertical="center" wrapText="1"/>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4" borderId="1" xfId="0" applyFont="1" applyFill="1" applyBorder="1" applyAlignment="1" applyProtection="1">
      <alignment horizontal="center"/>
      <protection locked="0"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166" fontId="8" fillId="4" borderId="1" xfId="0" applyNumberFormat="1" applyFont="1" applyFill="1" applyBorder="1" applyAlignment="1" applyProtection="1">
      <alignment horizontal="center"/>
      <protection locked="0"/>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cellXfs>
  <cellStyles count="2">
    <cellStyle name="Normal" xfId="0" builtinId="0"/>
    <cellStyle name="Normal 2" xfId="1" xr:uid="{00000000-0005-0000-0000-000001000000}"/>
  </cellStyles>
  <dxfs count="85">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7C8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E00"/>
      <color rgb="FFFFFFFF"/>
      <color rgb="FF97999B"/>
      <color rgb="FFCEDC00"/>
      <color rgb="FFFF7C80"/>
      <color rgb="FFFFE56F"/>
      <color rgb="FFFBFFCD"/>
      <color rgb="FFB8D637"/>
      <color rgb="FFC6E0B4"/>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142875</xdr:colOff>
      <xdr:row>1</xdr:row>
      <xdr:rowOff>19050</xdr:rowOff>
    </xdr:from>
    <xdr:to>
      <xdr:col>10</xdr:col>
      <xdr:colOff>1409700</xdr:colOff>
      <xdr:row>4</xdr:row>
      <xdr:rowOff>69139</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66700"/>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 sqref="B10"/>
    </sheetView>
  </sheetViews>
  <sheetFormatPr baseColWidth="10" defaultColWidth="9.140625" defaultRowHeight="15" customHeight="1" x14ac:dyDescent="0.2"/>
  <cols>
    <col min="1" max="1" width="5.7109375" style="85" customWidth="1"/>
    <col min="2" max="2" width="85.7109375" style="85" customWidth="1"/>
    <col min="3" max="1001" width="10.7109375" style="85" customWidth="1"/>
    <col min="1002" max="16384" width="9.140625" style="85"/>
  </cols>
  <sheetData>
    <row r="2" spans="2:2" ht="39.950000000000003" customHeight="1" x14ac:dyDescent="0.2">
      <c r="B2" s="84" t="s">
        <v>147</v>
      </c>
    </row>
    <row r="4" spans="2:2" ht="27" x14ac:dyDescent="0.2">
      <c r="B4" s="86" t="s">
        <v>156</v>
      </c>
    </row>
    <row r="5" spans="2:2" ht="15" customHeight="1" x14ac:dyDescent="0.2">
      <c r="B5" s="309" t="s">
        <v>126</v>
      </c>
    </row>
    <row r="6" spans="2:2" ht="15" customHeight="1" x14ac:dyDescent="0.2">
      <c r="B6" s="309"/>
    </row>
    <row r="7" spans="2:2" ht="15" customHeight="1" x14ac:dyDescent="0.2">
      <c r="B7" s="309"/>
    </row>
    <row r="8" spans="2:2" ht="15" customHeight="1" x14ac:dyDescent="0.2">
      <c r="B8" s="309"/>
    </row>
    <row r="9" spans="2:2" ht="15" customHeight="1" x14ac:dyDescent="0.2">
      <c r="B9" s="87"/>
    </row>
    <row r="10" spans="2:2" ht="15" customHeight="1" x14ac:dyDescent="0.2">
      <c r="B10" s="307" t="s">
        <v>103</v>
      </c>
    </row>
    <row r="11" spans="2:2" ht="9.9499999999999993" customHeight="1" x14ac:dyDescent="0.2"/>
    <row r="12" spans="2:2" ht="15" customHeight="1" x14ac:dyDescent="0.2">
      <c r="B12" s="88" t="s">
        <v>111</v>
      </c>
    </row>
    <row r="13" spans="2:2" ht="15" customHeight="1" x14ac:dyDescent="0.2">
      <c r="B13" s="89" t="s">
        <v>210</v>
      </c>
    </row>
    <row r="14" spans="2:2" ht="15" customHeight="1" x14ac:dyDescent="0.2">
      <c r="B14" s="89" t="s">
        <v>212</v>
      </c>
    </row>
    <row r="15" spans="2:2" ht="15" customHeight="1" x14ac:dyDescent="0.2">
      <c r="B15" s="89" t="s">
        <v>213</v>
      </c>
    </row>
    <row r="16" spans="2:2" ht="15" customHeight="1" x14ac:dyDescent="0.2">
      <c r="B16" s="315" t="s">
        <v>214</v>
      </c>
    </row>
    <row r="17" spans="2:2" ht="15" customHeight="1" x14ac:dyDescent="0.2">
      <c r="B17" s="315"/>
    </row>
    <row r="18" spans="2:2" ht="9.9499999999999993" customHeight="1" x14ac:dyDescent="0.2">
      <c r="B18" s="315"/>
    </row>
    <row r="19" spans="2:2" ht="15" customHeight="1" x14ac:dyDescent="0.2">
      <c r="B19" s="86"/>
    </row>
    <row r="20" spans="2:2" ht="15" customHeight="1" x14ac:dyDescent="0.2">
      <c r="B20" s="307" t="s">
        <v>127</v>
      </c>
    </row>
    <row r="21" spans="2:2" ht="9.9499999999999993" customHeight="1" x14ac:dyDescent="0.2"/>
    <row r="22" spans="2:2" ht="15" customHeight="1" x14ac:dyDescent="0.2">
      <c r="B22" s="91" t="s">
        <v>113</v>
      </c>
    </row>
    <row r="23" spans="2:2" ht="15" customHeight="1" x14ac:dyDescent="0.2">
      <c r="B23" s="311" t="s">
        <v>114</v>
      </c>
    </row>
    <row r="24" spans="2:2" ht="15" customHeight="1" x14ac:dyDescent="0.2">
      <c r="B24" s="311"/>
    </row>
    <row r="25" spans="2:2" ht="15" customHeight="1" x14ac:dyDescent="0.2">
      <c r="B25" s="311" t="s">
        <v>115</v>
      </c>
    </row>
    <row r="26" spans="2:2" ht="15" customHeight="1" x14ac:dyDescent="0.2">
      <c r="B26" s="311"/>
    </row>
    <row r="27" spans="2:2" ht="15" customHeight="1" x14ac:dyDescent="0.2">
      <c r="B27" s="311" t="s">
        <v>116</v>
      </c>
    </row>
    <row r="28" spans="2:2" ht="15" customHeight="1" x14ac:dyDescent="0.2">
      <c r="B28" s="311"/>
    </row>
    <row r="29" spans="2:2" ht="15" customHeight="1" x14ac:dyDescent="0.2">
      <c r="B29" s="311" t="s">
        <v>117</v>
      </c>
    </row>
    <row r="30" spans="2:2" ht="15" customHeight="1" x14ac:dyDescent="0.2">
      <c r="B30" s="311"/>
    </row>
    <row r="31" spans="2:2" ht="15" customHeight="1" x14ac:dyDescent="0.2">
      <c r="B31" s="311" t="s">
        <v>118</v>
      </c>
    </row>
    <row r="32" spans="2:2" ht="15" customHeight="1" x14ac:dyDescent="0.2">
      <c r="B32" s="311"/>
    </row>
    <row r="33" spans="2:2" ht="15" customHeight="1" x14ac:dyDescent="0.2">
      <c r="B33" s="311"/>
    </row>
    <row r="34" spans="2:2" ht="15" customHeight="1" x14ac:dyDescent="0.2">
      <c r="B34" s="311" t="s">
        <v>119</v>
      </c>
    </row>
    <row r="35" spans="2:2" ht="15" customHeight="1" x14ac:dyDescent="0.2">
      <c r="B35" s="311"/>
    </row>
    <row r="36" spans="2:2" ht="15" customHeight="1" x14ac:dyDescent="0.2">
      <c r="B36" s="311"/>
    </row>
    <row r="37" spans="2:2" ht="9.9499999999999993" customHeight="1" x14ac:dyDescent="0.2"/>
    <row r="38" spans="2:2" ht="15" customHeight="1" x14ac:dyDescent="0.2">
      <c r="B38" s="93" t="s">
        <v>120</v>
      </c>
    </row>
    <row r="39" spans="2:2" ht="15" customHeight="1" x14ac:dyDescent="0.2">
      <c r="B39" s="311" t="s">
        <v>121</v>
      </c>
    </row>
    <row r="40" spans="2:2" ht="15" customHeight="1" x14ac:dyDescent="0.2">
      <c r="B40" s="311"/>
    </row>
    <row r="41" spans="2:2" ht="15" customHeight="1" x14ac:dyDescent="0.2">
      <c r="B41" s="311"/>
    </row>
    <row r="42" spans="2:2" ht="15" customHeight="1" x14ac:dyDescent="0.2">
      <c r="B42" s="311"/>
    </row>
    <row r="43" spans="2:2" ht="15" customHeight="1" x14ac:dyDescent="0.2">
      <c r="B43" s="311" t="s">
        <v>122</v>
      </c>
    </row>
    <row r="44" spans="2:2" ht="15" customHeight="1" x14ac:dyDescent="0.2">
      <c r="B44" s="311"/>
    </row>
    <row r="45" spans="2:2" ht="15" customHeight="1" x14ac:dyDescent="0.2">
      <c r="B45" s="311"/>
    </row>
    <row r="46" spans="2:2" ht="15" customHeight="1" x14ac:dyDescent="0.2">
      <c r="B46" s="311"/>
    </row>
    <row r="47" spans="2:2" ht="9.9499999999999993" customHeight="1" x14ac:dyDescent="0.2">
      <c r="B47" s="94"/>
    </row>
    <row r="48" spans="2:2" ht="15" customHeight="1" x14ac:dyDescent="0.2">
      <c r="B48" s="95" t="s">
        <v>128</v>
      </c>
    </row>
    <row r="49" spans="2:2" ht="15" customHeight="1" x14ac:dyDescent="0.2">
      <c r="B49" s="312" t="s">
        <v>123</v>
      </c>
    </row>
    <row r="50" spans="2:2" ht="15" customHeight="1" x14ac:dyDescent="0.2">
      <c r="B50" s="312"/>
    </row>
    <row r="51" spans="2:2" ht="9.9499999999999993" customHeight="1" x14ac:dyDescent="0.2">
      <c r="B51" s="313" t="s">
        <v>124</v>
      </c>
    </row>
    <row r="52" spans="2:2" ht="15" customHeight="1" x14ac:dyDescent="0.2">
      <c r="B52" s="313"/>
    </row>
    <row r="53" spans="2:2" ht="15" customHeight="1" x14ac:dyDescent="0.2">
      <c r="B53" s="313"/>
    </row>
    <row r="54" spans="2:2" ht="15" customHeight="1" x14ac:dyDescent="0.2">
      <c r="B54" s="313" t="s">
        <v>125</v>
      </c>
    </row>
    <row r="55" spans="2:2" ht="15" customHeight="1" x14ac:dyDescent="0.2">
      <c r="B55" s="313"/>
    </row>
    <row r="56" spans="2:2" ht="15" customHeight="1" x14ac:dyDescent="0.2">
      <c r="B56" s="92" t="s">
        <v>129</v>
      </c>
    </row>
    <row r="57" spans="2:2" ht="15" customHeight="1" x14ac:dyDescent="0.2">
      <c r="B57" s="92" t="s">
        <v>130</v>
      </c>
    </row>
    <row r="58" spans="2:2" ht="15" customHeight="1" x14ac:dyDescent="0.2">
      <c r="B58" s="311" t="s">
        <v>131</v>
      </c>
    </row>
    <row r="59" spans="2:2" ht="15" customHeight="1" x14ac:dyDescent="0.2">
      <c r="B59" s="311"/>
    </row>
    <row r="60" spans="2:2" ht="15" customHeight="1" x14ac:dyDescent="0.2">
      <c r="B60" s="311"/>
    </row>
    <row r="61" spans="2:2" ht="9.9499999999999993" customHeight="1" x14ac:dyDescent="0.2"/>
    <row r="62" spans="2:2" ht="15" customHeight="1" x14ac:dyDescent="0.2">
      <c r="B62" s="93" t="s">
        <v>132</v>
      </c>
    </row>
    <row r="63" spans="2:2" ht="15" customHeight="1" x14ac:dyDescent="0.2">
      <c r="B63" s="92" t="s">
        <v>133</v>
      </c>
    </row>
    <row r="64" spans="2:2" ht="15" customHeight="1" x14ac:dyDescent="0.2">
      <c r="B64" s="311" t="s">
        <v>134</v>
      </c>
    </row>
    <row r="65" spans="2:2" ht="15" customHeight="1" x14ac:dyDescent="0.2">
      <c r="B65" s="311"/>
    </row>
    <row r="66" spans="2:2" ht="15" customHeight="1" x14ac:dyDescent="0.2">
      <c r="B66" s="311"/>
    </row>
    <row r="67" spans="2:2" ht="15" customHeight="1" x14ac:dyDescent="0.2">
      <c r="B67" s="311"/>
    </row>
    <row r="68" spans="2:2" ht="15" customHeight="1" x14ac:dyDescent="0.2">
      <c r="B68" s="311" t="s">
        <v>135</v>
      </c>
    </row>
    <row r="69" spans="2:2" ht="15" customHeight="1" x14ac:dyDescent="0.2">
      <c r="B69" s="311"/>
    </row>
    <row r="70" spans="2:2" ht="15" customHeight="1" x14ac:dyDescent="0.2">
      <c r="B70" s="314" t="s">
        <v>136</v>
      </c>
    </row>
    <row r="71" spans="2:2" ht="15" customHeight="1" x14ac:dyDescent="0.2">
      <c r="B71" s="314"/>
    </row>
    <row r="72" spans="2:2" ht="15" customHeight="1" x14ac:dyDescent="0.2">
      <c r="B72" s="311" t="s">
        <v>137</v>
      </c>
    </row>
    <row r="73" spans="2:2" ht="15" customHeight="1" x14ac:dyDescent="0.2">
      <c r="B73" s="311"/>
    </row>
    <row r="74" spans="2:2" ht="9.9499999999999993" customHeight="1" x14ac:dyDescent="0.2"/>
    <row r="75" spans="2:2" ht="15" customHeight="1" x14ac:dyDescent="0.2">
      <c r="B75" s="93" t="s">
        <v>138</v>
      </c>
    </row>
    <row r="76" spans="2:2" ht="15" customHeight="1" x14ac:dyDescent="0.2">
      <c r="B76" s="311" t="s">
        <v>139</v>
      </c>
    </row>
    <row r="77" spans="2:2" ht="15" customHeight="1" x14ac:dyDescent="0.2">
      <c r="B77" s="311"/>
    </row>
    <row r="78" spans="2:2" ht="15" customHeight="1" x14ac:dyDescent="0.2">
      <c r="B78" s="311"/>
    </row>
    <row r="79" spans="2:2" ht="15" customHeight="1" x14ac:dyDescent="0.2">
      <c r="B79" s="311"/>
    </row>
    <row r="80" spans="2:2" ht="15" customHeight="1" x14ac:dyDescent="0.2">
      <c r="B80" s="311"/>
    </row>
    <row r="81" spans="2:2" ht="15" customHeight="1" x14ac:dyDescent="0.2">
      <c r="B81" s="311" t="s">
        <v>140</v>
      </c>
    </row>
    <row r="82" spans="2:2" ht="15" customHeight="1" x14ac:dyDescent="0.2">
      <c r="B82" s="311"/>
    </row>
    <row r="83" spans="2:2" ht="9.9499999999999993" customHeight="1" x14ac:dyDescent="0.2"/>
    <row r="84" spans="2:2" ht="15" customHeight="1" x14ac:dyDescent="0.2">
      <c r="B84" s="93" t="s">
        <v>141</v>
      </c>
    </row>
    <row r="85" spans="2:2" ht="15" customHeight="1" x14ac:dyDescent="0.2">
      <c r="B85" s="311" t="s">
        <v>142</v>
      </c>
    </row>
    <row r="86" spans="2:2" ht="15" customHeight="1" x14ac:dyDescent="0.2">
      <c r="B86" s="311"/>
    </row>
    <row r="87" spans="2:2" ht="15" customHeight="1" x14ac:dyDescent="0.2">
      <c r="B87" s="90" t="s">
        <v>104</v>
      </c>
    </row>
    <row r="88" spans="2:2" ht="15" customHeight="1" x14ac:dyDescent="0.2">
      <c r="B88" s="90" t="s">
        <v>105</v>
      </c>
    </row>
    <row r="89" spans="2:2" ht="15" customHeight="1" x14ac:dyDescent="0.2">
      <c r="B89" s="315" t="s">
        <v>106</v>
      </c>
    </row>
    <row r="90" spans="2:2" ht="15" customHeight="1" x14ac:dyDescent="0.2">
      <c r="B90" s="315"/>
    </row>
    <row r="91" spans="2:2" ht="15" customHeight="1" x14ac:dyDescent="0.2">
      <c r="B91" s="315" t="s">
        <v>107</v>
      </c>
    </row>
    <row r="92" spans="2:2" ht="15" customHeight="1" x14ac:dyDescent="0.2">
      <c r="B92" s="315"/>
    </row>
    <row r="93" spans="2:2" ht="15" customHeight="1" x14ac:dyDescent="0.2">
      <c r="B93" s="315" t="s">
        <v>108</v>
      </c>
    </row>
    <row r="94" spans="2:2" ht="15" customHeight="1" x14ac:dyDescent="0.2">
      <c r="B94" s="315"/>
    </row>
    <row r="95" spans="2:2" ht="15" customHeight="1" x14ac:dyDescent="0.2">
      <c r="B95" s="315"/>
    </row>
    <row r="96" spans="2:2" ht="15" customHeight="1" x14ac:dyDescent="0.2">
      <c r="B96" s="315" t="s">
        <v>109</v>
      </c>
    </row>
    <row r="97" spans="2:2" ht="15" customHeight="1" x14ac:dyDescent="0.2">
      <c r="B97" s="315"/>
    </row>
    <row r="98" spans="2:2" ht="15" customHeight="1" x14ac:dyDescent="0.2">
      <c r="B98" s="315"/>
    </row>
    <row r="99" spans="2:2" ht="15" customHeight="1" x14ac:dyDescent="0.2">
      <c r="B99" s="315" t="s">
        <v>110</v>
      </c>
    </row>
    <row r="100" spans="2:2" ht="15" customHeight="1" x14ac:dyDescent="0.2">
      <c r="B100" s="315"/>
    </row>
    <row r="101" spans="2:2" ht="9.9499999999999993" customHeight="1" x14ac:dyDescent="0.2"/>
    <row r="102" spans="2:2" ht="15" customHeight="1" x14ac:dyDescent="0.2">
      <c r="B102" s="93" t="s">
        <v>143</v>
      </c>
    </row>
    <row r="103" spans="2:2" ht="15" customHeight="1" x14ac:dyDescent="0.2">
      <c r="B103" s="316" t="s">
        <v>144</v>
      </c>
    </row>
    <row r="104" spans="2:2" ht="15" customHeight="1" x14ac:dyDescent="0.2">
      <c r="B104" s="315"/>
    </row>
    <row r="105" spans="2:2" ht="15" customHeight="1" x14ac:dyDescent="0.2">
      <c r="B105" s="86"/>
    </row>
    <row r="106" spans="2:2" ht="15" customHeight="1" x14ac:dyDescent="0.2">
      <c r="B106" s="307" t="s">
        <v>145</v>
      </c>
    </row>
    <row r="107" spans="2:2" ht="9.9499999999999993" customHeight="1" x14ac:dyDescent="0.2"/>
    <row r="108" spans="2:2" ht="15" customHeight="1" x14ac:dyDescent="0.2">
      <c r="B108" s="309" t="s">
        <v>146</v>
      </c>
    </row>
    <row r="109" spans="2:2" ht="15" customHeight="1" x14ac:dyDescent="0.2">
      <c r="B109" s="309"/>
    </row>
    <row r="110" spans="2:2" ht="15" customHeight="1" x14ac:dyDescent="0.2">
      <c r="B110" s="309" t="s">
        <v>150</v>
      </c>
    </row>
    <row r="111" spans="2:2" ht="15" customHeight="1" x14ac:dyDescent="0.2">
      <c r="B111" s="309"/>
    </row>
    <row r="112" spans="2:2" ht="15" customHeight="1" x14ac:dyDescent="0.2">
      <c r="B112" s="309"/>
    </row>
    <row r="113" spans="2:2" ht="15" customHeight="1" x14ac:dyDescent="0.2">
      <c r="B113" s="86"/>
    </row>
    <row r="114" spans="2:2" ht="15" customHeight="1" x14ac:dyDescent="0.2">
      <c r="B114" s="307" t="s">
        <v>148</v>
      </c>
    </row>
    <row r="115" spans="2:2" ht="9.9499999999999993" customHeight="1" x14ac:dyDescent="0.2"/>
    <row r="116" spans="2:2" ht="15" customHeight="1" x14ac:dyDescent="0.2">
      <c r="B116" s="309" t="s">
        <v>149</v>
      </c>
    </row>
    <row r="117" spans="2:2" ht="15" customHeight="1" x14ac:dyDescent="0.2">
      <c r="B117" s="309"/>
    </row>
    <row r="118" spans="2:2" ht="15" customHeight="1" x14ac:dyDescent="0.2">
      <c r="B118" s="309"/>
    </row>
    <row r="119" spans="2:2" ht="15" customHeight="1" x14ac:dyDescent="0.2">
      <c r="B119" s="310" t="s">
        <v>151</v>
      </c>
    </row>
    <row r="120" spans="2:2" ht="15" customHeight="1" x14ac:dyDescent="0.2">
      <c r="B120" s="310"/>
    </row>
    <row r="121" spans="2:2" ht="15" customHeight="1" x14ac:dyDescent="0.2">
      <c r="B121" s="310"/>
    </row>
    <row r="122" spans="2:2" ht="15" customHeight="1" x14ac:dyDescent="0.2">
      <c r="B122" s="310" t="s">
        <v>152</v>
      </c>
    </row>
    <row r="123" spans="2:2" ht="15" customHeight="1" x14ac:dyDescent="0.2">
      <c r="B123" s="310"/>
    </row>
    <row r="124" spans="2:2" ht="15" customHeight="1" x14ac:dyDescent="0.2">
      <c r="B124" s="310"/>
    </row>
    <row r="125" spans="2:2" ht="15" customHeight="1" x14ac:dyDescent="0.2">
      <c r="B125" s="310" t="s">
        <v>153</v>
      </c>
    </row>
    <row r="126" spans="2:2" ht="15" customHeight="1" x14ac:dyDescent="0.2">
      <c r="B126" s="310"/>
    </row>
    <row r="127" spans="2:2" ht="15" customHeight="1" x14ac:dyDescent="0.2">
      <c r="B127" s="310" t="s">
        <v>154</v>
      </c>
    </row>
    <row r="128" spans="2:2" ht="15" customHeight="1" x14ac:dyDescent="0.2">
      <c r="B128" s="310"/>
    </row>
    <row r="129" spans="2:2" ht="15" customHeight="1" x14ac:dyDescent="0.2">
      <c r="B129" s="310"/>
    </row>
  </sheetData>
  <sheetProtection algorithmName="SHA-512" hashValue="Hnwvv7Byp6XVYmA230AQ/LE/MmpavRueIE24aYrFGtAGZ+64Zh16GcWWy3vVZ3cdmtgTYHH4Rfw/YcavsS3jiw==" saltValue="D12GMjTkgu9jeuWTNUjXKQ=="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F28" sqref="F28"/>
    </sheetView>
  </sheetViews>
  <sheetFormatPr baseColWidth="10" defaultColWidth="11.42578125" defaultRowHeight="15" customHeight="1" x14ac:dyDescent="0.2"/>
  <cols>
    <col min="1" max="1" width="5.7109375" style="102" customWidth="1"/>
    <col min="2" max="2" width="17" style="102" customWidth="1"/>
    <col min="3" max="3" width="15.28515625" style="102" bestFit="1" customWidth="1"/>
    <col min="4" max="4" width="6.7109375" style="102" customWidth="1"/>
    <col min="5" max="8" width="10.7109375" style="102" customWidth="1"/>
    <col min="9" max="9" width="35.7109375" style="102" customWidth="1"/>
    <col min="10" max="16384" width="11.42578125" style="102"/>
  </cols>
  <sheetData>
    <row r="4" spans="2:9" ht="15" customHeight="1" x14ac:dyDescent="0.2">
      <c r="G4" s="103"/>
    </row>
    <row r="9" spans="2:9" ht="15" customHeight="1" x14ac:dyDescent="0.2">
      <c r="B9" s="320" t="s">
        <v>155</v>
      </c>
      <c r="C9" s="321"/>
      <c r="D9" s="322"/>
      <c r="E9" s="322"/>
      <c r="F9" s="322"/>
      <c r="G9" s="322"/>
      <c r="H9" s="322"/>
      <c r="I9" s="323"/>
    </row>
    <row r="10" spans="2:9" ht="15" customHeight="1" x14ac:dyDescent="0.2">
      <c r="B10" s="320"/>
      <c r="C10" s="324"/>
      <c r="D10" s="325"/>
      <c r="E10" s="325"/>
      <c r="F10" s="325"/>
      <c r="G10" s="325"/>
      <c r="H10" s="325"/>
      <c r="I10" s="326"/>
    </row>
    <row r="11" spans="2:9" ht="15" customHeight="1" x14ac:dyDescent="0.2">
      <c r="B11" s="104"/>
    </row>
    <row r="12" spans="2:9" ht="15" customHeight="1" x14ac:dyDescent="0.2">
      <c r="B12" s="336" t="s">
        <v>28</v>
      </c>
      <c r="C12" s="327" t="str">
        <f>VLOOKUP(AUXILIAR!$B$7,AUXILIAR!$D$7:$F$81,3,FALSE)</f>
        <v>PROGRAMA DE AYUDAS PARA LA DOTACIÓN Y REHABILITACIÓN DE PARQUES EMPRESARIALES</v>
      </c>
      <c r="D12" s="328"/>
      <c r="E12" s="328"/>
      <c r="F12" s="328"/>
      <c r="G12" s="328"/>
      <c r="H12" s="328"/>
      <c r="I12" s="329"/>
    </row>
    <row r="13" spans="2:9" ht="15" customHeight="1" x14ac:dyDescent="0.2">
      <c r="B13" s="336"/>
      <c r="C13" s="330"/>
      <c r="D13" s="331"/>
      <c r="E13" s="331"/>
      <c r="F13" s="331"/>
      <c r="G13" s="331"/>
      <c r="H13" s="331"/>
      <c r="I13" s="332"/>
    </row>
    <row r="14" spans="2:9" ht="15" customHeight="1" x14ac:dyDescent="0.2">
      <c r="B14" s="336"/>
      <c r="C14" s="333"/>
      <c r="D14" s="334"/>
      <c r="E14" s="334"/>
      <c r="F14" s="334"/>
      <c r="G14" s="334"/>
      <c r="H14" s="334"/>
      <c r="I14" s="335"/>
    </row>
    <row r="15" spans="2:9" ht="15" customHeight="1" x14ac:dyDescent="0.2">
      <c r="B15" s="104"/>
    </row>
    <row r="16" spans="2:9" ht="15" customHeight="1" x14ac:dyDescent="0.2">
      <c r="B16" s="104" t="s">
        <v>29</v>
      </c>
      <c r="C16" s="105">
        <f>AUXILIAR!$P$9</f>
        <v>2023</v>
      </c>
      <c r="D16" s="106"/>
      <c r="F16" s="317" t="s">
        <v>182</v>
      </c>
      <c r="G16" s="317"/>
      <c r="H16" s="317"/>
      <c r="I16" s="337"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295, 23 de diciembre de 2021
nº 283, 9 de diciembre de 2022</v>
      </c>
    </row>
    <row r="17" spans="2:9" ht="15" customHeight="1" x14ac:dyDescent="0.2">
      <c r="B17" s="104"/>
      <c r="F17" s="317"/>
      <c r="G17" s="317"/>
      <c r="H17" s="317"/>
      <c r="I17" s="337"/>
    </row>
    <row r="18" spans="2:9" ht="15" customHeight="1" x14ac:dyDescent="0.2">
      <c r="B18" s="104" t="s">
        <v>30</v>
      </c>
      <c r="C18" s="107">
        <f>VLOOKUP(AUXILIAR!$B$7,AUXILIAR!$D$7:$F$81,2,FALSE)</f>
        <v>9</v>
      </c>
      <c r="D18" s="108"/>
      <c r="F18" s="317"/>
      <c r="G18" s="317"/>
      <c r="H18" s="317"/>
      <c r="I18" s="337"/>
    </row>
    <row r="19" spans="2:9" ht="15" customHeight="1" x14ac:dyDescent="0.2">
      <c r="B19" s="104"/>
    </row>
    <row r="20" spans="2:9" ht="15" customHeight="1" x14ac:dyDescent="0.2">
      <c r="B20" s="104" t="s">
        <v>31</v>
      </c>
      <c r="C20" s="109" t="s">
        <v>229</v>
      </c>
      <c r="D20" s="106"/>
      <c r="E20" s="106"/>
      <c r="F20" s="317" t="str">
        <f>CONCATENATE("BORM EXTRACTO","
 ","CONVOCATORIA","
 ","(Y MODIFICACIONES):")</f>
        <v>BORM EXTRACTO
 CONVOCATORIA
 (Y MODIFICACIONES):</v>
      </c>
      <c r="G20" s="317"/>
      <c r="H20" s="317"/>
      <c r="I20" s="318" t="str">
        <f>IF(AND(AUXILIAR!$P$11="",AUXILIAR!$P$12="",AUXILIAR!$P$13=""),"",IF(AND(AUXILIAR!$P$12="",AUXILIAR!$P$13=""),AUXILIAR!$P$11,IF(AND(AUXILIAR!$P$12&lt;&gt;"",AUXILIAR!$P$13=""),CONCATENATE(AUXILIAR!$P$11,"
",AUXILIAR!$P$12),CONCATENATE(AUXILIAR!$P$11,"
",AUXILIAR!$P$12,"
",AUXILIAR!$P$13))))</f>
        <v>nº 158, de 11 de julio 2023</v>
      </c>
    </row>
    <row r="21" spans="2:9" ht="15" customHeight="1" x14ac:dyDescent="0.2">
      <c r="B21" s="104"/>
      <c r="F21" s="317"/>
      <c r="G21" s="317"/>
      <c r="H21" s="317"/>
      <c r="I21" s="318"/>
    </row>
    <row r="22" spans="2:9" ht="15" customHeight="1" x14ac:dyDescent="0.2">
      <c r="B22" s="104" t="s">
        <v>32</v>
      </c>
      <c r="C22" s="110" t="str">
        <f>CONCATENATE(C16,".",TEXT(C18,"00"),".",C20,".")</f>
        <v>2023.09.PAPE.</v>
      </c>
      <c r="D22" s="111"/>
      <c r="F22" s="317"/>
      <c r="G22" s="317"/>
      <c r="H22" s="317"/>
      <c r="I22" s="318"/>
    </row>
    <row r="23" spans="2:9" ht="15" customHeight="1" x14ac:dyDescent="0.2">
      <c r="B23" s="104"/>
      <c r="C23" s="104"/>
      <c r="D23" s="104"/>
      <c r="E23" s="104"/>
      <c r="F23" s="104"/>
      <c r="H23" s="112"/>
    </row>
    <row r="24" spans="2:9" ht="15" customHeight="1" x14ac:dyDescent="0.2">
      <c r="F24" s="113" t="s">
        <v>93</v>
      </c>
      <c r="H24" s="114" t="s">
        <v>61</v>
      </c>
      <c r="I24" s="114" t="s">
        <v>228</v>
      </c>
    </row>
    <row r="25" spans="2:9" ht="15" customHeight="1" x14ac:dyDescent="0.3">
      <c r="B25" s="115" t="str">
        <f>IF(AUXILIAR!$S$5="SÍ","FECHA INICIO PLAZO DE EJECUCIÓN:",IF(AUXILIAR!$S$5="NO","FECHA PRESENTACIÓN SOLICITUD DE AYUDA (*):",""))</f>
        <v>FECHA PRESENTACIÓN SOLICITUD DE AYUDA (*):</v>
      </c>
      <c r="C25" s="116"/>
      <c r="D25" s="116"/>
      <c r="F25" s="308"/>
      <c r="H25" s="117"/>
      <c r="I25" s="117" t="str">
        <f>IF(AND(F25="",H25=""),"",IF(AND(F25&lt;&gt;"",H25=""),F25,IF(AND(F25&lt;&gt;"",H25&lt;&gt;""),H25,H25)))</f>
        <v/>
      </c>
    </row>
    <row r="26" spans="2:9" ht="15" customHeight="1" x14ac:dyDescent="0.3">
      <c r="B26" s="116"/>
      <c r="C26" s="116"/>
      <c r="D26" s="116"/>
      <c r="F26" s="114"/>
      <c r="I26" s="114"/>
    </row>
    <row r="27" spans="2:9" ht="15" customHeight="1" x14ac:dyDescent="0.3">
      <c r="B27" s="115" t="str">
        <f>IF(AUXILIAR!$S$5="SÍ","FECHA FINAL PLAZO EJECUCIÓN DEL PROYECTO (*)",IF(AUXILIAR!$S$5="NO","FECHA FINAL PLAZO EJECUCIÓN DEL PROYECTO (**)",""))</f>
        <v>FECHA FINAL PLAZO EJECUCIÓN DEL PROYECTO (**)</v>
      </c>
      <c r="C27" s="116"/>
      <c r="D27" s="116"/>
      <c r="F27" s="118"/>
      <c r="H27" s="117"/>
      <c r="I27" s="117" t="str">
        <f>IF(AND(F27="",H27=""),"",IF(AND(F27&lt;&gt;"",H27=""),F27,IF(AND(F27&lt;&gt;"",H27&lt;&gt;""),H27,H27)))</f>
        <v/>
      </c>
    </row>
    <row r="28" spans="2:9" ht="15" customHeight="1" x14ac:dyDescent="0.3">
      <c r="B28" s="116"/>
      <c r="C28" s="116"/>
      <c r="D28" s="116"/>
      <c r="F28" s="114"/>
      <c r="I28" s="114"/>
    </row>
    <row r="29" spans="2:9" ht="15" customHeight="1" x14ac:dyDescent="0.3">
      <c r="B29" s="115" t="s">
        <v>27</v>
      </c>
      <c r="C29" s="116"/>
      <c r="D29" s="116"/>
      <c r="F29" s="119" t="str">
        <f>IF(F27="","",AUXILIAR!S18)</f>
        <v/>
      </c>
      <c r="H29" s="117"/>
      <c r="I29" s="117" t="str">
        <f>IF(AND(F29="",H29=""),"",IF(AND(F29&lt;&gt;"",H29=""),F29,IF(AND(F29&lt;&gt;"",H29&lt;&gt;""),H29,H29)))</f>
        <v/>
      </c>
    </row>
    <row r="31" spans="2:9" ht="15" customHeight="1" x14ac:dyDescent="0.2">
      <c r="B31" s="120" t="str">
        <f>IF(OR($F$25="",$F$27=""),"",IF($F$27&lt;$F$25,"ERROR: LA FECHA DE FINALIZACIÓN ES POSTERIOR A LA DE INICIO DEL PLAZO DE EJECUCIÓN",""))</f>
        <v/>
      </c>
    </row>
    <row r="33" spans="2:9" ht="75" customHeight="1" x14ac:dyDescent="0.2">
      <c r="B33" s="319" t="str">
        <f>IF(AUXILIAR!$S$5="SÍ","(*): La fecha final del plazo de ejecución del proyecto/actividad viene reflejada en el segundo punto de las condiciones particulares de la 
Resolución Individual de Concesión de Ayuda.",IF(AUXILIAR!$S$5="NO",
CONCATENATE(AUXILIAR!$R$20," 
",AUXILIAR!$R$22),""))</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19"/>
      <c r="D33" s="319"/>
      <c r="E33" s="319"/>
      <c r="F33" s="319"/>
      <c r="G33" s="319"/>
      <c r="H33" s="319"/>
      <c r="I33" s="319"/>
    </row>
    <row r="34" spans="2:9" ht="15" customHeight="1" x14ac:dyDescent="0.2">
      <c r="B34" s="121"/>
      <c r="C34" s="121"/>
      <c r="D34" s="121"/>
      <c r="E34" s="121"/>
      <c r="F34" s="121"/>
      <c r="G34" s="121"/>
      <c r="H34" s="121"/>
      <c r="I34" s="121"/>
    </row>
    <row r="35" spans="2:9" ht="15" customHeight="1" x14ac:dyDescent="0.2">
      <c r="B35" s="121"/>
      <c r="C35" s="121"/>
      <c r="D35" s="121"/>
      <c r="E35" s="121"/>
      <c r="F35" s="121"/>
      <c r="G35" s="121"/>
      <c r="H35" s="121"/>
      <c r="I35" s="121"/>
    </row>
    <row r="36" spans="2:9" ht="15" customHeight="1" x14ac:dyDescent="0.2">
      <c r="B36" s="121"/>
      <c r="C36" s="121"/>
      <c r="D36" s="121"/>
      <c r="E36" s="121"/>
      <c r="F36" s="121"/>
      <c r="G36" s="121"/>
      <c r="H36" s="121"/>
      <c r="I36" s="121"/>
    </row>
    <row r="37" spans="2:9" ht="15" customHeight="1" x14ac:dyDescent="0.2">
      <c r="B37" s="121"/>
      <c r="C37" s="121"/>
      <c r="D37" s="121"/>
      <c r="E37" s="121"/>
      <c r="F37" s="121"/>
      <c r="G37" s="121"/>
      <c r="H37" s="121"/>
      <c r="I37" s="121"/>
    </row>
  </sheetData>
  <sheetProtection algorithmName="SHA-512" hashValue="WYbHT9K4+7QTZb1u04L2J5sv7YQOmbcbGVzxxdycnhPN684fmfSDgInUalQIQzcCjekeEV7n//TtVMZejGT9MA==" saltValue="9ClSyu3hYQSFOmMU1NULjA=="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1"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89"/>
  <sheetViews>
    <sheetView showGridLines="0" workbookViewId="0">
      <selection activeCell="T9" sqref="T9"/>
    </sheetView>
  </sheetViews>
  <sheetFormatPr baseColWidth="10" defaultColWidth="9.140625" defaultRowHeight="20.100000000000001" customHeight="1" x14ac:dyDescent="0.2"/>
  <cols>
    <col min="1" max="1" width="2.7109375" style="122" customWidth="1"/>
    <col min="2" max="10" width="9.140625" style="122" hidden="1" customWidth="1"/>
    <col min="11" max="11" width="22.5703125" style="123" customWidth="1"/>
    <col min="12" max="12" width="6.7109375" style="124" customWidth="1"/>
    <col min="13" max="13" width="9.85546875" style="124" hidden="1" customWidth="1"/>
    <col min="14" max="14" width="17.85546875" style="124" bestFit="1" customWidth="1"/>
    <col min="15" max="15" width="15.7109375" style="125" customWidth="1"/>
    <col min="16" max="16" width="12.7109375" style="126" customWidth="1"/>
    <col min="17" max="17" width="35.7109375" style="122" customWidth="1"/>
    <col min="18" max="18" width="12" style="122" customWidth="1"/>
    <col min="19" max="19" width="35.7109375" style="122" customWidth="1"/>
    <col min="20" max="20" width="25.7109375" style="122" customWidth="1"/>
    <col min="21" max="21" width="11" style="124" customWidth="1"/>
    <col min="22" max="24" width="12.7109375" style="122" customWidth="1"/>
    <col min="25" max="25" width="12.7109375" style="124" customWidth="1"/>
    <col min="26" max="26" width="12.7109375" style="122" customWidth="1"/>
    <col min="27" max="27" width="12.28515625" style="124" customWidth="1"/>
    <col min="28" max="28" width="14.5703125" style="122" bestFit="1" customWidth="1"/>
    <col min="29" max="30" width="12.7109375" style="122" customWidth="1"/>
    <col min="31" max="31" width="12.7109375" style="126" customWidth="1"/>
    <col min="32" max="35" width="15.7109375" style="122" customWidth="1"/>
    <col min="36" max="36" width="50.7109375" style="122" customWidth="1"/>
    <col min="37" max="1037" width="10.7109375" style="122" customWidth="1"/>
    <col min="1038" max="16384" width="9.140625" style="122"/>
  </cols>
  <sheetData>
    <row r="1" spans="2:36" ht="15" customHeight="1" x14ac:dyDescent="0.2"/>
    <row r="2" spans="2:36" ht="20.100000000000001" customHeight="1" x14ac:dyDescent="0.2">
      <c r="K2" s="338" t="s">
        <v>22</v>
      </c>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row>
    <row r="3" spans="2:36" ht="20.100000000000001" customHeight="1" x14ac:dyDescent="0.2">
      <c r="O3" s="128" t="s">
        <v>24</v>
      </c>
      <c r="P3" s="348" t="str">
        <f>IF(EXPEDIENTE!D22="","",CONCATENATE(EXPEDIENTE!C16,".",TEXT(EXPEDIENTE!C18,"00"),".",EXPEDIENTE!C20,".",TEXT(EXPEDIENTE!D22,"0000")))</f>
        <v/>
      </c>
      <c r="Q3" s="348"/>
      <c r="R3" s="127"/>
      <c r="S3" s="127"/>
      <c r="T3" s="127"/>
      <c r="U3" s="127"/>
      <c r="V3" s="127"/>
      <c r="W3" s="127"/>
      <c r="X3" s="127"/>
      <c r="Y3" s="127"/>
      <c r="Z3" s="127"/>
      <c r="AA3" s="127"/>
      <c r="AB3" s="127"/>
      <c r="AC3" s="127"/>
      <c r="AD3" s="127"/>
      <c r="AE3" s="127"/>
      <c r="AF3" s="127"/>
      <c r="AG3" s="127"/>
      <c r="AH3" s="127"/>
      <c r="AI3" s="127"/>
      <c r="AJ3" s="127"/>
    </row>
    <row r="4" spans="2:36" ht="20.100000000000001" customHeight="1" x14ac:dyDescent="0.2">
      <c r="M4" s="129"/>
      <c r="N4" s="129"/>
      <c r="Q4" s="130"/>
      <c r="R4" s="130"/>
      <c r="S4" s="130"/>
      <c r="T4" s="130"/>
      <c r="U4" s="131"/>
      <c r="V4" s="130"/>
      <c r="W4" s="130"/>
      <c r="X4" s="130"/>
      <c r="Y4" s="130"/>
      <c r="Z4" s="130"/>
      <c r="AA4" s="130"/>
      <c r="AB4" s="130"/>
      <c r="AC4" s="130"/>
      <c r="AD4" s="130"/>
      <c r="AE4" s="130"/>
      <c r="AF4" s="130"/>
      <c r="AG4" s="130"/>
      <c r="AH4" s="130"/>
      <c r="AI4" s="130"/>
      <c r="AJ4" s="130"/>
    </row>
    <row r="5" spans="2:36" ht="9.9499999999999993" customHeight="1" thickBot="1" x14ac:dyDescent="0.25">
      <c r="L5" s="132"/>
      <c r="M5" s="132"/>
      <c r="N5" s="132"/>
      <c r="O5" s="132"/>
      <c r="P5" s="132"/>
      <c r="Q5" s="130"/>
      <c r="R5" s="130"/>
      <c r="S5" s="130"/>
      <c r="T5" s="130"/>
      <c r="U5" s="132"/>
      <c r="V5" s="130"/>
      <c r="W5" s="130"/>
      <c r="X5" s="130"/>
      <c r="Y5" s="130"/>
      <c r="Z5" s="130"/>
      <c r="AA5" s="130"/>
      <c r="AB5" s="130"/>
      <c r="AC5" s="130"/>
      <c r="AD5" s="130"/>
      <c r="AE5" s="130"/>
      <c r="AF5" s="130"/>
      <c r="AG5" s="130"/>
      <c r="AH5" s="130"/>
      <c r="AI5" s="130"/>
      <c r="AJ5" s="130"/>
    </row>
    <row r="6" spans="2:36" ht="20.100000000000001" customHeight="1" thickBot="1" x14ac:dyDescent="0.25">
      <c r="K6" s="339" t="s">
        <v>41</v>
      </c>
      <c r="L6" s="354" t="s">
        <v>0</v>
      </c>
      <c r="M6" s="352" t="s">
        <v>69</v>
      </c>
      <c r="N6" s="349" t="s">
        <v>72</v>
      </c>
      <c r="O6" s="350"/>
      <c r="P6" s="350"/>
      <c r="Q6" s="350"/>
      <c r="R6" s="350"/>
      <c r="S6" s="350"/>
      <c r="T6" s="350"/>
      <c r="U6" s="351"/>
      <c r="V6" s="341" t="s">
        <v>76</v>
      </c>
      <c r="W6" s="341"/>
      <c r="X6" s="341"/>
      <c r="Y6" s="341"/>
      <c r="Z6" s="341"/>
      <c r="AA6" s="341"/>
      <c r="AB6" s="341"/>
      <c r="AC6" s="342"/>
      <c r="AD6" s="347" t="s">
        <v>77</v>
      </c>
      <c r="AE6" s="341"/>
      <c r="AF6" s="343" t="s">
        <v>20</v>
      </c>
      <c r="AG6" s="345" t="s">
        <v>21</v>
      </c>
      <c r="AH6" s="345" t="s">
        <v>18</v>
      </c>
      <c r="AI6" s="356" t="s">
        <v>19</v>
      </c>
      <c r="AJ6" s="339" t="s">
        <v>44</v>
      </c>
    </row>
    <row r="7" spans="2:36" s="146" customFormat="1" ht="69.95" customHeight="1" thickBot="1" x14ac:dyDescent="0.25">
      <c r="B7" s="133" t="s">
        <v>94</v>
      </c>
      <c r="C7" s="133" t="s">
        <v>47</v>
      </c>
      <c r="D7" s="133" t="s">
        <v>73</v>
      </c>
      <c r="E7" s="133" t="s">
        <v>49</v>
      </c>
      <c r="F7" s="133" t="s">
        <v>75</v>
      </c>
      <c r="G7" s="133" t="s">
        <v>79</v>
      </c>
      <c r="H7" s="133" t="s">
        <v>50</v>
      </c>
      <c r="I7" s="133" t="s">
        <v>71</v>
      </c>
      <c r="J7" s="133" t="s">
        <v>91</v>
      </c>
      <c r="K7" s="340"/>
      <c r="L7" s="355"/>
      <c r="M7" s="353"/>
      <c r="N7" s="134" t="s">
        <v>68</v>
      </c>
      <c r="O7" s="135" t="s">
        <v>8</v>
      </c>
      <c r="P7" s="136" t="s">
        <v>16</v>
      </c>
      <c r="Q7" s="135" t="s">
        <v>1</v>
      </c>
      <c r="R7" s="137" t="s">
        <v>2</v>
      </c>
      <c r="S7" s="135" t="s">
        <v>3</v>
      </c>
      <c r="T7" s="135" t="s">
        <v>15</v>
      </c>
      <c r="U7" s="138" t="s">
        <v>9</v>
      </c>
      <c r="V7" s="139" t="s">
        <v>4</v>
      </c>
      <c r="W7" s="140" t="s">
        <v>10</v>
      </c>
      <c r="X7" s="140" t="s">
        <v>11</v>
      </c>
      <c r="Y7" s="141" t="s">
        <v>12</v>
      </c>
      <c r="Z7" s="140" t="s">
        <v>5</v>
      </c>
      <c r="AA7" s="140" t="s">
        <v>13</v>
      </c>
      <c r="AB7" s="142" t="s">
        <v>196</v>
      </c>
      <c r="AC7" s="143" t="s">
        <v>14</v>
      </c>
      <c r="AD7" s="144" t="s">
        <v>96</v>
      </c>
      <c r="AE7" s="145" t="s">
        <v>17</v>
      </c>
      <c r="AF7" s="344"/>
      <c r="AG7" s="346"/>
      <c r="AH7" s="346"/>
      <c r="AI7" s="357"/>
      <c r="AJ7" s="340"/>
    </row>
    <row r="8" spans="2:36" s="146" customFormat="1" ht="9.9499999999999993" customHeight="1" thickBot="1" x14ac:dyDescent="0.25">
      <c r="K8" s="147"/>
    </row>
    <row r="9" spans="2:36" ht="30" customHeight="1" x14ac:dyDescent="0.2">
      <c r="B9" s="122" t="str">
        <f>IF(COUNTBLANK(N9:AJ9)=20,"",IF(AND(M9&lt;&gt;"",OR(EXPEDIENTE!$F$25="",EXPEDIENTE!$F$27="")),0,""))</f>
        <v/>
      </c>
      <c r="C9" s="122" t="str">
        <f t="shared" ref="C9" si="0">IF(COUNTBLANK(N9:AJ9)=20,"",IF(AND(M9="",COUNTBLANK(N9:AJ9)&lt;&gt;20),1,""))</f>
        <v/>
      </c>
      <c r="D9" s="122" t="str">
        <f t="shared" ref="D9" si="1">IF(AND(M9=1,COUNTBLANK(O9:T9)&lt;&gt;0),2,"")</f>
        <v/>
      </c>
      <c r="E9" s="122" t="str">
        <f>IF(P9="","",IF(AND(M9=1,OR(P9&lt;EXPEDIENTE!$F$25,P9&gt;EXPEDIENTE!$F$27)),3,""))</f>
        <v/>
      </c>
      <c r="F9" s="122" t="str">
        <f>IF(AND(M9=1,C9="",D9="",E9="",OR(COUNTBLANK(V9:W9)&gt;0,COUNTBLANK(Y9:AC9)&gt;1)),4,"")</f>
        <v/>
      </c>
      <c r="G9" s="122" t="str">
        <f t="shared" ref="G9:G83" si="2">IF(AND(M9&lt;&gt;"",C9="",D9="",E9="",F9="",COUNTBLANK(AD9:AE9)&gt;0),5,"")</f>
        <v/>
      </c>
      <c r="H9" s="122" t="str">
        <f>IF(P9="","",IF(AE9="",6,IF(AND(M9=1,OR(AE9&lt;EXPEDIENTE!$F$25,AE9&gt;EXPEDIENTE!$F$29)),6,"")))</f>
        <v/>
      </c>
      <c r="I9" s="122" t="b">
        <f>IF(B9&lt;&gt;"",B9,IF(C9&lt;&gt;"",C9,IF(D9&lt;&gt;"",D9,IF(E9&lt;&gt;"",E9,IF(F9&lt;&gt;"",F9,IF(G9&lt;&gt;"",G9,IF(H9&lt;&gt;"",H9)))))))</f>
        <v>0</v>
      </c>
      <c r="J9" s="122">
        <f>IF(AE9&lt;EXPEDIENTE!$I$25,-1,IF(AE9&gt;EXPEDIENTE!$I$29,1,0))</f>
        <v>0</v>
      </c>
      <c r="K9" s="148" t="str">
        <f>IF(IFERROR(VLOOKUP(I9,AUXILIAR!$AD$6:$AE$15,2,FALSE),"")="","",VLOOKUP(I9,AUXILIAR!$AD$6:$AE$15,2,FALSE))</f>
        <v/>
      </c>
      <c r="L9" s="149">
        <v>1</v>
      </c>
      <c r="M9" s="150" t="str">
        <f>IF(N9="NUEVA FACTURA",1,IF(N9="SEGUNDO PAGO O POSTERIORES",2,""))</f>
        <v/>
      </c>
      <c r="N9" s="151"/>
      <c r="O9" s="152"/>
      <c r="P9" s="153"/>
      <c r="Q9" s="154"/>
      <c r="R9" s="155"/>
      <c r="S9" s="154"/>
      <c r="T9" s="154"/>
      <c r="U9" s="156"/>
      <c r="V9" s="157"/>
      <c r="W9" s="158"/>
      <c r="X9" s="159"/>
      <c r="Y9" s="160"/>
      <c r="Z9" s="161">
        <f>V9*Y9</f>
        <v>0</v>
      </c>
      <c r="AA9" s="160"/>
      <c r="AB9" s="161">
        <f>V9*AA9</f>
        <v>0</v>
      </c>
      <c r="AC9" s="162">
        <f>V9+AB9-Z9</f>
        <v>0</v>
      </c>
      <c r="AD9" s="163"/>
      <c r="AE9" s="164"/>
      <c r="AF9" s="165"/>
      <c r="AG9" s="166"/>
      <c r="AH9" s="166"/>
      <c r="AI9" s="167"/>
      <c r="AJ9" s="168"/>
    </row>
    <row r="10" spans="2:36" ht="30" customHeight="1" x14ac:dyDescent="0.2">
      <c r="B10" s="122" t="str">
        <f>IF(COUNTBLANK(N10:AJ10)=20,"",IF(AND(M10&lt;&gt;"",OR(EXPEDIENTE!$F$25="",EXPEDIENTE!$F$27="")),0,""))</f>
        <v/>
      </c>
      <c r="C10" s="122" t="str">
        <f t="shared" ref="C10:C83" si="3">IF(COUNTBLANK(N10:AJ10)=20,"",IF(AND(M10="",COUNTBLANK(N10:AJ10)&lt;&gt;20),1,""))</f>
        <v/>
      </c>
      <c r="D10" s="122" t="str">
        <f t="shared" ref="D10:D83" si="4">IF(AND(M10=1,COUNTBLANK(O10:T10)&lt;&gt;0),2,"")</f>
        <v/>
      </c>
      <c r="E10" s="122" t="str">
        <f>IF(P10="","",IF(AND(M10=1,OR(P10&lt;EXPEDIENTE!$F$25,P10&gt;EXPEDIENTE!$F$27)),3,""))</f>
        <v/>
      </c>
      <c r="F10" s="122" t="str">
        <f t="shared" ref="F10:F83" si="5">IF(AND(M10=1,C10="",D10="",E10="",OR(COUNTBLANK(V10:W10)&gt;0,COUNTBLANK(Y10:AC10)&gt;=1)),4,"")</f>
        <v/>
      </c>
      <c r="G10" s="122" t="str">
        <f t="shared" si="2"/>
        <v/>
      </c>
      <c r="H10" s="122" t="str">
        <f>IF(P10="","",IF(AE10="",6,IF(AND(M10=1,OR(AE10&lt;EXPEDIENTE!$F$25,AE10&gt;EXPEDIENTE!$F$29)),6,"")))</f>
        <v/>
      </c>
      <c r="I10" s="122" t="b">
        <f t="shared" ref="I10:I83" si="6">IF(B10&lt;&gt;"",B10,IF(C10&lt;&gt;"",C10,IF(D10&lt;&gt;"",D10,IF(E10&lt;&gt;"",E10,IF(F10&lt;&gt;"",F10,IF(G10&lt;&gt;"",G10,IF(H10&lt;&gt;"",H10)))))))</f>
        <v>0</v>
      </c>
      <c r="J10" s="122">
        <f>IF(AE10&lt;EXPEDIENTE!$I$25,-1,IF(AE10&gt;EXPEDIENTE!$I$29,1,0))</f>
        <v>0</v>
      </c>
      <c r="K10" s="169" t="str">
        <f>IF(IFERROR(VLOOKUP(I10,AUXILIAR!$AD$6:$AE$15,2,FALSE),"")="","",VLOOKUP(I10,AUXILIAR!$AD$6:$AE$15,2,FALSE))</f>
        <v/>
      </c>
      <c r="L10" s="170">
        <v>2</v>
      </c>
      <c r="M10" s="150" t="str">
        <f t="shared" ref="M10:M83" si="7">IF(N10="NUEVA FACTURA",1,IF(N10="SEGUNDO PAGO O POSTERIORES",2,""))</f>
        <v/>
      </c>
      <c r="N10" s="171"/>
      <c r="O10" s="172"/>
      <c r="P10" s="173"/>
      <c r="Q10" s="174"/>
      <c r="R10" s="175"/>
      <c r="S10" s="174"/>
      <c r="T10" s="174"/>
      <c r="U10" s="176"/>
      <c r="V10" s="177"/>
      <c r="W10" s="178"/>
      <c r="X10" s="179"/>
      <c r="Y10" s="180"/>
      <c r="Z10" s="181">
        <f t="shared" ref="Z10:Z83" si="8">V10*Y10</f>
        <v>0</v>
      </c>
      <c r="AA10" s="180"/>
      <c r="AB10" s="181">
        <f t="shared" ref="AB10" si="9">V10*AA10</f>
        <v>0</v>
      </c>
      <c r="AC10" s="182">
        <f t="shared" ref="AC10" si="10">V10+AB10-Z10</f>
        <v>0</v>
      </c>
      <c r="AD10" s="163"/>
      <c r="AE10" s="164"/>
      <c r="AF10" s="183"/>
      <c r="AG10" s="184"/>
      <c r="AH10" s="184"/>
      <c r="AI10" s="185"/>
      <c r="AJ10" s="186"/>
    </row>
    <row r="11" spans="2:36" ht="30" customHeight="1" x14ac:dyDescent="0.2">
      <c r="B11" s="122" t="str">
        <f>IF(COUNTBLANK(N11:AJ11)=20,"",IF(AND(M11&lt;&gt;"",OR(EXPEDIENTE!$F$25="",EXPEDIENTE!$F$27="")),0,""))</f>
        <v/>
      </c>
      <c r="C11" s="122" t="str">
        <f t="shared" si="3"/>
        <v/>
      </c>
      <c r="D11" s="122" t="str">
        <f t="shared" si="4"/>
        <v/>
      </c>
      <c r="E11" s="122" t="str">
        <f>IF(P11="","",IF(AND(M11=1,OR(P11&lt;EXPEDIENTE!$F$25,P11&gt;EXPEDIENTE!$F$27)),3,""))</f>
        <v/>
      </c>
      <c r="F11" s="122" t="str">
        <f t="shared" si="5"/>
        <v/>
      </c>
      <c r="G11" s="122" t="str">
        <f t="shared" si="2"/>
        <v/>
      </c>
      <c r="H11" s="122" t="str">
        <f>IF(P11="","",IF(AE11="",6,IF(AND(M11=1,OR(AE11&lt;EXPEDIENTE!$F$25,AE11&gt;EXPEDIENTE!$F$29)),6,"")))</f>
        <v/>
      </c>
      <c r="I11" s="122" t="b">
        <f t="shared" si="6"/>
        <v>0</v>
      </c>
      <c r="J11" s="122">
        <f>IF(AE11&lt;EXPEDIENTE!$I$25,-1,IF(AE11&gt;EXPEDIENTE!$I$29,1,0))</f>
        <v>0</v>
      </c>
      <c r="K11" s="169" t="str">
        <f>IF(IFERROR(VLOOKUP(I11,AUXILIAR!$AD$6:$AE$15,2,FALSE),"")="","",VLOOKUP(I11,AUXILIAR!$AD$6:$AE$15,2,FALSE))</f>
        <v/>
      </c>
      <c r="L11" s="170">
        <v>3</v>
      </c>
      <c r="M11" s="150" t="str">
        <f t="shared" si="7"/>
        <v/>
      </c>
      <c r="N11" s="171"/>
      <c r="O11" s="172"/>
      <c r="P11" s="173"/>
      <c r="Q11" s="174"/>
      <c r="R11" s="175"/>
      <c r="S11" s="174"/>
      <c r="T11" s="174"/>
      <c r="U11" s="176"/>
      <c r="V11" s="177"/>
      <c r="W11" s="178"/>
      <c r="X11" s="179"/>
      <c r="Y11" s="180"/>
      <c r="Z11" s="181">
        <f t="shared" si="8"/>
        <v>0</v>
      </c>
      <c r="AA11" s="180"/>
      <c r="AB11" s="181">
        <f t="shared" ref="AB11:AB83" si="11">V11*AA11</f>
        <v>0</v>
      </c>
      <c r="AC11" s="182">
        <f t="shared" ref="AC11:AC83" si="12">V11+AB11-Z11</f>
        <v>0</v>
      </c>
      <c r="AD11" s="163"/>
      <c r="AE11" s="164"/>
      <c r="AF11" s="183"/>
      <c r="AG11" s="184"/>
      <c r="AH11" s="184"/>
      <c r="AI11" s="185"/>
      <c r="AJ11" s="186"/>
    </row>
    <row r="12" spans="2:36" ht="30" customHeight="1" x14ac:dyDescent="0.2">
      <c r="B12" s="122" t="str">
        <f>IF(COUNTBLANK(N12:AJ12)=20,"",IF(AND(M12&lt;&gt;"",OR(EXPEDIENTE!$F$25="",EXPEDIENTE!$F$27="")),0,""))</f>
        <v/>
      </c>
      <c r="C12" s="122" t="str">
        <f t="shared" si="3"/>
        <v/>
      </c>
      <c r="D12" s="122" t="str">
        <f t="shared" si="4"/>
        <v/>
      </c>
      <c r="E12" s="122" t="str">
        <f>IF(P12="","",IF(AND(M12=1,OR(P12&lt;EXPEDIENTE!$F$25,P12&gt;EXPEDIENTE!$F$27)),3,""))</f>
        <v/>
      </c>
      <c r="F12" s="122" t="str">
        <f t="shared" si="5"/>
        <v/>
      </c>
      <c r="G12" s="122" t="str">
        <f t="shared" si="2"/>
        <v/>
      </c>
      <c r="H12" s="122" t="str">
        <f>IF(P12="","",IF(AE12="",6,IF(AND(M12=1,OR(AE12&lt;EXPEDIENTE!$F$25,AE12&gt;EXPEDIENTE!$F$29)),6,"")))</f>
        <v/>
      </c>
      <c r="I12" s="122" t="b">
        <f t="shared" si="6"/>
        <v>0</v>
      </c>
      <c r="J12" s="122">
        <f>IF(AE12&lt;EXPEDIENTE!$I$25,-1,IF(AE12&gt;EXPEDIENTE!$I$29,1,0))</f>
        <v>0</v>
      </c>
      <c r="K12" s="169" t="str">
        <f>IF(IFERROR(VLOOKUP(I12,AUXILIAR!$AD$6:$AE$15,2,FALSE),"")="","",VLOOKUP(I12,AUXILIAR!$AD$6:$AE$15,2,FALSE))</f>
        <v/>
      </c>
      <c r="L12" s="170">
        <v>4</v>
      </c>
      <c r="M12" s="150" t="str">
        <f t="shared" si="7"/>
        <v/>
      </c>
      <c r="N12" s="171"/>
      <c r="O12" s="172"/>
      <c r="P12" s="173"/>
      <c r="Q12" s="174"/>
      <c r="R12" s="175"/>
      <c r="S12" s="174"/>
      <c r="T12" s="174"/>
      <c r="U12" s="176"/>
      <c r="V12" s="177"/>
      <c r="W12" s="178"/>
      <c r="X12" s="179"/>
      <c r="Y12" s="180"/>
      <c r="Z12" s="181">
        <f t="shared" si="8"/>
        <v>0</v>
      </c>
      <c r="AA12" s="180"/>
      <c r="AB12" s="181">
        <f t="shared" si="11"/>
        <v>0</v>
      </c>
      <c r="AC12" s="182">
        <f t="shared" si="12"/>
        <v>0</v>
      </c>
      <c r="AD12" s="163"/>
      <c r="AE12" s="164"/>
      <c r="AF12" s="183"/>
      <c r="AG12" s="184"/>
      <c r="AH12" s="184"/>
      <c r="AI12" s="185"/>
      <c r="AJ12" s="186"/>
    </row>
    <row r="13" spans="2:36" ht="30" customHeight="1" x14ac:dyDescent="0.2">
      <c r="B13" s="122" t="str">
        <f>IF(COUNTBLANK(N13:AJ13)=20,"",IF(AND(M13&lt;&gt;"",OR(EXPEDIENTE!$F$25="",EXPEDIENTE!$F$27="")),0,""))</f>
        <v/>
      </c>
      <c r="C13" s="122" t="str">
        <f t="shared" si="3"/>
        <v/>
      </c>
      <c r="D13" s="122" t="str">
        <f t="shared" si="4"/>
        <v/>
      </c>
      <c r="E13" s="122" t="str">
        <f>IF(P13="","",IF(AND(M13=1,OR(P13&lt;EXPEDIENTE!$F$25,P13&gt;EXPEDIENTE!$F$27)),3,""))</f>
        <v/>
      </c>
      <c r="F13" s="122" t="str">
        <f t="shared" si="5"/>
        <v/>
      </c>
      <c r="G13" s="122" t="str">
        <f t="shared" si="2"/>
        <v/>
      </c>
      <c r="H13" s="122" t="str">
        <f>IF(P13="","",IF(AE13="",6,IF(AND(M13=1,OR(AE13&lt;EXPEDIENTE!$F$25,AE13&gt;EXPEDIENTE!$F$29)),6,"")))</f>
        <v/>
      </c>
      <c r="I13" s="122" t="b">
        <f t="shared" si="6"/>
        <v>0</v>
      </c>
      <c r="J13" s="122">
        <f>IF(AE13&lt;EXPEDIENTE!$I$25,-1,IF(AE13&gt;EXPEDIENTE!$I$29,1,0))</f>
        <v>0</v>
      </c>
      <c r="K13" s="169" t="str">
        <f>IF(IFERROR(VLOOKUP(I13,AUXILIAR!$AD$6:$AE$15,2,FALSE),"")="","",VLOOKUP(I13,AUXILIAR!$AD$6:$AE$15,2,FALSE))</f>
        <v/>
      </c>
      <c r="L13" s="170">
        <v>5</v>
      </c>
      <c r="M13" s="150" t="str">
        <f t="shared" si="7"/>
        <v/>
      </c>
      <c r="N13" s="171"/>
      <c r="O13" s="172"/>
      <c r="P13" s="173"/>
      <c r="Q13" s="174"/>
      <c r="R13" s="175"/>
      <c r="S13" s="174"/>
      <c r="T13" s="174"/>
      <c r="U13" s="176"/>
      <c r="V13" s="177"/>
      <c r="W13" s="178"/>
      <c r="X13" s="179"/>
      <c r="Y13" s="180"/>
      <c r="Z13" s="181">
        <f t="shared" si="8"/>
        <v>0</v>
      </c>
      <c r="AA13" s="180"/>
      <c r="AB13" s="181">
        <f t="shared" si="11"/>
        <v>0</v>
      </c>
      <c r="AC13" s="182">
        <f t="shared" si="12"/>
        <v>0</v>
      </c>
      <c r="AD13" s="163"/>
      <c r="AE13" s="164"/>
      <c r="AF13" s="183"/>
      <c r="AG13" s="184"/>
      <c r="AH13" s="184"/>
      <c r="AI13" s="185"/>
      <c r="AJ13" s="186"/>
    </row>
    <row r="14" spans="2:36" ht="30" customHeight="1" x14ac:dyDescent="0.2">
      <c r="B14" s="122" t="str">
        <f>IF(COUNTBLANK(N14:AJ14)=20,"",IF(AND(M14&lt;&gt;"",OR(EXPEDIENTE!$F$25="",EXPEDIENTE!$F$27="")),0,""))</f>
        <v/>
      </c>
      <c r="C14" s="122" t="str">
        <f t="shared" si="3"/>
        <v/>
      </c>
      <c r="D14" s="122" t="str">
        <f t="shared" si="4"/>
        <v/>
      </c>
      <c r="E14" s="122" t="str">
        <f>IF(P14="","",IF(AND(M14=1,OR(P14&lt;EXPEDIENTE!$F$25,P14&gt;EXPEDIENTE!$F$27)),3,""))</f>
        <v/>
      </c>
      <c r="F14" s="122" t="str">
        <f t="shared" si="5"/>
        <v/>
      </c>
      <c r="G14" s="122" t="str">
        <f t="shared" si="2"/>
        <v/>
      </c>
      <c r="H14" s="122" t="str">
        <f>IF(P14="","",IF(AE14="",6,IF(AND(M14=1,OR(AE14&lt;EXPEDIENTE!$F$25,AE14&gt;EXPEDIENTE!$F$29)),6,"")))</f>
        <v/>
      </c>
      <c r="I14" s="122" t="b">
        <f t="shared" si="6"/>
        <v>0</v>
      </c>
      <c r="J14" s="122">
        <f>IF(AE14&lt;EXPEDIENTE!$I$25,-1,IF(AE14&gt;EXPEDIENTE!$I$29,1,0))</f>
        <v>0</v>
      </c>
      <c r="K14" s="169" t="str">
        <f>IF(IFERROR(VLOOKUP(I14,AUXILIAR!$AD$6:$AE$15,2,FALSE),"")="","",VLOOKUP(I14,AUXILIAR!$AD$6:$AE$15,2,FALSE))</f>
        <v/>
      </c>
      <c r="L14" s="170">
        <v>6</v>
      </c>
      <c r="M14" s="150" t="str">
        <f t="shared" si="7"/>
        <v/>
      </c>
      <c r="N14" s="171"/>
      <c r="O14" s="172"/>
      <c r="P14" s="173"/>
      <c r="Q14" s="174"/>
      <c r="R14" s="175"/>
      <c r="S14" s="174"/>
      <c r="T14" s="174"/>
      <c r="U14" s="176"/>
      <c r="V14" s="177"/>
      <c r="W14" s="178"/>
      <c r="X14" s="179"/>
      <c r="Y14" s="180"/>
      <c r="Z14" s="181">
        <f t="shared" si="8"/>
        <v>0</v>
      </c>
      <c r="AA14" s="180"/>
      <c r="AB14" s="181">
        <f t="shared" si="11"/>
        <v>0</v>
      </c>
      <c r="AC14" s="182">
        <f t="shared" si="12"/>
        <v>0</v>
      </c>
      <c r="AD14" s="163"/>
      <c r="AE14" s="164"/>
      <c r="AF14" s="183"/>
      <c r="AG14" s="184"/>
      <c r="AH14" s="184"/>
      <c r="AI14" s="185"/>
      <c r="AJ14" s="186"/>
    </row>
    <row r="15" spans="2:36" ht="30" customHeight="1" x14ac:dyDescent="0.2">
      <c r="B15" s="122" t="str">
        <f>IF(COUNTBLANK(N15:AJ15)=20,"",IF(AND(M15&lt;&gt;"",OR(EXPEDIENTE!$F$25="",EXPEDIENTE!$F$27="")),0,""))</f>
        <v/>
      </c>
      <c r="C15" s="122" t="str">
        <f t="shared" si="3"/>
        <v/>
      </c>
      <c r="D15" s="122" t="str">
        <f t="shared" si="4"/>
        <v/>
      </c>
      <c r="E15" s="122" t="str">
        <f>IF(P15="","",IF(AND(M15=1,OR(P15&lt;EXPEDIENTE!$F$25,P15&gt;EXPEDIENTE!$F$27)),3,""))</f>
        <v/>
      </c>
      <c r="F15" s="122" t="str">
        <f t="shared" si="5"/>
        <v/>
      </c>
      <c r="G15" s="122" t="str">
        <f t="shared" si="2"/>
        <v/>
      </c>
      <c r="H15" s="122" t="str">
        <f>IF(P15="","",IF(AE15="",6,IF(AND(M15=1,OR(AE15&lt;EXPEDIENTE!$F$25,AE15&gt;EXPEDIENTE!$F$29)),6,"")))</f>
        <v/>
      </c>
      <c r="I15" s="122" t="b">
        <f t="shared" si="6"/>
        <v>0</v>
      </c>
      <c r="J15" s="122">
        <f>IF(AE15&lt;EXPEDIENTE!$I$25,-1,IF(AE15&gt;EXPEDIENTE!$I$29,1,0))</f>
        <v>0</v>
      </c>
      <c r="K15" s="169" t="str">
        <f>IF(IFERROR(VLOOKUP(I15,AUXILIAR!$AD$6:$AE$15,2,FALSE),"")="","",VLOOKUP(I15,AUXILIAR!$AD$6:$AE$15,2,FALSE))</f>
        <v/>
      </c>
      <c r="L15" s="170">
        <v>7</v>
      </c>
      <c r="M15" s="150" t="str">
        <f t="shared" si="7"/>
        <v/>
      </c>
      <c r="N15" s="171"/>
      <c r="O15" s="172"/>
      <c r="P15" s="173"/>
      <c r="Q15" s="174"/>
      <c r="R15" s="175"/>
      <c r="S15" s="174"/>
      <c r="T15" s="174"/>
      <c r="U15" s="176"/>
      <c r="V15" s="177"/>
      <c r="W15" s="178"/>
      <c r="X15" s="179"/>
      <c r="Y15" s="180"/>
      <c r="Z15" s="181">
        <f t="shared" si="8"/>
        <v>0</v>
      </c>
      <c r="AA15" s="180"/>
      <c r="AB15" s="181">
        <f t="shared" si="11"/>
        <v>0</v>
      </c>
      <c r="AC15" s="182">
        <f t="shared" si="12"/>
        <v>0</v>
      </c>
      <c r="AD15" s="163"/>
      <c r="AE15" s="164"/>
      <c r="AF15" s="183"/>
      <c r="AG15" s="184"/>
      <c r="AH15" s="184"/>
      <c r="AI15" s="185"/>
      <c r="AJ15" s="186"/>
    </row>
    <row r="16" spans="2:36" ht="30" customHeight="1" x14ac:dyDescent="0.2">
      <c r="B16" s="122" t="str">
        <f>IF(COUNTBLANK(N16:AJ16)=20,"",IF(AND(M16&lt;&gt;"",OR(EXPEDIENTE!$F$25="",EXPEDIENTE!$F$27="")),0,""))</f>
        <v/>
      </c>
      <c r="C16" s="122" t="str">
        <f t="shared" si="3"/>
        <v/>
      </c>
      <c r="D16" s="122" t="str">
        <f t="shared" si="4"/>
        <v/>
      </c>
      <c r="E16" s="122" t="str">
        <f>IF(P16="","",IF(AND(M16=1,OR(P16&lt;EXPEDIENTE!$F$25,P16&gt;EXPEDIENTE!$F$27)),3,""))</f>
        <v/>
      </c>
      <c r="F16" s="122" t="str">
        <f t="shared" si="5"/>
        <v/>
      </c>
      <c r="G16" s="122" t="str">
        <f t="shared" si="2"/>
        <v/>
      </c>
      <c r="H16" s="122" t="str">
        <f>IF(P16="","",IF(AE16="",6,IF(AND(M16=1,OR(AE16&lt;EXPEDIENTE!$F$25,AE16&gt;EXPEDIENTE!$F$29)),6,"")))</f>
        <v/>
      </c>
      <c r="I16" s="122" t="b">
        <f t="shared" si="6"/>
        <v>0</v>
      </c>
      <c r="J16" s="122">
        <f>IF(AE16&lt;EXPEDIENTE!$I$25,-1,IF(AE16&gt;EXPEDIENTE!$I$29,1,0))</f>
        <v>0</v>
      </c>
      <c r="K16" s="169" t="str">
        <f>IF(IFERROR(VLOOKUP(I16,AUXILIAR!$AD$6:$AE$15,2,FALSE),"")="","",VLOOKUP(I16,AUXILIAR!$AD$6:$AE$15,2,FALSE))</f>
        <v/>
      </c>
      <c r="L16" s="170">
        <v>8</v>
      </c>
      <c r="M16" s="150" t="str">
        <f t="shared" si="7"/>
        <v/>
      </c>
      <c r="N16" s="171"/>
      <c r="O16" s="172"/>
      <c r="P16" s="173"/>
      <c r="Q16" s="174"/>
      <c r="R16" s="175"/>
      <c r="S16" s="174"/>
      <c r="T16" s="174"/>
      <c r="U16" s="176"/>
      <c r="V16" s="177"/>
      <c r="W16" s="178"/>
      <c r="X16" s="179"/>
      <c r="Y16" s="180"/>
      <c r="Z16" s="181">
        <f t="shared" si="8"/>
        <v>0</v>
      </c>
      <c r="AA16" s="180"/>
      <c r="AB16" s="181">
        <f t="shared" si="11"/>
        <v>0</v>
      </c>
      <c r="AC16" s="182">
        <f t="shared" si="12"/>
        <v>0</v>
      </c>
      <c r="AD16" s="163"/>
      <c r="AE16" s="164"/>
      <c r="AF16" s="183"/>
      <c r="AG16" s="184"/>
      <c r="AH16" s="184"/>
      <c r="AI16" s="185"/>
      <c r="AJ16" s="186"/>
    </row>
    <row r="17" spans="2:36" ht="30" customHeight="1" x14ac:dyDescent="0.2">
      <c r="B17" s="122" t="str">
        <f>IF(COUNTBLANK(N17:AJ17)=20,"",IF(AND(M17&lt;&gt;"",OR(EXPEDIENTE!$F$25="",EXPEDIENTE!$F$27="")),0,""))</f>
        <v/>
      </c>
      <c r="C17" s="122" t="str">
        <f t="shared" si="3"/>
        <v/>
      </c>
      <c r="D17" s="122" t="str">
        <f t="shared" si="4"/>
        <v/>
      </c>
      <c r="E17" s="122" t="str">
        <f>IF(P17="","",IF(AND(M17=1,OR(P17&lt;EXPEDIENTE!$F$25,P17&gt;EXPEDIENTE!$F$27)),3,""))</f>
        <v/>
      </c>
      <c r="F17" s="122" t="str">
        <f t="shared" si="5"/>
        <v/>
      </c>
      <c r="G17" s="122" t="str">
        <f t="shared" si="2"/>
        <v/>
      </c>
      <c r="H17" s="122" t="str">
        <f>IF(P17="","",IF(AE17="",6,IF(AND(M17=1,OR(AE17&lt;EXPEDIENTE!$F$25,AE17&gt;EXPEDIENTE!$F$29)),6,"")))</f>
        <v/>
      </c>
      <c r="I17" s="122" t="b">
        <f t="shared" si="6"/>
        <v>0</v>
      </c>
      <c r="J17" s="122">
        <f>IF(AE17&lt;EXPEDIENTE!$I$25,-1,IF(AE17&gt;EXPEDIENTE!$I$29,1,0))</f>
        <v>0</v>
      </c>
      <c r="K17" s="169" t="str">
        <f>IF(IFERROR(VLOOKUP(I17,AUXILIAR!$AD$6:$AE$15,2,FALSE),"")="","",VLOOKUP(I17,AUXILIAR!$AD$6:$AE$15,2,FALSE))</f>
        <v/>
      </c>
      <c r="L17" s="170">
        <v>9</v>
      </c>
      <c r="M17" s="150" t="str">
        <f t="shared" si="7"/>
        <v/>
      </c>
      <c r="N17" s="171"/>
      <c r="O17" s="172"/>
      <c r="P17" s="173"/>
      <c r="Q17" s="174"/>
      <c r="R17" s="175"/>
      <c r="S17" s="174"/>
      <c r="T17" s="174"/>
      <c r="U17" s="176"/>
      <c r="V17" s="177"/>
      <c r="W17" s="178"/>
      <c r="X17" s="179"/>
      <c r="Y17" s="180"/>
      <c r="Z17" s="181">
        <f t="shared" si="8"/>
        <v>0</v>
      </c>
      <c r="AA17" s="180"/>
      <c r="AB17" s="181">
        <f t="shared" si="11"/>
        <v>0</v>
      </c>
      <c r="AC17" s="182">
        <f t="shared" si="12"/>
        <v>0</v>
      </c>
      <c r="AD17" s="163"/>
      <c r="AE17" s="164"/>
      <c r="AF17" s="183"/>
      <c r="AG17" s="184"/>
      <c r="AH17" s="184"/>
      <c r="AI17" s="185"/>
      <c r="AJ17" s="186"/>
    </row>
    <row r="18" spans="2:36" ht="30" customHeight="1" x14ac:dyDescent="0.2">
      <c r="B18" s="122" t="str">
        <f>IF(COUNTBLANK(N18:AJ18)=20,"",IF(AND(M18&lt;&gt;"",OR(EXPEDIENTE!$F$25="",EXPEDIENTE!$F$27="")),0,""))</f>
        <v/>
      </c>
      <c r="C18" s="122" t="str">
        <f t="shared" si="3"/>
        <v/>
      </c>
      <c r="D18" s="122" t="str">
        <f t="shared" si="4"/>
        <v/>
      </c>
      <c r="E18" s="122" t="str">
        <f>IF(P18="","",IF(AND(M18=1,OR(P18&lt;EXPEDIENTE!$F$25,P18&gt;EXPEDIENTE!$F$27)),3,""))</f>
        <v/>
      </c>
      <c r="F18" s="122" t="str">
        <f t="shared" si="5"/>
        <v/>
      </c>
      <c r="G18" s="122" t="str">
        <f t="shared" si="2"/>
        <v/>
      </c>
      <c r="H18" s="122" t="str">
        <f>IF(P18="","",IF(AE18="",6,IF(AND(M18=1,OR(AE18&lt;EXPEDIENTE!$F$25,AE18&gt;EXPEDIENTE!$F$29)),6,"")))</f>
        <v/>
      </c>
      <c r="I18" s="122" t="b">
        <f t="shared" si="6"/>
        <v>0</v>
      </c>
      <c r="J18" s="122">
        <f>IF(AE18&lt;EXPEDIENTE!$I$25,-1,IF(AE18&gt;EXPEDIENTE!$I$29,1,0))</f>
        <v>0</v>
      </c>
      <c r="K18" s="169" t="str">
        <f>IF(IFERROR(VLOOKUP(I18,AUXILIAR!$AD$6:$AE$15,2,FALSE),"")="","",VLOOKUP(I18,AUXILIAR!$AD$6:$AE$15,2,FALSE))</f>
        <v/>
      </c>
      <c r="L18" s="170">
        <v>10</v>
      </c>
      <c r="M18" s="150" t="str">
        <f t="shared" si="7"/>
        <v/>
      </c>
      <c r="N18" s="171"/>
      <c r="O18" s="172"/>
      <c r="P18" s="173"/>
      <c r="Q18" s="174"/>
      <c r="R18" s="175"/>
      <c r="S18" s="174"/>
      <c r="T18" s="174"/>
      <c r="U18" s="176"/>
      <c r="V18" s="177"/>
      <c r="W18" s="178"/>
      <c r="X18" s="179"/>
      <c r="Y18" s="180"/>
      <c r="Z18" s="181">
        <f t="shared" si="8"/>
        <v>0</v>
      </c>
      <c r="AA18" s="180"/>
      <c r="AB18" s="181">
        <f t="shared" si="11"/>
        <v>0</v>
      </c>
      <c r="AC18" s="182">
        <f t="shared" si="12"/>
        <v>0</v>
      </c>
      <c r="AD18" s="163"/>
      <c r="AE18" s="164"/>
      <c r="AF18" s="183"/>
      <c r="AG18" s="184"/>
      <c r="AH18" s="184"/>
      <c r="AI18" s="185"/>
      <c r="AJ18" s="186"/>
    </row>
    <row r="19" spans="2:36" ht="30" customHeight="1" x14ac:dyDescent="0.2">
      <c r="B19" s="122" t="str">
        <f>IF(COUNTBLANK(N19:AJ19)=20,"",IF(AND(M19&lt;&gt;"",OR(EXPEDIENTE!$F$25="",EXPEDIENTE!$F$27="")),0,""))</f>
        <v/>
      </c>
      <c r="C19" s="122" t="str">
        <f t="shared" si="3"/>
        <v/>
      </c>
      <c r="D19" s="122" t="str">
        <f t="shared" si="4"/>
        <v/>
      </c>
      <c r="E19" s="122" t="str">
        <f>IF(P19="","",IF(AND(M19=1,OR(P19&lt;EXPEDIENTE!$F$25,P19&gt;EXPEDIENTE!$F$27)),3,""))</f>
        <v/>
      </c>
      <c r="F19" s="122" t="str">
        <f t="shared" si="5"/>
        <v/>
      </c>
      <c r="G19" s="122" t="str">
        <f t="shared" si="2"/>
        <v/>
      </c>
      <c r="H19" s="122" t="str">
        <f>IF(P19="","",IF(AE19="",6,IF(AND(M19=1,OR(AE19&lt;EXPEDIENTE!$F$25,AE19&gt;EXPEDIENTE!$F$29)),6,"")))</f>
        <v/>
      </c>
      <c r="I19" s="122" t="b">
        <f t="shared" si="6"/>
        <v>0</v>
      </c>
      <c r="J19" s="122">
        <f>IF(AE19&lt;EXPEDIENTE!$I$25,-1,IF(AE19&gt;EXPEDIENTE!$I$29,1,0))</f>
        <v>0</v>
      </c>
      <c r="K19" s="169" t="str">
        <f>IF(IFERROR(VLOOKUP(I19,AUXILIAR!$AD$6:$AE$15,2,FALSE),"")="","",VLOOKUP(I19,AUXILIAR!$AD$6:$AE$15,2,FALSE))</f>
        <v/>
      </c>
      <c r="L19" s="170">
        <v>11</v>
      </c>
      <c r="M19" s="150" t="str">
        <f t="shared" si="7"/>
        <v/>
      </c>
      <c r="N19" s="171"/>
      <c r="O19" s="172"/>
      <c r="P19" s="173"/>
      <c r="Q19" s="174"/>
      <c r="R19" s="175"/>
      <c r="S19" s="174"/>
      <c r="T19" s="174"/>
      <c r="U19" s="176"/>
      <c r="V19" s="177"/>
      <c r="W19" s="178"/>
      <c r="X19" s="179"/>
      <c r="Y19" s="180"/>
      <c r="Z19" s="181">
        <f t="shared" si="8"/>
        <v>0</v>
      </c>
      <c r="AA19" s="180"/>
      <c r="AB19" s="181">
        <f t="shared" si="11"/>
        <v>0</v>
      </c>
      <c r="AC19" s="182">
        <f t="shared" si="12"/>
        <v>0</v>
      </c>
      <c r="AD19" s="163"/>
      <c r="AE19" s="164"/>
      <c r="AF19" s="183"/>
      <c r="AG19" s="184"/>
      <c r="AH19" s="184"/>
      <c r="AI19" s="185"/>
      <c r="AJ19" s="186"/>
    </row>
    <row r="20" spans="2:36" ht="30" customHeight="1" x14ac:dyDescent="0.2">
      <c r="B20" s="122" t="str">
        <f>IF(COUNTBLANK(N20:AJ20)=20,"",IF(AND(M20&lt;&gt;"",OR(EXPEDIENTE!$F$25="",EXPEDIENTE!$F$27="")),0,""))</f>
        <v/>
      </c>
      <c r="C20" s="122" t="str">
        <f t="shared" si="3"/>
        <v/>
      </c>
      <c r="D20" s="122" t="str">
        <f t="shared" si="4"/>
        <v/>
      </c>
      <c r="E20" s="122" t="str">
        <f>IF(P20="","",IF(AND(M20=1,OR(P20&lt;EXPEDIENTE!$F$25,P20&gt;EXPEDIENTE!$F$27)),3,""))</f>
        <v/>
      </c>
      <c r="F20" s="122" t="str">
        <f t="shared" si="5"/>
        <v/>
      </c>
      <c r="G20" s="122" t="str">
        <f t="shared" si="2"/>
        <v/>
      </c>
      <c r="H20" s="122" t="str">
        <f>IF(P20="","",IF(AE20="",6,IF(AND(M20=1,OR(AE20&lt;EXPEDIENTE!$F$25,AE20&gt;EXPEDIENTE!$F$29)),6,"")))</f>
        <v/>
      </c>
      <c r="I20" s="122" t="b">
        <f t="shared" si="6"/>
        <v>0</v>
      </c>
      <c r="J20" s="122">
        <f>IF(AE20&lt;EXPEDIENTE!$I$25,-1,IF(AE20&gt;EXPEDIENTE!$I$29,1,0))</f>
        <v>0</v>
      </c>
      <c r="K20" s="169" t="str">
        <f>IF(IFERROR(VLOOKUP(I20,AUXILIAR!$AD$6:$AE$15,2,FALSE),"")="","",VLOOKUP(I20,AUXILIAR!$AD$6:$AE$15,2,FALSE))</f>
        <v/>
      </c>
      <c r="L20" s="170">
        <v>12</v>
      </c>
      <c r="M20" s="150" t="str">
        <f t="shared" si="7"/>
        <v/>
      </c>
      <c r="N20" s="171"/>
      <c r="O20" s="172"/>
      <c r="P20" s="173"/>
      <c r="Q20" s="174"/>
      <c r="R20" s="175"/>
      <c r="S20" s="174"/>
      <c r="T20" s="174"/>
      <c r="U20" s="176"/>
      <c r="V20" s="177"/>
      <c r="W20" s="178"/>
      <c r="X20" s="179"/>
      <c r="Y20" s="180"/>
      <c r="Z20" s="181">
        <f t="shared" si="8"/>
        <v>0</v>
      </c>
      <c r="AA20" s="180"/>
      <c r="AB20" s="181">
        <f t="shared" si="11"/>
        <v>0</v>
      </c>
      <c r="AC20" s="182">
        <f t="shared" si="12"/>
        <v>0</v>
      </c>
      <c r="AD20" s="163"/>
      <c r="AE20" s="164"/>
      <c r="AF20" s="183"/>
      <c r="AG20" s="184"/>
      <c r="AH20" s="184"/>
      <c r="AI20" s="185"/>
      <c r="AJ20" s="186"/>
    </row>
    <row r="21" spans="2:36" ht="30" customHeight="1" x14ac:dyDescent="0.2">
      <c r="B21" s="122" t="str">
        <f>IF(COUNTBLANK(N21:AJ21)=20,"",IF(AND(M21&lt;&gt;"",OR(EXPEDIENTE!$F$25="",EXPEDIENTE!$F$27="")),0,""))</f>
        <v/>
      </c>
      <c r="C21" s="122" t="str">
        <f t="shared" si="3"/>
        <v/>
      </c>
      <c r="D21" s="122" t="str">
        <f t="shared" si="4"/>
        <v/>
      </c>
      <c r="E21" s="122" t="str">
        <f>IF(P21="","",IF(AND(M21=1,OR(P21&lt;EXPEDIENTE!$F$25,P21&gt;EXPEDIENTE!$F$27)),3,""))</f>
        <v/>
      </c>
      <c r="F21" s="122" t="str">
        <f t="shared" si="5"/>
        <v/>
      </c>
      <c r="G21" s="122" t="str">
        <f t="shared" si="2"/>
        <v/>
      </c>
      <c r="H21" s="122" t="str">
        <f>IF(P21="","",IF(AE21="",6,IF(AND(M21=1,OR(AE21&lt;EXPEDIENTE!$F$25,AE21&gt;EXPEDIENTE!$F$29)),6,"")))</f>
        <v/>
      </c>
      <c r="I21" s="122" t="b">
        <f t="shared" si="6"/>
        <v>0</v>
      </c>
      <c r="J21" s="122">
        <f>IF(AE21&lt;EXPEDIENTE!$I$25,-1,IF(AE21&gt;EXPEDIENTE!$I$29,1,0))</f>
        <v>0</v>
      </c>
      <c r="K21" s="169" t="str">
        <f>IF(IFERROR(VLOOKUP(I21,AUXILIAR!$AD$6:$AE$15,2,FALSE),"")="","",VLOOKUP(I21,AUXILIAR!$AD$6:$AE$15,2,FALSE))</f>
        <v/>
      </c>
      <c r="L21" s="170">
        <v>13</v>
      </c>
      <c r="M21" s="150" t="str">
        <f t="shared" si="7"/>
        <v/>
      </c>
      <c r="N21" s="171"/>
      <c r="O21" s="172"/>
      <c r="P21" s="173"/>
      <c r="Q21" s="174"/>
      <c r="R21" s="175"/>
      <c r="S21" s="174"/>
      <c r="T21" s="174"/>
      <c r="U21" s="176"/>
      <c r="V21" s="177"/>
      <c r="W21" s="178"/>
      <c r="X21" s="179"/>
      <c r="Y21" s="180"/>
      <c r="Z21" s="181">
        <f t="shared" si="8"/>
        <v>0</v>
      </c>
      <c r="AA21" s="180"/>
      <c r="AB21" s="181">
        <f t="shared" si="11"/>
        <v>0</v>
      </c>
      <c r="AC21" s="182">
        <f t="shared" si="12"/>
        <v>0</v>
      </c>
      <c r="AD21" s="163"/>
      <c r="AE21" s="164"/>
      <c r="AF21" s="183"/>
      <c r="AG21" s="184"/>
      <c r="AH21" s="184"/>
      <c r="AI21" s="185"/>
      <c r="AJ21" s="186"/>
    </row>
    <row r="22" spans="2:36" ht="30" customHeight="1" x14ac:dyDescent="0.2">
      <c r="B22" s="122" t="str">
        <f>IF(COUNTBLANK(N22:AJ22)=20,"",IF(AND(M22&lt;&gt;"",OR(EXPEDIENTE!$F$25="",EXPEDIENTE!$F$27="")),0,""))</f>
        <v/>
      </c>
      <c r="C22" s="122" t="str">
        <f t="shared" si="3"/>
        <v/>
      </c>
      <c r="D22" s="122" t="str">
        <f t="shared" si="4"/>
        <v/>
      </c>
      <c r="E22" s="122" t="str">
        <f>IF(P22="","",IF(AND(M22=1,OR(P22&lt;EXPEDIENTE!$F$25,P22&gt;EXPEDIENTE!$F$27)),3,""))</f>
        <v/>
      </c>
      <c r="F22" s="122" t="str">
        <f t="shared" si="5"/>
        <v/>
      </c>
      <c r="G22" s="122" t="str">
        <f t="shared" si="2"/>
        <v/>
      </c>
      <c r="H22" s="122" t="str">
        <f>IF(P22="","",IF(AE22="",6,IF(AND(M22=1,OR(AE22&lt;EXPEDIENTE!$F$25,AE22&gt;EXPEDIENTE!$F$29)),6,"")))</f>
        <v/>
      </c>
      <c r="I22" s="122" t="b">
        <f t="shared" si="6"/>
        <v>0</v>
      </c>
      <c r="J22" s="122">
        <f>IF(AE22&lt;EXPEDIENTE!$I$25,-1,IF(AE22&gt;EXPEDIENTE!$I$29,1,0))</f>
        <v>0</v>
      </c>
      <c r="K22" s="169" t="str">
        <f>IF(IFERROR(VLOOKUP(I22,AUXILIAR!$AD$6:$AE$15,2,FALSE),"")="","",VLOOKUP(I22,AUXILIAR!$AD$6:$AE$15,2,FALSE))</f>
        <v/>
      </c>
      <c r="L22" s="170">
        <v>14</v>
      </c>
      <c r="M22" s="150" t="str">
        <f t="shared" si="7"/>
        <v/>
      </c>
      <c r="N22" s="171"/>
      <c r="O22" s="172"/>
      <c r="P22" s="173"/>
      <c r="Q22" s="174"/>
      <c r="R22" s="175"/>
      <c r="S22" s="174"/>
      <c r="T22" s="174"/>
      <c r="U22" s="176"/>
      <c r="V22" s="177"/>
      <c r="W22" s="178"/>
      <c r="X22" s="179"/>
      <c r="Y22" s="180"/>
      <c r="Z22" s="181">
        <f t="shared" si="8"/>
        <v>0</v>
      </c>
      <c r="AA22" s="180"/>
      <c r="AB22" s="181">
        <f t="shared" si="11"/>
        <v>0</v>
      </c>
      <c r="AC22" s="182">
        <f t="shared" si="12"/>
        <v>0</v>
      </c>
      <c r="AD22" s="163"/>
      <c r="AE22" s="164"/>
      <c r="AF22" s="183"/>
      <c r="AG22" s="184"/>
      <c r="AH22" s="184"/>
      <c r="AI22" s="185"/>
      <c r="AJ22" s="186"/>
    </row>
    <row r="23" spans="2:36" ht="30" customHeight="1" x14ac:dyDescent="0.2">
      <c r="B23" s="122" t="str">
        <f>IF(COUNTBLANK(N23:AJ23)=20,"",IF(AND(M23&lt;&gt;"",OR(EXPEDIENTE!$F$25="",EXPEDIENTE!$F$27="")),0,""))</f>
        <v/>
      </c>
      <c r="C23" s="122" t="str">
        <f t="shared" si="3"/>
        <v/>
      </c>
      <c r="D23" s="122" t="str">
        <f t="shared" si="4"/>
        <v/>
      </c>
      <c r="E23" s="122" t="str">
        <f>IF(P23="","",IF(AND(M23=1,OR(P23&lt;EXPEDIENTE!$F$25,P23&gt;EXPEDIENTE!$F$27)),3,""))</f>
        <v/>
      </c>
      <c r="F23" s="122" t="str">
        <f t="shared" si="5"/>
        <v/>
      </c>
      <c r="G23" s="122" t="str">
        <f t="shared" si="2"/>
        <v/>
      </c>
      <c r="H23" s="122" t="str">
        <f>IF(P23="","",IF(AE23="",6,IF(AND(M23=1,OR(AE23&lt;EXPEDIENTE!$F$25,AE23&gt;EXPEDIENTE!$F$29)),6,"")))</f>
        <v/>
      </c>
      <c r="I23" s="122" t="b">
        <f t="shared" si="6"/>
        <v>0</v>
      </c>
      <c r="J23" s="122">
        <f>IF(AE23&lt;EXPEDIENTE!$I$25,-1,IF(AE23&gt;EXPEDIENTE!$I$29,1,0))</f>
        <v>0</v>
      </c>
      <c r="K23" s="169" t="str">
        <f>IF(IFERROR(VLOOKUP(I23,AUXILIAR!$AD$6:$AE$15,2,FALSE),"")="","",VLOOKUP(I23,AUXILIAR!$AD$6:$AE$15,2,FALSE))</f>
        <v/>
      </c>
      <c r="L23" s="170">
        <v>15</v>
      </c>
      <c r="M23" s="150" t="str">
        <f t="shared" si="7"/>
        <v/>
      </c>
      <c r="N23" s="171"/>
      <c r="O23" s="172"/>
      <c r="P23" s="173"/>
      <c r="Q23" s="174"/>
      <c r="R23" s="175"/>
      <c r="S23" s="174"/>
      <c r="T23" s="174"/>
      <c r="U23" s="176"/>
      <c r="V23" s="177"/>
      <c r="W23" s="178"/>
      <c r="X23" s="179"/>
      <c r="Y23" s="180"/>
      <c r="Z23" s="181">
        <f t="shared" si="8"/>
        <v>0</v>
      </c>
      <c r="AA23" s="180"/>
      <c r="AB23" s="181">
        <f t="shared" si="11"/>
        <v>0</v>
      </c>
      <c r="AC23" s="182">
        <f t="shared" si="12"/>
        <v>0</v>
      </c>
      <c r="AD23" s="163"/>
      <c r="AE23" s="164"/>
      <c r="AF23" s="183"/>
      <c r="AG23" s="184"/>
      <c r="AH23" s="184"/>
      <c r="AI23" s="185"/>
      <c r="AJ23" s="186"/>
    </row>
    <row r="24" spans="2:36" ht="30" customHeight="1" x14ac:dyDescent="0.2">
      <c r="B24" s="122" t="str">
        <f>IF(COUNTBLANK(N24:AJ24)=20,"",IF(AND(M24&lt;&gt;"",OR(EXPEDIENTE!$F$25="",EXPEDIENTE!$F$27="")),0,""))</f>
        <v/>
      </c>
      <c r="C24" s="122" t="str">
        <f t="shared" si="3"/>
        <v/>
      </c>
      <c r="D24" s="122" t="str">
        <f t="shared" si="4"/>
        <v/>
      </c>
      <c r="E24" s="122" t="str">
        <f>IF(P24="","",IF(AND(M24=1,OR(P24&lt;EXPEDIENTE!$F$25,P24&gt;EXPEDIENTE!$F$27)),3,""))</f>
        <v/>
      </c>
      <c r="F24" s="122" t="str">
        <f t="shared" si="5"/>
        <v/>
      </c>
      <c r="G24" s="122" t="str">
        <f t="shared" si="2"/>
        <v/>
      </c>
      <c r="H24" s="122" t="str">
        <f>IF(P24="","",IF(AE24="",6,IF(AND(M24=1,OR(AE24&lt;EXPEDIENTE!$F$25,AE24&gt;EXPEDIENTE!$F$29)),6,"")))</f>
        <v/>
      </c>
      <c r="I24" s="122" t="b">
        <f t="shared" si="6"/>
        <v>0</v>
      </c>
      <c r="J24" s="122">
        <f>IF(AE24&lt;EXPEDIENTE!$I$25,-1,IF(AE24&gt;EXPEDIENTE!$I$29,1,0))</f>
        <v>0</v>
      </c>
      <c r="K24" s="169" t="str">
        <f>IF(IFERROR(VLOOKUP(I24,AUXILIAR!$AD$6:$AE$15,2,FALSE),"")="","",VLOOKUP(I24,AUXILIAR!$AD$6:$AE$15,2,FALSE))</f>
        <v/>
      </c>
      <c r="L24" s="170">
        <v>16</v>
      </c>
      <c r="M24" s="150" t="str">
        <f t="shared" si="7"/>
        <v/>
      </c>
      <c r="N24" s="171"/>
      <c r="O24" s="172"/>
      <c r="P24" s="173"/>
      <c r="Q24" s="174"/>
      <c r="R24" s="175"/>
      <c r="S24" s="174"/>
      <c r="T24" s="174"/>
      <c r="U24" s="176"/>
      <c r="V24" s="177"/>
      <c r="W24" s="178"/>
      <c r="X24" s="179"/>
      <c r="Y24" s="180"/>
      <c r="Z24" s="181">
        <f t="shared" si="8"/>
        <v>0</v>
      </c>
      <c r="AA24" s="180"/>
      <c r="AB24" s="181">
        <f t="shared" si="11"/>
        <v>0</v>
      </c>
      <c r="AC24" s="182">
        <f t="shared" si="12"/>
        <v>0</v>
      </c>
      <c r="AD24" s="163"/>
      <c r="AE24" s="164"/>
      <c r="AF24" s="183"/>
      <c r="AG24" s="184"/>
      <c r="AH24" s="184"/>
      <c r="AI24" s="185"/>
      <c r="AJ24" s="186"/>
    </row>
    <row r="25" spans="2:36" ht="30" customHeight="1" x14ac:dyDescent="0.2">
      <c r="B25" s="122" t="str">
        <f>IF(COUNTBLANK(N25:AJ25)=20,"",IF(AND(M25&lt;&gt;"",OR(EXPEDIENTE!$F$25="",EXPEDIENTE!$F$27="")),0,""))</f>
        <v/>
      </c>
      <c r="C25" s="122" t="str">
        <f t="shared" si="3"/>
        <v/>
      </c>
      <c r="D25" s="122" t="str">
        <f t="shared" si="4"/>
        <v/>
      </c>
      <c r="E25" s="122" t="str">
        <f>IF(P25="","",IF(AND(M25=1,OR(P25&lt;EXPEDIENTE!$F$25,P25&gt;EXPEDIENTE!$F$27)),3,""))</f>
        <v/>
      </c>
      <c r="F25" s="122" t="str">
        <f t="shared" si="5"/>
        <v/>
      </c>
      <c r="G25" s="122" t="str">
        <f t="shared" si="2"/>
        <v/>
      </c>
      <c r="H25" s="122" t="str">
        <f>IF(P25="","",IF(AE25="",6,IF(AND(M25=1,OR(AE25&lt;EXPEDIENTE!$F$25,AE25&gt;EXPEDIENTE!$F$29)),6,"")))</f>
        <v/>
      </c>
      <c r="I25" s="122" t="b">
        <f t="shared" si="6"/>
        <v>0</v>
      </c>
      <c r="J25" s="122">
        <f>IF(AE25&lt;EXPEDIENTE!$I$25,-1,IF(AE25&gt;EXPEDIENTE!$I$29,1,0))</f>
        <v>0</v>
      </c>
      <c r="K25" s="169" t="str">
        <f>IF(IFERROR(VLOOKUP(I25,AUXILIAR!$AD$6:$AE$15,2,FALSE),"")="","",VLOOKUP(I25,AUXILIAR!$AD$6:$AE$15,2,FALSE))</f>
        <v/>
      </c>
      <c r="L25" s="170">
        <v>17</v>
      </c>
      <c r="M25" s="150" t="str">
        <f t="shared" si="7"/>
        <v/>
      </c>
      <c r="N25" s="171"/>
      <c r="O25" s="172"/>
      <c r="P25" s="173"/>
      <c r="Q25" s="174"/>
      <c r="R25" s="175"/>
      <c r="S25" s="174"/>
      <c r="T25" s="174"/>
      <c r="U25" s="176"/>
      <c r="V25" s="177"/>
      <c r="W25" s="178"/>
      <c r="X25" s="179"/>
      <c r="Y25" s="180"/>
      <c r="Z25" s="181">
        <f t="shared" si="8"/>
        <v>0</v>
      </c>
      <c r="AA25" s="180"/>
      <c r="AB25" s="181">
        <f t="shared" si="11"/>
        <v>0</v>
      </c>
      <c r="AC25" s="182">
        <f t="shared" si="12"/>
        <v>0</v>
      </c>
      <c r="AD25" s="163"/>
      <c r="AE25" s="164"/>
      <c r="AF25" s="183"/>
      <c r="AG25" s="184"/>
      <c r="AH25" s="184"/>
      <c r="AI25" s="185"/>
      <c r="AJ25" s="186"/>
    </row>
    <row r="26" spans="2:36" ht="30" customHeight="1" x14ac:dyDescent="0.2">
      <c r="B26" s="122" t="str">
        <f>IF(COUNTBLANK(N26:AJ26)=20,"",IF(AND(M26&lt;&gt;"",OR(EXPEDIENTE!$F$25="",EXPEDIENTE!$F$27="")),0,""))</f>
        <v/>
      </c>
      <c r="C26" s="122" t="str">
        <f t="shared" si="3"/>
        <v/>
      </c>
      <c r="D26" s="122" t="str">
        <f t="shared" si="4"/>
        <v/>
      </c>
      <c r="E26" s="122" t="str">
        <f>IF(P26="","",IF(AND(M26=1,OR(P26&lt;EXPEDIENTE!$F$25,P26&gt;EXPEDIENTE!$F$27)),3,""))</f>
        <v/>
      </c>
      <c r="F26" s="122" t="str">
        <f t="shared" si="5"/>
        <v/>
      </c>
      <c r="G26" s="122" t="str">
        <f t="shared" si="2"/>
        <v/>
      </c>
      <c r="H26" s="122" t="str">
        <f>IF(P26="","",IF(AE26="",6,IF(AND(M26=1,OR(AE26&lt;EXPEDIENTE!$F$25,AE26&gt;EXPEDIENTE!$F$29)),6,"")))</f>
        <v/>
      </c>
      <c r="I26" s="122" t="b">
        <f t="shared" si="6"/>
        <v>0</v>
      </c>
      <c r="J26" s="122">
        <f>IF(AE26&lt;EXPEDIENTE!$I$25,-1,IF(AE26&gt;EXPEDIENTE!$I$29,1,0))</f>
        <v>0</v>
      </c>
      <c r="K26" s="169" t="str">
        <f>IF(IFERROR(VLOOKUP(I26,AUXILIAR!$AD$6:$AE$15,2,FALSE),"")="","",VLOOKUP(I26,AUXILIAR!$AD$6:$AE$15,2,FALSE))</f>
        <v/>
      </c>
      <c r="L26" s="170">
        <v>18</v>
      </c>
      <c r="M26" s="150" t="str">
        <f t="shared" si="7"/>
        <v/>
      </c>
      <c r="N26" s="171"/>
      <c r="O26" s="172"/>
      <c r="P26" s="173"/>
      <c r="Q26" s="174"/>
      <c r="R26" s="175"/>
      <c r="S26" s="174"/>
      <c r="T26" s="174"/>
      <c r="U26" s="176"/>
      <c r="V26" s="177"/>
      <c r="W26" s="178"/>
      <c r="X26" s="179"/>
      <c r="Y26" s="180"/>
      <c r="Z26" s="181">
        <f t="shared" si="8"/>
        <v>0</v>
      </c>
      <c r="AA26" s="180"/>
      <c r="AB26" s="181">
        <f t="shared" si="11"/>
        <v>0</v>
      </c>
      <c r="AC26" s="182">
        <f t="shared" si="12"/>
        <v>0</v>
      </c>
      <c r="AD26" s="163"/>
      <c r="AE26" s="164"/>
      <c r="AF26" s="183"/>
      <c r="AG26" s="184"/>
      <c r="AH26" s="184"/>
      <c r="AI26" s="185"/>
      <c r="AJ26" s="186"/>
    </row>
    <row r="27" spans="2:36" ht="30" customHeight="1" x14ac:dyDescent="0.2">
      <c r="B27" s="122" t="str">
        <f>IF(COUNTBLANK(N27:AJ27)=20,"",IF(AND(M27&lt;&gt;"",OR(EXPEDIENTE!$F$25="",EXPEDIENTE!$F$27="")),0,""))</f>
        <v/>
      </c>
      <c r="C27" s="122" t="str">
        <f t="shared" si="3"/>
        <v/>
      </c>
      <c r="D27" s="122" t="str">
        <f t="shared" si="4"/>
        <v/>
      </c>
      <c r="E27" s="122" t="str">
        <f>IF(P27="","",IF(AND(M27=1,OR(P27&lt;EXPEDIENTE!$F$25,P27&gt;EXPEDIENTE!$F$27)),3,""))</f>
        <v/>
      </c>
      <c r="F27" s="122" t="str">
        <f t="shared" si="5"/>
        <v/>
      </c>
      <c r="G27" s="122" t="str">
        <f t="shared" si="2"/>
        <v/>
      </c>
      <c r="H27" s="122" t="str">
        <f>IF(P27="","",IF(AE27="",6,IF(AND(M27=1,OR(AE27&lt;EXPEDIENTE!$F$25,AE27&gt;EXPEDIENTE!$F$29)),6,"")))</f>
        <v/>
      </c>
      <c r="I27" s="122" t="b">
        <f t="shared" si="6"/>
        <v>0</v>
      </c>
      <c r="J27" s="122">
        <f>IF(AE27&lt;EXPEDIENTE!$I$25,-1,IF(AE27&gt;EXPEDIENTE!$I$29,1,0))</f>
        <v>0</v>
      </c>
      <c r="K27" s="169" t="str">
        <f>IF(IFERROR(VLOOKUP(I27,AUXILIAR!$AD$6:$AE$15,2,FALSE),"")="","",VLOOKUP(I27,AUXILIAR!$AD$6:$AE$15,2,FALSE))</f>
        <v/>
      </c>
      <c r="L27" s="170">
        <v>19</v>
      </c>
      <c r="M27" s="150" t="str">
        <f t="shared" si="7"/>
        <v/>
      </c>
      <c r="N27" s="171"/>
      <c r="O27" s="172"/>
      <c r="P27" s="173"/>
      <c r="Q27" s="174"/>
      <c r="R27" s="175"/>
      <c r="S27" s="174"/>
      <c r="T27" s="174"/>
      <c r="U27" s="176"/>
      <c r="V27" s="177"/>
      <c r="W27" s="178"/>
      <c r="X27" s="179"/>
      <c r="Y27" s="180"/>
      <c r="Z27" s="181">
        <f t="shared" si="8"/>
        <v>0</v>
      </c>
      <c r="AA27" s="180"/>
      <c r="AB27" s="181">
        <f t="shared" si="11"/>
        <v>0</v>
      </c>
      <c r="AC27" s="182">
        <f t="shared" si="12"/>
        <v>0</v>
      </c>
      <c r="AD27" s="163"/>
      <c r="AE27" s="164"/>
      <c r="AF27" s="183"/>
      <c r="AG27" s="184"/>
      <c r="AH27" s="184"/>
      <c r="AI27" s="185"/>
      <c r="AJ27" s="186"/>
    </row>
    <row r="28" spans="2:36" ht="30" customHeight="1" x14ac:dyDescent="0.2">
      <c r="B28" s="122" t="str">
        <f>IF(COUNTBLANK(N28:AJ28)=20,"",IF(AND(M28&lt;&gt;"",OR(EXPEDIENTE!$F$25="",EXPEDIENTE!$F$27="")),0,""))</f>
        <v/>
      </c>
      <c r="C28" s="122" t="str">
        <f t="shared" si="3"/>
        <v/>
      </c>
      <c r="D28" s="122" t="str">
        <f t="shared" si="4"/>
        <v/>
      </c>
      <c r="E28" s="122" t="str">
        <f>IF(P28="","",IF(AND(M28=1,OR(P28&lt;EXPEDIENTE!$F$25,P28&gt;EXPEDIENTE!$F$27)),3,""))</f>
        <v/>
      </c>
      <c r="F28" s="122" t="str">
        <f t="shared" si="5"/>
        <v/>
      </c>
      <c r="G28" s="122" t="str">
        <f t="shared" si="2"/>
        <v/>
      </c>
      <c r="H28" s="122" t="str">
        <f>IF(P28="","",IF(AE28="",6,IF(AND(M28=1,OR(AE28&lt;EXPEDIENTE!$F$25,AE28&gt;EXPEDIENTE!$F$29)),6,"")))</f>
        <v/>
      </c>
      <c r="I28" s="122" t="b">
        <f t="shared" si="6"/>
        <v>0</v>
      </c>
      <c r="J28" s="122">
        <f>IF(AE28&lt;EXPEDIENTE!$I$25,-1,IF(AE28&gt;EXPEDIENTE!$I$29,1,0))</f>
        <v>0</v>
      </c>
      <c r="K28" s="169" t="str">
        <f>IF(IFERROR(VLOOKUP(I28,AUXILIAR!$AD$6:$AE$15,2,FALSE),"")="","",VLOOKUP(I28,AUXILIAR!$AD$6:$AE$15,2,FALSE))</f>
        <v/>
      </c>
      <c r="L28" s="170">
        <v>20</v>
      </c>
      <c r="M28" s="150" t="str">
        <f t="shared" si="7"/>
        <v/>
      </c>
      <c r="N28" s="171"/>
      <c r="O28" s="172"/>
      <c r="P28" s="173"/>
      <c r="Q28" s="174"/>
      <c r="R28" s="175"/>
      <c r="S28" s="174"/>
      <c r="T28" s="174"/>
      <c r="U28" s="176"/>
      <c r="V28" s="177"/>
      <c r="W28" s="178"/>
      <c r="X28" s="179"/>
      <c r="Y28" s="180"/>
      <c r="Z28" s="181">
        <f t="shared" si="8"/>
        <v>0</v>
      </c>
      <c r="AA28" s="180"/>
      <c r="AB28" s="181">
        <f t="shared" si="11"/>
        <v>0</v>
      </c>
      <c r="AC28" s="182">
        <f t="shared" si="12"/>
        <v>0</v>
      </c>
      <c r="AD28" s="163"/>
      <c r="AE28" s="164"/>
      <c r="AF28" s="183"/>
      <c r="AG28" s="184"/>
      <c r="AH28" s="184"/>
      <c r="AI28" s="185"/>
      <c r="AJ28" s="186"/>
    </row>
    <row r="29" spans="2:36" ht="30" customHeight="1" x14ac:dyDescent="0.2">
      <c r="B29" s="122" t="str">
        <f>IF(COUNTBLANK(N29:AJ29)=20,"",IF(AND(M29&lt;&gt;"",OR(EXPEDIENTE!$F$25="",EXPEDIENTE!$F$27="")),0,""))</f>
        <v/>
      </c>
      <c r="C29" s="122" t="str">
        <f t="shared" si="3"/>
        <v/>
      </c>
      <c r="D29" s="122" t="str">
        <f t="shared" si="4"/>
        <v/>
      </c>
      <c r="E29" s="122" t="str">
        <f>IF(P29="","",IF(AND(M29=1,OR(P29&lt;EXPEDIENTE!$F$25,P29&gt;EXPEDIENTE!$F$27)),3,""))</f>
        <v/>
      </c>
      <c r="F29" s="122" t="str">
        <f t="shared" si="5"/>
        <v/>
      </c>
      <c r="G29" s="122" t="str">
        <f t="shared" si="2"/>
        <v/>
      </c>
      <c r="H29" s="122" t="str">
        <f>IF(P29="","",IF(AE29="",6,IF(AND(M29=1,OR(AE29&lt;EXPEDIENTE!$F$25,AE29&gt;EXPEDIENTE!$F$29)),6,"")))</f>
        <v/>
      </c>
      <c r="I29" s="122" t="b">
        <f t="shared" si="6"/>
        <v>0</v>
      </c>
      <c r="J29" s="122">
        <f>IF(AE29&lt;EXPEDIENTE!$I$25,-1,IF(AE29&gt;EXPEDIENTE!$I$29,1,0))</f>
        <v>0</v>
      </c>
      <c r="K29" s="169" t="str">
        <f>IF(IFERROR(VLOOKUP(I29,AUXILIAR!$AD$6:$AE$15,2,FALSE),"")="","",VLOOKUP(I29,AUXILIAR!$AD$6:$AE$15,2,FALSE))</f>
        <v/>
      </c>
      <c r="L29" s="170">
        <v>21</v>
      </c>
      <c r="M29" s="150" t="str">
        <f t="shared" si="7"/>
        <v/>
      </c>
      <c r="N29" s="171"/>
      <c r="O29" s="172"/>
      <c r="P29" s="173"/>
      <c r="Q29" s="174"/>
      <c r="R29" s="175"/>
      <c r="S29" s="174"/>
      <c r="T29" s="174"/>
      <c r="U29" s="176"/>
      <c r="V29" s="177"/>
      <c r="W29" s="178"/>
      <c r="X29" s="179"/>
      <c r="Y29" s="180"/>
      <c r="Z29" s="181">
        <f t="shared" si="8"/>
        <v>0</v>
      </c>
      <c r="AA29" s="180"/>
      <c r="AB29" s="181">
        <f t="shared" si="11"/>
        <v>0</v>
      </c>
      <c r="AC29" s="182">
        <f t="shared" si="12"/>
        <v>0</v>
      </c>
      <c r="AD29" s="163"/>
      <c r="AE29" s="164"/>
      <c r="AF29" s="183"/>
      <c r="AG29" s="184"/>
      <c r="AH29" s="184"/>
      <c r="AI29" s="185"/>
      <c r="AJ29" s="186"/>
    </row>
    <row r="30" spans="2:36" ht="30" customHeight="1" x14ac:dyDescent="0.2">
      <c r="B30" s="122" t="str">
        <f>IF(COUNTBLANK(N30:AJ30)=20,"",IF(AND(M30&lt;&gt;"",OR(EXPEDIENTE!$F$25="",EXPEDIENTE!$F$27="")),0,""))</f>
        <v/>
      </c>
      <c r="C30" s="122" t="str">
        <f t="shared" si="3"/>
        <v/>
      </c>
      <c r="D30" s="122" t="str">
        <f t="shared" si="4"/>
        <v/>
      </c>
      <c r="E30" s="122" t="str">
        <f>IF(P30="","",IF(AND(M30=1,OR(P30&lt;EXPEDIENTE!$F$25,P30&gt;EXPEDIENTE!$F$27)),3,""))</f>
        <v/>
      </c>
      <c r="F30" s="122" t="str">
        <f t="shared" si="5"/>
        <v/>
      </c>
      <c r="G30" s="122" t="str">
        <f t="shared" si="2"/>
        <v/>
      </c>
      <c r="H30" s="122" t="str">
        <f>IF(P30="","",IF(AE30="",6,IF(AND(M30=1,OR(AE30&lt;EXPEDIENTE!$F$25,AE30&gt;EXPEDIENTE!$F$29)),6,"")))</f>
        <v/>
      </c>
      <c r="I30" s="122" t="b">
        <f t="shared" si="6"/>
        <v>0</v>
      </c>
      <c r="J30" s="122">
        <f>IF(AE30&lt;EXPEDIENTE!$I$25,-1,IF(AE30&gt;EXPEDIENTE!$I$29,1,0))</f>
        <v>0</v>
      </c>
      <c r="K30" s="169" t="str">
        <f>IF(IFERROR(VLOOKUP(I30,AUXILIAR!$AD$6:$AE$15,2,FALSE),"")="","",VLOOKUP(I30,AUXILIAR!$AD$6:$AE$15,2,FALSE))</f>
        <v/>
      </c>
      <c r="L30" s="170">
        <v>22</v>
      </c>
      <c r="M30" s="150" t="str">
        <f t="shared" si="7"/>
        <v/>
      </c>
      <c r="N30" s="171"/>
      <c r="O30" s="172"/>
      <c r="P30" s="173"/>
      <c r="Q30" s="174"/>
      <c r="R30" s="175"/>
      <c r="S30" s="174"/>
      <c r="T30" s="174"/>
      <c r="U30" s="176"/>
      <c r="V30" s="177"/>
      <c r="W30" s="178"/>
      <c r="X30" s="179"/>
      <c r="Y30" s="180"/>
      <c r="Z30" s="181">
        <f t="shared" si="8"/>
        <v>0</v>
      </c>
      <c r="AA30" s="180"/>
      <c r="AB30" s="181">
        <f t="shared" si="11"/>
        <v>0</v>
      </c>
      <c r="AC30" s="182">
        <f t="shared" si="12"/>
        <v>0</v>
      </c>
      <c r="AD30" s="163"/>
      <c r="AE30" s="164"/>
      <c r="AF30" s="183"/>
      <c r="AG30" s="184"/>
      <c r="AH30" s="184"/>
      <c r="AI30" s="185"/>
      <c r="AJ30" s="186"/>
    </row>
    <row r="31" spans="2:36" ht="30" customHeight="1" x14ac:dyDescent="0.2">
      <c r="B31" s="122" t="str">
        <f>IF(COUNTBLANK(N31:AJ31)=20,"",IF(AND(M31&lt;&gt;"",OR(EXPEDIENTE!$F$25="",EXPEDIENTE!$F$27="")),0,""))</f>
        <v/>
      </c>
      <c r="C31" s="122" t="str">
        <f t="shared" si="3"/>
        <v/>
      </c>
      <c r="D31" s="122" t="str">
        <f t="shared" si="4"/>
        <v/>
      </c>
      <c r="E31" s="122" t="str">
        <f>IF(P31="","",IF(AND(M31=1,OR(P31&lt;EXPEDIENTE!$F$25,P31&gt;EXPEDIENTE!$F$27)),3,""))</f>
        <v/>
      </c>
      <c r="F31" s="122" t="str">
        <f t="shared" si="5"/>
        <v/>
      </c>
      <c r="G31" s="122" t="str">
        <f t="shared" si="2"/>
        <v/>
      </c>
      <c r="H31" s="122" t="str">
        <f>IF(P31="","",IF(AE31="",6,IF(AND(M31=1,OR(AE31&lt;EXPEDIENTE!$F$25,AE31&gt;EXPEDIENTE!$F$29)),6,"")))</f>
        <v/>
      </c>
      <c r="I31" s="122" t="b">
        <f t="shared" si="6"/>
        <v>0</v>
      </c>
      <c r="J31" s="122">
        <f>IF(AE31&lt;EXPEDIENTE!$I$25,-1,IF(AE31&gt;EXPEDIENTE!$I$29,1,0))</f>
        <v>0</v>
      </c>
      <c r="K31" s="169" t="str">
        <f>IF(IFERROR(VLOOKUP(I31,AUXILIAR!$AD$6:$AE$15,2,FALSE),"")="","",VLOOKUP(I31,AUXILIAR!$AD$6:$AE$15,2,FALSE))</f>
        <v/>
      </c>
      <c r="L31" s="170">
        <v>23</v>
      </c>
      <c r="M31" s="150" t="str">
        <f t="shared" si="7"/>
        <v/>
      </c>
      <c r="N31" s="171"/>
      <c r="O31" s="172"/>
      <c r="P31" s="173"/>
      <c r="Q31" s="174"/>
      <c r="R31" s="175"/>
      <c r="S31" s="174"/>
      <c r="T31" s="174"/>
      <c r="U31" s="176"/>
      <c r="V31" s="177"/>
      <c r="W31" s="178"/>
      <c r="X31" s="179"/>
      <c r="Y31" s="180"/>
      <c r="Z31" s="181">
        <f t="shared" si="8"/>
        <v>0</v>
      </c>
      <c r="AA31" s="180"/>
      <c r="AB31" s="181">
        <f t="shared" si="11"/>
        <v>0</v>
      </c>
      <c r="AC31" s="182">
        <f t="shared" si="12"/>
        <v>0</v>
      </c>
      <c r="AD31" s="163"/>
      <c r="AE31" s="164"/>
      <c r="AF31" s="183"/>
      <c r="AG31" s="184"/>
      <c r="AH31" s="184"/>
      <c r="AI31" s="185"/>
      <c r="AJ31" s="186"/>
    </row>
    <row r="32" spans="2:36" ht="30" customHeight="1" x14ac:dyDescent="0.2">
      <c r="B32" s="122" t="str">
        <f>IF(COUNTBLANK(N32:AJ32)=20,"",IF(AND(M32&lt;&gt;"",OR(EXPEDIENTE!$F$25="",EXPEDIENTE!$F$27="")),0,""))</f>
        <v/>
      </c>
      <c r="C32" s="122" t="str">
        <f t="shared" si="3"/>
        <v/>
      </c>
      <c r="D32" s="122" t="str">
        <f t="shared" si="4"/>
        <v/>
      </c>
      <c r="E32" s="122" t="str">
        <f>IF(P32="","",IF(AND(M32=1,OR(P32&lt;EXPEDIENTE!$F$25,P32&gt;EXPEDIENTE!$F$27)),3,""))</f>
        <v/>
      </c>
      <c r="F32" s="122" t="str">
        <f t="shared" si="5"/>
        <v/>
      </c>
      <c r="G32" s="122" t="str">
        <f t="shared" si="2"/>
        <v/>
      </c>
      <c r="H32" s="122" t="str">
        <f>IF(P32="","",IF(AE32="",6,IF(AND(M32=1,OR(AE32&lt;EXPEDIENTE!$F$25,AE32&gt;EXPEDIENTE!$F$29)),6,"")))</f>
        <v/>
      </c>
      <c r="I32" s="122" t="b">
        <f t="shared" si="6"/>
        <v>0</v>
      </c>
      <c r="J32" s="122">
        <f>IF(AE32&lt;EXPEDIENTE!$I$25,-1,IF(AE32&gt;EXPEDIENTE!$I$29,1,0))</f>
        <v>0</v>
      </c>
      <c r="K32" s="169" t="str">
        <f>IF(IFERROR(VLOOKUP(I32,AUXILIAR!$AD$6:$AE$15,2,FALSE),"")="","",VLOOKUP(I32,AUXILIAR!$AD$6:$AE$15,2,FALSE))</f>
        <v/>
      </c>
      <c r="L32" s="170">
        <v>24</v>
      </c>
      <c r="M32" s="150" t="str">
        <f t="shared" si="7"/>
        <v/>
      </c>
      <c r="N32" s="171"/>
      <c r="O32" s="172"/>
      <c r="P32" s="173"/>
      <c r="Q32" s="174"/>
      <c r="R32" s="175"/>
      <c r="S32" s="174"/>
      <c r="T32" s="174"/>
      <c r="U32" s="176"/>
      <c r="V32" s="177"/>
      <c r="W32" s="178"/>
      <c r="X32" s="179"/>
      <c r="Y32" s="180"/>
      <c r="Z32" s="181">
        <f t="shared" si="8"/>
        <v>0</v>
      </c>
      <c r="AA32" s="180"/>
      <c r="AB32" s="181">
        <f t="shared" si="11"/>
        <v>0</v>
      </c>
      <c r="AC32" s="182">
        <f t="shared" si="12"/>
        <v>0</v>
      </c>
      <c r="AD32" s="163"/>
      <c r="AE32" s="164"/>
      <c r="AF32" s="183"/>
      <c r="AG32" s="184"/>
      <c r="AH32" s="184"/>
      <c r="AI32" s="185"/>
      <c r="AJ32" s="186"/>
    </row>
    <row r="33" spans="2:36" ht="30" customHeight="1" x14ac:dyDescent="0.2">
      <c r="B33" s="122" t="str">
        <f>IF(COUNTBLANK(N33:AJ33)=20,"",IF(AND(M33&lt;&gt;"",OR(EXPEDIENTE!$F$25="",EXPEDIENTE!$F$27="")),0,""))</f>
        <v/>
      </c>
      <c r="C33" s="122" t="str">
        <f t="shared" si="3"/>
        <v/>
      </c>
      <c r="D33" s="122" t="str">
        <f t="shared" si="4"/>
        <v/>
      </c>
      <c r="E33" s="122" t="str">
        <f>IF(P33="","",IF(AND(M33=1,OR(P33&lt;EXPEDIENTE!$F$25,P33&gt;EXPEDIENTE!$F$27)),3,""))</f>
        <v/>
      </c>
      <c r="F33" s="122" t="str">
        <f t="shared" si="5"/>
        <v/>
      </c>
      <c r="G33" s="122" t="str">
        <f t="shared" si="2"/>
        <v/>
      </c>
      <c r="H33" s="122" t="str">
        <f>IF(P33="","",IF(AE33="",6,IF(AND(M33=1,OR(AE33&lt;EXPEDIENTE!$F$25,AE33&gt;EXPEDIENTE!$F$29)),6,"")))</f>
        <v/>
      </c>
      <c r="I33" s="122" t="b">
        <f t="shared" si="6"/>
        <v>0</v>
      </c>
      <c r="J33" s="122">
        <f>IF(AE33&lt;EXPEDIENTE!$I$25,-1,IF(AE33&gt;EXPEDIENTE!$I$29,1,0))</f>
        <v>0</v>
      </c>
      <c r="K33" s="169" t="str">
        <f>IF(IFERROR(VLOOKUP(I33,AUXILIAR!$AD$6:$AE$15,2,FALSE),"")="","",VLOOKUP(I33,AUXILIAR!$AD$6:$AE$15,2,FALSE))</f>
        <v/>
      </c>
      <c r="L33" s="170">
        <v>25</v>
      </c>
      <c r="M33" s="150" t="str">
        <f t="shared" si="7"/>
        <v/>
      </c>
      <c r="N33" s="171"/>
      <c r="O33" s="172"/>
      <c r="P33" s="173"/>
      <c r="Q33" s="174"/>
      <c r="R33" s="175"/>
      <c r="S33" s="174"/>
      <c r="T33" s="174"/>
      <c r="U33" s="176"/>
      <c r="V33" s="177"/>
      <c r="W33" s="178"/>
      <c r="X33" s="179"/>
      <c r="Y33" s="180"/>
      <c r="Z33" s="181">
        <f t="shared" si="8"/>
        <v>0</v>
      </c>
      <c r="AA33" s="180"/>
      <c r="AB33" s="181">
        <f t="shared" si="11"/>
        <v>0</v>
      </c>
      <c r="AC33" s="182">
        <f t="shared" si="12"/>
        <v>0</v>
      </c>
      <c r="AD33" s="163"/>
      <c r="AE33" s="164"/>
      <c r="AF33" s="183"/>
      <c r="AG33" s="184"/>
      <c r="AH33" s="184"/>
      <c r="AI33" s="185"/>
      <c r="AJ33" s="186"/>
    </row>
    <row r="34" spans="2:36" ht="30" customHeight="1" x14ac:dyDescent="0.2">
      <c r="B34" s="122" t="str">
        <f>IF(COUNTBLANK(N34:AJ34)=20,"",IF(AND(M34&lt;&gt;"",OR(EXPEDIENTE!$F$25="",EXPEDIENTE!$F$27="")),0,""))</f>
        <v/>
      </c>
      <c r="C34" s="122" t="str">
        <f t="shared" si="3"/>
        <v/>
      </c>
      <c r="D34" s="122" t="str">
        <f t="shared" si="4"/>
        <v/>
      </c>
      <c r="E34" s="122" t="str">
        <f>IF(P34="","",IF(AND(M34=1,OR(P34&lt;EXPEDIENTE!$F$25,P34&gt;EXPEDIENTE!$F$27)),3,""))</f>
        <v/>
      </c>
      <c r="F34" s="122" t="str">
        <f t="shared" si="5"/>
        <v/>
      </c>
      <c r="G34" s="122" t="str">
        <f t="shared" si="2"/>
        <v/>
      </c>
      <c r="H34" s="122" t="str">
        <f>IF(P34="","",IF(AE34="",6,IF(AND(M34=1,OR(AE34&lt;EXPEDIENTE!$F$25,AE34&gt;EXPEDIENTE!$F$29)),6,"")))</f>
        <v/>
      </c>
      <c r="I34" s="122" t="b">
        <f t="shared" si="6"/>
        <v>0</v>
      </c>
      <c r="J34" s="122">
        <f>IF(AE34&lt;EXPEDIENTE!$I$25,-1,IF(AE34&gt;EXPEDIENTE!$I$29,1,0))</f>
        <v>0</v>
      </c>
      <c r="K34" s="169" t="str">
        <f>IF(IFERROR(VLOOKUP(I34,AUXILIAR!$AD$6:$AE$15,2,FALSE),"")="","",VLOOKUP(I34,AUXILIAR!$AD$6:$AE$15,2,FALSE))</f>
        <v/>
      </c>
      <c r="L34" s="170">
        <v>26</v>
      </c>
      <c r="M34" s="150" t="str">
        <f t="shared" si="7"/>
        <v/>
      </c>
      <c r="N34" s="171"/>
      <c r="O34" s="172"/>
      <c r="P34" s="173"/>
      <c r="Q34" s="174"/>
      <c r="R34" s="175"/>
      <c r="S34" s="174"/>
      <c r="T34" s="174"/>
      <c r="U34" s="176"/>
      <c r="V34" s="177"/>
      <c r="W34" s="178"/>
      <c r="X34" s="179"/>
      <c r="Y34" s="180"/>
      <c r="Z34" s="181">
        <f t="shared" si="8"/>
        <v>0</v>
      </c>
      <c r="AA34" s="180"/>
      <c r="AB34" s="181">
        <f t="shared" si="11"/>
        <v>0</v>
      </c>
      <c r="AC34" s="182">
        <f t="shared" si="12"/>
        <v>0</v>
      </c>
      <c r="AD34" s="163"/>
      <c r="AE34" s="164"/>
      <c r="AF34" s="183"/>
      <c r="AG34" s="184"/>
      <c r="AH34" s="184"/>
      <c r="AI34" s="185"/>
      <c r="AJ34" s="186"/>
    </row>
    <row r="35" spans="2:36" ht="30" customHeight="1" x14ac:dyDescent="0.2">
      <c r="B35" s="122" t="str">
        <f>IF(COUNTBLANK(N35:AJ35)=20,"",IF(AND(M35&lt;&gt;"",OR(EXPEDIENTE!$F$25="",EXPEDIENTE!$F$27="")),0,""))</f>
        <v/>
      </c>
      <c r="C35" s="122" t="str">
        <f t="shared" si="3"/>
        <v/>
      </c>
      <c r="D35" s="122" t="str">
        <f t="shared" si="4"/>
        <v/>
      </c>
      <c r="E35" s="122" t="str">
        <f>IF(P35="","",IF(AND(M35=1,OR(P35&lt;EXPEDIENTE!$F$25,P35&gt;EXPEDIENTE!$F$27)),3,""))</f>
        <v/>
      </c>
      <c r="F35" s="122" t="str">
        <f t="shared" si="5"/>
        <v/>
      </c>
      <c r="G35" s="122" t="str">
        <f t="shared" si="2"/>
        <v/>
      </c>
      <c r="H35" s="122" t="str">
        <f>IF(P35="","",IF(AE35="",6,IF(AND(M35=1,OR(AE35&lt;EXPEDIENTE!$F$25,AE35&gt;EXPEDIENTE!$F$29)),6,"")))</f>
        <v/>
      </c>
      <c r="I35" s="122" t="b">
        <f t="shared" si="6"/>
        <v>0</v>
      </c>
      <c r="J35" s="122">
        <f>IF(AE35&lt;EXPEDIENTE!$I$25,-1,IF(AE35&gt;EXPEDIENTE!$I$29,1,0))</f>
        <v>0</v>
      </c>
      <c r="K35" s="169" t="str">
        <f>IF(IFERROR(VLOOKUP(I35,AUXILIAR!$AD$6:$AE$15,2,FALSE),"")="","",VLOOKUP(I35,AUXILIAR!$AD$6:$AE$15,2,FALSE))</f>
        <v/>
      </c>
      <c r="L35" s="170">
        <v>27</v>
      </c>
      <c r="M35" s="150" t="str">
        <f t="shared" si="7"/>
        <v/>
      </c>
      <c r="N35" s="171"/>
      <c r="O35" s="172"/>
      <c r="P35" s="173"/>
      <c r="Q35" s="174"/>
      <c r="R35" s="175"/>
      <c r="S35" s="174"/>
      <c r="T35" s="174"/>
      <c r="U35" s="176"/>
      <c r="V35" s="177"/>
      <c r="W35" s="178"/>
      <c r="X35" s="179"/>
      <c r="Y35" s="180"/>
      <c r="Z35" s="181">
        <f t="shared" si="8"/>
        <v>0</v>
      </c>
      <c r="AA35" s="180"/>
      <c r="AB35" s="181">
        <f t="shared" si="11"/>
        <v>0</v>
      </c>
      <c r="AC35" s="182">
        <f t="shared" si="12"/>
        <v>0</v>
      </c>
      <c r="AD35" s="163"/>
      <c r="AE35" s="164"/>
      <c r="AF35" s="183"/>
      <c r="AG35" s="184"/>
      <c r="AH35" s="184"/>
      <c r="AI35" s="185"/>
      <c r="AJ35" s="186"/>
    </row>
    <row r="36" spans="2:36" ht="30" customHeight="1" x14ac:dyDescent="0.2">
      <c r="B36" s="122" t="str">
        <f>IF(COUNTBLANK(N36:AJ36)=20,"",IF(AND(M36&lt;&gt;"",OR(EXPEDIENTE!$F$25="",EXPEDIENTE!$F$27="")),0,""))</f>
        <v/>
      </c>
      <c r="C36" s="122" t="str">
        <f t="shared" si="3"/>
        <v/>
      </c>
      <c r="D36" s="122" t="str">
        <f t="shared" si="4"/>
        <v/>
      </c>
      <c r="E36" s="122" t="str">
        <f>IF(P36="","",IF(AND(M36=1,OR(P36&lt;EXPEDIENTE!$F$25,P36&gt;EXPEDIENTE!$F$27)),3,""))</f>
        <v/>
      </c>
      <c r="F36" s="122" t="str">
        <f t="shared" si="5"/>
        <v/>
      </c>
      <c r="G36" s="122" t="str">
        <f t="shared" si="2"/>
        <v/>
      </c>
      <c r="H36" s="122" t="str">
        <f>IF(P36="","",IF(AE36="",6,IF(AND(M36=1,OR(AE36&lt;EXPEDIENTE!$F$25,AE36&gt;EXPEDIENTE!$F$29)),6,"")))</f>
        <v/>
      </c>
      <c r="I36" s="122" t="b">
        <f t="shared" si="6"/>
        <v>0</v>
      </c>
      <c r="J36" s="122">
        <f>IF(AE36&lt;EXPEDIENTE!$I$25,-1,IF(AE36&gt;EXPEDIENTE!$I$29,1,0))</f>
        <v>0</v>
      </c>
      <c r="K36" s="169" t="str">
        <f>IF(IFERROR(VLOOKUP(I36,AUXILIAR!$AD$6:$AE$15,2,FALSE),"")="","",VLOOKUP(I36,AUXILIAR!$AD$6:$AE$15,2,FALSE))</f>
        <v/>
      </c>
      <c r="L36" s="170">
        <v>28</v>
      </c>
      <c r="M36" s="150" t="str">
        <f t="shared" si="7"/>
        <v/>
      </c>
      <c r="N36" s="171"/>
      <c r="O36" s="172"/>
      <c r="P36" s="173"/>
      <c r="Q36" s="174"/>
      <c r="R36" s="175"/>
      <c r="S36" s="174"/>
      <c r="T36" s="174"/>
      <c r="U36" s="176"/>
      <c r="V36" s="177"/>
      <c r="W36" s="178"/>
      <c r="X36" s="179"/>
      <c r="Y36" s="180"/>
      <c r="Z36" s="181">
        <f t="shared" si="8"/>
        <v>0</v>
      </c>
      <c r="AA36" s="180"/>
      <c r="AB36" s="181">
        <f t="shared" si="11"/>
        <v>0</v>
      </c>
      <c r="AC36" s="182">
        <f t="shared" si="12"/>
        <v>0</v>
      </c>
      <c r="AD36" s="163"/>
      <c r="AE36" s="164"/>
      <c r="AF36" s="183"/>
      <c r="AG36" s="184"/>
      <c r="AH36" s="184"/>
      <c r="AI36" s="185"/>
      <c r="AJ36" s="186"/>
    </row>
    <row r="37" spans="2:36" ht="30" customHeight="1" x14ac:dyDescent="0.2">
      <c r="B37" s="122" t="str">
        <f>IF(COUNTBLANK(N37:AJ37)=20,"",IF(AND(M37&lt;&gt;"",OR(EXPEDIENTE!$F$25="",EXPEDIENTE!$F$27="")),0,""))</f>
        <v/>
      </c>
      <c r="C37" s="122" t="str">
        <f t="shared" si="3"/>
        <v/>
      </c>
      <c r="D37" s="122" t="str">
        <f t="shared" si="4"/>
        <v/>
      </c>
      <c r="E37" s="122" t="str">
        <f>IF(P37="","",IF(AND(M37=1,OR(P37&lt;EXPEDIENTE!$F$25,P37&gt;EXPEDIENTE!$F$27)),3,""))</f>
        <v/>
      </c>
      <c r="F37" s="122" t="str">
        <f t="shared" si="5"/>
        <v/>
      </c>
      <c r="G37" s="122" t="str">
        <f t="shared" si="2"/>
        <v/>
      </c>
      <c r="H37" s="122" t="str">
        <f>IF(P37="","",IF(AE37="",6,IF(AND(M37=1,OR(AE37&lt;EXPEDIENTE!$F$25,AE37&gt;EXPEDIENTE!$F$29)),6,"")))</f>
        <v/>
      </c>
      <c r="I37" s="122" t="b">
        <f t="shared" si="6"/>
        <v>0</v>
      </c>
      <c r="J37" s="122">
        <f>IF(AE37&lt;EXPEDIENTE!$I$25,-1,IF(AE37&gt;EXPEDIENTE!$I$29,1,0))</f>
        <v>0</v>
      </c>
      <c r="K37" s="169"/>
      <c r="L37" s="170">
        <v>29</v>
      </c>
      <c r="M37" s="150" t="str">
        <f t="shared" si="7"/>
        <v/>
      </c>
      <c r="N37" s="171"/>
      <c r="O37" s="172"/>
      <c r="P37" s="173"/>
      <c r="Q37" s="174"/>
      <c r="R37" s="175"/>
      <c r="S37" s="174"/>
      <c r="T37" s="174"/>
      <c r="U37" s="176"/>
      <c r="V37" s="177"/>
      <c r="W37" s="178"/>
      <c r="X37" s="179"/>
      <c r="Y37" s="180"/>
      <c r="Z37" s="181">
        <f t="shared" si="8"/>
        <v>0</v>
      </c>
      <c r="AA37" s="180"/>
      <c r="AB37" s="181">
        <f t="shared" si="11"/>
        <v>0</v>
      </c>
      <c r="AC37" s="182">
        <f t="shared" si="12"/>
        <v>0</v>
      </c>
      <c r="AD37" s="163"/>
      <c r="AE37" s="164"/>
      <c r="AF37" s="183"/>
      <c r="AG37" s="184"/>
      <c r="AH37" s="184"/>
      <c r="AI37" s="185"/>
      <c r="AJ37" s="186"/>
    </row>
    <row r="38" spans="2:36" ht="30" customHeight="1" x14ac:dyDescent="0.2">
      <c r="B38" s="122" t="str">
        <f>IF(COUNTBLANK(N38:AJ38)=20,"",IF(AND(M38&lt;&gt;"",OR(EXPEDIENTE!$F$25="",EXPEDIENTE!$F$27="")),0,""))</f>
        <v/>
      </c>
      <c r="C38" s="122" t="str">
        <f t="shared" si="3"/>
        <v/>
      </c>
      <c r="D38" s="122" t="str">
        <f t="shared" si="4"/>
        <v/>
      </c>
      <c r="E38" s="122" t="str">
        <f>IF(P38="","",IF(AND(M38=1,OR(P38&lt;EXPEDIENTE!$F$25,P38&gt;EXPEDIENTE!$F$27)),3,""))</f>
        <v/>
      </c>
      <c r="F38" s="122" t="str">
        <f t="shared" si="5"/>
        <v/>
      </c>
      <c r="G38" s="122" t="str">
        <f t="shared" si="2"/>
        <v/>
      </c>
      <c r="H38" s="122" t="str">
        <f>IF(P38="","",IF(AE38="",6,IF(AND(M38=1,OR(AE38&lt;EXPEDIENTE!$F$25,AE38&gt;EXPEDIENTE!$F$29)),6,"")))</f>
        <v/>
      </c>
      <c r="I38" s="122" t="b">
        <f t="shared" si="6"/>
        <v>0</v>
      </c>
      <c r="J38" s="122">
        <f>IF(AE38&lt;EXPEDIENTE!$I$25,-1,IF(AE38&gt;EXPEDIENTE!$I$29,1,0))</f>
        <v>0</v>
      </c>
      <c r="K38" s="169"/>
      <c r="L38" s="170">
        <v>30</v>
      </c>
      <c r="M38" s="150" t="str">
        <f t="shared" si="7"/>
        <v/>
      </c>
      <c r="N38" s="171"/>
      <c r="O38" s="172"/>
      <c r="P38" s="173"/>
      <c r="Q38" s="174"/>
      <c r="R38" s="175"/>
      <c r="S38" s="174"/>
      <c r="T38" s="174"/>
      <c r="U38" s="176"/>
      <c r="V38" s="177"/>
      <c r="W38" s="178"/>
      <c r="X38" s="179"/>
      <c r="Y38" s="180"/>
      <c r="Z38" s="181">
        <f t="shared" si="8"/>
        <v>0</v>
      </c>
      <c r="AA38" s="180"/>
      <c r="AB38" s="181">
        <f t="shared" si="11"/>
        <v>0</v>
      </c>
      <c r="AC38" s="182">
        <f t="shared" si="12"/>
        <v>0</v>
      </c>
      <c r="AD38" s="163"/>
      <c r="AE38" s="164"/>
      <c r="AF38" s="183"/>
      <c r="AG38" s="184"/>
      <c r="AH38" s="184"/>
      <c r="AI38" s="185"/>
      <c r="AJ38" s="186"/>
    </row>
    <row r="39" spans="2:36" ht="30" customHeight="1" x14ac:dyDescent="0.2">
      <c r="B39" s="122" t="str">
        <f>IF(COUNTBLANK(N39:AJ39)=20,"",IF(AND(M39&lt;&gt;"",OR(EXPEDIENTE!$F$25="",EXPEDIENTE!$F$27="")),0,""))</f>
        <v/>
      </c>
      <c r="C39" s="122" t="str">
        <f t="shared" si="3"/>
        <v/>
      </c>
      <c r="D39" s="122" t="str">
        <f t="shared" si="4"/>
        <v/>
      </c>
      <c r="E39" s="122" t="str">
        <f>IF(P39="","",IF(AND(M39=1,OR(P39&lt;EXPEDIENTE!$F$25,P39&gt;EXPEDIENTE!$F$27)),3,""))</f>
        <v/>
      </c>
      <c r="F39" s="122" t="str">
        <f t="shared" si="5"/>
        <v/>
      </c>
      <c r="G39" s="122" t="str">
        <f t="shared" si="2"/>
        <v/>
      </c>
      <c r="H39" s="122" t="str">
        <f>IF(P39="","",IF(AE39="",6,IF(AND(M39=1,OR(AE39&lt;EXPEDIENTE!$F$25,AE39&gt;EXPEDIENTE!$F$29)),6,"")))</f>
        <v/>
      </c>
      <c r="I39" s="122" t="b">
        <f t="shared" si="6"/>
        <v>0</v>
      </c>
      <c r="J39" s="122">
        <f>IF(AE39&lt;EXPEDIENTE!$I$25,-1,IF(AE39&gt;EXPEDIENTE!$I$29,1,0))</f>
        <v>0</v>
      </c>
      <c r="K39" s="169"/>
      <c r="L39" s="170">
        <v>31</v>
      </c>
      <c r="M39" s="150" t="str">
        <f t="shared" si="7"/>
        <v/>
      </c>
      <c r="N39" s="171"/>
      <c r="O39" s="172"/>
      <c r="P39" s="173"/>
      <c r="Q39" s="174"/>
      <c r="R39" s="175"/>
      <c r="S39" s="174"/>
      <c r="T39" s="174"/>
      <c r="U39" s="176"/>
      <c r="V39" s="177"/>
      <c r="W39" s="178"/>
      <c r="X39" s="179"/>
      <c r="Y39" s="180"/>
      <c r="Z39" s="181">
        <f t="shared" si="8"/>
        <v>0</v>
      </c>
      <c r="AA39" s="180"/>
      <c r="AB39" s="181">
        <f t="shared" si="11"/>
        <v>0</v>
      </c>
      <c r="AC39" s="182">
        <f t="shared" si="12"/>
        <v>0</v>
      </c>
      <c r="AD39" s="163"/>
      <c r="AE39" s="164"/>
      <c r="AF39" s="183"/>
      <c r="AG39" s="184"/>
      <c r="AH39" s="184"/>
      <c r="AI39" s="185"/>
      <c r="AJ39" s="186"/>
    </row>
    <row r="40" spans="2:36" ht="30" customHeight="1" x14ac:dyDescent="0.2">
      <c r="B40" s="122" t="str">
        <f>IF(COUNTBLANK(N40:AJ40)=20,"",IF(AND(M40&lt;&gt;"",OR(EXPEDIENTE!$F$25="",EXPEDIENTE!$F$27="")),0,""))</f>
        <v/>
      </c>
      <c r="C40" s="122" t="str">
        <f t="shared" si="3"/>
        <v/>
      </c>
      <c r="D40" s="122" t="str">
        <f t="shared" si="4"/>
        <v/>
      </c>
      <c r="E40" s="122" t="str">
        <f>IF(P40="","",IF(AND(M40=1,OR(P40&lt;EXPEDIENTE!$F$25,P40&gt;EXPEDIENTE!$F$27)),3,""))</f>
        <v/>
      </c>
      <c r="F40" s="122" t="str">
        <f t="shared" si="5"/>
        <v/>
      </c>
      <c r="G40" s="122" t="str">
        <f t="shared" si="2"/>
        <v/>
      </c>
      <c r="H40" s="122" t="str">
        <f>IF(P40="","",IF(AE40="",6,IF(AND(M40=1,OR(AE40&lt;EXPEDIENTE!$F$25,AE40&gt;EXPEDIENTE!$F$29)),6,"")))</f>
        <v/>
      </c>
      <c r="I40" s="122" t="b">
        <f t="shared" si="6"/>
        <v>0</v>
      </c>
      <c r="J40" s="122">
        <f>IF(AE40&lt;EXPEDIENTE!$I$25,-1,IF(AE40&gt;EXPEDIENTE!$I$29,1,0))</f>
        <v>0</v>
      </c>
      <c r="K40" s="169"/>
      <c r="L40" s="170">
        <v>32</v>
      </c>
      <c r="M40" s="150" t="str">
        <f t="shared" si="7"/>
        <v/>
      </c>
      <c r="N40" s="171"/>
      <c r="O40" s="172"/>
      <c r="P40" s="173"/>
      <c r="Q40" s="174"/>
      <c r="R40" s="175"/>
      <c r="S40" s="174"/>
      <c r="T40" s="174"/>
      <c r="U40" s="176"/>
      <c r="V40" s="177"/>
      <c r="W40" s="178"/>
      <c r="X40" s="179"/>
      <c r="Y40" s="180"/>
      <c r="Z40" s="181">
        <f t="shared" si="8"/>
        <v>0</v>
      </c>
      <c r="AA40" s="180"/>
      <c r="AB40" s="181">
        <f t="shared" si="11"/>
        <v>0</v>
      </c>
      <c r="AC40" s="182">
        <f t="shared" si="12"/>
        <v>0</v>
      </c>
      <c r="AD40" s="163"/>
      <c r="AE40" s="164"/>
      <c r="AF40" s="183"/>
      <c r="AG40" s="184"/>
      <c r="AH40" s="184"/>
      <c r="AI40" s="185"/>
      <c r="AJ40" s="186"/>
    </row>
    <row r="41" spans="2:36" ht="30" customHeight="1" x14ac:dyDescent="0.2">
      <c r="B41" s="122" t="str">
        <f>IF(COUNTBLANK(N41:AJ41)=20,"",IF(AND(M41&lt;&gt;"",OR(EXPEDIENTE!$F$25="",EXPEDIENTE!$F$27="")),0,""))</f>
        <v/>
      </c>
      <c r="C41" s="122" t="str">
        <f t="shared" si="3"/>
        <v/>
      </c>
      <c r="D41" s="122" t="str">
        <f t="shared" si="4"/>
        <v/>
      </c>
      <c r="E41" s="122" t="str">
        <f>IF(P41="","",IF(AND(M41=1,OR(P41&lt;EXPEDIENTE!$F$25,P41&gt;EXPEDIENTE!$F$27)),3,""))</f>
        <v/>
      </c>
      <c r="F41" s="122" t="str">
        <f t="shared" si="5"/>
        <v/>
      </c>
      <c r="G41" s="122" t="str">
        <f t="shared" si="2"/>
        <v/>
      </c>
      <c r="H41" s="122" t="str">
        <f>IF(P41="","",IF(AE41="",6,IF(AND(M41=1,OR(AE41&lt;EXPEDIENTE!$F$25,AE41&gt;EXPEDIENTE!$F$29)),6,"")))</f>
        <v/>
      </c>
      <c r="I41" s="122" t="b">
        <f t="shared" si="6"/>
        <v>0</v>
      </c>
      <c r="J41" s="122">
        <f>IF(AE41&lt;EXPEDIENTE!$I$25,-1,IF(AE41&gt;EXPEDIENTE!$I$29,1,0))</f>
        <v>0</v>
      </c>
      <c r="K41" s="169"/>
      <c r="L41" s="170">
        <v>33</v>
      </c>
      <c r="M41" s="150" t="str">
        <f t="shared" si="7"/>
        <v/>
      </c>
      <c r="N41" s="171"/>
      <c r="O41" s="172"/>
      <c r="P41" s="173"/>
      <c r="Q41" s="174"/>
      <c r="R41" s="175"/>
      <c r="S41" s="174"/>
      <c r="T41" s="174"/>
      <c r="U41" s="176"/>
      <c r="V41" s="177"/>
      <c r="W41" s="178"/>
      <c r="X41" s="179"/>
      <c r="Y41" s="180"/>
      <c r="Z41" s="181">
        <f t="shared" si="8"/>
        <v>0</v>
      </c>
      <c r="AA41" s="180"/>
      <c r="AB41" s="181">
        <f t="shared" si="11"/>
        <v>0</v>
      </c>
      <c r="AC41" s="182">
        <f t="shared" si="12"/>
        <v>0</v>
      </c>
      <c r="AD41" s="163"/>
      <c r="AE41" s="164"/>
      <c r="AF41" s="183"/>
      <c r="AG41" s="184"/>
      <c r="AH41" s="184"/>
      <c r="AI41" s="185"/>
      <c r="AJ41" s="186"/>
    </row>
    <row r="42" spans="2:36" ht="30" customHeight="1" x14ac:dyDescent="0.2">
      <c r="B42" s="122" t="str">
        <f>IF(COUNTBLANK(N42:AJ42)=20,"",IF(AND(M42&lt;&gt;"",OR(EXPEDIENTE!$F$25="",EXPEDIENTE!$F$27="")),0,""))</f>
        <v/>
      </c>
      <c r="C42" s="122" t="str">
        <f t="shared" si="3"/>
        <v/>
      </c>
      <c r="D42" s="122" t="str">
        <f t="shared" si="4"/>
        <v/>
      </c>
      <c r="E42" s="122" t="str">
        <f>IF(P42="","",IF(AND(M42=1,OR(P42&lt;EXPEDIENTE!$F$25,P42&gt;EXPEDIENTE!$F$27)),3,""))</f>
        <v/>
      </c>
      <c r="F42" s="122" t="str">
        <f t="shared" si="5"/>
        <v/>
      </c>
      <c r="G42" s="122" t="str">
        <f t="shared" si="2"/>
        <v/>
      </c>
      <c r="H42" s="122" t="str">
        <f>IF(P42="","",IF(AE42="",6,IF(AND(M42=1,OR(AE42&lt;EXPEDIENTE!$F$25,AE42&gt;EXPEDIENTE!$F$29)),6,"")))</f>
        <v/>
      </c>
      <c r="I42" s="122" t="b">
        <f t="shared" si="6"/>
        <v>0</v>
      </c>
      <c r="J42" s="122">
        <f>IF(AE42&lt;EXPEDIENTE!$I$25,-1,IF(AE42&gt;EXPEDIENTE!$I$29,1,0))</f>
        <v>0</v>
      </c>
      <c r="K42" s="169"/>
      <c r="L42" s="170">
        <v>34</v>
      </c>
      <c r="M42" s="150" t="str">
        <f t="shared" si="7"/>
        <v/>
      </c>
      <c r="N42" s="171"/>
      <c r="O42" s="172"/>
      <c r="P42" s="173"/>
      <c r="Q42" s="174"/>
      <c r="R42" s="175"/>
      <c r="S42" s="174"/>
      <c r="T42" s="174"/>
      <c r="U42" s="176"/>
      <c r="V42" s="177"/>
      <c r="W42" s="178"/>
      <c r="X42" s="179"/>
      <c r="Y42" s="180"/>
      <c r="Z42" s="181">
        <f t="shared" si="8"/>
        <v>0</v>
      </c>
      <c r="AA42" s="180"/>
      <c r="AB42" s="181">
        <f t="shared" si="11"/>
        <v>0</v>
      </c>
      <c r="AC42" s="182">
        <f t="shared" si="12"/>
        <v>0</v>
      </c>
      <c r="AD42" s="163"/>
      <c r="AE42" s="164"/>
      <c r="AF42" s="183"/>
      <c r="AG42" s="184"/>
      <c r="AH42" s="184"/>
      <c r="AI42" s="185"/>
      <c r="AJ42" s="186"/>
    </row>
    <row r="43" spans="2:36" ht="30" customHeight="1" x14ac:dyDescent="0.2">
      <c r="B43" s="122" t="str">
        <f>IF(COUNTBLANK(N43:AJ43)=20,"",IF(AND(M43&lt;&gt;"",OR(EXPEDIENTE!$F$25="",EXPEDIENTE!$F$27="")),0,""))</f>
        <v/>
      </c>
      <c r="C43" s="122" t="str">
        <f t="shared" si="3"/>
        <v/>
      </c>
      <c r="D43" s="122" t="str">
        <f t="shared" si="4"/>
        <v/>
      </c>
      <c r="E43" s="122" t="str">
        <f>IF(P43="","",IF(AND(M43=1,OR(P43&lt;EXPEDIENTE!$F$25,P43&gt;EXPEDIENTE!$F$27)),3,""))</f>
        <v/>
      </c>
      <c r="F43" s="122" t="str">
        <f t="shared" si="5"/>
        <v/>
      </c>
      <c r="G43" s="122" t="str">
        <f t="shared" si="2"/>
        <v/>
      </c>
      <c r="H43" s="122" t="str">
        <f>IF(P43="","",IF(AE43="",6,IF(AND(M43=1,OR(AE43&lt;EXPEDIENTE!$F$25,AE43&gt;EXPEDIENTE!$F$29)),6,"")))</f>
        <v/>
      </c>
      <c r="I43" s="122" t="b">
        <f t="shared" si="6"/>
        <v>0</v>
      </c>
      <c r="J43" s="122">
        <f>IF(AE43&lt;EXPEDIENTE!$I$25,-1,IF(AE43&gt;EXPEDIENTE!$I$29,1,0))</f>
        <v>0</v>
      </c>
      <c r="K43" s="169"/>
      <c r="L43" s="170">
        <v>35</v>
      </c>
      <c r="M43" s="150" t="str">
        <f t="shared" si="7"/>
        <v/>
      </c>
      <c r="N43" s="171"/>
      <c r="O43" s="172"/>
      <c r="P43" s="173"/>
      <c r="Q43" s="174"/>
      <c r="R43" s="175"/>
      <c r="S43" s="174"/>
      <c r="T43" s="174"/>
      <c r="U43" s="176"/>
      <c r="V43" s="177"/>
      <c r="W43" s="178"/>
      <c r="X43" s="179"/>
      <c r="Y43" s="180"/>
      <c r="Z43" s="181">
        <f t="shared" si="8"/>
        <v>0</v>
      </c>
      <c r="AA43" s="180"/>
      <c r="AB43" s="181">
        <f t="shared" si="11"/>
        <v>0</v>
      </c>
      <c r="AC43" s="182">
        <f t="shared" si="12"/>
        <v>0</v>
      </c>
      <c r="AD43" s="163"/>
      <c r="AE43" s="164"/>
      <c r="AF43" s="183"/>
      <c r="AG43" s="184"/>
      <c r="AH43" s="184"/>
      <c r="AI43" s="185"/>
      <c r="AJ43" s="186"/>
    </row>
    <row r="44" spans="2:36" ht="30" customHeight="1" x14ac:dyDescent="0.2">
      <c r="B44" s="122" t="str">
        <f>IF(COUNTBLANK(N44:AJ44)=20,"",IF(AND(M44&lt;&gt;"",OR(EXPEDIENTE!$F$25="",EXPEDIENTE!$F$27="")),0,""))</f>
        <v/>
      </c>
      <c r="C44" s="122" t="str">
        <f t="shared" si="3"/>
        <v/>
      </c>
      <c r="D44" s="122" t="str">
        <f t="shared" si="4"/>
        <v/>
      </c>
      <c r="E44" s="122" t="str">
        <f>IF(P44="","",IF(AND(M44=1,OR(P44&lt;EXPEDIENTE!$F$25,P44&gt;EXPEDIENTE!$F$27)),3,""))</f>
        <v/>
      </c>
      <c r="F44" s="122" t="str">
        <f t="shared" si="5"/>
        <v/>
      </c>
      <c r="G44" s="122" t="str">
        <f t="shared" si="2"/>
        <v/>
      </c>
      <c r="H44" s="122" t="str">
        <f>IF(P44="","",IF(AE44="",6,IF(AND(M44=1,OR(AE44&lt;EXPEDIENTE!$F$25,AE44&gt;EXPEDIENTE!$F$29)),6,"")))</f>
        <v/>
      </c>
      <c r="I44" s="122" t="b">
        <f t="shared" si="6"/>
        <v>0</v>
      </c>
      <c r="J44" s="122">
        <f>IF(AE44&lt;EXPEDIENTE!$I$25,-1,IF(AE44&gt;EXPEDIENTE!$I$29,1,0))</f>
        <v>0</v>
      </c>
      <c r="K44" s="169"/>
      <c r="L44" s="170">
        <v>36</v>
      </c>
      <c r="M44" s="150" t="str">
        <f t="shared" si="7"/>
        <v/>
      </c>
      <c r="N44" s="171"/>
      <c r="O44" s="172"/>
      <c r="P44" s="173"/>
      <c r="Q44" s="174"/>
      <c r="R44" s="175"/>
      <c r="S44" s="174"/>
      <c r="T44" s="174"/>
      <c r="U44" s="176"/>
      <c r="V44" s="177"/>
      <c r="W44" s="178"/>
      <c r="X44" s="179"/>
      <c r="Y44" s="180"/>
      <c r="Z44" s="181">
        <f t="shared" si="8"/>
        <v>0</v>
      </c>
      <c r="AA44" s="180"/>
      <c r="AB44" s="181">
        <f t="shared" si="11"/>
        <v>0</v>
      </c>
      <c r="AC44" s="182">
        <f t="shared" si="12"/>
        <v>0</v>
      </c>
      <c r="AD44" s="163"/>
      <c r="AE44" s="164"/>
      <c r="AF44" s="183"/>
      <c r="AG44" s="184"/>
      <c r="AH44" s="184"/>
      <c r="AI44" s="185"/>
      <c r="AJ44" s="186"/>
    </row>
    <row r="45" spans="2:36" ht="30" customHeight="1" x14ac:dyDescent="0.2">
      <c r="B45" s="122" t="str">
        <f>IF(COUNTBLANK(N45:AJ45)=20,"",IF(AND(M45&lt;&gt;"",OR(EXPEDIENTE!$F$25="",EXPEDIENTE!$F$27="")),0,""))</f>
        <v/>
      </c>
      <c r="C45" s="122" t="str">
        <f t="shared" si="3"/>
        <v/>
      </c>
      <c r="D45" s="122" t="str">
        <f t="shared" si="4"/>
        <v/>
      </c>
      <c r="E45" s="122" t="str">
        <f>IF(P45="","",IF(AND(M45=1,OR(P45&lt;EXPEDIENTE!$F$25,P45&gt;EXPEDIENTE!$F$27)),3,""))</f>
        <v/>
      </c>
      <c r="F45" s="122" t="str">
        <f t="shared" si="5"/>
        <v/>
      </c>
      <c r="G45" s="122" t="str">
        <f t="shared" si="2"/>
        <v/>
      </c>
      <c r="H45" s="122" t="str">
        <f>IF(P45="","",IF(AE45="",6,IF(AND(M45=1,OR(AE45&lt;EXPEDIENTE!$F$25,AE45&gt;EXPEDIENTE!$F$29)),6,"")))</f>
        <v/>
      </c>
      <c r="I45" s="122" t="b">
        <f t="shared" si="6"/>
        <v>0</v>
      </c>
      <c r="J45" s="122">
        <f>IF(AE45&lt;EXPEDIENTE!$I$25,-1,IF(AE45&gt;EXPEDIENTE!$I$29,1,0))</f>
        <v>0</v>
      </c>
      <c r="K45" s="169"/>
      <c r="L45" s="170">
        <v>37</v>
      </c>
      <c r="M45" s="150" t="str">
        <f t="shared" si="7"/>
        <v/>
      </c>
      <c r="N45" s="171"/>
      <c r="O45" s="172"/>
      <c r="P45" s="173"/>
      <c r="Q45" s="174"/>
      <c r="R45" s="175"/>
      <c r="S45" s="174"/>
      <c r="T45" s="174"/>
      <c r="U45" s="176"/>
      <c r="V45" s="177"/>
      <c r="W45" s="178"/>
      <c r="X45" s="179"/>
      <c r="Y45" s="180"/>
      <c r="Z45" s="181">
        <f t="shared" si="8"/>
        <v>0</v>
      </c>
      <c r="AA45" s="180"/>
      <c r="AB45" s="181">
        <f t="shared" si="11"/>
        <v>0</v>
      </c>
      <c r="AC45" s="182">
        <f t="shared" si="12"/>
        <v>0</v>
      </c>
      <c r="AD45" s="163"/>
      <c r="AE45" s="164"/>
      <c r="AF45" s="183"/>
      <c r="AG45" s="184"/>
      <c r="AH45" s="184"/>
      <c r="AI45" s="185"/>
      <c r="AJ45" s="186"/>
    </row>
    <row r="46" spans="2:36" ht="30" customHeight="1" x14ac:dyDescent="0.2">
      <c r="B46" s="122" t="str">
        <f>IF(COUNTBLANK(N46:AJ46)=20,"",IF(AND(M46&lt;&gt;"",OR(EXPEDIENTE!$F$25="",EXPEDIENTE!$F$27="")),0,""))</f>
        <v/>
      </c>
      <c r="C46" s="122" t="str">
        <f t="shared" si="3"/>
        <v/>
      </c>
      <c r="D46" s="122" t="str">
        <f t="shared" si="4"/>
        <v/>
      </c>
      <c r="E46" s="122" t="str">
        <f>IF(P46="","",IF(AND(M46=1,OR(P46&lt;EXPEDIENTE!$F$25,P46&gt;EXPEDIENTE!$F$27)),3,""))</f>
        <v/>
      </c>
      <c r="F46" s="122" t="str">
        <f t="shared" si="5"/>
        <v/>
      </c>
      <c r="G46" s="122" t="str">
        <f t="shared" si="2"/>
        <v/>
      </c>
      <c r="H46" s="122" t="str">
        <f>IF(P46="","",IF(AE46="",6,IF(AND(M46=1,OR(AE46&lt;EXPEDIENTE!$F$25,AE46&gt;EXPEDIENTE!$F$29)),6,"")))</f>
        <v/>
      </c>
      <c r="I46" s="122" t="b">
        <f t="shared" si="6"/>
        <v>0</v>
      </c>
      <c r="J46" s="122">
        <f>IF(AE46&lt;EXPEDIENTE!$I$25,-1,IF(AE46&gt;EXPEDIENTE!$I$29,1,0))</f>
        <v>0</v>
      </c>
      <c r="K46" s="169"/>
      <c r="L46" s="170">
        <v>38</v>
      </c>
      <c r="M46" s="150" t="str">
        <f t="shared" si="7"/>
        <v/>
      </c>
      <c r="N46" s="171"/>
      <c r="O46" s="172"/>
      <c r="P46" s="173"/>
      <c r="Q46" s="174"/>
      <c r="R46" s="175"/>
      <c r="S46" s="174"/>
      <c r="T46" s="174"/>
      <c r="U46" s="176"/>
      <c r="V46" s="177"/>
      <c r="W46" s="178"/>
      <c r="X46" s="179"/>
      <c r="Y46" s="180"/>
      <c r="Z46" s="181">
        <f t="shared" si="8"/>
        <v>0</v>
      </c>
      <c r="AA46" s="180"/>
      <c r="AB46" s="181">
        <f t="shared" si="11"/>
        <v>0</v>
      </c>
      <c r="AC46" s="182">
        <f t="shared" si="12"/>
        <v>0</v>
      </c>
      <c r="AD46" s="163"/>
      <c r="AE46" s="164"/>
      <c r="AF46" s="183"/>
      <c r="AG46" s="184"/>
      <c r="AH46" s="184"/>
      <c r="AI46" s="185"/>
      <c r="AJ46" s="186"/>
    </row>
    <row r="47" spans="2:36" ht="30" customHeight="1" x14ac:dyDescent="0.2">
      <c r="B47" s="122" t="str">
        <f>IF(COUNTBLANK(N47:AJ47)=20,"",IF(AND(M47&lt;&gt;"",OR(EXPEDIENTE!$F$25="",EXPEDIENTE!$F$27="")),0,""))</f>
        <v/>
      </c>
      <c r="C47" s="122" t="str">
        <f t="shared" si="3"/>
        <v/>
      </c>
      <c r="D47" s="122" t="str">
        <f t="shared" si="4"/>
        <v/>
      </c>
      <c r="E47" s="122" t="str">
        <f>IF(P47="","",IF(AND(M47=1,OR(P47&lt;EXPEDIENTE!$F$25,P47&gt;EXPEDIENTE!$F$27)),3,""))</f>
        <v/>
      </c>
      <c r="F47" s="122" t="str">
        <f t="shared" si="5"/>
        <v/>
      </c>
      <c r="G47" s="122" t="str">
        <f t="shared" si="2"/>
        <v/>
      </c>
      <c r="H47" s="122" t="str">
        <f>IF(P47="","",IF(AE47="",6,IF(AND(M47=1,OR(AE47&lt;EXPEDIENTE!$F$25,AE47&gt;EXPEDIENTE!$F$29)),6,"")))</f>
        <v/>
      </c>
      <c r="I47" s="122" t="b">
        <f t="shared" si="6"/>
        <v>0</v>
      </c>
      <c r="J47" s="122">
        <f>IF(AE47&lt;EXPEDIENTE!$I$25,-1,IF(AE47&gt;EXPEDIENTE!$I$29,1,0))</f>
        <v>0</v>
      </c>
      <c r="K47" s="169" t="str">
        <f>IF(IFERROR(VLOOKUP(I47,AUXILIAR!$AD$6:$AE$15,2,FALSE),"")="","",VLOOKUP(I47,AUXILIAR!$AD$6:$AE$15,2,FALSE))</f>
        <v/>
      </c>
      <c r="L47" s="170">
        <v>39</v>
      </c>
      <c r="M47" s="150" t="str">
        <f t="shared" si="7"/>
        <v/>
      </c>
      <c r="N47" s="171"/>
      <c r="O47" s="172"/>
      <c r="P47" s="173"/>
      <c r="Q47" s="174"/>
      <c r="R47" s="175"/>
      <c r="S47" s="174"/>
      <c r="T47" s="174"/>
      <c r="U47" s="176"/>
      <c r="V47" s="177"/>
      <c r="W47" s="178"/>
      <c r="X47" s="179"/>
      <c r="Y47" s="180"/>
      <c r="Z47" s="181">
        <f t="shared" si="8"/>
        <v>0</v>
      </c>
      <c r="AA47" s="180"/>
      <c r="AB47" s="181">
        <f t="shared" si="11"/>
        <v>0</v>
      </c>
      <c r="AC47" s="182">
        <f t="shared" si="12"/>
        <v>0</v>
      </c>
      <c r="AD47" s="163"/>
      <c r="AE47" s="164"/>
      <c r="AF47" s="183"/>
      <c r="AG47" s="184"/>
      <c r="AH47" s="184"/>
      <c r="AI47" s="185"/>
      <c r="AJ47" s="186"/>
    </row>
    <row r="48" spans="2:36" ht="30" customHeight="1" x14ac:dyDescent="0.2">
      <c r="B48" s="122" t="str">
        <f>IF(COUNTBLANK(N48:AJ48)=20,"",IF(AND(M48&lt;&gt;"",OR(EXPEDIENTE!$F$25="",EXPEDIENTE!$F$27="")),0,""))</f>
        <v/>
      </c>
      <c r="C48" s="122" t="str">
        <f t="shared" ref="C48:C82" si="13">IF(COUNTBLANK(N48:AJ48)=20,"",IF(AND(M48="",COUNTBLANK(N48:AJ48)&lt;&gt;20),1,""))</f>
        <v/>
      </c>
      <c r="D48" s="122" t="str">
        <f t="shared" ref="D48:D82" si="14">IF(AND(M48=1,COUNTBLANK(O48:T48)&lt;&gt;0),2,"")</f>
        <v/>
      </c>
      <c r="E48" s="122" t="str">
        <f>IF(P48="","",IF(AND(M48=1,OR(P48&lt;EXPEDIENTE!$F$25,P48&gt;EXPEDIENTE!$F$27)),3,""))</f>
        <v/>
      </c>
      <c r="F48" s="122" t="str">
        <f t="shared" ref="F48:F82" si="15">IF(AND(M48=1,C48="",D48="",E48="",OR(COUNTBLANK(V48:W48)&gt;0,COUNTBLANK(Y48:AC48)&gt;=1)),4,"")</f>
        <v/>
      </c>
      <c r="G48" s="122" t="str">
        <f t="shared" ref="G48:G82" si="16">IF(AND(M48&lt;&gt;"",C48="",D48="",E48="",F48="",COUNTBLANK(AD48:AE48)&gt;0),5,"")</f>
        <v/>
      </c>
      <c r="H48" s="122" t="str">
        <f>IF(P48="","",IF(AE48="",6,IF(AND(M48=1,OR(AE48&lt;EXPEDIENTE!$F$25,AE48&gt;EXPEDIENTE!$F$29)),6,"")))</f>
        <v/>
      </c>
      <c r="I48" s="122" t="b">
        <f t="shared" ref="I48:I82" si="17">IF(B48&lt;&gt;"",B48,IF(C48&lt;&gt;"",C48,IF(D48&lt;&gt;"",D48,IF(E48&lt;&gt;"",E48,IF(F48&lt;&gt;"",F48,IF(G48&lt;&gt;"",G48,IF(H48&lt;&gt;"",H48)))))))</f>
        <v>0</v>
      </c>
      <c r="J48" s="122">
        <f>IF(AE48&lt;EXPEDIENTE!$I$25,-1,IF(AE48&gt;EXPEDIENTE!$I$29,1,0))</f>
        <v>0</v>
      </c>
      <c r="K48" s="169" t="str">
        <f>IF(IFERROR(VLOOKUP(I48,AUXILIAR!$AD$6:$AE$15,2,FALSE),"")="","",VLOOKUP(I48,AUXILIAR!$AD$6:$AE$15,2,FALSE))</f>
        <v/>
      </c>
      <c r="L48" s="170">
        <v>40</v>
      </c>
      <c r="M48" s="150" t="str">
        <f t="shared" si="7"/>
        <v/>
      </c>
      <c r="N48" s="187"/>
      <c r="O48" s="188"/>
      <c r="P48" s="189"/>
      <c r="Q48" s="190"/>
      <c r="R48" s="191"/>
      <c r="S48" s="190"/>
      <c r="T48" s="190"/>
      <c r="U48" s="192"/>
      <c r="V48" s="193"/>
      <c r="W48" s="194"/>
      <c r="X48" s="195"/>
      <c r="Y48" s="196"/>
      <c r="Z48" s="181">
        <f t="shared" ref="Z48:Z82" si="18">V48*Y48</f>
        <v>0</v>
      </c>
      <c r="AA48" s="180"/>
      <c r="AB48" s="181">
        <f t="shared" ref="AB48:AB82" si="19">V48*AA48</f>
        <v>0</v>
      </c>
      <c r="AC48" s="182">
        <f t="shared" ref="AC48:AC82" si="20">V48+AB48-Z48</f>
        <v>0</v>
      </c>
      <c r="AD48" s="197"/>
      <c r="AE48" s="198"/>
      <c r="AF48" s="199"/>
      <c r="AG48" s="200"/>
      <c r="AH48" s="200"/>
      <c r="AI48" s="201"/>
      <c r="AJ48" s="202"/>
    </row>
    <row r="49" spans="2:36" ht="30" customHeight="1" x14ac:dyDescent="0.2">
      <c r="B49" s="122" t="str">
        <f>IF(COUNTBLANK(N49:AJ49)=20,"",IF(AND(M49&lt;&gt;"",OR(EXPEDIENTE!$F$25="",EXPEDIENTE!$F$27="")),0,""))</f>
        <v/>
      </c>
      <c r="C49" s="122" t="str">
        <f t="shared" si="13"/>
        <v/>
      </c>
      <c r="D49" s="122" t="str">
        <f t="shared" si="14"/>
        <v/>
      </c>
      <c r="E49" s="122" t="str">
        <f>IF(P49="","",IF(AND(M49=1,OR(P49&lt;EXPEDIENTE!$F$25,P49&gt;EXPEDIENTE!$F$27)),3,""))</f>
        <v/>
      </c>
      <c r="F49" s="122" t="str">
        <f t="shared" si="15"/>
        <v/>
      </c>
      <c r="G49" s="122" t="str">
        <f t="shared" si="16"/>
        <v/>
      </c>
      <c r="H49" s="122" t="str">
        <f>IF(P49="","",IF(AE49="",6,IF(AND(M49=1,OR(AE49&lt;EXPEDIENTE!$F$25,AE49&gt;EXPEDIENTE!$F$29)),6,"")))</f>
        <v/>
      </c>
      <c r="I49" s="122" t="b">
        <f t="shared" si="17"/>
        <v>0</v>
      </c>
      <c r="J49" s="122">
        <f>IF(AE49&lt;EXPEDIENTE!$I$25,-1,IF(AE49&gt;EXPEDIENTE!$I$29,1,0))</f>
        <v>0</v>
      </c>
      <c r="K49" s="169" t="str">
        <f>IF(IFERROR(VLOOKUP(I49,AUXILIAR!$AD$6:$AE$15,2,FALSE),"")="","",VLOOKUP(I49,AUXILIAR!$AD$6:$AE$15,2,FALSE))</f>
        <v/>
      </c>
      <c r="L49" s="170">
        <v>41</v>
      </c>
      <c r="M49" s="150" t="str">
        <f t="shared" si="7"/>
        <v/>
      </c>
      <c r="N49" s="187"/>
      <c r="O49" s="188"/>
      <c r="P49" s="189"/>
      <c r="Q49" s="190"/>
      <c r="R49" s="191"/>
      <c r="S49" s="190"/>
      <c r="T49" s="190"/>
      <c r="U49" s="192"/>
      <c r="V49" s="193"/>
      <c r="W49" s="194"/>
      <c r="X49" s="195"/>
      <c r="Y49" s="196"/>
      <c r="Z49" s="181">
        <f t="shared" si="18"/>
        <v>0</v>
      </c>
      <c r="AA49" s="180"/>
      <c r="AB49" s="181">
        <f t="shared" si="19"/>
        <v>0</v>
      </c>
      <c r="AC49" s="182">
        <f t="shared" si="20"/>
        <v>0</v>
      </c>
      <c r="AD49" s="197"/>
      <c r="AE49" s="198"/>
      <c r="AF49" s="199"/>
      <c r="AG49" s="200"/>
      <c r="AH49" s="200"/>
      <c r="AI49" s="201"/>
      <c r="AJ49" s="202"/>
    </row>
    <row r="50" spans="2:36" ht="30" customHeight="1" x14ac:dyDescent="0.2">
      <c r="B50" s="122" t="str">
        <f>IF(COUNTBLANK(N50:AJ50)=20,"",IF(AND(M50&lt;&gt;"",OR(EXPEDIENTE!$F$25="",EXPEDIENTE!$F$27="")),0,""))</f>
        <v/>
      </c>
      <c r="C50" s="122" t="str">
        <f t="shared" si="13"/>
        <v/>
      </c>
      <c r="D50" s="122" t="str">
        <f t="shared" si="14"/>
        <v/>
      </c>
      <c r="E50" s="122" t="str">
        <f>IF(P50="","",IF(AND(M50=1,OR(P50&lt;EXPEDIENTE!$F$25,P50&gt;EXPEDIENTE!$F$27)),3,""))</f>
        <v/>
      </c>
      <c r="F50" s="122" t="str">
        <f t="shared" si="15"/>
        <v/>
      </c>
      <c r="G50" s="122" t="str">
        <f t="shared" si="16"/>
        <v/>
      </c>
      <c r="H50" s="122" t="str">
        <f>IF(P50="","",IF(AE50="",6,IF(AND(M50=1,OR(AE50&lt;EXPEDIENTE!$F$25,AE50&gt;EXPEDIENTE!$F$29)),6,"")))</f>
        <v/>
      </c>
      <c r="I50" s="122" t="b">
        <f t="shared" si="17"/>
        <v>0</v>
      </c>
      <c r="J50" s="122">
        <f>IF(AE50&lt;EXPEDIENTE!$I$25,-1,IF(AE50&gt;EXPEDIENTE!$I$29,1,0))</f>
        <v>0</v>
      </c>
      <c r="K50" s="169" t="str">
        <f>IF(IFERROR(VLOOKUP(I50,AUXILIAR!$AD$6:$AE$15,2,FALSE),"")="","",VLOOKUP(I50,AUXILIAR!$AD$6:$AE$15,2,FALSE))</f>
        <v/>
      </c>
      <c r="L50" s="170">
        <v>42</v>
      </c>
      <c r="M50" s="150" t="str">
        <f t="shared" si="7"/>
        <v/>
      </c>
      <c r="N50" s="187"/>
      <c r="O50" s="188"/>
      <c r="P50" s="189"/>
      <c r="Q50" s="190"/>
      <c r="R50" s="191"/>
      <c r="S50" s="190"/>
      <c r="T50" s="190"/>
      <c r="U50" s="192"/>
      <c r="V50" s="193"/>
      <c r="W50" s="194"/>
      <c r="X50" s="195"/>
      <c r="Y50" s="196"/>
      <c r="Z50" s="181">
        <f t="shared" si="18"/>
        <v>0</v>
      </c>
      <c r="AA50" s="180"/>
      <c r="AB50" s="181">
        <f t="shared" si="19"/>
        <v>0</v>
      </c>
      <c r="AC50" s="182">
        <f t="shared" si="20"/>
        <v>0</v>
      </c>
      <c r="AD50" s="197"/>
      <c r="AE50" s="198"/>
      <c r="AF50" s="199"/>
      <c r="AG50" s="200"/>
      <c r="AH50" s="200"/>
      <c r="AI50" s="201"/>
      <c r="AJ50" s="202"/>
    </row>
    <row r="51" spans="2:36" ht="30" customHeight="1" x14ac:dyDescent="0.2">
      <c r="B51" s="122" t="str">
        <f>IF(COUNTBLANK(N51:AJ51)=20,"",IF(AND(M51&lt;&gt;"",OR(EXPEDIENTE!$F$25="",EXPEDIENTE!$F$27="")),0,""))</f>
        <v/>
      </c>
      <c r="C51" s="122" t="str">
        <f t="shared" si="13"/>
        <v/>
      </c>
      <c r="D51" s="122" t="str">
        <f t="shared" si="14"/>
        <v/>
      </c>
      <c r="E51" s="122" t="str">
        <f>IF(P51="","",IF(AND(M51=1,OR(P51&lt;EXPEDIENTE!$F$25,P51&gt;EXPEDIENTE!$F$27)),3,""))</f>
        <v/>
      </c>
      <c r="F51" s="122" t="str">
        <f t="shared" si="15"/>
        <v/>
      </c>
      <c r="G51" s="122" t="str">
        <f t="shared" si="16"/>
        <v/>
      </c>
      <c r="H51" s="122" t="str">
        <f>IF(P51="","",IF(AE51="",6,IF(AND(M51=1,OR(AE51&lt;EXPEDIENTE!$F$25,AE51&gt;EXPEDIENTE!$F$29)),6,"")))</f>
        <v/>
      </c>
      <c r="I51" s="122" t="b">
        <f t="shared" si="17"/>
        <v>0</v>
      </c>
      <c r="J51" s="122">
        <f>IF(AE51&lt;EXPEDIENTE!$I$25,-1,IF(AE51&gt;EXPEDIENTE!$I$29,1,0))</f>
        <v>0</v>
      </c>
      <c r="K51" s="169" t="str">
        <f>IF(IFERROR(VLOOKUP(I51,AUXILIAR!$AD$6:$AE$15,2,FALSE),"")="","",VLOOKUP(I51,AUXILIAR!$AD$6:$AE$15,2,FALSE))</f>
        <v/>
      </c>
      <c r="L51" s="170">
        <v>43</v>
      </c>
      <c r="M51" s="150" t="str">
        <f t="shared" si="7"/>
        <v/>
      </c>
      <c r="N51" s="187"/>
      <c r="O51" s="188"/>
      <c r="P51" s="189"/>
      <c r="Q51" s="190"/>
      <c r="R51" s="191"/>
      <c r="S51" s="190"/>
      <c r="T51" s="190"/>
      <c r="U51" s="192"/>
      <c r="V51" s="193"/>
      <c r="W51" s="194"/>
      <c r="X51" s="195"/>
      <c r="Y51" s="196"/>
      <c r="Z51" s="181">
        <f t="shared" si="18"/>
        <v>0</v>
      </c>
      <c r="AA51" s="180"/>
      <c r="AB51" s="181">
        <f t="shared" si="19"/>
        <v>0</v>
      </c>
      <c r="AC51" s="182">
        <f t="shared" si="20"/>
        <v>0</v>
      </c>
      <c r="AD51" s="197"/>
      <c r="AE51" s="198"/>
      <c r="AF51" s="199"/>
      <c r="AG51" s="200"/>
      <c r="AH51" s="200"/>
      <c r="AI51" s="201"/>
      <c r="AJ51" s="202"/>
    </row>
    <row r="52" spans="2:36" ht="30" customHeight="1" x14ac:dyDescent="0.2">
      <c r="B52" s="122" t="str">
        <f>IF(COUNTBLANK(N52:AJ52)=20,"",IF(AND(M52&lt;&gt;"",OR(EXPEDIENTE!$F$25="",EXPEDIENTE!$F$27="")),0,""))</f>
        <v/>
      </c>
      <c r="C52" s="122" t="str">
        <f t="shared" si="13"/>
        <v/>
      </c>
      <c r="D52" s="122" t="str">
        <f t="shared" si="14"/>
        <v/>
      </c>
      <c r="E52" s="122" t="str">
        <f>IF(P52="","",IF(AND(M52=1,OR(P52&lt;EXPEDIENTE!$F$25,P52&gt;EXPEDIENTE!$F$27)),3,""))</f>
        <v/>
      </c>
      <c r="F52" s="122" t="str">
        <f t="shared" si="15"/>
        <v/>
      </c>
      <c r="G52" s="122" t="str">
        <f t="shared" si="16"/>
        <v/>
      </c>
      <c r="H52" s="122" t="str">
        <f>IF(P52="","",IF(AE52="",6,IF(AND(M52=1,OR(AE52&lt;EXPEDIENTE!$F$25,AE52&gt;EXPEDIENTE!$F$29)),6,"")))</f>
        <v/>
      </c>
      <c r="I52" s="122" t="b">
        <f t="shared" si="17"/>
        <v>0</v>
      </c>
      <c r="J52" s="122">
        <f>IF(AE52&lt;EXPEDIENTE!$I$25,-1,IF(AE52&gt;EXPEDIENTE!$I$29,1,0))</f>
        <v>0</v>
      </c>
      <c r="K52" s="169" t="str">
        <f>IF(IFERROR(VLOOKUP(I52,AUXILIAR!$AD$6:$AE$15,2,FALSE),"")="","",VLOOKUP(I52,AUXILIAR!$AD$6:$AE$15,2,FALSE))</f>
        <v/>
      </c>
      <c r="L52" s="170">
        <v>44</v>
      </c>
      <c r="M52" s="150" t="str">
        <f t="shared" si="7"/>
        <v/>
      </c>
      <c r="N52" s="187"/>
      <c r="O52" s="188"/>
      <c r="P52" s="189"/>
      <c r="Q52" s="190"/>
      <c r="R52" s="191"/>
      <c r="S52" s="190"/>
      <c r="T52" s="190"/>
      <c r="U52" s="192"/>
      <c r="V52" s="193"/>
      <c r="W52" s="194"/>
      <c r="X52" s="195"/>
      <c r="Y52" s="196"/>
      <c r="Z52" s="181">
        <f t="shared" si="18"/>
        <v>0</v>
      </c>
      <c r="AA52" s="180"/>
      <c r="AB52" s="181">
        <f t="shared" si="19"/>
        <v>0</v>
      </c>
      <c r="AC52" s="182">
        <f t="shared" si="20"/>
        <v>0</v>
      </c>
      <c r="AD52" s="197"/>
      <c r="AE52" s="198"/>
      <c r="AF52" s="199"/>
      <c r="AG52" s="200"/>
      <c r="AH52" s="200"/>
      <c r="AI52" s="201"/>
      <c r="AJ52" s="202"/>
    </row>
    <row r="53" spans="2:36" ht="30" customHeight="1" x14ac:dyDescent="0.2">
      <c r="B53" s="122" t="str">
        <f>IF(COUNTBLANK(N53:AJ53)=20,"",IF(AND(M53&lt;&gt;"",OR(EXPEDIENTE!$F$25="",EXPEDIENTE!$F$27="")),0,""))</f>
        <v/>
      </c>
      <c r="C53" s="122" t="str">
        <f t="shared" si="13"/>
        <v/>
      </c>
      <c r="D53" s="122" t="str">
        <f t="shared" si="14"/>
        <v/>
      </c>
      <c r="E53" s="122" t="str">
        <f>IF(P53="","",IF(AND(M53=1,OR(P53&lt;EXPEDIENTE!$F$25,P53&gt;EXPEDIENTE!$F$27)),3,""))</f>
        <v/>
      </c>
      <c r="F53" s="122" t="str">
        <f t="shared" si="15"/>
        <v/>
      </c>
      <c r="G53" s="122" t="str">
        <f t="shared" si="16"/>
        <v/>
      </c>
      <c r="H53" s="122" t="str">
        <f>IF(P53="","",IF(AE53="",6,IF(AND(M53=1,OR(AE53&lt;EXPEDIENTE!$F$25,AE53&gt;EXPEDIENTE!$F$29)),6,"")))</f>
        <v/>
      </c>
      <c r="I53" s="122" t="b">
        <f t="shared" si="17"/>
        <v>0</v>
      </c>
      <c r="J53" s="122">
        <f>IF(AE53&lt;EXPEDIENTE!$I$25,-1,IF(AE53&gt;EXPEDIENTE!$I$29,1,0))</f>
        <v>0</v>
      </c>
      <c r="K53" s="169" t="str">
        <f>IF(IFERROR(VLOOKUP(I53,AUXILIAR!$AD$6:$AE$15,2,FALSE),"")="","",VLOOKUP(I53,AUXILIAR!$AD$6:$AE$15,2,FALSE))</f>
        <v/>
      </c>
      <c r="L53" s="170">
        <v>45</v>
      </c>
      <c r="M53" s="150" t="str">
        <f t="shared" si="7"/>
        <v/>
      </c>
      <c r="N53" s="187"/>
      <c r="O53" s="188"/>
      <c r="P53" s="189"/>
      <c r="Q53" s="190"/>
      <c r="R53" s="191"/>
      <c r="S53" s="190"/>
      <c r="T53" s="190"/>
      <c r="U53" s="192"/>
      <c r="V53" s="193"/>
      <c r="W53" s="194"/>
      <c r="X53" s="195"/>
      <c r="Y53" s="196"/>
      <c r="Z53" s="181">
        <f t="shared" si="18"/>
        <v>0</v>
      </c>
      <c r="AA53" s="180"/>
      <c r="AB53" s="181">
        <f t="shared" si="19"/>
        <v>0</v>
      </c>
      <c r="AC53" s="182">
        <f t="shared" si="20"/>
        <v>0</v>
      </c>
      <c r="AD53" s="197"/>
      <c r="AE53" s="198"/>
      <c r="AF53" s="199"/>
      <c r="AG53" s="200"/>
      <c r="AH53" s="200"/>
      <c r="AI53" s="201"/>
      <c r="AJ53" s="202"/>
    </row>
    <row r="54" spans="2:36" ht="30" customHeight="1" x14ac:dyDescent="0.2">
      <c r="B54" s="122" t="str">
        <f>IF(COUNTBLANK(N54:AJ54)=20,"",IF(AND(M54&lt;&gt;"",OR(EXPEDIENTE!$F$25="",EXPEDIENTE!$F$27="")),0,""))</f>
        <v/>
      </c>
      <c r="C54" s="122" t="str">
        <f t="shared" si="13"/>
        <v/>
      </c>
      <c r="D54" s="122" t="str">
        <f t="shared" si="14"/>
        <v/>
      </c>
      <c r="E54" s="122" t="str">
        <f>IF(P54="","",IF(AND(M54=1,OR(P54&lt;EXPEDIENTE!$F$25,P54&gt;EXPEDIENTE!$F$27)),3,""))</f>
        <v/>
      </c>
      <c r="F54" s="122" t="str">
        <f t="shared" si="15"/>
        <v/>
      </c>
      <c r="G54" s="122" t="str">
        <f t="shared" si="16"/>
        <v/>
      </c>
      <c r="H54" s="122" t="str">
        <f>IF(P54="","",IF(AE54="",6,IF(AND(M54=1,OR(AE54&lt;EXPEDIENTE!$F$25,AE54&gt;EXPEDIENTE!$F$29)),6,"")))</f>
        <v/>
      </c>
      <c r="I54" s="122" t="b">
        <f t="shared" si="17"/>
        <v>0</v>
      </c>
      <c r="J54" s="122">
        <f>IF(AE54&lt;EXPEDIENTE!$I$25,-1,IF(AE54&gt;EXPEDIENTE!$I$29,1,0))</f>
        <v>0</v>
      </c>
      <c r="K54" s="169" t="str">
        <f>IF(IFERROR(VLOOKUP(I54,AUXILIAR!$AD$6:$AE$15,2,FALSE),"")="","",VLOOKUP(I54,AUXILIAR!$AD$6:$AE$15,2,FALSE))</f>
        <v/>
      </c>
      <c r="L54" s="170">
        <v>46</v>
      </c>
      <c r="M54" s="150" t="str">
        <f t="shared" si="7"/>
        <v/>
      </c>
      <c r="N54" s="187"/>
      <c r="O54" s="188"/>
      <c r="P54" s="189"/>
      <c r="Q54" s="190"/>
      <c r="R54" s="191"/>
      <c r="S54" s="190"/>
      <c r="T54" s="190"/>
      <c r="U54" s="192"/>
      <c r="V54" s="193"/>
      <c r="W54" s="194"/>
      <c r="X54" s="195"/>
      <c r="Y54" s="196"/>
      <c r="Z54" s="181">
        <f t="shared" si="18"/>
        <v>0</v>
      </c>
      <c r="AA54" s="180"/>
      <c r="AB54" s="181">
        <f t="shared" si="19"/>
        <v>0</v>
      </c>
      <c r="AC54" s="182">
        <f t="shared" si="20"/>
        <v>0</v>
      </c>
      <c r="AD54" s="197"/>
      <c r="AE54" s="198"/>
      <c r="AF54" s="199"/>
      <c r="AG54" s="200"/>
      <c r="AH54" s="200"/>
      <c r="AI54" s="201"/>
      <c r="AJ54" s="202"/>
    </row>
    <row r="55" spans="2:36" ht="30" customHeight="1" x14ac:dyDescent="0.2">
      <c r="B55" s="122" t="str">
        <f>IF(COUNTBLANK(N55:AJ55)=20,"",IF(AND(M55&lt;&gt;"",OR(EXPEDIENTE!$F$25="",EXPEDIENTE!$F$27="")),0,""))</f>
        <v/>
      </c>
      <c r="C55" s="122" t="str">
        <f t="shared" si="13"/>
        <v/>
      </c>
      <c r="D55" s="122" t="str">
        <f t="shared" si="14"/>
        <v/>
      </c>
      <c r="E55" s="122" t="str">
        <f>IF(P55="","",IF(AND(M55=1,OR(P55&lt;EXPEDIENTE!$F$25,P55&gt;EXPEDIENTE!$F$27)),3,""))</f>
        <v/>
      </c>
      <c r="F55" s="122" t="str">
        <f t="shared" si="15"/>
        <v/>
      </c>
      <c r="G55" s="122" t="str">
        <f t="shared" si="16"/>
        <v/>
      </c>
      <c r="H55" s="122" t="str">
        <f>IF(P55="","",IF(AE55="",6,IF(AND(M55=1,OR(AE55&lt;EXPEDIENTE!$F$25,AE55&gt;EXPEDIENTE!$F$29)),6,"")))</f>
        <v/>
      </c>
      <c r="I55" s="122" t="b">
        <f t="shared" si="17"/>
        <v>0</v>
      </c>
      <c r="J55" s="122">
        <f>IF(AE55&lt;EXPEDIENTE!$I$25,-1,IF(AE55&gt;EXPEDIENTE!$I$29,1,0))</f>
        <v>0</v>
      </c>
      <c r="K55" s="169" t="str">
        <f>IF(IFERROR(VLOOKUP(I55,AUXILIAR!$AD$6:$AE$15,2,FALSE),"")="","",VLOOKUP(I55,AUXILIAR!$AD$6:$AE$15,2,FALSE))</f>
        <v/>
      </c>
      <c r="L55" s="170">
        <v>47</v>
      </c>
      <c r="M55" s="150" t="str">
        <f t="shared" si="7"/>
        <v/>
      </c>
      <c r="N55" s="187"/>
      <c r="O55" s="188"/>
      <c r="P55" s="189"/>
      <c r="Q55" s="190"/>
      <c r="R55" s="191"/>
      <c r="S55" s="190"/>
      <c r="T55" s="190"/>
      <c r="U55" s="192"/>
      <c r="V55" s="193"/>
      <c r="W55" s="194"/>
      <c r="X55" s="195"/>
      <c r="Y55" s="196"/>
      <c r="Z55" s="181">
        <f t="shared" si="18"/>
        <v>0</v>
      </c>
      <c r="AA55" s="180"/>
      <c r="AB55" s="181">
        <f t="shared" si="19"/>
        <v>0</v>
      </c>
      <c r="AC55" s="182">
        <f t="shared" si="20"/>
        <v>0</v>
      </c>
      <c r="AD55" s="197"/>
      <c r="AE55" s="198"/>
      <c r="AF55" s="199"/>
      <c r="AG55" s="200"/>
      <c r="AH55" s="200"/>
      <c r="AI55" s="201"/>
      <c r="AJ55" s="202"/>
    </row>
    <row r="56" spans="2:36" ht="30" customHeight="1" x14ac:dyDescent="0.2">
      <c r="B56" s="122" t="str">
        <f>IF(COUNTBLANK(N56:AJ56)=20,"",IF(AND(M56&lt;&gt;"",OR(EXPEDIENTE!$F$25="",EXPEDIENTE!$F$27="")),0,""))</f>
        <v/>
      </c>
      <c r="C56" s="122" t="str">
        <f t="shared" si="13"/>
        <v/>
      </c>
      <c r="D56" s="122" t="str">
        <f t="shared" si="14"/>
        <v/>
      </c>
      <c r="E56" s="122" t="str">
        <f>IF(P56="","",IF(AND(M56=1,OR(P56&lt;EXPEDIENTE!$F$25,P56&gt;EXPEDIENTE!$F$27)),3,""))</f>
        <v/>
      </c>
      <c r="F56" s="122" t="str">
        <f t="shared" si="15"/>
        <v/>
      </c>
      <c r="G56" s="122" t="str">
        <f t="shared" si="16"/>
        <v/>
      </c>
      <c r="H56" s="122" t="str">
        <f>IF(P56="","",IF(AE56="",6,IF(AND(M56=1,OR(AE56&lt;EXPEDIENTE!$F$25,AE56&gt;EXPEDIENTE!$F$29)),6,"")))</f>
        <v/>
      </c>
      <c r="I56" s="122" t="b">
        <f t="shared" si="17"/>
        <v>0</v>
      </c>
      <c r="J56" s="122">
        <f>IF(AE56&lt;EXPEDIENTE!$I$25,-1,IF(AE56&gt;EXPEDIENTE!$I$29,1,0))</f>
        <v>0</v>
      </c>
      <c r="K56" s="169" t="str">
        <f>IF(IFERROR(VLOOKUP(I56,AUXILIAR!$AD$6:$AE$15,2,FALSE),"")="","",VLOOKUP(I56,AUXILIAR!$AD$6:$AE$15,2,FALSE))</f>
        <v/>
      </c>
      <c r="L56" s="170">
        <v>48</v>
      </c>
      <c r="M56" s="150" t="str">
        <f t="shared" si="7"/>
        <v/>
      </c>
      <c r="N56" s="187"/>
      <c r="O56" s="188"/>
      <c r="P56" s="189"/>
      <c r="Q56" s="190"/>
      <c r="R56" s="191"/>
      <c r="S56" s="190"/>
      <c r="T56" s="190"/>
      <c r="U56" s="192"/>
      <c r="V56" s="193"/>
      <c r="W56" s="194"/>
      <c r="X56" s="195"/>
      <c r="Y56" s="196"/>
      <c r="Z56" s="181">
        <f t="shared" si="18"/>
        <v>0</v>
      </c>
      <c r="AA56" s="180"/>
      <c r="AB56" s="181">
        <f t="shared" si="19"/>
        <v>0</v>
      </c>
      <c r="AC56" s="182">
        <f t="shared" si="20"/>
        <v>0</v>
      </c>
      <c r="AD56" s="197"/>
      <c r="AE56" s="198"/>
      <c r="AF56" s="199"/>
      <c r="AG56" s="200"/>
      <c r="AH56" s="200"/>
      <c r="AI56" s="201"/>
      <c r="AJ56" s="202"/>
    </row>
    <row r="57" spans="2:36" ht="30" customHeight="1" x14ac:dyDescent="0.2">
      <c r="B57" s="122" t="str">
        <f>IF(COUNTBLANK(N57:AJ57)=20,"",IF(AND(M57&lt;&gt;"",OR(EXPEDIENTE!$F$25="",EXPEDIENTE!$F$27="")),0,""))</f>
        <v/>
      </c>
      <c r="C57" s="122" t="str">
        <f t="shared" si="13"/>
        <v/>
      </c>
      <c r="D57" s="122" t="str">
        <f t="shared" si="14"/>
        <v/>
      </c>
      <c r="E57" s="122" t="str">
        <f>IF(P57="","",IF(AND(M57=1,OR(P57&lt;EXPEDIENTE!$F$25,P57&gt;EXPEDIENTE!$F$27)),3,""))</f>
        <v/>
      </c>
      <c r="F57" s="122" t="str">
        <f t="shared" si="15"/>
        <v/>
      </c>
      <c r="G57" s="122" t="str">
        <f t="shared" si="16"/>
        <v/>
      </c>
      <c r="H57" s="122" t="str">
        <f>IF(P57="","",IF(AE57="",6,IF(AND(M57=1,OR(AE57&lt;EXPEDIENTE!$F$25,AE57&gt;EXPEDIENTE!$F$29)),6,"")))</f>
        <v/>
      </c>
      <c r="I57" s="122" t="b">
        <f t="shared" si="17"/>
        <v>0</v>
      </c>
      <c r="J57" s="122">
        <f>IF(AE57&lt;EXPEDIENTE!$I$25,-1,IF(AE57&gt;EXPEDIENTE!$I$29,1,0))</f>
        <v>0</v>
      </c>
      <c r="K57" s="169" t="str">
        <f>IF(IFERROR(VLOOKUP(I57,AUXILIAR!$AD$6:$AE$15,2,FALSE),"")="","",VLOOKUP(I57,AUXILIAR!$AD$6:$AE$15,2,FALSE))</f>
        <v/>
      </c>
      <c r="L57" s="170">
        <v>49</v>
      </c>
      <c r="M57" s="150" t="str">
        <f t="shared" si="7"/>
        <v/>
      </c>
      <c r="N57" s="187"/>
      <c r="O57" s="188"/>
      <c r="P57" s="189"/>
      <c r="Q57" s="190"/>
      <c r="R57" s="191"/>
      <c r="S57" s="190"/>
      <c r="T57" s="190"/>
      <c r="U57" s="192"/>
      <c r="V57" s="193"/>
      <c r="W57" s="194"/>
      <c r="X57" s="195"/>
      <c r="Y57" s="196"/>
      <c r="Z57" s="181">
        <f t="shared" si="18"/>
        <v>0</v>
      </c>
      <c r="AA57" s="180"/>
      <c r="AB57" s="181">
        <f t="shared" si="19"/>
        <v>0</v>
      </c>
      <c r="AC57" s="182">
        <f t="shared" si="20"/>
        <v>0</v>
      </c>
      <c r="AD57" s="197"/>
      <c r="AE57" s="198"/>
      <c r="AF57" s="199"/>
      <c r="AG57" s="200"/>
      <c r="AH57" s="200"/>
      <c r="AI57" s="201"/>
      <c r="AJ57" s="202"/>
    </row>
    <row r="58" spans="2:36" ht="30" customHeight="1" x14ac:dyDescent="0.2">
      <c r="B58" s="122" t="str">
        <f>IF(COUNTBLANK(N58:AJ58)=20,"",IF(AND(M58&lt;&gt;"",OR(EXPEDIENTE!$F$25="",EXPEDIENTE!$F$27="")),0,""))</f>
        <v/>
      </c>
      <c r="C58" s="122" t="str">
        <f t="shared" si="13"/>
        <v/>
      </c>
      <c r="D58" s="122" t="str">
        <f t="shared" si="14"/>
        <v/>
      </c>
      <c r="E58" s="122" t="str">
        <f>IF(P58="","",IF(AND(M58=1,OR(P58&lt;EXPEDIENTE!$F$25,P58&gt;EXPEDIENTE!$F$27)),3,""))</f>
        <v/>
      </c>
      <c r="F58" s="122" t="str">
        <f t="shared" si="15"/>
        <v/>
      </c>
      <c r="G58" s="122" t="str">
        <f t="shared" si="16"/>
        <v/>
      </c>
      <c r="H58" s="122" t="str">
        <f>IF(P58="","",IF(AE58="",6,IF(AND(M58=1,OR(AE58&lt;EXPEDIENTE!$F$25,AE58&gt;EXPEDIENTE!$F$29)),6,"")))</f>
        <v/>
      </c>
      <c r="I58" s="122" t="b">
        <f t="shared" si="17"/>
        <v>0</v>
      </c>
      <c r="J58" s="122">
        <f>IF(AE58&lt;EXPEDIENTE!$I$25,-1,IF(AE58&gt;EXPEDIENTE!$I$29,1,0))</f>
        <v>0</v>
      </c>
      <c r="K58" s="169" t="str">
        <f>IF(IFERROR(VLOOKUP(I58,AUXILIAR!$AD$6:$AE$15,2,FALSE),"")="","",VLOOKUP(I58,AUXILIAR!$AD$6:$AE$15,2,FALSE))</f>
        <v/>
      </c>
      <c r="L58" s="170">
        <v>50</v>
      </c>
      <c r="M58" s="150" t="str">
        <f t="shared" si="7"/>
        <v/>
      </c>
      <c r="N58" s="187"/>
      <c r="O58" s="188"/>
      <c r="P58" s="189"/>
      <c r="Q58" s="190"/>
      <c r="R58" s="191"/>
      <c r="S58" s="190"/>
      <c r="T58" s="190"/>
      <c r="U58" s="192"/>
      <c r="V58" s="193"/>
      <c r="W58" s="194"/>
      <c r="X58" s="195"/>
      <c r="Y58" s="196"/>
      <c r="Z58" s="181">
        <f t="shared" si="18"/>
        <v>0</v>
      </c>
      <c r="AA58" s="180"/>
      <c r="AB58" s="181">
        <f t="shared" si="19"/>
        <v>0</v>
      </c>
      <c r="AC58" s="182">
        <f t="shared" si="20"/>
        <v>0</v>
      </c>
      <c r="AD58" s="197"/>
      <c r="AE58" s="198"/>
      <c r="AF58" s="199"/>
      <c r="AG58" s="200"/>
      <c r="AH58" s="200"/>
      <c r="AI58" s="201"/>
      <c r="AJ58" s="202"/>
    </row>
    <row r="59" spans="2:36" ht="30" customHeight="1" x14ac:dyDescent="0.2">
      <c r="B59" s="122" t="str">
        <f>IF(COUNTBLANK(N59:AJ59)=20,"",IF(AND(M59&lt;&gt;"",OR(EXPEDIENTE!$F$25="",EXPEDIENTE!$F$27="")),0,""))</f>
        <v/>
      </c>
      <c r="C59" s="122" t="str">
        <f t="shared" si="13"/>
        <v/>
      </c>
      <c r="D59" s="122" t="str">
        <f t="shared" si="14"/>
        <v/>
      </c>
      <c r="E59" s="122" t="str">
        <f>IF(P59="","",IF(AND(M59=1,OR(P59&lt;EXPEDIENTE!$F$25,P59&gt;EXPEDIENTE!$F$27)),3,""))</f>
        <v/>
      </c>
      <c r="F59" s="122" t="str">
        <f t="shared" si="15"/>
        <v/>
      </c>
      <c r="G59" s="122" t="str">
        <f t="shared" si="16"/>
        <v/>
      </c>
      <c r="H59" s="122" t="str">
        <f>IF(P59="","",IF(AE59="",6,IF(AND(M59=1,OR(AE59&lt;EXPEDIENTE!$F$25,AE59&gt;EXPEDIENTE!$F$29)),6,"")))</f>
        <v/>
      </c>
      <c r="I59" s="122" t="b">
        <f t="shared" si="17"/>
        <v>0</v>
      </c>
      <c r="J59" s="122">
        <f>IF(AE59&lt;EXPEDIENTE!$I$25,-1,IF(AE59&gt;EXPEDIENTE!$I$29,1,0))</f>
        <v>0</v>
      </c>
      <c r="K59" s="169" t="str">
        <f>IF(IFERROR(VLOOKUP(I59,AUXILIAR!$AD$6:$AE$15,2,FALSE),"")="","",VLOOKUP(I59,AUXILIAR!$AD$6:$AE$15,2,FALSE))</f>
        <v/>
      </c>
      <c r="L59" s="170">
        <v>51</v>
      </c>
      <c r="M59" s="150" t="str">
        <f t="shared" si="7"/>
        <v/>
      </c>
      <c r="N59" s="187"/>
      <c r="O59" s="188"/>
      <c r="P59" s="189"/>
      <c r="Q59" s="190"/>
      <c r="R59" s="191"/>
      <c r="S59" s="190"/>
      <c r="T59" s="190"/>
      <c r="U59" s="192"/>
      <c r="V59" s="193"/>
      <c r="W59" s="194"/>
      <c r="X59" s="195"/>
      <c r="Y59" s="196"/>
      <c r="Z59" s="181">
        <f t="shared" si="18"/>
        <v>0</v>
      </c>
      <c r="AA59" s="180"/>
      <c r="AB59" s="181">
        <f t="shared" si="19"/>
        <v>0</v>
      </c>
      <c r="AC59" s="182">
        <f t="shared" si="20"/>
        <v>0</v>
      </c>
      <c r="AD59" s="197"/>
      <c r="AE59" s="198"/>
      <c r="AF59" s="199"/>
      <c r="AG59" s="200"/>
      <c r="AH59" s="200"/>
      <c r="AI59" s="201"/>
      <c r="AJ59" s="202"/>
    </row>
    <row r="60" spans="2:36" ht="30" customHeight="1" x14ac:dyDescent="0.2">
      <c r="B60" s="122" t="str">
        <f>IF(COUNTBLANK(N60:AJ60)=20,"",IF(AND(M60&lt;&gt;"",OR(EXPEDIENTE!$F$25="",EXPEDIENTE!$F$27="")),0,""))</f>
        <v/>
      </c>
      <c r="C60" s="122" t="str">
        <f t="shared" si="13"/>
        <v/>
      </c>
      <c r="D60" s="122" t="str">
        <f t="shared" si="14"/>
        <v/>
      </c>
      <c r="E60" s="122" t="str">
        <f>IF(P60="","",IF(AND(M60=1,OR(P60&lt;EXPEDIENTE!$F$25,P60&gt;EXPEDIENTE!$F$27)),3,""))</f>
        <v/>
      </c>
      <c r="F60" s="122" t="str">
        <f t="shared" si="15"/>
        <v/>
      </c>
      <c r="G60" s="122" t="str">
        <f t="shared" si="16"/>
        <v/>
      </c>
      <c r="H60" s="122" t="str">
        <f>IF(P60="","",IF(AE60="",6,IF(AND(M60=1,OR(AE60&lt;EXPEDIENTE!$F$25,AE60&gt;EXPEDIENTE!$F$29)),6,"")))</f>
        <v/>
      </c>
      <c r="I60" s="122" t="b">
        <f t="shared" si="17"/>
        <v>0</v>
      </c>
      <c r="J60" s="122">
        <f>IF(AE60&lt;EXPEDIENTE!$I$25,-1,IF(AE60&gt;EXPEDIENTE!$I$29,1,0))</f>
        <v>0</v>
      </c>
      <c r="K60" s="169" t="str">
        <f>IF(IFERROR(VLOOKUP(I60,AUXILIAR!$AD$6:$AE$15,2,FALSE),"")="","",VLOOKUP(I60,AUXILIAR!$AD$6:$AE$15,2,FALSE))</f>
        <v/>
      </c>
      <c r="L60" s="170">
        <v>52</v>
      </c>
      <c r="M60" s="150" t="str">
        <f t="shared" si="7"/>
        <v/>
      </c>
      <c r="N60" s="187"/>
      <c r="O60" s="188"/>
      <c r="P60" s="189"/>
      <c r="Q60" s="190"/>
      <c r="R60" s="191"/>
      <c r="S60" s="190"/>
      <c r="T60" s="190"/>
      <c r="U60" s="192"/>
      <c r="V60" s="193"/>
      <c r="W60" s="194"/>
      <c r="X60" s="195"/>
      <c r="Y60" s="196"/>
      <c r="Z60" s="181">
        <f t="shared" si="18"/>
        <v>0</v>
      </c>
      <c r="AA60" s="180"/>
      <c r="AB60" s="181">
        <f t="shared" si="19"/>
        <v>0</v>
      </c>
      <c r="AC60" s="182">
        <f t="shared" si="20"/>
        <v>0</v>
      </c>
      <c r="AD60" s="197"/>
      <c r="AE60" s="198"/>
      <c r="AF60" s="199"/>
      <c r="AG60" s="200"/>
      <c r="AH60" s="200"/>
      <c r="AI60" s="201"/>
      <c r="AJ60" s="202"/>
    </row>
    <row r="61" spans="2:36" ht="30" customHeight="1" x14ac:dyDescent="0.2">
      <c r="B61" s="122" t="str">
        <f>IF(COUNTBLANK(N61:AJ61)=20,"",IF(AND(M61&lt;&gt;"",OR(EXPEDIENTE!$F$25="",EXPEDIENTE!$F$27="")),0,""))</f>
        <v/>
      </c>
      <c r="C61" s="122" t="str">
        <f t="shared" si="13"/>
        <v/>
      </c>
      <c r="D61" s="122" t="str">
        <f t="shared" si="14"/>
        <v/>
      </c>
      <c r="E61" s="122" t="str">
        <f>IF(P61="","",IF(AND(M61=1,OR(P61&lt;EXPEDIENTE!$F$25,P61&gt;EXPEDIENTE!$F$27)),3,""))</f>
        <v/>
      </c>
      <c r="F61" s="122" t="str">
        <f t="shared" si="15"/>
        <v/>
      </c>
      <c r="G61" s="122" t="str">
        <f t="shared" si="16"/>
        <v/>
      </c>
      <c r="H61" s="122" t="str">
        <f>IF(P61="","",IF(AE61="",6,IF(AND(M61=1,OR(AE61&lt;EXPEDIENTE!$F$25,AE61&gt;EXPEDIENTE!$F$29)),6,"")))</f>
        <v/>
      </c>
      <c r="I61" s="122" t="b">
        <f t="shared" si="17"/>
        <v>0</v>
      </c>
      <c r="J61" s="122">
        <f>IF(AE61&lt;EXPEDIENTE!$I$25,-1,IF(AE61&gt;EXPEDIENTE!$I$29,1,0))</f>
        <v>0</v>
      </c>
      <c r="K61" s="169" t="str">
        <f>IF(IFERROR(VLOOKUP(I61,AUXILIAR!$AD$6:$AE$15,2,FALSE),"")="","",VLOOKUP(I61,AUXILIAR!$AD$6:$AE$15,2,FALSE))</f>
        <v/>
      </c>
      <c r="L61" s="170">
        <v>53</v>
      </c>
      <c r="M61" s="150" t="str">
        <f t="shared" si="7"/>
        <v/>
      </c>
      <c r="N61" s="187"/>
      <c r="O61" s="188"/>
      <c r="P61" s="189"/>
      <c r="Q61" s="190"/>
      <c r="R61" s="191"/>
      <c r="S61" s="190"/>
      <c r="T61" s="190"/>
      <c r="U61" s="192"/>
      <c r="V61" s="193"/>
      <c r="W61" s="194"/>
      <c r="X61" s="195"/>
      <c r="Y61" s="196"/>
      <c r="Z61" s="181">
        <f t="shared" si="18"/>
        <v>0</v>
      </c>
      <c r="AA61" s="180"/>
      <c r="AB61" s="181">
        <f t="shared" si="19"/>
        <v>0</v>
      </c>
      <c r="AC61" s="182">
        <f t="shared" si="20"/>
        <v>0</v>
      </c>
      <c r="AD61" s="197"/>
      <c r="AE61" s="198"/>
      <c r="AF61" s="199"/>
      <c r="AG61" s="200"/>
      <c r="AH61" s="200"/>
      <c r="AI61" s="201"/>
      <c r="AJ61" s="202"/>
    </row>
    <row r="62" spans="2:36" ht="30" customHeight="1" x14ac:dyDescent="0.2">
      <c r="B62" s="122" t="str">
        <f>IF(COUNTBLANK(N62:AJ62)=20,"",IF(AND(M62&lt;&gt;"",OR(EXPEDIENTE!$F$25="",EXPEDIENTE!$F$27="")),0,""))</f>
        <v/>
      </c>
      <c r="C62" s="122" t="str">
        <f t="shared" si="13"/>
        <v/>
      </c>
      <c r="D62" s="122" t="str">
        <f t="shared" si="14"/>
        <v/>
      </c>
      <c r="E62" s="122" t="str">
        <f>IF(P62="","",IF(AND(M62=1,OR(P62&lt;EXPEDIENTE!$F$25,P62&gt;EXPEDIENTE!$F$27)),3,""))</f>
        <v/>
      </c>
      <c r="F62" s="122" t="str">
        <f t="shared" si="15"/>
        <v/>
      </c>
      <c r="G62" s="122" t="str">
        <f t="shared" si="16"/>
        <v/>
      </c>
      <c r="H62" s="122" t="str">
        <f>IF(P62="","",IF(AE62="",6,IF(AND(M62=1,OR(AE62&lt;EXPEDIENTE!$F$25,AE62&gt;EXPEDIENTE!$F$29)),6,"")))</f>
        <v/>
      </c>
      <c r="I62" s="122" t="b">
        <f t="shared" si="17"/>
        <v>0</v>
      </c>
      <c r="J62" s="122">
        <f>IF(AE62&lt;EXPEDIENTE!$I$25,-1,IF(AE62&gt;EXPEDIENTE!$I$29,1,0))</f>
        <v>0</v>
      </c>
      <c r="K62" s="169" t="str">
        <f>IF(IFERROR(VLOOKUP(I62,AUXILIAR!$AD$6:$AE$15,2,FALSE),"")="","",VLOOKUP(I62,AUXILIAR!$AD$6:$AE$15,2,FALSE))</f>
        <v/>
      </c>
      <c r="L62" s="170">
        <v>54</v>
      </c>
      <c r="M62" s="150" t="str">
        <f t="shared" si="7"/>
        <v/>
      </c>
      <c r="N62" s="187"/>
      <c r="O62" s="188"/>
      <c r="P62" s="189"/>
      <c r="Q62" s="190"/>
      <c r="R62" s="191"/>
      <c r="S62" s="190"/>
      <c r="T62" s="190"/>
      <c r="U62" s="192"/>
      <c r="V62" s="193"/>
      <c r="W62" s="194"/>
      <c r="X62" s="195"/>
      <c r="Y62" s="196"/>
      <c r="Z62" s="181">
        <f t="shared" si="18"/>
        <v>0</v>
      </c>
      <c r="AA62" s="180"/>
      <c r="AB62" s="181">
        <f t="shared" si="19"/>
        <v>0</v>
      </c>
      <c r="AC62" s="182">
        <f t="shared" si="20"/>
        <v>0</v>
      </c>
      <c r="AD62" s="197"/>
      <c r="AE62" s="198"/>
      <c r="AF62" s="199"/>
      <c r="AG62" s="200"/>
      <c r="AH62" s="200"/>
      <c r="AI62" s="201"/>
      <c r="AJ62" s="202"/>
    </row>
    <row r="63" spans="2:36" ht="30" customHeight="1" x14ac:dyDescent="0.2">
      <c r="B63" s="122" t="str">
        <f>IF(COUNTBLANK(N63:AJ63)=20,"",IF(AND(M63&lt;&gt;"",OR(EXPEDIENTE!$F$25="",EXPEDIENTE!$F$27="")),0,""))</f>
        <v/>
      </c>
      <c r="C63" s="122" t="str">
        <f t="shared" si="13"/>
        <v/>
      </c>
      <c r="D63" s="122" t="str">
        <f t="shared" si="14"/>
        <v/>
      </c>
      <c r="E63" s="122" t="str">
        <f>IF(P63="","",IF(AND(M63=1,OR(P63&lt;EXPEDIENTE!$F$25,P63&gt;EXPEDIENTE!$F$27)),3,""))</f>
        <v/>
      </c>
      <c r="F63" s="122" t="str">
        <f t="shared" si="15"/>
        <v/>
      </c>
      <c r="G63" s="122" t="str">
        <f t="shared" si="16"/>
        <v/>
      </c>
      <c r="H63" s="122" t="str">
        <f>IF(P63="","",IF(AE63="",6,IF(AND(M63=1,OR(AE63&lt;EXPEDIENTE!$F$25,AE63&gt;EXPEDIENTE!$F$29)),6,"")))</f>
        <v/>
      </c>
      <c r="I63" s="122" t="b">
        <f t="shared" si="17"/>
        <v>0</v>
      </c>
      <c r="J63" s="122">
        <f>IF(AE63&lt;EXPEDIENTE!$I$25,-1,IF(AE63&gt;EXPEDIENTE!$I$29,1,0))</f>
        <v>0</v>
      </c>
      <c r="K63" s="169" t="str">
        <f>IF(IFERROR(VLOOKUP(I63,AUXILIAR!$AD$6:$AE$15,2,FALSE),"")="","",VLOOKUP(I63,AUXILIAR!$AD$6:$AE$15,2,FALSE))</f>
        <v/>
      </c>
      <c r="L63" s="170">
        <v>55</v>
      </c>
      <c r="M63" s="150" t="str">
        <f t="shared" si="7"/>
        <v/>
      </c>
      <c r="N63" s="187"/>
      <c r="O63" s="188"/>
      <c r="P63" s="189"/>
      <c r="Q63" s="190"/>
      <c r="R63" s="191"/>
      <c r="S63" s="190"/>
      <c r="T63" s="190"/>
      <c r="U63" s="192"/>
      <c r="V63" s="193"/>
      <c r="W63" s="194"/>
      <c r="X63" s="195"/>
      <c r="Y63" s="196"/>
      <c r="Z63" s="181">
        <f t="shared" si="18"/>
        <v>0</v>
      </c>
      <c r="AA63" s="180"/>
      <c r="AB63" s="181">
        <f t="shared" si="19"/>
        <v>0</v>
      </c>
      <c r="AC63" s="182">
        <f t="shared" si="20"/>
        <v>0</v>
      </c>
      <c r="AD63" s="197"/>
      <c r="AE63" s="198"/>
      <c r="AF63" s="199"/>
      <c r="AG63" s="200"/>
      <c r="AH63" s="200"/>
      <c r="AI63" s="201"/>
      <c r="AJ63" s="202"/>
    </row>
    <row r="64" spans="2:36" ht="30" customHeight="1" x14ac:dyDescent="0.2">
      <c r="B64" s="122" t="str">
        <f>IF(COUNTBLANK(N64:AJ64)=20,"",IF(AND(M64&lt;&gt;"",OR(EXPEDIENTE!$F$25="",EXPEDIENTE!$F$27="")),0,""))</f>
        <v/>
      </c>
      <c r="C64" s="122" t="str">
        <f t="shared" si="13"/>
        <v/>
      </c>
      <c r="D64" s="122" t="str">
        <f t="shared" si="14"/>
        <v/>
      </c>
      <c r="E64" s="122" t="str">
        <f>IF(P64="","",IF(AND(M64=1,OR(P64&lt;EXPEDIENTE!$F$25,P64&gt;EXPEDIENTE!$F$27)),3,""))</f>
        <v/>
      </c>
      <c r="F64" s="122" t="str">
        <f t="shared" si="15"/>
        <v/>
      </c>
      <c r="G64" s="122" t="str">
        <f t="shared" si="16"/>
        <v/>
      </c>
      <c r="H64" s="122" t="str">
        <f>IF(P64="","",IF(AE64="",6,IF(AND(M64=1,OR(AE64&lt;EXPEDIENTE!$F$25,AE64&gt;EXPEDIENTE!$F$29)),6,"")))</f>
        <v/>
      </c>
      <c r="I64" s="122" t="b">
        <f t="shared" si="17"/>
        <v>0</v>
      </c>
      <c r="J64" s="122">
        <f>IF(AE64&lt;EXPEDIENTE!$I$25,-1,IF(AE64&gt;EXPEDIENTE!$I$29,1,0))</f>
        <v>0</v>
      </c>
      <c r="K64" s="169" t="str">
        <f>IF(IFERROR(VLOOKUP(I64,AUXILIAR!$AD$6:$AE$15,2,FALSE),"")="","",VLOOKUP(I64,AUXILIAR!$AD$6:$AE$15,2,FALSE))</f>
        <v/>
      </c>
      <c r="L64" s="170">
        <v>56</v>
      </c>
      <c r="M64" s="150" t="str">
        <f t="shared" si="7"/>
        <v/>
      </c>
      <c r="N64" s="187"/>
      <c r="O64" s="188"/>
      <c r="P64" s="189"/>
      <c r="Q64" s="190"/>
      <c r="R64" s="191"/>
      <c r="S64" s="190"/>
      <c r="T64" s="190"/>
      <c r="U64" s="192"/>
      <c r="V64" s="193"/>
      <c r="W64" s="194"/>
      <c r="X64" s="195"/>
      <c r="Y64" s="196"/>
      <c r="Z64" s="181">
        <f t="shared" si="18"/>
        <v>0</v>
      </c>
      <c r="AA64" s="180"/>
      <c r="AB64" s="181">
        <f t="shared" si="19"/>
        <v>0</v>
      </c>
      <c r="AC64" s="182">
        <f t="shared" si="20"/>
        <v>0</v>
      </c>
      <c r="AD64" s="197"/>
      <c r="AE64" s="198"/>
      <c r="AF64" s="199"/>
      <c r="AG64" s="200"/>
      <c r="AH64" s="200"/>
      <c r="AI64" s="201"/>
      <c r="AJ64" s="202"/>
    </row>
    <row r="65" spans="2:36" ht="30" customHeight="1" x14ac:dyDescent="0.2">
      <c r="B65" s="122" t="str">
        <f>IF(COUNTBLANK(N65:AJ65)=20,"",IF(AND(M65&lt;&gt;"",OR(EXPEDIENTE!$F$25="",EXPEDIENTE!$F$27="")),0,""))</f>
        <v/>
      </c>
      <c r="C65" s="122" t="str">
        <f t="shared" si="13"/>
        <v/>
      </c>
      <c r="D65" s="122" t="str">
        <f t="shared" si="14"/>
        <v/>
      </c>
      <c r="E65" s="122" t="str">
        <f>IF(P65="","",IF(AND(M65=1,OR(P65&lt;EXPEDIENTE!$F$25,P65&gt;EXPEDIENTE!$F$27)),3,""))</f>
        <v/>
      </c>
      <c r="F65" s="122" t="str">
        <f t="shared" si="15"/>
        <v/>
      </c>
      <c r="G65" s="122" t="str">
        <f t="shared" si="16"/>
        <v/>
      </c>
      <c r="H65" s="122" t="str">
        <f>IF(P65="","",IF(AE65="",6,IF(AND(M65=1,OR(AE65&lt;EXPEDIENTE!$F$25,AE65&gt;EXPEDIENTE!$F$29)),6,"")))</f>
        <v/>
      </c>
      <c r="I65" s="122" t="b">
        <f t="shared" si="17"/>
        <v>0</v>
      </c>
      <c r="J65" s="122">
        <f>IF(AE65&lt;EXPEDIENTE!$I$25,-1,IF(AE65&gt;EXPEDIENTE!$I$29,1,0))</f>
        <v>0</v>
      </c>
      <c r="K65" s="169" t="str">
        <f>IF(IFERROR(VLOOKUP(I65,AUXILIAR!$AD$6:$AE$15,2,FALSE),"")="","",VLOOKUP(I65,AUXILIAR!$AD$6:$AE$15,2,FALSE))</f>
        <v/>
      </c>
      <c r="L65" s="170">
        <v>57</v>
      </c>
      <c r="M65" s="150" t="str">
        <f t="shared" si="7"/>
        <v/>
      </c>
      <c r="N65" s="187"/>
      <c r="O65" s="188"/>
      <c r="P65" s="189"/>
      <c r="Q65" s="190"/>
      <c r="R65" s="191"/>
      <c r="S65" s="190"/>
      <c r="T65" s="190"/>
      <c r="U65" s="192"/>
      <c r="V65" s="193"/>
      <c r="W65" s="194"/>
      <c r="X65" s="195"/>
      <c r="Y65" s="196"/>
      <c r="Z65" s="181">
        <f t="shared" si="18"/>
        <v>0</v>
      </c>
      <c r="AA65" s="180"/>
      <c r="AB65" s="181">
        <f t="shared" si="19"/>
        <v>0</v>
      </c>
      <c r="AC65" s="182">
        <f t="shared" si="20"/>
        <v>0</v>
      </c>
      <c r="AD65" s="197"/>
      <c r="AE65" s="198"/>
      <c r="AF65" s="199"/>
      <c r="AG65" s="200"/>
      <c r="AH65" s="200"/>
      <c r="AI65" s="201"/>
      <c r="AJ65" s="202"/>
    </row>
    <row r="66" spans="2:36" ht="30" customHeight="1" x14ac:dyDescent="0.2">
      <c r="B66" s="122" t="str">
        <f>IF(COUNTBLANK(N66:AJ66)=20,"",IF(AND(M66&lt;&gt;"",OR(EXPEDIENTE!$F$25="",EXPEDIENTE!$F$27="")),0,""))</f>
        <v/>
      </c>
      <c r="C66" s="122" t="str">
        <f t="shared" si="13"/>
        <v/>
      </c>
      <c r="D66" s="122" t="str">
        <f t="shared" si="14"/>
        <v/>
      </c>
      <c r="E66" s="122" t="str">
        <f>IF(P66="","",IF(AND(M66=1,OR(P66&lt;EXPEDIENTE!$F$25,P66&gt;EXPEDIENTE!$F$27)),3,""))</f>
        <v/>
      </c>
      <c r="F66" s="122" t="str">
        <f t="shared" si="15"/>
        <v/>
      </c>
      <c r="G66" s="122" t="str">
        <f t="shared" si="16"/>
        <v/>
      </c>
      <c r="H66" s="122" t="str">
        <f>IF(P66="","",IF(AE66="",6,IF(AND(M66=1,OR(AE66&lt;EXPEDIENTE!$F$25,AE66&gt;EXPEDIENTE!$F$29)),6,"")))</f>
        <v/>
      </c>
      <c r="I66" s="122" t="b">
        <f t="shared" si="17"/>
        <v>0</v>
      </c>
      <c r="J66" s="122">
        <f>IF(AE66&lt;EXPEDIENTE!$I$25,-1,IF(AE66&gt;EXPEDIENTE!$I$29,1,0))</f>
        <v>0</v>
      </c>
      <c r="K66" s="169" t="str">
        <f>IF(IFERROR(VLOOKUP(I66,AUXILIAR!$AD$6:$AE$15,2,FALSE),"")="","",VLOOKUP(I66,AUXILIAR!$AD$6:$AE$15,2,FALSE))</f>
        <v/>
      </c>
      <c r="L66" s="170">
        <v>58</v>
      </c>
      <c r="M66" s="150" t="str">
        <f t="shared" si="7"/>
        <v/>
      </c>
      <c r="N66" s="187"/>
      <c r="O66" s="188"/>
      <c r="P66" s="189"/>
      <c r="Q66" s="190"/>
      <c r="R66" s="191"/>
      <c r="S66" s="190"/>
      <c r="T66" s="190"/>
      <c r="U66" s="192"/>
      <c r="V66" s="193"/>
      <c r="W66" s="194"/>
      <c r="X66" s="195"/>
      <c r="Y66" s="196"/>
      <c r="Z66" s="181">
        <f t="shared" si="18"/>
        <v>0</v>
      </c>
      <c r="AA66" s="180"/>
      <c r="AB66" s="181">
        <f t="shared" si="19"/>
        <v>0</v>
      </c>
      <c r="AC66" s="182">
        <f t="shared" si="20"/>
        <v>0</v>
      </c>
      <c r="AD66" s="197"/>
      <c r="AE66" s="198"/>
      <c r="AF66" s="199"/>
      <c r="AG66" s="200"/>
      <c r="AH66" s="200"/>
      <c r="AI66" s="201"/>
      <c r="AJ66" s="202"/>
    </row>
    <row r="67" spans="2:36" ht="30" customHeight="1" x14ac:dyDescent="0.2">
      <c r="B67" s="122" t="str">
        <f>IF(COUNTBLANK(N67:AJ67)=20,"",IF(AND(M67&lt;&gt;"",OR(EXPEDIENTE!$F$25="",EXPEDIENTE!$F$27="")),0,""))</f>
        <v/>
      </c>
      <c r="C67" s="122" t="str">
        <f t="shared" si="13"/>
        <v/>
      </c>
      <c r="D67" s="122" t="str">
        <f t="shared" si="14"/>
        <v/>
      </c>
      <c r="E67" s="122" t="str">
        <f>IF(P67="","",IF(AND(M67=1,OR(P67&lt;EXPEDIENTE!$F$25,P67&gt;EXPEDIENTE!$F$27)),3,""))</f>
        <v/>
      </c>
      <c r="F67" s="122" t="str">
        <f t="shared" si="15"/>
        <v/>
      </c>
      <c r="G67" s="122" t="str">
        <f t="shared" si="16"/>
        <v/>
      </c>
      <c r="H67" s="122" t="str">
        <f>IF(P67="","",IF(AE67="",6,IF(AND(M67=1,OR(AE67&lt;EXPEDIENTE!$F$25,AE67&gt;EXPEDIENTE!$F$29)),6,"")))</f>
        <v/>
      </c>
      <c r="I67" s="122" t="b">
        <f t="shared" si="17"/>
        <v>0</v>
      </c>
      <c r="J67" s="122">
        <f>IF(AE67&lt;EXPEDIENTE!$I$25,-1,IF(AE67&gt;EXPEDIENTE!$I$29,1,0))</f>
        <v>0</v>
      </c>
      <c r="K67" s="169" t="str">
        <f>IF(IFERROR(VLOOKUP(I67,AUXILIAR!$AD$6:$AE$15,2,FALSE),"")="","",VLOOKUP(I67,AUXILIAR!$AD$6:$AE$15,2,FALSE))</f>
        <v/>
      </c>
      <c r="L67" s="170">
        <v>59</v>
      </c>
      <c r="M67" s="150" t="str">
        <f t="shared" si="7"/>
        <v/>
      </c>
      <c r="N67" s="187"/>
      <c r="O67" s="188"/>
      <c r="P67" s="189"/>
      <c r="Q67" s="190"/>
      <c r="R67" s="191"/>
      <c r="S67" s="190"/>
      <c r="T67" s="190"/>
      <c r="U67" s="192"/>
      <c r="V67" s="193"/>
      <c r="W67" s="194"/>
      <c r="X67" s="195"/>
      <c r="Y67" s="196"/>
      <c r="Z67" s="181">
        <f t="shared" si="18"/>
        <v>0</v>
      </c>
      <c r="AA67" s="180"/>
      <c r="AB67" s="181">
        <f t="shared" si="19"/>
        <v>0</v>
      </c>
      <c r="AC67" s="182">
        <f t="shared" si="20"/>
        <v>0</v>
      </c>
      <c r="AD67" s="197"/>
      <c r="AE67" s="198"/>
      <c r="AF67" s="199"/>
      <c r="AG67" s="200"/>
      <c r="AH67" s="200"/>
      <c r="AI67" s="201"/>
      <c r="AJ67" s="202"/>
    </row>
    <row r="68" spans="2:36" ht="30" customHeight="1" x14ac:dyDescent="0.2">
      <c r="B68" s="122" t="str">
        <f>IF(COUNTBLANK(N68:AJ68)=20,"",IF(AND(M68&lt;&gt;"",OR(EXPEDIENTE!$F$25="",EXPEDIENTE!$F$27="")),0,""))</f>
        <v/>
      </c>
      <c r="C68" s="122" t="str">
        <f t="shared" si="13"/>
        <v/>
      </c>
      <c r="D68" s="122" t="str">
        <f t="shared" si="14"/>
        <v/>
      </c>
      <c r="E68" s="122" t="str">
        <f>IF(P68="","",IF(AND(M68=1,OR(P68&lt;EXPEDIENTE!$F$25,P68&gt;EXPEDIENTE!$F$27)),3,""))</f>
        <v/>
      </c>
      <c r="F68" s="122" t="str">
        <f t="shared" si="15"/>
        <v/>
      </c>
      <c r="G68" s="122" t="str">
        <f t="shared" si="16"/>
        <v/>
      </c>
      <c r="H68" s="122" t="str">
        <f>IF(P68="","",IF(AE68="",6,IF(AND(M68=1,OR(AE68&lt;EXPEDIENTE!$F$25,AE68&gt;EXPEDIENTE!$F$29)),6,"")))</f>
        <v/>
      </c>
      <c r="I68" s="122" t="b">
        <f t="shared" si="17"/>
        <v>0</v>
      </c>
      <c r="J68" s="122">
        <f>IF(AE68&lt;EXPEDIENTE!$I$25,-1,IF(AE68&gt;EXPEDIENTE!$I$29,1,0))</f>
        <v>0</v>
      </c>
      <c r="K68" s="169" t="str">
        <f>IF(IFERROR(VLOOKUP(I68,AUXILIAR!$AD$6:$AE$15,2,FALSE),"")="","",VLOOKUP(I68,AUXILIAR!$AD$6:$AE$15,2,FALSE))</f>
        <v/>
      </c>
      <c r="L68" s="170">
        <v>60</v>
      </c>
      <c r="M68" s="150" t="str">
        <f t="shared" si="7"/>
        <v/>
      </c>
      <c r="N68" s="187"/>
      <c r="O68" s="188"/>
      <c r="P68" s="189"/>
      <c r="Q68" s="190"/>
      <c r="R68" s="191"/>
      <c r="S68" s="190"/>
      <c r="T68" s="190"/>
      <c r="U68" s="192"/>
      <c r="V68" s="193"/>
      <c r="W68" s="194"/>
      <c r="X68" s="195"/>
      <c r="Y68" s="196"/>
      <c r="Z68" s="181">
        <f t="shared" si="18"/>
        <v>0</v>
      </c>
      <c r="AA68" s="180"/>
      <c r="AB68" s="181">
        <f t="shared" si="19"/>
        <v>0</v>
      </c>
      <c r="AC68" s="182">
        <f t="shared" si="20"/>
        <v>0</v>
      </c>
      <c r="AD68" s="197"/>
      <c r="AE68" s="198"/>
      <c r="AF68" s="199"/>
      <c r="AG68" s="200"/>
      <c r="AH68" s="200"/>
      <c r="AI68" s="201"/>
      <c r="AJ68" s="202"/>
    </row>
    <row r="69" spans="2:36" ht="30" customHeight="1" x14ac:dyDescent="0.2">
      <c r="B69" s="122" t="str">
        <f>IF(COUNTBLANK(N69:AJ69)=20,"",IF(AND(M69&lt;&gt;"",OR(EXPEDIENTE!$F$25="",EXPEDIENTE!$F$27="")),0,""))</f>
        <v/>
      </c>
      <c r="C69" s="122" t="str">
        <f t="shared" si="13"/>
        <v/>
      </c>
      <c r="D69" s="122" t="str">
        <f t="shared" si="14"/>
        <v/>
      </c>
      <c r="E69" s="122" t="str">
        <f>IF(P69="","",IF(AND(M69=1,OR(P69&lt;EXPEDIENTE!$F$25,P69&gt;EXPEDIENTE!$F$27)),3,""))</f>
        <v/>
      </c>
      <c r="F69" s="122" t="str">
        <f t="shared" si="15"/>
        <v/>
      </c>
      <c r="G69" s="122" t="str">
        <f t="shared" si="16"/>
        <v/>
      </c>
      <c r="H69" s="122" t="str">
        <f>IF(P69="","",IF(AE69="",6,IF(AND(M69=1,OR(AE69&lt;EXPEDIENTE!$F$25,AE69&gt;EXPEDIENTE!$F$29)),6,"")))</f>
        <v/>
      </c>
      <c r="I69" s="122" t="b">
        <f t="shared" si="17"/>
        <v>0</v>
      </c>
      <c r="J69" s="122">
        <f>IF(AE69&lt;EXPEDIENTE!$I$25,-1,IF(AE69&gt;EXPEDIENTE!$I$29,1,0))</f>
        <v>0</v>
      </c>
      <c r="K69" s="169" t="str">
        <f>IF(IFERROR(VLOOKUP(I69,AUXILIAR!$AD$6:$AE$15,2,FALSE),"")="","",VLOOKUP(I69,AUXILIAR!$AD$6:$AE$15,2,FALSE))</f>
        <v/>
      </c>
      <c r="L69" s="170">
        <v>61</v>
      </c>
      <c r="M69" s="150" t="str">
        <f t="shared" si="7"/>
        <v/>
      </c>
      <c r="N69" s="187"/>
      <c r="O69" s="188"/>
      <c r="P69" s="189"/>
      <c r="Q69" s="190"/>
      <c r="R69" s="191"/>
      <c r="S69" s="190"/>
      <c r="T69" s="190"/>
      <c r="U69" s="192"/>
      <c r="V69" s="193"/>
      <c r="W69" s="194"/>
      <c r="X69" s="195"/>
      <c r="Y69" s="196"/>
      <c r="Z69" s="181">
        <f t="shared" si="18"/>
        <v>0</v>
      </c>
      <c r="AA69" s="180"/>
      <c r="AB69" s="181">
        <f t="shared" si="19"/>
        <v>0</v>
      </c>
      <c r="AC69" s="182">
        <f t="shared" si="20"/>
        <v>0</v>
      </c>
      <c r="AD69" s="197"/>
      <c r="AE69" s="198"/>
      <c r="AF69" s="199"/>
      <c r="AG69" s="200"/>
      <c r="AH69" s="200"/>
      <c r="AI69" s="201"/>
      <c r="AJ69" s="202"/>
    </row>
    <row r="70" spans="2:36" ht="30" customHeight="1" x14ac:dyDescent="0.2">
      <c r="B70" s="122" t="str">
        <f>IF(COUNTBLANK(N70:AJ70)=20,"",IF(AND(M70&lt;&gt;"",OR(EXPEDIENTE!$F$25="",EXPEDIENTE!$F$27="")),0,""))</f>
        <v/>
      </c>
      <c r="C70" s="122" t="str">
        <f t="shared" si="13"/>
        <v/>
      </c>
      <c r="D70" s="122" t="str">
        <f t="shared" si="14"/>
        <v/>
      </c>
      <c r="E70" s="122" t="str">
        <f>IF(P70="","",IF(AND(M70=1,OR(P70&lt;EXPEDIENTE!$F$25,P70&gt;EXPEDIENTE!$F$27)),3,""))</f>
        <v/>
      </c>
      <c r="F70" s="122" t="str">
        <f t="shared" si="15"/>
        <v/>
      </c>
      <c r="G70" s="122" t="str">
        <f t="shared" si="16"/>
        <v/>
      </c>
      <c r="H70" s="122" t="str">
        <f>IF(P70="","",IF(AE70="",6,IF(AND(M70=1,OR(AE70&lt;EXPEDIENTE!$F$25,AE70&gt;EXPEDIENTE!$F$29)),6,"")))</f>
        <v/>
      </c>
      <c r="I70" s="122" t="b">
        <f t="shared" si="17"/>
        <v>0</v>
      </c>
      <c r="J70" s="122">
        <f>IF(AE70&lt;EXPEDIENTE!$I$25,-1,IF(AE70&gt;EXPEDIENTE!$I$29,1,0))</f>
        <v>0</v>
      </c>
      <c r="K70" s="169" t="str">
        <f>IF(IFERROR(VLOOKUP(I70,AUXILIAR!$AD$6:$AE$15,2,FALSE),"")="","",VLOOKUP(I70,AUXILIAR!$AD$6:$AE$15,2,FALSE))</f>
        <v/>
      </c>
      <c r="L70" s="170">
        <v>62</v>
      </c>
      <c r="M70" s="150" t="str">
        <f t="shared" si="7"/>
        <v/>
      </c>
      <c r="N70" s="187"/>
      <c r="O70" s="188"/>
      <c r="P70" s="189"/>
      <c r="Q70" s="190"/>
      <c r="R70" s="191"/>
      <c r="S70" s="190"/>
      <c r="T70" s="190"/>
      <c r="U70" s="192"/>
      <c r="V70" s="193"/>
      <c r="W70" s="194"/>
      <c r="X70" s="195"/>
      <c r="Y70" s="196"/>
      <c r="Z70" s="181">
        <f t="shared" si="18"/>
        <v>0</v>
      </c>
      <c r="AA70" s="180"/>
      <c r="AB70" s="181">
        <f t="shared" si="19"/>
        <v>0</v>
      </c>
      <c r="AC70" s="182">
        <f t="shared" si="20"/>
        <v>0</v>
      </c>
      <c r="AD70" s="197"/>
      <c r="AE70" s="198"/>
      <c r="AF70" s="199"/>
      <c r="AG70" s="200"/>
      <c r="AH70" s="200"/>
      <c r="AI70" s="201"/>
      <c r="AJ70" s="202"/>
    </row>
    <row r="71" spans="2:36" ht="30" customHeight="1" x14ac:dyDescent="0.2">
      <c r="B71" s="122" t="str">
        <f>IF(COUNTBLANK(N71:AJ71)=20,"",IF(AND(M71&lt;&gt;"",OR(EXPEDIENTE!$F$25="",EXPEDIENTE!$F$27="")),0,""))</f>
        <v/>
      </c>
      <c r="C71" s="122" t="str">
        <f t="shared" si="13"/>
        <v/>
      </c>
      <c r="D71" s="122" t="str">
        <f t="shared" si="14"/>
        <v/>
      </c>
      <c r="E71" s="122" t="str">
        <f>IF(P71="","",IF(AND(M71=1,OR(P71&lt;EXPEDIENTE!$F$25,P71&gt;EXPEDIENTE!$F$27)),3,""))</f>
        <v/>
      </c>
      <c r="F71" s="122" t="str">
        <f t="shared" si="15"/>
        <v/>
      </c>
      <c r="G71" s="122" t="str">
        <f t="shared" si="16"/>
        <v/>
      </c>
      <c r="H71" s="122" t="str">
        <f>IF(P71="","",IF(AE71="",6,IF(AND(M71=1,OR(AE71&lt;EXPEDIENTE!$F$25,AE71&gt;EXPEDIENTE!$F$29)),6,"")))</f>
        <v/>
      </c>
      <c r="I71" s="122" t="b">
        <f t="shared" si="17"/>
        <v>0</v>
      </c>
      <c r="J71" s="122">
        <f>IF(AE71&lt;EXPEDIENTE!$I$25,-1,IF(AE71&gt;EXPEDIENTE!$I$29,1,0))</f>
        <v>0</v>
      </c>
      <c r="K71" s="169" t="str">
        <f>IF(IFERROR(VLOOKUP(I71,AUXILIAR!$AD$6:$AE$15,2,FALSE),"")="","",VLOOKUP(I71,AUXILIAR!$AD$6:$AE$15,2,FALSE))</f>
        <v/>
      </c>
      <c r="L71" s="170">
        <v>63</v>
      </c>
      <c r="M71" s="150" t="str">
        <f t="shared" si="7"/>
        <v/>
      </c>
      <c r="N71" s="187"/>
      <c r="O71" s="188"/>
      <c r="P71" s="189"/>
      <c r="Q71" s="190"/>
      <c r="R71" s="191"/>
      <c r="S71" s="190"/>
      <c r="T71" s="190"/>
      <c r="U71" s="192"/>
      <c r="V71" s="193"/>
      <c r="W71" s="194"/>
      <c r="X71" s="195"/>
      <c r="Y71" s="196"/>
      <c r="Z71" s="181">
        <f t="shared" si="18"/>
        <v>0</v>
      </c>
      <c r="AA71" s="180"/>
      <c r="AB71" s="181">
        <f t="shared" si="19"/>
        <v>0</v>
      </c>
      <c r="AC71" s="182">
        <f t="shared" si="20"/>
        <v>0</v>
      </c>
      <c r="AD71" s="197"/>
      <c r="AE71" s="198"/>
      <c r="AF71" s="199"/>
      <c r="AG71" s="200"/>
      <c r="AH71" s="200"/>
      <c r="AI71" s="201"/>
      <c r="AJ71" s="202"/>
    </row>
    <row r="72" spans="2:36" ht="30" customHeight="1" x14ac:dyDescent="0.2">
      <c r="B72" s="122" t="str">
        <f>IF(COUNTBLANK(N72:AJ72)=20,"",IF(AND(M72&lt;&gt;"",OR(EXPEDIENTE!$F$25="",EXPEDIENTE!$F$27="")),0,""))</f>
        <v/>
      </c>
      <c r="C72" s="122" t="str">
        <f t="shared" si="13"/>
        <v/>
      </c>
      <c r="D72" s="122" t="str">
        <f t="shared" si="14"/>
        <v/>
      </c>
      <c r="E72" s="122" t="str">
        <f>IF(P72="","",IF(AND(M72=1,OR(P72&lt;EXPEDIENTE!$F$25,P72&gt;EXPEDIENTE!$F$27)),3,""))</f>
        <v/>
      </c>
      <c r="F72" s="122" t="str">
        <f t="shared" si="15"/>
        <v/>
      </c>
      <c r="G72" s="122" t="str">
        <f t="shared" si="16"/>
        <v/>
      </c>
      <c r="H72" s="122" t="str">
        <f>IF(P72="","",IF(AE72="",6,IF(AND(M72=1,OR(AE72&lt;EXPEDIENTE!$F$25,AE72&gt;EXPEDIENTE!$F$29)),6,"")))</f>
        <v/>
      </c>
      <c r="I72" s="122" t="b">
        <f t="shared" si="17"/>
        <v>0</v>
      </c>
      <c r="J72" s="122">
        <f>IF(AE72&lt;EXPEDIENTE!$I$25,-1,IF(AE72&gt;EXPEDIENTE!$I$29,1,0))</f>
        <v>0</v>
      </c>
      <c r="K72" s="169" t="str">
        <f>IF(IFERROR(VLOOKUP(I72,AUXILIAR!$AD$6:$AE$15,2,FALSE),"")="","",VLOOKUP(I72,AUXILIAR!$AD$6:$AE$15,2,FALSE))</f>
        <v/>
      </c>
      <c r="L72" s="170">
        <v>64</v>
      </c>
      <c r="M72" s="150" t="str">
        <f t="shared" si="7"/>
        <v/>
      </c>
      <c r="N72" s="187"/>
      <c r="O72" s="188"/>
      <c r="P72" s="189"/>
      <c r="Q72" s="190"/>
      <c r="R72" s="191"/>
      <c r="S72" s="190"/>
      <c r="T72" s="190"/>
      <c r="U72" s="192"/>
      <c r="V72" s="193"/>
      <c r="W72" s="194"/>
      <c r="X72" s="195"/>
      <c r="Y72" s="196"/>
      <c r="Z72" s="181">
        <f t="shared" si="18"/>
        <v>0</v>
      </c>
      <c r="AA72" s="180"/>
      <c r="AB72" s="181">
        <f t="shared" si="19"/>
        <v>0</v>
      </c>
      <c r="AC72" s="182">
        <f t="shared" si="20"/>
        <v>0</v>
      </c>
      <c r="AD72" s="197"/>
      <c r="AE72" s="198"/>
      <c r="AF72" s="199"/>
      <c r="AG72" s="200"/>
      <c r="AH72" s="200"/>
      <c r="AI72" s="201"/>
      <c r="AJ72" s="202"/>
    </row>
    <row r="73" spans="2:36" ht="30" customHeight="1" x14ac:dyDescent="0.2">
      <c r="B73" s="122" t="str">
        <f>IF(COUNTBLANK(N73:AJ73)=20,"",IF(AND(M73&lt;&gt;"",OR(EXPEDIENTE!$F$25="",EXPEDIENTE!$F$27="")),0,""))</f>
        <v/>
      </c>
      <c r="C73" s="122" t="str">
        <f t="shared" si="13"/>
        <v/>
      </c>
      <c r="D73" s="122" t="str">
        <f t="shared" si="14"/>
        <v/>
      </c>
      <c r="E73" s="122" t="str">
        <f>IF(P73="","",IF(AND(M73=1,OR(P73&lt;EXPEDIENTE!$F$25,P73&gt;EXPEDIENTE!$F$27)),3,""))</f>
        <v/>
      </c>
      <c r="F73" s="122" t="str">
        <f t="shared" si="15"/>
        <v/>
      </c>
      <c r="G73" s="122" t="str">
        <f t="shared" si="16"/>
        <v/>
      </c>
      <c r="H73" s="122" t="str">
        <f>IF(P73="","",IF(AE73="",6,IF(AND(M73=1,OR(AE73&lt;EXPEDIENTE!$F$25,AE73&gt;EXPEDIENTE!$F$29)),6,"")))</f>
        <v/>
      </c>
      <c r="I73" s="122" t="b">
        <f t="shared" si="17"/>
        <v>0</v>
      </c>
      <c r="J73" s="122">
        <f>IF(AE73&lt;EXPEDIENTE!$I$25,-1,IF(AE73&gt;EXPEDIENTE!$I$29,1,0))</f>
        <v>0</v>
      </c>
      <c r="K73" s="169" t="str">
        <f>IF(IFERROR(VLOOKUP(I73,AUXILIAR!$AD$6:$AE$15,2,FALSE),"")="","",VLOOKUP(I73,AUXILIAR!$AD$6:$AE$15,2,FALSE))</f>
        <v/>
      </c>
      <c r="L73" s="170">
        <v>65</v>
      </c>
      <c r="M73" s="150" t="str">
        <f t="shared" si="7"/>
        <v/>
      </c>
      <c r="N73" s="187"/>
      <c r="O73" s="188"/>
      <c r="P73" s="189"/>
      <c r="Q73" s="190"/>
      <c r="R73" s="191"/>
      <c r="S73" s="190"/>
      <c r="T73" s="190"/>
      <c r="U73" s="192"/>
      <c r="V73" s="193"/>
      <c r="W73" s="194"/>
      <c r="X73" s="195"/>
      <c r="Y73" s="196"/>
      <c r="Z73" s="181">
        <f t="shared" si="18"/>
        <v>0</v>
      </c>
      <c r="AA73" s="180"/>
      <c r="AB73" s="181">
        <f t="shared" si="19"/>
        <v>0</v>
      </c>
      <c r="AC73" s="182">
        <f t="shared" si="20"/>
        <v>0</v>
      </c>
      <c r="AD73" s="197"/>
      <c r="AE73" s="198"/>
      <c r="AF73" s="199"/>
      <c r="AG73" s="200"/>
      <c r="AH73" s="200"/>
      <c r="AI73" s="201"/>
      <c r="AJ73" s="202"/>
    </row>
    <row r="74" spans="2:36" ht="30" customHeight="1" x14ac:dyDescent="0.2">
      <c r="B74" s="122" t="str">
        <f>IF(COUNTBLANK(N74:AJ74)=20,"",IF(AND(M74&lt;&gt;"",OR(EXPEDIENTE!$F$25="",EXPEDIENTE!$F$27="")),0,""))</f>
        <v/>
      </c>
      <c r="C74" s="122" t="str">
        <f t="shared" si="13"/>
        <v/>
      </c>
      <c r="D74" s="122" t="str">
        <f t="shared" si="14"/>
        <v/>
      </c>
      <c r="E74" s="122" t="str">
        <f>IF(P74="","",IF(AND(M74=1,OR(P74&lt;EXPEDIENTE!$F$25,P74&gt;EXPEDIENTE!$F$27)),3,""))</f>
        <v/>
      </c>
      <c r="F74" s="122" t="str">
        <f t="shared" si="15"/>
        <v/>
      </c>
      <c r="G74" s="122" t="str">
        <f t="shared" si="16"/>
        <v/>
      </c>
      <c r="H74" s="122" t="str">
        <f>IF(P74="","",IF(AE74="",6,IF(AND(M74=1,OR(AE74&lt;EXPEDIENTE!$F$25,AE74&gt;EXPEDIENTE!$F$29)),6,"")))</f>
        <v/>
      </c>
      <c r="I74" s="122" t="b">
        <f t="shared" si="17"/>
        <v>0</v>
      </c>
      <c r="J74" s="122">
        <f>IF(AE74&lt;EXPEDIENTE!$I$25,-1,IF(AE74&gt;EXPEDIENTE!$I$29,1,0))</f>
        <v>0</v>
      </c>
      <c r="K74" s="169" t="str">
        <f>IF(IFERROR(VLOOKUP(I74,AUXILIAR!$AD$6:$AE$15,2,FALSE),"")="","",VLOOKUP(I74,AUXILIAR!$AD$6:$AE$15,2,FALSE))</f>
        <v/>
      </c>
      <c r="L74" s="170">
        <v>66</v>
      </c>
      <c r="M74" s="150" t="str">
        <f t="shared" si="7"/>
        <v/>
      </c>
      <c r="N74" s="187"/>
      <c r="O74" s="188"/>
      <c r="P74" s="189"/>
      <c r="Q74" s="190"/>
      <c r="R74" s="191"/>
      <c r="S74" s="190"/>
      <c r="T74" s="190"/>
      <c r="U74" s="192"/>
      <c r="V74" s="193"/>
      <c r="W74" s="194"/>
      <c r="X74" s="195"/>
      <c r="Y74" s="196"/>
      <c r="Z74" s="181">
        <f t="shared" si="18"/>
        <v>0</v>
      </c>
      <c r="AA74" s="180"/>
      <c r="AB74" s="181">
        <f t="shared" si="19"/>
        <v>0</v>
      </c>
      <c r="AC74" s="182">
        <f t="shared" si="20"/>
        <v>0</v>
      </c>
      <c r="AD74" s="197"/>
      <c r="AE74" s="198"/>
      <c r="AF74" s="199"/>
      <c r="AG74" s="200"/>
      <c r="AH74" s="200"/>
      <c r="AI74" s="201"/>
      <c r="AJ74" s="202"/>
    </row>
    <row r="75" spans="2:36" ht="30" customHeight="1" x14ac:dyDescent="0.2">
      <c r="B75" s="122" t="str">
        <f>IF(COUNTBLANK(N75:AJ75)=20,"",IF(AND(M75&lt;&gt;"",OR(EXPEDIENTE!$F$25="",EXPEDIENTE!$F$27="")),0,""))</f>
        <v/>
      </c>
      <c r="C75" s="122" t="str">
        <f t="shared" si="13"/>
        <v/>
      </c>
      <c r="D75" s="122" t="str">
        <f t="shared" si="14"/>
        <v/>
      </c>
      <c r="E75" s="122" t="str">
        <f>IF(P75="","",IF(AND(M75=1,OR(P75&lt;EXPEDIENTE!$F$25,P75&gt;EXPEDIENTE!$F$27)),3,""))</f>
        <v/>
      </c>
      <c r="F75" s="122" t="str">
        <f t="shared" si="15"/>
        <v/>
      </c>
      <c r="G75" s="122" t="str">
        <f t="shared" si="16"/>
        <v/>
      </c>
      <c r="H75" s="122" t="str">
        <f>IF(P75="","",IF(AE75="",6,IF(AND(M75=1,OR(AE75&lt;EXPEDIENTE!$F$25,AE75&gt;EXPEDIENTE!$F$29)),6,"")))</f>
        <v/>
      </c>
      <c r="I75" s="122" t="b">
        <f t="shared" si="17"/>
        <v>0</v>
      </c>
      <c r="J75" s="122">
        <f>IF(AE75&lt;EXPEDIENTE!$I$25,-1,IF(AE75&gt;EXPEDIENTE!$I$29,1,0))</f>
        <v>0</v>
      </c>
      <c r="K75" s="169" t="str">
        <f>IF(IFERROR(VLOOKUP(I75,AUXILIAR!$AD$6:$AE$15,2,FALSE),"")="","",VLOOKUP(I75,AUXILIAR!$AD$6:$AE$15,2,FALSE))</f>
        <v/>
      </c>
      <c r="L75" s="170">
        <v>67</v>
      </c>
      <c r="M75" s="150" t="str">
        <f t="shared" si="7"/>
        <v/>
      </c>
      <c r="N75" s="187"/>
      <c r="O75" s="188"/>
      <c r="P75" s="189"/>
      <c r="Q75" s="190"/>
      <c r="R75" s="191"/>
      <c r="S75" s="190"/>
      <c r="T75" s="190"/>
      <c r="U75" s="192"/>
      <c r="V75" s="193"/>
      <c r="W75" s="194"/>
      <c r="X75" s="195"/>
      <c r="Y75" s="196"/>
      <c r="Z75" s="181">
        <f t="shared" si="18"/>
        <v>0</v>
      </c>
      <c r="AA75" s="180"/>
      <c r="AB75" s="181">
        <f t="shared" si="19"/>
        <v>0</v>
      </c>
      <c r="AC75" s="182">
        <f t="shared" si="20"/>
        <v>0</v>
      </c>
      <c r="AD75" s="197"/>
      <c r="AE75" s="198"/>
      <c r="AF75" s="199"/>
      <c r="AG75" s="200"/>
      <c r="AH75" s="200"/>
      <c r="AI75" s="201"/>
      <c r="AJ75" s="202"/>
    </row>
    <row r="76" spans="2:36" ht="30" customHeight="1" x14ac:dyDescent="0.2">
      <c r="B76" s="122" t="str">
        <f>IF(COUNTBLANK(N76:AJ76)=20,"",IF(AND(M76&lt;&gt;"",OR(EXPEDIENTE!$F$25="",EXPEDIENTE!$F$27="")),0,""))</f>
        <v/>
      </c>
      <c r="C76" s="122" t="str">
        <f t="shared" si="13"/>
        <v/>
      </c>
      <c r="D76" s="122" t="str">
        <f t="shared" si="14"/>
        <v/>
      </c>
      <c r="E76" s="122" t="str">
        <f>IF(P76="","",IF(AND(M76=1,OR(P76&lt;EXPEDIENTE!$F$25,P76&gt;EXPEDIENTE!$F$27)),3,""))</f>
        <v/>
      </c>
      <c r="F76" s="122" t="str">
        <f t="shared" si="15"/>
        <v/>
      </c>
      <c r="G76" s="122" t="str">
        <f t="shared" si="16"/>
        <v/>
      </c>
      <c r="H76" s="122" t="str">
        <f>IF(P76="","",IF(AE76="",6,IF(AND(M76=1,OR(AE76&lt;EXPEDIENTE!$F$25,AE76&gt;EXPEDIENTE!$F$29)),6,"")))</f>
        <v/>
      </c>
      <c r="I76" s="122" t="b">
        <f t="shared" si="17"/>
        <v>0</v>
      </c>
      <c r="J76" s="122">
        <f>IF(AE76&lt;EXPEDIENTE!$I$25,-1,IF(AE76&gt;EXPEDIENTE!$I$29,1,0))</f>
        <v>0</v>
      </c>
      <c r="K76" s="169" t="str">
        <f>IF(IFERROR(VLOOKUP(I76,AUXILIAR!$AD$6:$AE$15,2,FALSE),"")="","",VLOOKUP(I76,AUXILIAR!$AD$6:$AE$15,2,FALSE))</f>
        <v/>
      </c>
      <c r="L76" s="170">
        <v>68</v>
      </c>
      <c r="M76" s="150" t="str">
        <f t="shared" si="7"/>
        <v/>
      </c>
      <c r="N76" s="187"/>
      <c r="O76" s="188"/>
      <c r="P76" s="189"/>
      <c r="Q76" s="190"/>
      <c r="R76" s="191"/>
      <c r="S76" s="190"/>
      <c r="T76" s="190"/>
      <c r="U76" s="192"/>
      <c r="V76" s="193"/>
      <c r="W76" s="194"/>
      <c r="X76" s="195"/>
      <c r="Y76" s="196"/>
      <c r="Z76" s="181">
        <f t="shared" si="18"/>
        <v>0</v>
      </c>
      <c r="AA76" s="180"/>
      <c r="AB76" s="181">
        <f t="shared" si="19"/>
        <v>0</v>
      </c>
      <c r="AC76" s="182">
        <f t="shared" si="20"/>
        <v>0</v>
      </c>
      <c r="AD76" s="197"/>
      <c r="AE76" s="198"/>
      <c r="AF76" s="199"/>
      <c r="AG76" s="200"/>
      <c r="AH76" s="200"/>
      <c r="AI76" s="201"/>
      <c r="AJ76" s="202"/>
    </row>
    <row r="77" spans="2:36" ht="30" customHeight="1" x14ac:dyDescent="0.2">
      <c r="B77" s="122" t="str">
        <f>IF(COUNTBLANK(N77:AJ77)=20,"",IF(AND(M77&lt;&gt;"",OR(EXPEDIENTE!$F$25="",EXPEDIENTE!$F$27="")),0,""))</f>
        <v/>
      </c>
      <c r="C77" s="122" t="str">
        <f t="shared" si="13"/>
        <v/>
      </c>
      <c r="D77" s="122" t="str">
        <f t="shared" si="14"/>
        <v/>
      </c>
      <c r="E77" s="122" t="str">
        <f>IF(P77="","",IF(AND(M77=1,OR(P77&lt;EXPEDIENTE!$F$25,P77&gt;EXPEDIENTE!$F$27)),3,""))</f>
        <v/>
      </c>
      <c r="F77" s="122" t="str">
        <f t="shared" si="15"/>
        <v/>
      </c>
      <c r="G77" s="122" t="str">
        <f t="shared" si="16"/>
        <v/>
      </c>
      <c r="H77" s="122" t="str">
        <f>IF(P77="","",IF(AE77="",6,IF(AND(M77=1,OR(AE77&lt;EXPEDIENTE!$F$25,AE77&gt;EXPEDIENTE!$F$29)),6,"")))</f>
        <v/>
      </c>
      <c r="I77" s="122" t="b">
        <f t="shared" si="17"/>
        <v>0</v>
      </c>
      <c r="J77" s="122">
        <f>IF(AE77&lt;EXPEDIENTE!$I$25,-1,IF(AE77&gt;EXPEDIENTE!$I$29,1,0))</f>
        <v>0</v>
      </c>
      <c r="K77" s="169" t="str">
        <f>IF(IFERROR(VLOOKUP(I77,AUXILIAR!$AD$6:$AE$15,2,FALSE),"")="","",VLOOKUP(I77,AUXILIAR!$AD$6:$AE$15,2,FALSE))</f>
        <v/>
      </c>
      <c r="L77" s="170">
        <v>69</v>
      </c>
      <c r="M77" s="150" t="str">
        <f t="shared" si="7"/>
        <v/>
      </c>
      <c r="N77" s="187"/>
      <c r="O77" s="188"/>
      <c r="P77" s="189"/>
      <c r="Q77" s="190"/>
      <c r="R77" s="191"/>
      <c r="S77" s="190"/>
      <c r="T77" s="190"/>
      <c r="U77" s="192"/>
      <c r="V77" s="193"/>
      <c r="W77" s="194"/>
      <c r="X77" s="195"/>
      <c r="Y77" s="196"/>
      <c r="Z77" s="181">
        <f t="shared" si="18"/>
        <v>0</v>
      </c>
      <c r="AA77" s="180"/>
      <c r="AB77" s="181">
        <f t="shared" si="19"/>
        <v>0</v>
      </c>
      <c r="AC77" s="182">
        <f t="shared" si="20"/>
        <v>0</v>
      </c>
      <c r="AD77" s="197"/>
      <c r="AE77" s="198"/>
      <c r="AF77" s="199"/>
      <c r="AG77" s="200"/>
      <c r="AH77" s="200"/>
      <c r="AI77" s="201"/>
      <c r="AJ77" s="202"/>
    </row>
    <row r="78" spans="2:36" ht="30" customHeight="1" x14ac:dyDescent="0.2">
      <c r="B78" s="122" t="str">
        <f>IF(COUNTBLANK(N78:AJ78)=20,"",IF(AND(M78&lt;&gt;"",OR(EXPEDIENTE!$F$25="",EXPEDIENTE!$F$27="")),0,""))</f>
        <v/>
      </c>
      <c r="C78" s="122" t="str">
        <f t="shared" si="13"/>
        <v/>
      </c>
      <c r="D78" s="122" t="str">
        <f t="shared" si="14"/>
        <v/>
      </c>
      <c r="E78" s="122" t="str">
        <f>IF(P78="","",IF(AND(M78=1,OR(P78&lt;EXPEDIENTE!$F$25,P78&gt;EXPEDIENTE!$F$27)),3,""))</f>
        <v/>
      </c>
      <c r="F78" s="122" t="str">
        <f t="shared" si="15"/>
        <v/>
      </c>
      <c r="G78" s="122" t="str">
        <f t="shared" si="16"/>
        <v/>
      </c>
      <c r="H78" s="122" t="str">
        <f>IF(P78="","",IF(AE78="",6,IF(AND(M78=1,OR(AE78&lt;EXPEDIENTE!$F$25,AE78&gt;EXPEDIENTE!$F$29)),6,"")))</f>
        <v/>
      </c>
      <c r="I78" s="122" t="b">
        <f t="shared" si="17"/>
        <v>0</v>
      </c>
      <c r="J78" s="122">
        <f>IF(AE78&lt;EXPEDIENTE!$I$25,-1,IF(AE78&gt;EXPEDIENTE!$I$29,1,0))</f>
        <v>0</v>
      </c>
      <c r="K78" s="169" t="str">
        <f>IF(IFERROR(VLOOKUP(I78,AUXILIAR!$AD$6:$AE$15,2,FALSE),"")="","",VLOOKUP(I78,AUXILIAR!$AD$6:$AE$15,2,FALSE))</f>
        <v/>
      </c>
      <c r="L78" s="170">
        <v>70</v>
      </c>
      <c r="M78" s="150" t="str">
        <f t="shared" si="7"/>
        <v/>
      </c>
      <c r="N78" s="187"/>
      <c r="O78" s="188"/>
      <c r="P78" s="189"/>
      <c r="Q78" s="190"/>
      <c r="R78" s="191"/>
      <c r="S78" s="190"/>
      <c r="T78" s="190"/>
      <c r="U78" s="192"/>
      <c r="V78" s="193"/>
      <c r="W78" s="194"/>
      <c r="X78" s="195"/>
      <c r="Y78" s="196"/>
      <c r="Z78" s="181">
        <f t="shared" si="18"/>
        <v>0</v>
      </c>
      <c r="AA78" s="180"/>
      <c r="AB78" s="181">
        <f t="shared" si="19"/>
        <v>0</v>
      </c>
      <c r="AC78" s="182">
        <f t="shared" si="20"/>
        <v>0</v>
      </c>
      <c r="AD78" s="197"/>
      <c r="AE78" s="198"/>
      <c r="AF78" s="199"/>
      <c r="AG78" s="200"/>
      <c r="AH78" s="200"/>
      <c r="AI78" s="201"/>
      <c r="AJ78" s="202"/>
    </row>
    <row r="79" spans="2:36" ht="30" customHeight="1" x14ac:dyDescent="0.2">
      <c r="B79" s="122" t="str">
        <f>IF(COUNTBLANK(N79:AJ79)=20,"",IF(AND(M79&lt;&gt;"",OR(EXPEDIENTE!$F$25="",EXPEDIENTE!$F$27="")),0,""))</f>
        <v/>
      </c>
      <c r="C79" s="122" t="str">
        <f t="shared" si="13"/>
        <v/>
      </c>
      <c r="D79" s="122" t="str">
        <f t="shared" si="14"/>
        <v/>
      </c>
      <c r="E79" s="122" t="str">
        <f>IF(P79="","",IF(AND(M79=1,OR(P79&lt;EXPEDIENTE!$F$25,P79&gt;EXPEDIENTE!$F$27)),3,""))</f>
        <v/>
      </c>
      <c r="F79" s="122" t="str">
        <f t="shared" si="15"/>
        <v/>
      </c>
      <c r="G79" s="122" t="str">
        <f t="shared" si="16"/>
        <v/>
      </c>
      <c r="H79" s="122" t="str">
        <f>IF(P79="","",IF(AE79="",6,IF(AND(M79=1,OR(AE79&lt;EXPEDIENTE!$F$25,AE79&gt;EXPEDIENTE!$F$29)),6,"")))</f>
        <v/>
      </c>
      <c r="I79" s="122" t="b">
        <f t="shared" si="17"/>
        <v>0</v>
      </c>
      <c r="J79" s="122">
        <f>IF(AE79&lt;EXPEDIENTE!$I$25,-1,IF(AE79&gt;EXPEDIENTE!$I$29,1,0))</f>
        <v>0</v>
      </c>
      <c r="K79" s="169" t="str">
        <f>IF(IFERROR(VLOOKUP(I79,AUXILIAR!$AD$6:$AE$15,2,FALSE),"")="","",VLOOKUP(I79,AUXILIAR!$AD$6:$AE$15,2,FALSE))</f>
        <v/>
      </c>
      <c r="L79" s="170">
        <v>71</v>
      </c>
      <c r="M79" s="150" t="str">
        <f t="shared" si="7"/>
        <v/>
      </c>
      <c r="N79" s="187"/>
      <c r="O79" s="188"/>
      <c r="P79" s="189"/>
      <c r="Q79" s="190"/>
      <c r="R79" s="191"/>
      <c r="S79" s="190"/>
      <c r="T79" s="190"/>
      <c r="U79" s="192"/>
      <c r="V79" s="193"/>
      <c r="W79" s="194"/>
      <c r="X79" s="195"/>
      <c r="Y79" s="196"/>
      <c r="Z79" s="181">
        <f t="shared" si="18"/>
        <v>0</v>
      </c>
      <c r="AA79" s="180"/>
      <c r="AB79" s="181">
        <f t="shared" si="19"/>
        <v>0</v>
      </c>
      <c r="AC79" s="182">
        <f t="shared" si="20"/>
        <v>0</v>
      </c>
      <c r="AD79" s="197"/>
      <c r="AE79" s="198"/>
      <c r="AF79" s="199"/>
      <c r="AG79" s="200"/>
      <c r="AH79" s="200"/>
      <c r="AI79" s="201"/>
      <c r="AJ79" s="202"/>
    </row>
    <row r="80" spans="2:36" ht="30" customHeight="1" x14ac:dyDescent="0.2">
      <c r="B80" s="122" t="str">
        <f>IF(COUNTBLANK(N80:AJ80)=20,"",IF(AND(M80&lt;&gt;"",OR(EXPEDIENTE!$F$25="",EXPEDIENTE!$F$27="")),0,""))</f>
        <v/>
      </c>
      <c r="C80" s="122" t="str">
        <f t="shared" si="13"/>
        <v/>
      </c>
      <c r="D80" s="122" t="str">
        <f t="shared" si="14"/>
        <v/>
      </c>
      <c r="E80" s="122" t="str">
        <f>IF(P80="","",IF(AND(M80=1,OR(P80&lt;EXPEDIENTE!$F$25,P80&gt;EXPEDIENTE!$F$27)),3,""))</f>
        <v/>
      </c>
      <c r="F80" s="122" t="str">
        <f t="shared" si="15"/>
        <v/>
      </c>
      <c r="G80" s="122" t="str">
        <f t="shared" si="16"/>
        <v/>
      </c>
      <c r="H80" s="122" t="str">
        <f>IF(P80="","",IF(AE80="",6,IF(AND(M80=1,OR(AE80&lt;EXPEDIENTE!$F$25,AE80&gt;EXPEDIENTE!$F$29)),6,"")))</f>
        <v/>
      </c>
      <c r="I80" s="122" t="b">
        <f t="shared" si="17"/>
        <v>0</v>
      </c>
      <c r="J80" s="122">
        <f>IF(AE80&lt;EXPEDIENTE!$I$25,-1,IF(AE80&gt;EXPEDIENTE!$I$29,1,0))</f>
        <v>0</v>
      </c>
      <c r="K80" s="169" t="str">
        <f>IF(IFERROR(VLOOKUP(I80,AUXILIAR!$AD$6:$AE$15,2,FALSE),"")="","",VLOOKUP(I80,AUXILIAR!$AD$6:$AE$15,2,FALSE))</f>
        <v/>
      </c>
      <c r="L80" s="170">
        <v>72</v>
      </c>
      <c r="M80" s="150" t="str">
        <f t="shared" si="7"/>
        <v/>
      </c>
      <c r="N80" s="187"/>
      <c r="O80" s="188"/>
      <c r="P80" s="189"/>
      <c r="Q80" s="190"/>
      <c r="R80" s="191"/>
      <c r="S80" s="190"/>
      <c r="T80" s="190"/>
      <c r="U80" s="192"/>
      <c r="V80" s="193"/>
      <c r="W80" s="194"/>
      <c r="X80" s="195"/>
      <c r="Y80" s="196"/>
      <c r="Z80" s="181">
        <f t="shared" si="18"/>
        <v>0</v>
      </c>
      <c r="AA80" s="180"/>
      <c r="AB80" s="181">
        <f t="shared" si="19"/>
        <v>0</v>
      </c>
      <c r="AC80" s="182">
        <f t="shared" si="20"/>
        <v>0</v>
      </c>
      <c r="AD80" s="197"/>
      <c r="AE80" s="198"/>
      <c r="AF80" s="199"/>
      <c r="AG80" s="200"/>
      <c r="AH80" s="200"/>
      <c r="AI80" s="201"/>
      <c r="AJ80" s="202"/>
    </row>
    <row r="81" spans="2:36" ht="30" customHeight="1" x14ac:dyDescent="0.2">
      <c r="B81" s="122" t="str">
        <f>IF(COUNTBLANK(N81:AJ81)=20,"",IF(AND(M81&lt;&gt;"",OR(EXPEDIENTE!$F$25="",EXPEDIENTE!$F$27="")),0,""))</f>
        <v/>
      </c>
      <c r="C81" s="122" t="str">
        <f t="shared" si="13"/>
        <v/>
      </c>
      <c r="D81" s="122" t="str">
        <f t="shared" si="14"/>
        <v/>
      </c>
      <c r="E81" s="122" t="str">
        <f>IF(P81="","",IF(AND(M81=1,OR(P81&lt;EXPEDIENTE!$F$25,P81&gt;EXPEDIENTE!$F$27)),3,""))</f>
        <v/>
      </c>
      <c r="F81" s="122" t="str">
        <f t="shared" si="15"/>
        <v/>
      </c>
      <c r="G81" s="122" t="str">
        <f t="shared" si="16"/>
        <v/>
      </c>
      <c r="H81" s="122" t="str">
        <f>IF(P81="","",IF(AE81="",6,IF(AND(M81=1,OR(AE81&lt;EXPEDIENTE!$F$25,AE81&gt;EXPEDIENTE!$F$29)),6,"")))</f>
        <v/>
      </c>
      <c r="I81" s="122" t="b">
        <f t="shared" si="17"/>
        <v>0</v>
      </c>
      <c r="J81" s="122">
        <f>IF(AE81&lt;EXPEDIENTE!$I$25,-1,IF(AE81&gt;EXPEDIENTE!$I$29,1,0))</f>
        <v>0</v>
      </c>
      <c r="K81" s="169" t="str">
        <f>IF(IFERROR(VLOOKUP(I81,AUXILIAR!$AD$6:$AE$15,2,FALSE),"")="","",VLOOKUP(I81,AUXILIAR!$AD$6:$AE$15,2,FALSE))</f>
        <v/>
      </c>
      <c r="L81" s="170">
        <v>73</v>
      </c>
      <c r="M81" s="150" t="str">
        <f t="shared" si="7"/>
        <v/>
      </c>
      <c r="N81" s="187"/>
      <c r="O81" s="188"/>
      <c r="P81" s="189"/>
      <c r="Q81" s="190"/>
      <c r="R81" s="191"/>
      <c r="S81" s="190"/>
      <c r="T81" s="190"/>
      <c r="U81" s="192"/>
      <c r="V81" s="193"/>
      <c r="W81" s="194"/>
      <c r="X81" s="195"/>
      <c r="Y81" s="196"/>
      <c r="Z81" s="181">
        <f t="shared" si="18"/>
        <v>0</v>
      </c>
      <c r="AA81" s="180"/>
      <c r="AB81" s="181">
        <f t="shared" si="19"/>
        <v>0</v>
      </c>
      <c r="AC81" s="182">
        <f t="shared" si="20"/>
        <v>0</v>
      </c>
      <c r="AD81" s="197"/>
      <c r="AE81" s="198"/>
      <c r="AF81" s="199"/>
      <c r="AG81" s="200"/>
      <c r="AH81" s="200"/>
      <c r="AI81" s="201"/>
      <c r="AJ81" s="202"/>
    </row>
    <row r="82" spans="2:36" ht="30" customHeight="1" x14ac:dyDescent="0.2">
      <c r="B82" s="122" t="str">
        <f>IF(COUNTBLANK(N82:AJ82)=20,"",IF(AND(M82&lt;&gt;"",OR(EXPEDIENTE!$F$25="",EXPEDIENTE!$F$27="")),0,""))</f>
        <v/>
      </c>
      <c r="C82" s="122" t="str">
        <f t="shared" si="13"/>
        <v/>
      </c>
      <c r="D82" s="122" t="str">
        <f t="shared" si="14"/>
        <v/>
      </c>
      <c r="E82" s="122" t="str">
        <f>IF(P82="","",IF(AND(M82=1,OR(P82&lt;EXPEDIENTE!$F$25,P82&gt;EXPEDIENTE!$F$27)),3,""))</f>
        <v/>
      </c>
      <c r="F82" s="122" t="str">
        <f t="shared" si="15"/>
        <v/>
      </c>
      <c r="G82" s="122" t="str">
        <f t="shared" si="16"/>
        <v/>
      </c>
      <c r="H82" s="122" t="str">
        <f>IF(P82="","",IF(AE82="",6,IF(AND(M82=1,OR(AE82&lt;EXPEDIENTE!$F$25,AE82&gt;EXPEDIENTE!$F$29)),6,"")))</f>
        <v/>
      </c>
      <c r="I82" s="122" t="b">
        <f t="shared" si="17"/>
        <v>0</v>
      </c>
      <c r="J82" s="122">
        <f>IF(AE82&lt;EXPEDIENTE!$I$25,-1,IF(AE82&gt;EXPEDIENTE!$I$29,1,0))</f>
        <v>0</v>
      </c>
      <c r="K82" s="169" t="str">
        <f>IF(IFERROR(VLOOKUP(I82,AUXILIAR!$AD$6:$AE$15,2,FALSE),"")="","",VLOOKUP(I82,AUXILIAR!$AD$6:$AE$15,2,FALSE))</f>
        <v/>
      </c>
      <c r="L82" s="170">
        <v>74</v>
      </c>
      <c r="M82" s="150" t="str">
        <f t="shared" si="7"/>
        <v/>
      </c>
      <c r="N82" s="187"/>
      <c r="O82" s="188"/>
      <c r="P82" s="189"/>
      <c r="Q82" s="190"/>
      <c r="R82" s="191"/>
      <c r="S82" s="190"/>
      <c r="T82" s="190"/>
      <c r="U82" s="192"/>
      <c r="V82" s="193"/>
      <c r="W82" s="194"/>
      <c r="X82" s="195"/>
      <c r="Y82" s="196"/>
      <c r="Z82" s="181">
        <f t="shared" si="18"/>
        <v>0</v>
      </c>
      <c r="AA82" s="180"/>
      <c r="AB82" s="181">
        <f t="shared" si="19"/>
        <v>0</v>
      </c>
      <c r="AC82" s="182">
        <f t="shared" si="20"/>
        <v>0</v>
      </c>
      <c r="AD82" s="197"/>
      <c r="AE82" s="198"/>
      <c r="AF82" s="199"/>
      <c r="AG82" s="200"/>
      <c r="AH82" s="200"/>
      <c r="AI82" s="201"/>
      <c r="AJ82" s="202"/>
    </row>
    <row r="83" spans="2:36" ht="30" customHeight="1" thickBot="1" x14ac:dyDescent="0.25">
      <c r="B83" s="122" t="str">
        <f>IF(COUNTBLANK(N83:AJ83)=20,"",IF(AND(M83&lt;&gt;"",OR(EXPEDIENTE!$F$25="",EXPEDIENTE!$F$27="")),0,""))</f>
        <v/>
      </c>
      <c r="C83" s="122" t="str">
        <f t="shared" si="3"/>
        <v/>
      </c>
      <c r="D83" s="122" t="str">
        <f t="shared" si="4"/>
        <v/>
      </c>
      <c r="E83" s="122" t="str">
        <f>IF(P83="","",IF(AND(M83=1,OR(P83&lt;EXPEDIENTE!$F$25,P83&gt;EXPEDIENTE!$F$27)),3,""))</f>
        <v/>
      </c>
      <c r="F83" s="122" t="str">
        <f t="shared" si="5"/>
        <v/>
      </c>
      <c r="G83" s="122" t="str">
        <f t="shared" si="2"/>
        <v/>
      </c>
      <c r="H83" s="122" t="str">
        <f>IF(P83="","",IF(AE83="",6,IF(AND(M83=1,OR(AE83&lt;EXPEDIENTE!$F$25,AE83&gt;EXPEDIENTE!$F$29)),6,"")))</f>
        <v/>
      </c>
      <c r="I83" s="122" t="b">
        <f t="shared" si="6"/>
        <v>0</v>
      </c>
      <c r="J83" s="122">
        <f>IF(AE83&lt;EXPEDIENTE!$I$25,-1,IF(AE83&gt;EXPEDIENTE!$I$29,1,0))</f>
        <v>0</v>
      </c>
      <c r="K83" s="203" t="str">
        <f>IF(IFERROR(VLOOKUP(I83,AUXILIAR!$AD$6:$AE$15,2,FALSE),"")="","",VLOOKUP(I83,AUXILIAR!$AD$6:$AE$15,2,FALSE))</f>
        <v/>
      </c>
      <c r="L83" s="204">
        <v>75</v>
      </c>
      <c r="M83" s="150" t="str">
        <f t="shared" si="7"/>
        <v/>
      </c>
      <c r="N83" s="205"/>
      <c r="O83" s="206"/>
      <c r="P83" s="207"/>
      <c r="Q83" s="208"/>
      <c r="R83" s="209"/>
      <c r="S83" s="208"/>
      <c r="T83" s="208"/>
      <c r="U83" s="210"/>
      <c r="V83" s="211"/>
      <c r="W83" s="212"/>
      <c r="X83" s="213"/>
      <c r="Y83" s="214"/>
      <c r="Z83" s="215">
        <f t="shared" si="8"/>
        <v>0</v>
      </c>
      <c r="AA83" s="214"/>
      <c r="AB83" s="215">
        <f t="shared" si="11"/>
        <v>0</v>
      </c>
      <c r="AC83" s="216">
        <f t="shared" si="12"/>
        <v>0</v>
      </c>
      <c r="AD83" s="217"/>
      <c r="AE83" s="218"/>
      <c r="AF83" s="219"/>
      <c r="AG83" s="220"/>
      <c r="AH83" s="220"/>
      <c r="AI83" s="221"/>
      <c r="AJ83" s="222"/>
    </row>
    <row r="84" spans="2:36" s="129" customFormat="1" ht="30" customHeight="1" x14ac:dyDescent="0.2">
      <c r="K84" s="147"/>
      <c r="T84" s="223" t="s">
        <v>6</v>
      </c>
      <c r="V84" s="224">
        <f>SUMIF($N$9:$N$83,"NUEVA FACTURA",V9:V83)</f>
        <v>0</v>
      </c>
      <c r="W84" s="224">
        <f>SUMIF($N$9:$N$83,"NUEVA FACTURA",W9:W83)</f>
        <v>0</v>
      </c>
      <c r="X84" s="224">
        <f>IF(OR(USUARIO!$C$2="",AUXILIAR!$AH$6&lt;&gt;USUARIO!$C$2),0,SUMIF($N$9:$N$83,"NUEVA FACTURA",X9:X83))</f>
        <v>0</v>
      </c>
      <c r="Y84" s="124"/>
      <c r="Z84" s="122"/>
      <c r="AA84" s="124"/>
      <c r="AB84" s="224">
        <f>SUMIF($N$9:$N$83,"NUEVA FACTURA",AB9:AB83)</f>
        <v>0</v>
      </c>
      <c r="AC84" s="224">
        <f>SUMIF($N$9:$N$83,"NUEVA FACTURA",AC9:AC83)</f>
        <v>0</v>
      </c>
      <c r="AD84" s="224">
        <f>SUM(AD9:AD83)</f>
        <v>0</v>
      </c>
      <c r="AE84" s="126"/>
      <c r="AF84" s="122"/>
      <c r="AG84" s="122"/>
      <c r="AH84" s="122"/>
      <c r="AI84" s="122"/>
      <c r="AJ84" s="122"/>
    </row>
    <row r="86" spans="2:36" ht="20.100000000000001" customHeight="1" x14ac:dyDescent="0.2">
      <c r="U86" s="225"/>
    </row>
    <row r="87" spans="2:36" ht="20.100000000000001" customHeight="1" x14ac:dyDescent="0.2">
      <c r="U87" s="225"/>
    </row>
    <row r="88" spans="2:36" ht="20.100000000000001" customHeight="1" x14ac:dyDescent="0.2">
      <c r="U88" s="225"/>
    </row>
    <row r="89" spans="2:36" ht="20.100000000000001" customHeight="1" x14ac:dyDescent="0.2">
      <c r="U89" s="225"/>
    </row>
  </sheetData>
  <sheetProtection algorithmName="SHA-512" hashValue="U5B6E3sC6Bv3JSOMYfjt4Si6RsVhgh/i+POo/C4DxctsQSzlZbS6LAiNlAgDFWvtgz2jypn5ybWZS9flDEflyA==" saltValue="dXPSleo8UX08LouRXtU9SA==" spinCount="100000" sheet="1"/>
  <protectedRanges>
    <protectedRange algorithmName="SHA-512" hashValue="aOelWrjado39r8xVqCjW1XAKmN+Bh6QmJkEc5mMaN7/f32K2DfQQPHbCleuGMDUHhckCJtcDSIMQseVynfK2Cw==" saltValue="agwo0Ktp/4twaeUs5EAUoA==" spinCount="100000" sqref="X9:X83" name="Rango2"/>
  </protectedRanges>
  <mergeCells count="13">
    <mergeCell ref="K2:AJ2"/>
    <mergeCell ref="K6:K7"/>
    <mergeCell ref="V6:AC6"/>
    <mergeCell ref="AF6:AF7"/>
    <mergeCell ref="AG6:AG7"/>
    <mergeCell ref="AH6:AH7"/>
    <mergeCell ref="AD6:AE6"/>
    <mergeCell ref="P3:Q3"/>
    <mergeCell ref="N6:U6"/>
    <mergeCell ref="M6:M7"/>
    <mergeCell ref="L6:L7"/>
    <mergeCell ref="AI6:AI7"/>
    <mergeCell ref="AJ6:AJ7"/>
  </mergeCells>
  <phoneticPr fontId="4" type="noConversion"/>
  <conditionalFormatting sqref="K9:K83">
    <cfRule type="expression" dxfId="80" priority="25">
      <formula>$K9&lt;&gt;""</formula>
    </cfRule>
  </conditionalFormatting>
  <conditionalFormatting sqref="O9:O83">
    <cfRule type="expression" dxfId="79" priority="27">
      <formula>AND($I9=2,$M9=1,$O9="")</formula>
    </cfRule>
  </conditionalFormatting>
  <conditionalFormatting sqref="O9:AC83">
    <cfRule type="expression" dxfId="78" priority="3" stopIfTrue="1">
      <formula>$M9=2</formula>
    </cfRule>
  </conditionalFormatting>
  <conditionalFormatting sqref="P9:P83">
    <cfRule type="expression" dxfId="77" priority="28" stopIfTrue="1">
      <formula>AND($I9=2,$M9=1,$P9="")</formula>
    </cfRule>
  </conditionalFormatting>
  <conditionalFormatting sqref="Q9:Q83">
    <cfRule type="expression" dxfId="75" priority="68">
      <formula>AND($I9=2,$M9=1,$Q9="")</formula>
    </cfRule>
  </conditionalFormatting>
  <conditionalFormatting sqref="R9:R83">
    <cfRule type="expression" dxfId="74" priority="21">
      <formula>AND($I9=2,$M9=1,$R9="")</formula>
    </cfRule>
  </conditionalFormatting>
  <conditionalFormatting sqref="S9:S22">
    <cfRule type="expression" dxfId="73" priority="13">
      <formula>AND($I9=2,$M9=1,$R9="")</formula>
    </cfRule>
  </conditionalFormatting>
  <conditionalFormatting sqref="S9:S83">
    <cfRule type="expression" dxfId="72" priority="91">
      <formula>AND($I9=2,$M9=1,$S9="")</formula>
    </cfRule>
  </conditionalFormatting>
  <conditionalFormatting sqref="T9:T83">
    <cfRule type="expression" dxfId="71" priority="67">
      <formula>AND($I9=2,$M9=1,$T9="")</formula>
    </cfRule>
  </conditionalFormatting>
  <conditionalFormatting sqref="U9:U83">
    <cfRule type="expression" dxfId="70" priority="83">
      <formula>AND($I9=2,$M9=1,$U9="")</formula>
    </cfRule>
  </conditionalFormatting>
  <conditionalFormatting sqref="V9:V83">
    <cfRule type="expression" dxfId="69" priority="94">
      <formula>AND($I9=4,$M9=1,$V9="")</formula>
    </cfRule>
  </conditionalFormatting>
  <conditionalFormatting sqref="W9:W83">
    <cfRule type="expression" dxfId="68" priority="85">
      <formula>AND($I9=4,$M9=1,$W9="")</formula>
    </cfRule>
  </conditionalFormatting>
  <conditionalFormatting sqref="AA9:AA83">
    <cfRule type="expression" dxfId="66" priority="96">
      <formula>AND($I9=4,$M9=1,$AA9="")</formula>
    </cfRule>
  </conditionalFormatting>
  <conditionalFormatting sqref="AD9:AD83">
    <cfRule type="expression" dxfId="65" priority="4">
      <formula>AND($I9=5,OR($M9=1,$M9=2),$AD9="")</formula>
    </cfRule>
  </conditionalFormatting>
  <conditionalFormatting sqref="AE9:AE83">
    <cfRule type="expression" dxfId="64" priority="5" stopIfTrue="1">
      <formula>AND($I9=5,$M9&lt;&gt;"",$AE9="")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2" id="{9A72A38D-4D39-47E9-A2CF-9B4FA3D18C8E}">
            <xm:f>AND($P9&lt;&gt;"",OR($P9&lt;EXPEDIENTE!$F$25,$P9&gt;EXPEDIENTE!$F$27))</xm:f>
            <x14:dxf>
              <fill>
                <patternFill>
                  <bgColor rgb="FFFF0000"/>
                </patternFill>
              </fill>
            </x14:dxf>
          </x14:cfRule>
          <xm:sqref>P9:P83</xm:sqref>
        </x14:conditionalFormatting>
        <x14:conditionalFormatting xmlns:xm="http://schemas.microsoft.com/office/excel/2006/main">
          <x14:cfRule type="expression" priority="201" stopIfTrue="1" id="{87047D18-A3AF-4A68-B81A-7C07714C12D4}">
            <xm:f>OR(USUARIO!$C$2="",USUARIO!#REF!="",AUXILIAR!#REF!&lt;&gt;USUARIO!#REF!)</xm:f>
            <x14:dxf>
              <font>
                <color theme="0"/>
              </font>
            </x14:dxf>
          </x14:cfRule>
          <xm:sqref>X9:X83</xm:sqref>
        </x14:conditionalFormatting>
        <x14:conditionalFormatting xmlns:xm="http://schemas.microsoft.com/office/excel/2006/main">
          <x14:cfRule type="expression" priority="8" id="{DF5955A3-A191-4987-BCBE-8F493D8C8CED}">
            <xm:f>AND($AE9&lt;&gt;"",OR($AE9&lt;EXPEDIENTE!$F$25,$AE9&gt;EXPEDIENTE!$F$29))</xm:f>
            <x14:dxf>
              <fill>
                <patternFill>
                  <bgColor rgb="FFFF0000"/>
                </patternFill>
              </fill>
            </x14:dxf>
          </x14:cfRule>
          <xm:sqref>AE9:AE83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N9:N83</xm:sqref>
        </x14:dataValidation>
        <x14:dataValidation type="list" allowBlank="1" showInputMessage="1" showErrorMessage="1" xr:uid="{00000000-0002-0000-0200-000001000000}">
          <x14:formula1>
            <xm:f>OFFSET(AUXILIAR!$AB$6,0,,COUNTIF(Tipo_gasto,"&lt;&gt;X"))</xm:f>
          </x14:formula1>
          <xm:sqref>T10:T83</xm:sqref>
        </x14:dataValidation>
        <x14:dataValidation type="list" allowBlank="1" showInputMessage="1" showErrorMessage="1" xr:uid="{701A2001-839E-48BD-A118-E85429CD8FF7}">
          <x14:formula1>
            <xm:f>OFFSET(AUXILIAR!$AB$29,0,,COUNTIF(Tipo_gasto,"&lt;&gt;X"))</xm:f>
          </x14:formula1>
          <xm:sqref>T9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58" t="s">
        <v>83</v>
      </c>
      <c r="I2" s="358"/>
      <c r="J2" s="358"/>
      <c r="K2" s="358"/>
      <c r="L2" s="358" t="s">
        <v>84</v>
      </c>
      <c r="M2" s="358"/>
      <c r="N2" s="358"/>
      <c r="O2" s="358"/>
      <c r="P2" s="358"/>
    </row>
    <row r="3" spans="2:16" hidden="1" x14ac:dyDescent="0.3">
      <c r="C3" s="18" t="s">
        <v>80</v>
      </c>
      <c r="D3" s="18" t="s">
        <v>1</v>
      </c>
      <c r="E3" s="18" t="s">
        <v>70</v>
      </c>
      <c r="F3" s="18" t="s">
        <v>81</v>
      </c>
      <c r="G3" s="18" t="s">
        <v>70</v>
      </c>
      <c r="H3" s="18" t="s">
        <v>0</v>
      </c>
      <c r="I3" s="18" t="s">
        <v>1</v>
      </c>
      <c r="J3" s="18" t="s">
        <v>80</v>
      </c>
      <c r="K3" s="18" t="s">
        <v>70</v>
      </c>
      <c r="L3" s="18" t="s">
        <v>0</v>
      </c>
      <c r="M3" s="18" t="s">
        <v>1</v>
      </c>
      <c r="N3" s="18" t="s">
        <v>80</v>
      </c>
      <c r="O3" s="18" t="s">
        <v>70</v>
      </c>
      <c r="P3" s="18" t="s">
        <v>82</v>
      </c>
    </row>
    <row r="4" spans="2:16" hidden="1" x14ac:dyDescent="0.3">
      <c r="B4" s="1">
        <v>1</v>
      </c>
      <c r="C4" s="16">
        <f>'RELACIÓN DE FACTURAS'!R9</f>
        <v>0</v>
      </c>
      <c r="D4" s="16">
        <f>'RELACIÓN DE FACTURAS'!Q9</f>
        <v>0</v>
      </c>
      <c r="E4" s="29">
        <f>'RELACIÓN DE FACTURAS'!V9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FACTURAS'!R10</f>
        <v>0</v>
      </c>
      <c r="D5" s="16">
        <f>'RELACIÓN DE FACTURAS'!Q10</f>
        <v>0</v>
      </c>
      <c r="E5" s="29">
        <f>'RELACIÓN DE FACTURAS'!V10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FACTURAS'!R11</f>
        <v>0</v>
      </c>
      <c r="D6" s="16">
        <f>'RELACIÓN DE FACTURAS'!Q11</f>
        <v>0</v>
      </c>
      <c r="E6" s="29">
        <f>'RELACIÓN DE FACTURAS'!V11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FACTURAS'!R12</f>
        <v>0</v>
      </c>
      <c r="D7" s="16">
        <f>'RELACIÓN DE FACTURAS'!Q12</f>
        <v>0</v>
      </c>
      <c r="E7" s="29">
        <f>'RELACIÓN DE FACTURAS'!V12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FACTURAS'!R13</f>
        <v>0</v>
      </c>
      <c r="D8" s="16">
        <f>'RELACIÓN DE FACTURAS'!Q13</f>
        <v>0</v>
      </c>
      <c r="E8" s="29">
        <f>'RELACIÓN DE FACTURAS'!V13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FACTURAS'!R14</f>
        <v>0</v>
      </c>
      <c r="D9" s="16">
        <f>'RELACIÓN DE FACTURAS'!Q14</f>
        <v>0</v>
      </c>
      <c r="E9" s="29">
        <f>'RELACIÓN DE FACTURAS'!V14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FACTURAS'!R15</f>
        <v>0</v>
      </c>
      <c r="D10" s="16">
        <f>'RELACIÓN DE FACTURAS'!Q15</f>
        <v>0</v>
      </c>
      <c r="E10" s="29">
        <f>'RELACIÓN DE FACTURAS'!V15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FACTURAS'!R16</f>
        <v>0</v>
      </c>
      <c r="D11" s="16">
        <f>'RELACIÓN DE FACTURAS'!Q16</f>
        <v>0</v>
      </c>
      <c r="E11" s="29">
        <f>'RELACIÓN DE FACTURAS'!V16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FACTURAS'!R17</f>
        <v>0</v>
      </c>
      <c r="D12" s="16">
        <f>'RELACIÓN DE FACTURAS'!Q17</f>
        <v>0</v>
      </c>
      <c r="E12" s="29">
        <f>'RELACIÓN DE FACTURAS'!V17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FACTURAS'!R18</f>
        <v>0</v>
      </c>
      <c r="D13" s="16">
        <f>'RELACIÓN DE FACTURAS'!Q18</f>
        <v>0</v>
      </c>
      <c r="E13" s="29">
        <f>'RELACIÓN DE FACTURAS'!V18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FACTURAS'!R19</f>
        <v>0</v>
      </c>
      <c r="D14" s="16">
        <f>'RELACIÓN DE FACTURAS'!Q19</f>
        <v>0</v>
      </c>
      <c r="E14" s="29">
        <f>'RELACIÓN DE FACTURAS'!V19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FACTURAS'!R20</f>
        <v>0</v>
      </c>
      <c r="D15" s="16">
        <f>'RELACIÓN DE FACTURAS'!Q20</f>
        <v>0</v>
      </c>
      <c r="E15" s="29">
        <f>'RELACIÓN DE FACTURAS'!V20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FACTURAS'!R21</f>
        <v>0</v>
      </c>
      <c r="D16" s="16">
        <f>'RELACIÓN DE FACTURAS'!Q21</f>
        <v>0</v>
      </c>
      <c r="E16" s="29">
        <f>'RELACIÓN DE FACTURAS'!V21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FACTURAS'!R22</f>
        <v>0</v>
      </c>
      <c r="D17" s="16">
        <f>'RELACIÓN DE FACTURAS'!Q22</f>
        <v>0</v>
      </c>
      <c r="E17" s="29">
        <f>'RELACIÓN DE FACTURAS'!V22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FACTURAS'!R23</f>
        <v>0</v>
      </c>
      <c r="D18" s="16">
        <f>'RELACIÓN DE FACTURAS'!Q23</f>
        <v>0</v>
      </c>
      <c r="E18" s="29">
        <f>'RELACIÓN DE FACTURAS'!V23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FACTURAS'!R24</f>
        <v>0</v>
      </c>
      <c r="D19" s="16">
        <f>'RELACIÓN DE FACTURAS'!Q24</f>
        <v>0</v>
      </c>
      <c r="E19" s="29">
        <f>'RELACIÓN DE FACTURAS'!V24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FACTURAS'!R25</f>
        <v>0</v>
      </c>
      <c r="D20" s="16">
        <f>'RELACIÓN DE FACTURAS'!Q25</f>
        <v>0</v>
      </c>
      <c r="E20" s="29">
        <f>'RELACIÓN DE FACTURAS'!V25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FACTURAS'!R26</f>
        <v>0</v>
      </c>
      <c r="D21" s="16">
        <f>'RELACIÓN DE FACTURAS'!Q26</f>
        <v>0</v>
      </c>
      <c r="E21" s="29">
        <f>'RELACIÓN DE FACTURAS'!V26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FACTURAS'!R27</f>
        <v>0</v>
      </c>
      <c r="D22" s="16">
        <f>'RELACIÓN DE FACTURAS'!Q27</f>
        <v>0</v>
      </c>
      <c r="E22" s="29">
        <f>'RELACIÓN DE FACTURAS'!V27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FACTURAS'!R28</f>
        <v>0</v>
      </c>
      <c r="D23" s="16">
        <f>'RELACIÓN DE FACTURAS'!Q28</f>
        <v>0</v>
      </c>
      <c r="E23" s="29">
        <f>'RELACIÓN DE FACTURAS'!V28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FACTURAS'!R29</f>
        <v>0</v>
      </c>
      <c r="D24" s="16">
        <f>'RELACIÓN DE FACTURAS'!Q29</f>
        <v>0</v>
      </c>
      <c r="E24" s="29">
        <f>'RELACIÓN DE FACTURAS'!V29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FACTURAS'!R30</f>
        <v>0</v>
      </c>
      <c r="D25" s="16">
        <f>'RELACIÓN DE FACTURAS'!Q30</f>
        <v>0</v>
      </c>
      <c r="E25" s="29">
        <f>'RELACIÓN DE FACTURAS'!V30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FACTURAS'!R31</f>
        <v>0</v>
      </c>
      <c r="D26" s="16">
        <f>'RELACIÓN DE FACTURAS'!Q31</f>
        <v>0</v>
      </c>
      <c r="E26" s="29">
        <f>'RELACIÓN DE FACTURAS'!V31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FACTURAS'!R32</f>
        <v>0</v>
      </c>
      <c r="D27" s="16">
        <f>'RELACIÓN DE FACTURAS'!Q32</f>
        <v>0</v>
      </c>
      <c r="E27" s="29">
        <f>'RELACIÓN DE FACTURAS'!V32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FACTURAS'!R33</f>
        <v>0</v>
      </c>
      <c r="D28" s="16">
        <f>'RELACIÓN DE FACTURAS'!Q33</f>
        <v>0</v>
      </c>
      <c r="E28" s="29">
        <f>'RELACIÓN DE FACTURAS'!V33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FACTURAS'!R34</f>
        <v>0</v>
      </c>
      <c r="D29" s="16">
        <f>'RELACIÓN DE FACTURAS'!Q34</f>
        <v>0</v>
      </c>
      <c r="E29" s="29">
        <f>'RELACIÓN DE FACTURAS'!V34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FACTURAS'!R35</f>
        <v>0</v>
      </c>
      <c r="D30" s="16">
        <f>'RELACIÓN DE FACTURAS'!Q35</f>
        <v>0</v>
      </c>
      <c r="E30" s="29">
        <f>'RELACIÓN DE FACTURAS'!V35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FACTURAS'!R36</f>
        <v>0</v>
      </c>
      <c r="D31" s="16">
        <f>'RELACIÓN DE FACTURAS'!Q36</f>
        <v>0</v>
      </c>
      <c r="E31" s="29">
        <f>'RELACIÓN DE FACTURAS'!V36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FACTURAS'!R37</f>
        <v>0</v>
      </c>
      <c r="D32" s="16">
        <f>'RELACIÓN DE FACTURAS'!Q37</f>
        <v>0</v>
      </c>
      <c r="E32" s="29">
        <f>'RELACIÓN DE FACTURAS'!V37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FACTURAS'!R38</f>
        <v>0</v>
      </c>
      <c r="D33" s="16">
        <f>'RELACIÓN DE FACTURAS'!Q38</f>
        <v>0</v>
      </c>
      <c r="E33" s="29">
        <f>'RELACIÓN DE FACTURAS'!V38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FACTURAS'!R39</f>
        <v>0</v>
      </c>
      <c r="D34" s="16">
        <f>'RELACIÓN DE FACTURAS'!Q39</f>
        <v>0</v>
      </c>
      <c r="E34" s="29">
        <f>'RELACIÓN DE FACTURAS'!V39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FACTURAS'!R40</f>
        <v>0</v>
      </c>
      <c r="D35" s="16">
        <f>'RELACIÓN DE FACTURAS'!Q40</f>
        <v>0</v>
      </c>
      <c r="E35" s="29">
        <f>'RELACIÓN DE FACTURAS'!V40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FACTURAS'!R41</f>
        <v>0</v>
      </c>
      <c r="D36" s="16">
        <f>'RELACIÓN DE FACTURAS'!Q41</f>
        <v>0</v>
      </c>
      <c r="E36" s="29">
        <f>'RELACIÓN DE FACTURAS'!V41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FACTURAS'!R42</f>
        <v>0</v>
      </c>
      <c r="D37" s="16">
        <f>'RELACIÓN DE FACTURAS'!Q42</f>
        <v>0</v>
      </c>
      <c r="E37" s="29">
        <f>'RELACIÓN DE FACTURAS'!V42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FACTURAS'!R43</f>
        <v>0</v>
      </c>
      <c r="D38" s="16">
        <f>'RELACIÓN DE FACTURAS'!Q43</f>
        <v>0</v>
      </c>
      <c r="E38" s="29">
        <f>'RELACIÓN DE FACTURAS'!V43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FACTURAS'!R44</f>
        <v>0</v>
      </c>
      <c r="D39" s="16">
        <f>'RELACIÓN DE FACTURAS'!Q44</f>
        <v>0</v>
      </c>
      <c r="E39" s="29">
        <f>'RELACIÓN DE FACTURAS'!V44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FACTURAS'!R45</f>
        <v>0</v>
      </c>
      <c r="D40" s="16">
        <f>'RELACIÓN DE FACTURAS'!Q45</f>
        <v>0</v>
      </c>
      <c r="E40" s="29">
        <f>'RELACIÓN DE FACTURAS'!V45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FACTURAS'!R46</f>
        <v>0</v>
      </c>
      <c r="D41" s="16">
        <f>'RELACIÓN DE FACTURAS'!Q46</f>
        <v>0</v>
      </c>
      <c r="E41" s="29">
        <f>'RELACIÓN DE FACTURAS'!V46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FACTURAS'!R47</f>
        <v>0</v>
      </c>
      <c r="D42" s="16">
        <f>'RELACIÓN DE FACTURAS'!Q47</f>
        <v>0</v>
      </c>
      <c r="E42" s="29">
        <f>'RELACIÓN DE FACTURAS'!V47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FACTURAS'!R48</f>
        <v>0</v>
      </c>
      <c r="D43" s="16">
        <f>'RELACIÓN DE FACTURAS'!Q48</f>
        <v>0</v>
      </c>
      <c r="E43" s="29">
        <f>'RELACIÓN DE FACTURAS'!V48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FACTURAS'!R49</f>
        <v>0</v>
      </c>
      <c r="D44" s="16">
        <f>'RELACIÓN DE FACTURAS'!Q49</f>
        <v>0</v>
      </c>
      <c r="E44" s="29">
        <f>'RELACIÓN DE FACTURAS'!V49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FACTURAS'!R50</f>
        <v>0</v>
      </c>
      <c r="D45" s="16">
        <f>'RELACIÓN DE FACTURAS'!Q50</f>
        <v>0</v>
      </c>
      <c r="E45" s="29">
        <f>'RELACIÓN DE FACTURAS'!V50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FACTURAS'!R51</f>
        <v>0</v>
      </c>
      <c r="D46" s="16">
        <f>'RELACIÓN DE FACTURAS'!Q51</f>
        <v>0</v>
      </c>
      <c r="E46" s="29">
        <f>'RELACIÓN DE FACTURAS'!V51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FACTURAS'!R52</f>
        <v>0</v>
      </c>
      <c r="D47" s="16">
        <f>'RELACIÓN DE FACTURAS'!Q52</f>
        <v>0</v>
      </c>
      <c r="E47" s="29">
        <f>'RELACIÓN DE FACTURAS'!V52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FACTURAS'!R53</f>
        <v>0</v>
      </c>
      <c r="D48" s="16">
        <f>'RELACIÓN DE FACTURAS'!Q53</f>
        <v>0</v>
      </c>
      <c r="E48" s="29">
        <f>'RELACIÓN DE FACTURAS'!V53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FACTURAS'!R54</f>
        <v>0</v>
      </c>
      <c r="D49" s="16">
        <f>'RELACIÓN DE FACTURAS'!Q54</f>
        <v>0</v>
      </c>
      <c r="E49" s="29">
        <f>'RELACIÓN DE FACTURAS'!V54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FACTURAS'!R55</f>
        <v>0</v>
      </c>
      <c r="D50" s="16">
        <f>'RELACIÓN DE FACTURAS'!Q55</f>
        <v>0</v>
      </c>
      <c r="E50" s="29">
        <f>'RELACIÓN DE FACTURAS'!V55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FACTURAS'!R56</f>
        <v>0</v>
      </c>
      <c r="D51" s="16">
        <f>'RELACIÓN DE FACTURAS'!Q56</f>
        <v>0</v>
      </c>
      <c r="E51" s="29">
        <f>'RELACIÓN DE FACTURAS'!V56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FACTURAS'!R57</f>
        <v>0</v>
      </c>
      <c r="D52" s="16">
        <f>'RELACIÓN DE FACTURAS'!Q57</f>
        <v>0</v>
      </c>
      <c r="E52" s="29">
        <f>'RELACIÓN DE FACTURAS'!V57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FACTURAS'!R58</f>
        <v>0</v>
      </c>
      <c r="D53" s="16">
        <f>'RELACIÓN DE FACTURAS'!Q58</f>
        <v>0</v>
      </c>
      <c r="E53" s="29">
        <f>'RELACIÓN DE FACTURAS'!V58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FACTURAS'!R59</f>
        <v>0</v>
      </c>
      <c r="D54" s="16">
        <f>'RELACIÓN DE FACTURAS'!Q59</f>
        <v>0</v>
      </c>
      <c r="E54" s="29">
        <f>'RELACIÓN DE FACTURAS'!V59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FACTURAS'!R60</f>
        <v>0</v>
      </c>
      <c r="D55" s="16">
        <f>'RELACIÓN DE FACTURAS'!Q60</f>
        <v>0</v>
      </c>
      <c r="E55" s="29">
        <f>'RELACIÓN DE FACTURAS'!V60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FACTURAS'!R61</f>
        <v>0</v>
      </c>
      <c r="D56" s="16">
        <f>'RELACIÓN DE FACTURAS'!Q61</f>
        <v>0</v>
      </c>
      <c r="E56" s="29">
        <f>'RELACIÓN DE FACTURAS'!V61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FACTURAS'!R62</f>
        <v>0</v>
      </c>
      <c r="D57" s="16">
        <f>'RELACIÓN DE FACTURAS'!Q62</f>
        <v>0</v>
      </c>
      <c r="E57" s="29">
        <f>'RELACIÓN DE FACTURAS'!V62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FACTURAS'!R63</f>
        <v>0</v>
      </c>
      <c r="D58" s="16">
        <f>'RELACIÓN DE FACTURAS'!Q63</f>
        <v>0</v>
      </c>
      <c r="E58" s="29">
        <f>'RELACIÓN DE FACTURAS'!V63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FACTURAS'!R64</f>
        <v>0</v>
      </c>
      <c r="D59" s="16">
        <f>'RELACIÓN DE FACTURAS'!Q64</f>
        <v>0</v>
      </c>
      <c r="E59" s="29">
        <f>'RELACIÓN DE FACTURAS'!V64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FACTURAS'!R65</f>
        <v>0</v>
      </c>
      <c r="D60" s="16">
        <f>'RELACIÓN DE FACTURAS'!Q65</f>
        <v>0</v>
      </c>
      <c r="E60" s="29">
        <f>'RELACIÓN DE FACTURAS'!V65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FACTURAS'!R66</f>
        <v>0</v>
      </c>
      <c r="D61" s="16">
        <f>'RELACIÓN DE FACTURAS'!Q66</f>
        <v>0</v>
      </c>
      <c r="E61" s="29">
        <f>'RELACIÓN DE FACTURAS'!V66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FACTURAS'!R67</f>
        <v>0</v>
      </c>
      <c r="D62" s="16">
        <f>'RELACIÓN DE FACTURAS'!Q67</f>
        <v>0</v>
      </c>
      <c r="E62" s="29">
        <f>'RELACIÓN DE FACTURAS'!V67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FACTURAS'!R68</f>
        <v>0</v>
      </c>
      <c r="D63" s="16">
        <f>'RELACIÓN DE FACTURAS'!Q68</f>
        <v>0</v>
      </c>
      <c r="E63" s="29">
        <f>'RELACIÓN DE FACTURAS'!V68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FACTURAS'!R69</f>
        <v>0</v>
      </c>
      <c r="D64" s="16">
        <f>'RELACIÓN DE FACTURAS'!Q69</f>
        <v>0</v>
      </c>
      <c r="E64" s="29">
        <f>'RELACIÓN DE FACTURAS'!V69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FACTURAS'!R70</f>
        <v>0</v>
      </c>
      <c r="D65" s="16">
        <f>'RELACIÓN DE FACTURAS'!Q70</f>
        <v>0</v>
      </c>
      <c r="E65" s="29">
        <f>'RELACIÓN DE FACTURAS'!V70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FACTURAS'!R71</f>
        <v>0</v>
      </c>
      <c r="D66" s="16">
        <f>'RELACIÓN DE FACTURAS'!Q71</f>
        <v>0</v>
      </c>
      <c r="E66" s="29">
        <f>'RELACIÓN DE FACTURAS'!V71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FACTURAS'!R72</f>
        <v>0</v>
      </c>
      <c r="D67" s="16">
        <f>'RELACIÓN DE FACTURAS'!Q72</f>
        <v>0</v>
      </c>
      <c r="E67" s="29">
        <f>'RELACIÓN DE FACTURAS'!V72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FACTURAS'!R73</f>
        <v>0</v>
      </c>
      <c r="D68" s="16">
        <f>'RELACIÓN DE FACTURAS'!Q73</f>
        <v>0</v>
      </c>
      <c r="E68" s="29">
        <f>'RELACIÓN DE FACTURAS'!V73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FACTURAS'!R74</f>
        <v>0</v>
      </c>
      <c r="D69" s="16">
        <f>'RELACIÓN DE FACTURAS'!Q74</f>
        <v>0</v>
      </c>
      <c r="E69" s="29">
        <f>'RELACIÓN DE FACTURAS'!V74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FACTURAS'!R75</f>
        <v>0</v>
      </c>
      <c r="D70" s="16">
        <f>'RELACIÓN DE FACTURAS'!Q75</f>
        <v>0</v>
      </c>
      <c r="E70" s="29">
        <f>'RELACIÓN DE FACTURAS'!V75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FACTURAS'!R76</f>
        <v>0</v>
      </c>
      <c r="D71" s="16">
        <f>'RELACIÓN DE FACTURAS'!Q76</f>
        <v>0</v>
      </c>
      <c r="E71" s="29">
        <f>'RELACIÓN DE FACTURAS'!V76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FACTURAS'!R77</f>
        <v>0</v>
      </c>
      <c r="D72" s="16">
        <f>'RELACIÓN DE FACTURAS'!Q77</f>
        <v>0</v>
      </c>
      <c r="E72" s="29">
        <f>'RELACIÓN DE FACTURAS'!V77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FACTURAS'!R78</f>
        <v>0</v>
      </c>
      <c r="D73" s="16">
        <f>'RELACIÓN DE FACTURAS'!Q78</f>
        <v>0</v>
      </c>
      <c r="E73" s="29">
        <f>'RELACIÓN DE FACTURAS'!V78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FACTURAS'!R79</f>
        <v>0</v>
      </c>
      <c r="D74" s="16">
        <f>'RELACIÓN DE FACTURAS'!Q79</f>
        <v>0</v>
      </c>
      <c r="E74" s="29">
        <f>'RELACIÓN DE FACTURAS'!V79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FACTURAS'!R80</f>
        <v>0</v>
      </c>
      <c r="D75" s="16">
        <f>'RELACIÓN DE FACTURAS'!Q80</f>
        <v>0</v>
      </c>
      <c r="E75" s="29">
        <f>'RELACIÓN DE FACTURAS'!V80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FACTURAS'!R81</f>
        <v>0</v>
      </c>
      <c r="D76" s="16">
        <f>'RELACIÓN DE FACTURAS'!Q81</f>
        <v>0</v>
      </c>
      <c r="E76" s="29">
        <f>'RELACIÓN DE FACTURAS'!V81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FACTURAS'!R82</f>
        <v>0</v>
      </c>
      <c r="D77" s="16">
        <f>'RELACIÓN DE FACTURAS'!Q82</f>
        <v>0</v>
      </c>
      <c r="E77" s="29">
        <f>'RELACIÓN DE FACTURAS'!V82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FACTURAS'!R83</f>
        <v>0</v>
      </c>
      <c r="D78" s="16">
        <f>'RELACIÓN DE FACTURAS'!Q83</f>
        <v>0</v>
      </c>
      <c r="E78" s="29">
        <f>'RELACIÓN DE FACTURAS'!V83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FACTURAS'!P3="","",'RELACIÓN DE FACTURAS'!P3)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59" t="s">
        <v>197</v>
      </c>
      <c r="C85" s="359"/>
      <c r="D85" s="359"/>
      <c r="E85" s="359"/>
      <c r="F85" s="359"/>
      <c r="G85" s="34"/>
      <c r="H85" s="34"/>
      <c r="I85" s="34"/>
      <c r="J85" s="34"/>
      <c r="K85" s="34"/>
      <c r="L85" s="34"/>
      <c r="M85" s="34"/>
      <c r="N85" s="34"/>
      <c r="O85" s="34"/>
      <c r="P85" s="34"/>
    </row>
    <row r="86" spans="2:16" ht="15.75" thickBot="1" x14ac:dyDescent="0.35"/>
    <row r="87" spans="2:16" s="19" customFormat="1" ht="75.75" thickBot="1" x14ac:dyDescent="0.25">
      <c r="B87" s="70" t="s">
        <v>0</v>
      </c>
      <c r="C87" s="71" t="s">
        <v>1</v>
      </c>
      <c r="D87" s="67" t="s">
        <v>85</v>
      </c>
      <c r="E87" s="67" t="s">
        <v>204</v>
      </c>
      <c r="F87" s="68" t="s">
        <v>97</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60" t="s">
        <v>100</v>
      </c>
      <c r="G2" s="360"/>
      <c r="H2" s="360"/>
      <c r="I2" s="360"/>
      <c r="J2" s="360"/>
      <c r="K2" s="360"/>
      <c r="L2" s="360"/>
      <c r="M2" s="360"/>
      <c r="N2" s="360"/>
      <c r="O2" s="360"/>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FACTURAS'!P3="","",'RELACIÓN DE FACTURAS'!P3)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75" t="s">
        <v>0</v>
      </c>
      <c r="D7" s="367" t="s">
        <v>8</v>
      </c>
      <c r="E7" s="367" t="s">
        <v>198</v>
      </c>
      <c r="F7" s="368" t="s">
        <v>102</v>
      </c>
      <c r="G7" s="368"/>
      <c r="H7" s="368"/>
      <c r="I7" s="368"/>
      <c r="J7" s="368"/>
      <c r="K7" s="368"/>
      <c r="L7" s="367" t="s">
        <v>199</v>
      </c>
      <c r="M7" s="377" t="s">
        <v>101</v>
      </c>
      <c r="N7" s="378"/>
      <c r="O7" s="361" t="s">
        <v>66</v>
      </c>
    </row>
    <row r="8" spans="2:15" s="43" customFormat="1" ht="69.95" customHeight="1" thickBot="1" x14ac:dyDescent="0.25">
      <c r="B8" s="38"/>
      <c r="C8" s="376"/>
      <c r="D8" s="366"/>
      <c r="E8" s="366"/>
      <c r="F8" s="366" t="s">
        <v>25</v>
      </c>
      <c r="G8" s="366"/>
      <c r="H8" s="69" t="s">
        <v>26</v>
      </c>
      <c r="I8" s="69" t="s">
        <v>200</v>
      </c>
      <c r="J8" s="72" t="s">
        <v>16</v>
      </c>
      <c r="K8" s="73" t="s">
        <v>201</v>
      </c>
      <c r="L8" s="366"/>
      <c r="M8" s="379"/>
      <c r="N8" s="380"/>
      <c r="O8" s="362"/>
    </row>
    <row r="9" spans="2:15" s="44" customFormat="1" ht="9.9499999999999993" customHeight="1" thickBot="1" x14ac:dyDescent="0.25">
      <c r="B9" s="19"/>
      <c r="J9" s="19"/>
    </row>
    <row r="10" spans="2:15" s="2" customFormat="1" ht="35.1" customHeight="1" x14ac:dyDescent="0.2">
      <c r="B10" s="3">
        <f>IF(K10="",0,1)</f>
        <v>0</v>
      </c>
      <c r="C10" s="369">
        <v>1</v>
      </c>
      <c r="D10" s="372"/>
      <c r="E10" s="363"/>
      <c r="F10" s="74" t="s">
        <v>98</v>
      </c>
      <c r="G10" s="78"/>
      <c r="H10" s="79"/>
      <c r="I10" s="80"/>
      <c r="J10" s="81"/>
      <c r="K10" s="82"/>
      <c r="L10" s="20"/>
      <c r="M10" s="381"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84"/>
      <c r="O10" s="45"/>
    </row>
    <row r="11" spans="2:15" s="2" customFormat="1" ht="35.1" customHeight="1" x14ac:dyDescent="0.2">
      <c r="B11" s="3">
        <f t="shared" ref="B11:B12" si="0">IF(K11="",0,1)</f>
        <v>0</v>
      </c>
      <c r="C11" s="370"/>
      <c r="D11" s="373"/>
      <c r="E11" s="364"/>
      <c r="F11" s="75" t="s">
        <v>99</v>
      </c>
      <c r="G11" s="46"/>
      <c r="H11" s="21"/>
      <c r="I11" s="47"/>
      <c r="J11" s="48"/>
      <c r="K11" s="22"/>
      <c r="L11" s="23"/>
      <c r="M11" s="382"/>
      <c r="N11" s="385"/>
      <c r="O11" s="49"/>
    </row>
    <row r="12" spans="2:15" s="2" customFormat="1" ht="35.1" customHeight="1" thickBot="1" x14ac:dyDescent="0.25">
      <c r="B12" s="3">
        <f t="shared" si="0"/>
        <v>0</v>
      </c>
      <c r="C12" s="371"/>
      <c r="D12" s="374"/>
      <c r="E12" s="365"/>
      <c r="F12" s="76" t="s">
        <v>99</v>
      </c>
      <c r="G12" s="50"/>
      <c r="H12" s="24"/>
      <c r="I12" s="51"/>
      <c r="J12" s="52"/>
      <c r="K12" s="25"/>
      <c r="L12" s="26"/>
      <c r="M12" s="383"/>
      <c r="N12" s="386"/>
      <c r="O12" s="53"/>
    </row>
    <row r="13" spans="2:15" s="2" customFormat="1" ht="9.9499999999999993" customHeight="1" thickBot="1" x14ac:dyDescent="0.25">
      <c r="B13" s="3"/>
    </row>
    <row r="14" spans="2:15" s="2" customFormat="1" ht="35.1" customHeight="1" x14ac:dyDescent="0.2">
      <c r="B14" s="3">
        <f>IF(K14="",0,1)</f>
        <v>0</v>
      </c>
      <c r="C14" s="369">
        <v>2</v>
      </c>
      <c r="D14" s="372"/>
      <c r="E14" s="363"/>
      <c r="F14" s="74" t="s">
        <v>98</v>
      </c>
      <c r="G14" s="78"/>
      <c r="H14" s="79"/>
      <c r="I14" s="80"/>
      <c r="J14" s="81"/>
      <c r="K14" s="82"/>
      <c r="L14" s="20"/>
      <c r="M14" s="381"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84"/>
      <c r="O14" s="54"/>
    </row>
    <row r="15" spans="2:15" s="2" customFormat="1" ht="35.1" customHeight="1" x14ac:dyDescent="0.2">
      <c r="B15" s="3">
        <f t="shared" ref="B15:B16" si="1">IF(K15="",0,1)</f>
        <v>0</v>
      </c>
      <c r="C15" s="370"/>
      <c r="D15" s="373"/>
      <c r="E15" s="364"/>
      <c r="F15" s="75" t="s">
        <v>99</v>
      </c>
      <c r="G15" s="46"/>
      <c r="H15" s="21"/>
      <c r="I15" s="47"/>
      <c r="J15" s="48"/>
      <c r="K15" s="22"/>
      <c r="L15" s="23"/>
      <c r="M15" s="382"/>
      <c r="N15" s="385"/>
      <c r="O15" s="55"/>
    </row>
    <row r="16" spans="2:15" s="2" customFormat="1" ht="35.1" customHeight="1" thickBot="1" x14ac:dyDescent="0.25">
      <c r="B16" s="3">
        <f t="shared" si="1"/>
        <v>0</v>
      </c>
      <c r="C16" s="371"/>
      <c r="D16" s="374"/>
      <c r="E16" s="365"/>
      <c r="F16" s="76" t="s">
        <v>99</v>
      </c>
      <c r="G16" s="50"/>
      <c r="H16" s="24"/>
      <c r="I16" s="51"/>
      <c r="J16" s="52"/>
      <c r="K16" s="25"/>
      <c r="L16" s="26"/>
      <c r="M16" s="383"/>
      <c r="N16" s="386"/>
      <c r="O16" s="56"/>
    </row>
    <row r="17" spans="2:15" s="2" customFormat="1" ht="9.9499999999999993" customHeight="1" thickBot="1" x14ac:dyDescent="0.25">
      <c r="B17" s="3"/>
    </row>
    <row r="18" spans="2:15" s="2" customFormat="1" ht="35.1" customHeight="1" x14ac:dyDescent="0.2">
      <c r="B18" s="3">
        <f>IF(K18="",0,1)</f>
        <v>0</v>
      </c>
      <c r="C18" s="369">
        <v>3</v>
      </c>
      <c r="D18" s="372"/>
      <c r="E18" s="363"/>
      <c r="F18" s="74" t="s">
        <v>98</v>
      </c>
      <c r="G18" s="78"/>
      <c r="H18" s="79"/>
      <c r="I18" s="80"/>
      <c r="J18" s="81"/>
      <c r="K18" s="82"/>
      <c r="L18" s="20"/>
      <c r="M18" s="381"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84"/>
      <c r="O18" s="54"/>
    </row>
    <row r="19" spans="2:15" s="2" customFormat="1" ht="35.1" customHeight="1" x14ac:dyDescent="0.2">
      <c r="B19" s="3">
        <f t="shared" ref="B19:B20" si="2">IF(K19="",0,1)</f>
        <v>0</v>
      </c>
      <c r="C19" s="370"/>
      <c r="D19" s="373"/>
      <c r="E19" s="364"/>
      <c r="F19" s="75" t="s">
        <v>99</v>
      </c>
      <c r="G19" s="46"/>
      <c r="H19" s="21"/>
      <c r="I19" s="47"/>
      <c r="J19" s="48"/>
      <c r="K19" s="22"/>
      <c r="L19" s="23"/>
      <c r="M19" s="382"/>
      <c r="N19" s="385"/>
      <c r="O19" s="55"/>
    </row>
    <row r="20" spans="2:15" s="2" customFormat="1" ht="35.1" customHeight="1" thickBot="1" x14ac:dyDescent="0.25">
      <c r="B20" s="3">
        <f t="shared" si="2"/>
        <v>0</v>
      </c>
      <c r="C20" s="371"/>
      <c r="D20" s="374"/>
      <c r="E20" s="365"/>
      <c r="F20" s="76" t="s">
        <v>99</v>
      </c>
      <c r="G20" s="50"/>
      <c r="H20" s="24"/>
      <c r="I20" s="51"/>
      <c r="J20" s="52"/>
      <c r="K20" s="25"/>
      <c r="L20" s="26"/>
      <c r="M20" s="383"/>
      <c r="N20" s="386"/>
      <c r="O20" s="56"/>
    </row>
    <row r="21" spans="2:15" s="2" customFormat="1" ht="9.9499999999999993" customHeight="1" thickBot="1" x14ac:dyDescent="0.25">
      <c r="B21" s="3"/>
    </row>
    <row r="22" spans="2:15" s="2" customFormat="1" ht="35.1" customHeight="1" x14ac:dyDescent="0.2">
      <c r="B22" s="3">
        <f>IF(K22="",0,1)</f>
        <v>0</v>
      </c>
      <c r="C22" s="369">
        <v>4</v>
      </c>
      <c r="D22" s="372"/>
      <c r="E22" s="363"/>
      <c r="F22" s="74" t="s">
        <v>98</v>
      </c>
      <c r="G22" s="78"/>
      <c r="H22" s="79"/>
      <c r="I22" s="80"/>
      <c r="J22" s="81"/>
      <c r="K22" s="82"/>
      <c r="L22" s="20"/>
      <c r="M22" s="381"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84"/>
      <c r="O22" s="54"/>
    </row>
    <row r="23" spans="2:15" s="2" customFormat="1" ht="35.1" customHeight="1" x14ac:dyDescent="0.2">
      <c r="B23" s="3">
        <f t="shared" ref="B23:B24" si="3">IF(K23="",0,1)</f>
        <v>0</v>
      </c>
      <c r="C23" s="370"/>
      <c r="D23" s="373"/>
      <c r="E23" s="364"/>
      <c r="F23" s="75" t="s">
        <v>99</v>
      </c>
      <c r="G23" s="46"/>
      <c r="H23" s="21"/>
      <c r="I23" s="47"/>
      <c r="J23" s="48"/>
      <c r="K23" s="22"/>
      <c r="L23" s="23"/>
      <c r="M23" s="382"/>
      <c r="N23" s="385"/>
      <c r="O23" s="55"/>
    </row>
    <row r="24" spans="2:15" s="2" customFormat="1" ht="35.1" customHeight="1" thickBot="1" x14ac:dyDescent="0.25">
      <c r="B24" s="3">
        <f t="shared" si="3"/>
        <v>0</v>
      </c>
      <c r="C24" s="371"/>
      <c r="D24" s="374"/>
      <c r="E24" s="365"/>
      <c r="F24" s="76" t="s">
        <v>99</v>
      </c>
      <c r="G24" s="50"/>
      <c r="H24" s="24"/>
      <c r="I24" s="51"/>
      <c r="J24" s="52"/>
      <c r="K24" s="25"/>
      <c r="L24" s="26"/>
      <c r="M24" s="383"/>
      <c r="N24" s="386"/>
      <c r="O24" s="56"/>
    </row>
    <row r="25" spans="2:15" s="2" customFormat="1" ht="9.9499999999999993" customHeight="1" thickBot="1" x14ac:dyDescent="0.25">
      <c r="B25" s="3"/>
    </row>
    <row r="26" spans="2:15" s="2" customFormat="1" ht="35.1" customHeight="1" x14ac:dyDescent="0.2">
      <c r="B26" s="3">
        <f>IF(K26="",0,1)</f>
        <v>0</v>
      </c>
      <c r="C26" s="369">
        <v>5</v>
      </c>
      <c r="D26" s="372"/>
      <c r="E26" s="363"/>
      <c r="F26" s="74" t="s">
        <v>98</v>
      </c>
      <c r="G26" s="78"/>
      <c r="H26" s="79"/>
      <c r="I26" s="80"/>
      <c r="J26" s="81"/>
      <c r="K26" s="82"/>
      <c r="L26" s="20"/>
      <c r="M26" s="381"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84"/>
      <c r="O26" s="54"/>
    </row>
    <row r="27" spans="2:15" s="2" customFormat="1" ht="35.1" customHeight="1" x14ac:dyDescent="0.2">
      <c r="B27" s="3">
        <f t="shared" ref="B27:B28" si="4">IF(K27="",0,1)</f>
        <v>0</v>
      </c>
      <c r="C27" s="370"/>
      <c r="D27" s="373"/>
      <c r="E27" s="364"/>
      <c r="F27" s="75" t="s">
        <v>99</v>
      </c>
      <c r="G27" s="46"/>
      <c r="H27" s="21"/>
      <c r="I27" s="47"/>
      <c r="J27" s="48"/>
      <c r="K27" s="22"/>
      <c r="L27" s="23"/>
      <c r="M27" s="382"/>
      <c r="N27" s="385"/>
      <c r="O27" s="55"/>
    </row>
    <row r="28" spans="2:15" s="2" customFormat="1" ht="35.1" customHeight="1" thickBot="1" x14ac:dyDescent="0.25">
      <c r="B28" s="3">
        <f t="shared" si="4"/>
        <v>0</v>
      </c>
      <c r="C28" s="371"/>
      <c r="D28" s="374"/>
      <c r="E28" s="365"/>
      <c r="F28" s="76" t="s">
        <v>99</v>
      </c>
      <c r="G28" s="50"/>
      <c r="H28" s="24"/>
      <c r="I28" s="51"/>
      <c r="J28" s="52"/>
      <c r="K28" s="25"/>
      <c r="L28" s="26"/>
      <c r="M28" s="383"/>
      <c r="N28" s="386"/>
      <c r="O28" s="56"/>
    </row>
    <row r="29" spans="2:15" s="2" customFormat="1" ht="9.9499999999999993" customHeight="1" thickBot="1" x14ac:dyDescent="0.25">
      <c r="B29" s="3"/>
    </row>
    <row r="30" spans="2:15" s="2" customFormat="1" ht="35.1" customHeight="1" x14ac:dyDescent="0.2">
      <c r="B30" s="3">
        <f>IF(K30="",0,1)</f>
        <v>0</v>
      </c>
      <c r="C30" s="369">
        <v>6</v>
      </c>
      <c r="D30" s="372"/>
      <c r="E30" s="363"/>
      <c r="F30" s="74" t="s">
        <v>98</v>
      </c>
      <c r="G30" s="78"/>
      <c r="H30" s="79"/>
      <c r="I30" s="80"/>
      <c r="J30" s="81"/>
      <c r="K30" s="82"/>
      <c r="L30" s="20"/>
      <c r="M30" s="381"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84"/>
      <c r="O30" s="54"/>
    </row>
    <row r="31" spans="2:15" s="2" customFormat="1" ht="35.1" customHeight="1" x14ac:dyDescent="0.2">
      <c r="B31" s="3">
        <f t="shared" ref="B31:B32" si="5">IF(K31="",0,1)</f>
        <v>0</v>
      </c>
      <c r="C31" s="370"/>
      <c r="D31" s="373"/>
      <c r="E31" s="364"/>
      <c r="F31" s="75" t="s">
        <v>99</v>
      </c>
      <c r="G31" s="46"/>
      <c r="H31" s="21"/>
      <c r="I31" s="47"/>
      <c r="J31" s="48"/>
      <c r="K31" s="22"/>
      <c r="L31" s="23"/>
      <c r="M31" s="382"/>
      <c r="N31" s="385"/>
      <c r="O31" s="55"/>
    </row>
    <row r="32" spans="2:15" s="2" customFormat="1" ht="35.1" customHeight="1" thickBot="1" x14ac:dyDescent="0.25">
      <c r="B32" s="3">
        <f t="shared" si="5"/>
        <v>0</v>
      </c>
      <c r="C32" s="371"/>
      <c r="D32" s="374"/>
      <c r="E32" s="365"/>
      <c r="F32" s="76" t="s">
        <v>99</v>
      </c>
      <c r="G32" s="50"/>
      <c r="H32" s="24"/>
      <c r="I32" s="51"/>
      <c r="J32" s="52"/>
      <c r="K32" s="25"/>
      <c r="L32" s="26"/>
      <c r="M32" s="383"/>
      <c r="N32" s="386"/>
      <c r="O32" s="56"/>
    </row>
    <row r="33" spans="2:15" s="2" customFormat="1" ht="9.9499999999999993" customHeight="1" thickBot="1" x14ac:dyDescent="0.25">
      <c r="B33" s="3"/>
    </row>
    <row r="34" spans="2:15" s="2" customFormat="1" ht="35.1" customHeight="1" x14ac:dyDescent="0.2">
      <c r="B34" s="3">
        <f>IF(K34="",0,1)</f>
        <v>0</v>
      </c>
      <c r="C34" s="369">
        <v>7</v>
      </c>
      <c r="D34" s="372"/>
      <c r="E34" s="363"/>
      <c r="F34" s="74" t="s">
        <v>98</v>
      </c>
      <c r="G34" s="78"/>
      <c r="H34" s="79"/>
      <c r="I34" s="80"/>
      <c r="J34" s="81"/>
      <c r="K34" s="82"/>
      <c r="L34" s="20"/>
      <c r="M34" s="381"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84"/>
      <c r="O34" s="54"/>
    </row>
    <row r="35" spans="2:15" s="2" customFormat="1" ht="35.1" customHeight="1" x14ac:dyDescent="0.2">
      <c r="B35" s="3">
        <f t="shared" ref="B35:B36" si="6">IF(K35="",0,1)</f>
        <v>0</v>
      </c>
      <c r="C35" s="370"/>
      <c r="D35" s="373"/>
      <c r="E35" s="364"/>
      <c r="F35" s="75" t="s">
        <v>99</v>
      </c>
      <c r="G35" s="46"/>
      <c r="H35" s="21"/>
      <c r="I35" s="47"/>
      <c r="J35" s="48"/>
      <c r="K35" s="22"/>
      <c r="L35" s="23"/>
      <c r="M35" s="382"/>
      <c r="N35" s="385"/>
      <c r="O35" s="55"/>
    </row>
    <row r="36" spans="2:15" s="2" customFormat="1" ht="35.1" customHeight="1" thickBot="1" x14ac:dyDescent="0.25">
      <c r="B36" s="3">
        <f t="shared" si="6"/>
        <v>0</v>
      </c>
      <c r="C36" s="371"/>
      <c r="D36" s="374"/>
      <c r="E36" s="365"/>
      <c r="F36" s="76" t="s">
        <v>99</v>
      </c>
      <c r="G36" s="50"/>
      <c r="H36" s="24"/>
      <c r="I36" s="51"/>
      <c r="J36" s="52"/>
      <c r="K36" s="25"/>
      <c r="L36" s="26"/>
      <c r="M36" s="383"/>
      <c r="N36" s="386"/>
      <c r="O36" s="56"/>
    </row>
    <row r="37" spans="2:15" s="2" customFormat="1" ht="9.9499999999999993" customHeight="1" thickBot="1" x14ac:dyDescent="0.25">
      <c r="B37" s="3"/>
    </row>
    <row r="38" spans="2:15" s="2" customFormat="1" ht="35.1" customHeight="1" x14ac:dyDescent="0.2">
      <c r="B38" s="3">
        <f>IF(K38="",0,1)</f>
        <v>0</v>
      </c>
      <c r="C38" s="369">
        <v>8</v>
      </c>
      <c r="D38" s="372"/>
      <c r="E38" s="363"/>
      <c r="F38" s="74" t="s">
        <v>98</v>
      </c>
      <c r="G38" s="78"/>
      <c r="H38" s="79"/>
      <c r="I38" s="80"/>
      <c r="J38" s="81"/>
      <c r="K38" s="82"/>
      <c r="L38" s="20"/>
      <c r="M38" s="381"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84"/>
      <c r="O38" s="54"/>
    </row>
    <row r="39" spans="2:15" s="2" customFormat="1" ht="35.1" customHeight="1" x14ac:dyDescent="0.2">
      <c r="B39" s="3">
        <f t="shared" ref="B39:B40" si="7">IF(K39="",0,1)</f>
        <v>0</v>
      </c>
      <c r="C39" s="370"/>
      <c r="D39" s="373"/>
      <c r="E39" s="364"/>
      <c r="F39" s="75" t="s">
        <v>99</v>
      </c>
      <c r="G39" s="46"/>
      <c r="H39" s="21"/>
      <c r="I39" s="47"/>
      <c r="J39" s="48"/>
      <c r="K39" s="22"/>
      <c r="L39" s="23"/>
      <c r="M39" s="382"/>
      <c r="N39" s="385"/>
      <c r="O39" s="55"/>
    </row>
    <row r="40" spans="2:15" s="2" customFormat="1" ht="35.1" customHeight="1" thickBot="1" x14ac:dyDescent="0.25">
      <c r="B40" s="3">
        <f t="shared" si="7"/>
        <v>0</v>
      </c>
      <c r="C40" s="371"/>
      <c r="D40" s="374"/>
      <c r="E40" s="365"/>
      <c r="F40" s="76" t="s">
        <v>99</v>
      </c>
      <c r="G40" s="50"/>
      <c r="H40" s="24"/>
      <c r="I40" s="51"/>
      <c r="J40" s="52"/>
      <c r="K40" s="25"/>
      <c r="L40" s="26"/>
      <c r="M40" s="383"/>
      <c r="N40" s="386"/>
      <c r="O40" s="56"/>
    </row>
    <row r="41" spans="2:15" s="2" customFormat="1" ht="9.9499999999999993" customHeight="1" thickBot="1" x14ac:dyDescent="0.25">
      <c r="B41" s="3"/>
    </row>
    <row r="42" spans="2:15" s="2" customFormat="1" ht="35.1" customHeight="1" x14ac:dyDescent="0.2">
      <c r="B42" s="3">
        <f>IF(K42="",0,1)</f>
        <v>0</v>
      </c>
      <c r="C42" s="369">
        <v>9</v>
      </c>
      <c r="D42" s="372"/>
      <c r="E42" s="363"/>
      <c r="F42" s="74" t="s">
        <v>98</v>
      </c>
      <c r="G42" s="78"/>
      <c r="H42" s="79"/>
      <c r="I42" s="80"/>
      <c r="J42" s="81"/>
      <c r="K42" s="82"/>
      <c r="L42" s="20"/>
      <c r="M42" s="381"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84"/>
      <c r="O42" s="54"/>
    </row>
    <row r="43" spans="2:15" s="2" customFormat="1" ht="35.1" customHeight="1" x14ac:dyDescent="0.2">
      <c r="B43" s="3">
        <f t="shared" ref="B43:B44" si="8">IF(K43="",0,1)</f>
        <v>0</v>
      </c>
      <c r="C43" s="370"/>
      <c r="D43" s="373"/>
      <c r="E43" s="364"/>
      <c r="F43" s="75" t="s">
        <v>99</v>
      </c>
      <c r="G43" s="46"/>
      <c r="H43" s="21"/>
      <c r="I43" s="47"/>
      <c r="J43" s="48"/>
      <c r="K43" s="22"/>
      <c r="L43" s="23"/>
      <c r="M43" s="382"/>
      <c r="N43" s="385"/>
      <c r="O43" s="55"/>
    </row>
    <row r="44" spans="2:15" s="2" customFormat="1" ht="35.1" customHeight="1" thickBot="1" x14ac:dyDescent="0.25">
      <c r="B44" s="3">
        <f t="shared" si="8"/>
        <v>0</v>
      </c>
      <c r="C44" s="371"/>
      <c r="D44" s="374"/>
      <c r="E44" s="365"/>
      <c r="F44" s="76" t="s">
        <v>99</v>
      </c>
      <c r="G44" s="50"/>
      <c r="H44" s="24"/>
      <c r="I44" s="51"/>
      <c r="J44" s="52"/>
      <c r="K44" s="25"/>
      <c r="L44" s="26"/>
      <c r="M44" s="383"/>
      <c r="N44" s="386"/>
      <c r="O44" s="56"/>
    </row>
    <row r="45" spans="2:15" s="2" customFormat="1" ht="9.9499999999999993" customHeight="1" thickBot="1" x14ac:dyDescent="0.25">
      <c r="B45" s="3"/>
    </row>
    <row r="46" spans="2:15" s="2" customFormat="1" ht="35.1" customHeight="1" x14ac:dyDescent="0.2">
      <c r="B46" s="3">
        <f>IF(K46="",0,1)</f>
        <v>0</v>
      </c>
      <c r="C46" s="369">
        <v>10</v>
      </c>
      <c r="D46" s="372"/>
      <c r="E46" s="363"/>
      <c r="F46" s="74" t="s">
        <v>98</v>
      </c>
      <c r="G46" s="78"/>
      <c r="H46" s="79"/>
      <c r="I46" s="80"/>
      <c r="J46" s="81"/>
      <c r="K46" s="82"/>
      <c r="L46" s="20"/>
      <c r="M46" s="381"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84"/>
      <c r="O46" s="54"/>
    </row>
    <row r="47" spans="2:15" s="2" customFormat="1" ht="35.1" customHeight="1" x14ac:dyDescent="0.2">
      <c r="B47" s="3">
        <f t="shared" ref="B47:B48" si="9">IF(K47="",0,1)</f>
        <v>0</v>
      </c>
      <c r="C47" s="370"/>
      <c r="D47" s="373"/>
      <c r="E47" s="364"/>
      <c r="F47" s="75" t="s">
        <v>99</v>
      </c>
      <c r="G47" s="46"/>
      <c r="H47" s="21"/>
      <c r="I47" s="47"/>
      <c r="J47" s="48"/>
      <c r="K47" s="22"/>
      <c r="L47" s="23"/>
      <c r="M47" s="382"/>
      <c r="N47" s="385"/>
      <c r="O47" s="55"/>
    </row>
    <row r="48" spans="2:15" s="2" customFormat="1" ht="35.1" customHeight="1" thickBot="1" x14ac:dyDescent="0.25">
      <c r="B48" s="3">
        <f t="shared" si="9"/>
        <v>0</v>
      </c>
      <c r="C48" s="371"/>
      <c r="D48" s="374"/>
      <c r="E48" s="365"/>
      <c r="F48" s="76" t="s">
        <v>99</v>
      </c>
      <c r="G48" s="50"/>
      <c r="H48" s="24"/>
      <c r="I48" s="51"/>
      <c r="J48" s="52"/>
      <c r="K48" s="25"/>
      <c r="L48" s="26"/>
      <c r="M48" s="383"/>
      <c r="N48" s="386"/>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election activeCell="V9" sqref="V9"/>
    </sheetView>
  </sheetViews>
  <sheetFormatPr baseColWidth="10" defaultColWidth="11.42578125" defaultRowHeight="15" x14ac:dyDescent="0.2"/>
  <cols>
    <col min="1" max="1" width="1.7109375" style="122" customWidth="1"/>
    <col min="2" max="2" width="5.7109375" style="122" hidden="1" customWidth="1"/>
    <col min="3" max="3" width="5.7109375" style="124" hidden="1" customWidth="1"/>
    <col min="4" max="4" width="16.5703125" style="122" bestFit="1" customWidth="1"/>
    <col min="5" max="5" width="15.7109375" style="122" customWidth="1"/>
    <col min="6" max="6" width="30.7109375" style="122" customWidth="1"/>
    <col min="7" max="8" width="10.7109375" style="124" customWidth="1"/>
    <col min="9" max="9" width="9.7109375" style="124" customWidth="1"/>
    <col min="10" max="10" width="10.7109375" style="124" hidden="1" customWidth="1"/>
    <col min="11" max="12" width="10.7109375" style="124" customWidth="1"/>
    <col min="13" max="13" width="9.7109375" style="124" customWidth="1"/>
    <col min="14" max="15" width="10.7109375" style="124" hidden="1" customWidth="1"/>
    <col min="16" max="16" width="11.42578125" style="124"/>
    <col min="17" max="17" width="11.42578125" style="126"/>
    <col min="18" max="18" width="12.7109375" style="126" customWidth="1"/>
    <col min="19" max="19" width="11.42578125" style="126"/>
    <col min="20" max="20" width="11.42578125" style="124"/>
    <col min="21" max="22" width="12.7109375" style="124" customWidth="1"/>
    <col min="23" max="23" width="11.42578125" style="124"/>
    <col min="24" max="24" width="12.7109375" style="124" customWidth="1"/>
    <col min="25" max="25" width="85.140625" style="122" customWidth="1"/>
    <col min="26" max="26" width="11.5703125" style="122" customWidth="1"/>
    <col min="27" max="16384" width="11.42578125" style="122"/>
  </cols>
  <sheetData>
    <row r="1" spans="2:25" ht="15.75" thickBot="1" x14ac:dyDescent="0.25"/>
    <row r="2" spans="2:25" ht="20.100000000000001" customHeight="1" x14ac:dyDescent="0.2">
      <c r="D2" s="421" t="s">
        <v>59</v>
      </c>
      <c r="E2" s="422"/>
      <c r="F2" s="423"/>
      <c r="G2" s="427" t="s">
        <v>64</v>
      </c>
      <c r="H2" s="428"/>
      <c r="I2" s="429"/>
      <c r="J2" s="430" t="s">
        <v>62</v>
      </c>
      <c r="K2" s="427" t="s">
        <v>65</v>
      </c>
      <c r="L2" s="428"/>
      <c r="M2" s="429"/>
      <c r="N2" s="408" t="s">
        <v>63</v>
      </c>
      <c r="O2" s="411" t="s">
        <v>92</v>
      </c>
      <c r="P2" s="418" t="s">
        <v>158</v>
      </c>
      <c r="Q2" s="419"/>
      <c r="R2" s="419"/>
      <c r="S2" s="419"/>
      <c r="T2" s="420"/>
      <c r="U2" s="396" t="s">
        <v>58</v>
      </c>
      <c r="V2" s="397"/>
      <c r="W2" s="387" t="s">
        <v>209</v>
      </c>
      <c r="X2" s="390" t="s">
        <v>55</v>
      </c>
      <c r="Y2" s="393" t="s">
        <v>54</v>
      </c>
    </row>
    <row r="3" spans="2:25" ht="20.100000000000001" customHeight="1" x14ac:dyDescent="0.2">
      <c r="D3" s="424"/>
      <c r="E3" s="425"/>
      <c r="F3" s="426"/>
      <c r="G3" s="226" t="s">
        <v>60</v>
      </c>
      <c r="H3" s="227" t="s">
        <v>61</v>
      </c>
      <c r="I3" s="412" t="s">
        <v>52</v>
      </c>
      <c r="J3" s="431"/>
      <c r="K3" s="226" t="s">
        <v>60</v>
      </c>
      <c r="L3" s="227" t="s">
        <v>61</v>
      </c>
      <c r="M3" s="412" t="s">
        <v>53</v>
      </c>
      <c r="N3" s="409"/>
      <c r="O3" s="412"/>
      <c r="P3" s="416" t="s">
        <v>202</v>
      </c>
      <c r="Q3" s="402" t="s">
        <v>207</v>
      </c>
      <c r="R3" s="414" t="s">
        <v>208</v>
      </c>
      <c r="S3" s="404" t="s">
        <v>159</v>
      </c>
      <c r="T3" s="406" t="s">
        <v>203</v>
      </c>
      <c r="U3" s="398" t="s">
        <v>56</v>
      </c>
      <c r="V3" s="400" t="s">
        <v>57</v>
      </c>
      <c r="W3" s="388"/>
      <c r="X3" s="391"/>
      <c r="Y3" s="394"/>
    </row>
    <row r="4" spans="2:25" s="124" customFormat="1" ht="45" customHeight="1" thickBot="1" x14ac:dyDescent="0.25">
      <c r="D4" s="228" t="s">
        <v>51</v>
      </c>
      <c r="E4" s="229" t="s">
        <v>48</v>
      </c>
      <c r="F4" s="230" t="s">
        <v>1</v>
      </c>
      <c r="G4" s="231" t="s">
        <v>49</v>
      </c>
      <c r="H4" s="232" t="s">
        <v>205</v>
      </c>
      <c r="I4" s="413"/>
      <c r="J4" s="432"/>
      <c r="K4" s="231" t="s">
        <v>50</v>
      </c>
      <c r="L4" s="232" t="s">
        <v>206</v>
      </c>
      <c r="M4" s="413"/>
      <c r="N4" s="410"/>
      <c r="O4" s="413"/>
      <c r="P4" s="417"/>
      <c r="Q4" s="403"/>
      <c r="R4" s="415"/>
      <c r="S4" s="405"/>
      <c r="T4" s="407"/>
      <c r="U4" s="399"/>
      <c r="V4" s="401"/>
      <c r="W4" s="389"/>
      <c r="X4" s="392"/>
      <c r="Y4" s="395"/>
    </row>
    <row r="5" spans="2:25" ht="39.950000000000003" customHeight="1" x14ac:dyDescent="0.2">
      <c r="B5" s="122">
        <f>IF(Y5&lt;&gt;"",1,0)</f>
        <v>0</v>
      </c>
      <c r="C5" s="124">
        <v>1</v>
      </c>
      <c r="D5" s="233" t="str">
        <f>IF('RELACIÓN DE FACTURAS'!N9="","",'RELACIÓN DE FACTURAS'!N9)</f>
        <v/>
      </c>
      <c r="E5" s="234" t="str">
        <f>IF('RELACIÓN DE FACTURAS'!O9="","",'RELACIÓN DE FACTURAS'!O9)</f>
        <v/>
      </c>
      <c r="F5" s="235" t="str">
        <f>IF('RELACIÓN DE FACTURAS'!Q9="","",'RELACIÓN DE FACTURAS'!Q9)</f>
        <v/>
      </c>
      <c r="G5" s="236" t="str">
        <f>IF(D5="","",IF(AND(D5="NUEVA FACTURA",'RELACIÓN DE FACTURAS'!P9=""),"",IF(AND(D5="NUEVA FACTURA",'RELACIÓN DE FACTURAS'!P9&lt;&gt;""),'RELACIÓN DE FACTURAS'!P9,IF(D5="SEGUNDO PAGO O POSTERIORES",G4,""))))</f>
        <v/>
      </c>
      <c r="H5" s="237"/>
      <c r="I5" s="238" t="str">
        <f>IF(D5="","",IF(J5="","REVISAR",IF(OR(J5&lt;EXPEDIENTE!$I$25,J5&gt;EXPEDIENTE!$I$27),"SI","NO")))</f>
        <v/>
      </c>
      <c r="J5" s="239" t="str">
        <f t="shared" ref="J5:J32" si="0">IF(D5="","",IF(H5&lt;&gt;"",H5,G5))</f>
        <v/>
      </c>
      <c r="K5" s="240" t="str">
        <f>IF(D5="","",IF('RELACIÓN DE FACTURAS'!AE9="","",'RELACIÓN DE FACTURAS'!AE9))</f>
        <v/>
      </c>
      <c r="L5" s="237"/>
      <c r="M5" s="238" t="str">
        <f>IF(D5="","",IF(N5="","REVISAR",IF(OR(N5&lt;EXPEDIENTE!$I$25,N5&gt;EXPEDIENTE!$I$29),"SI","NO")))</f>
        <v/>
      </c>
      <c r="N5" s="241" t="str">
        <f t="shared" ref="N5:N32" si="1">IF(D5="","",IF(L5&lt;&gt;"",L5,K5))</f>
        <v/>
      </c>
      <c r="O5" s="242">
        <f>IF(N5&lt;EXPEDIENTE!$I$25,-1,IF(N5&gt;EXPEDIENTE!$I$29,1,0))</f>
        <v>0</v>
      </c>
      <c r="P5" s="243" t="str">
        <f t="shared" ref="P5:P32" si="2">IF(D5="","",IF(OR(J5="",N5=""),"PDTE",IF(N5-J5&gt;30,"SI","NO")))</f>
        <v/>
      </c>
      <c r="Q5" s="237"/>
      <c r="R5" s="244"/>
      <c r="S5" s="245" t="str">
        <f>IF(OR(Q5="",R5=""),"",IF(Q5&gt;EXPEDIENTE!$I$27,"",MIN(DATE(YEAR(Q5),MONTH(Q5),DAY(Q5)+R5),EXPEDIENTE!$I$29)))</f>
        <v/>
      </c>
      <c r="T5" s="246" t="str">
        <f>IF(D5="","",IF(AND(P5="NO",Q5="",S5=""),"NO",IF(Q5&gt;EXPEDIENTE!$I$27,"ENTREGA FUERA PLAZO",IF(OR(Q5="",R5=""),"PDTE",IF(S5&lt;N5,"SI","NO")))))</f>
        <v/>
      </c>
      <c r="U5" s="247" t="str">
        <f>IF('RELACIÓN DE FACTURAS'!W9="","",'RELACIÓN DE FACTURAS'!W9)</f>
        <v/>
      </c>
      <c r="V5" s="248" t="str">
        <f>IF('RELACIÓN DE FACTURAS'!X9="","",'RELACIÓN DE FACTURAS'!X9)</f>
        <v/>
      </c>
      <c r="W5" s="249"/>
      <c r="X5" s="286" t="str">
        <f t="shared" ref="X5:X32" si="3">IF(D5="","",IF(AND(I5="NO",M5="NO",T5="NO",W5="NO"),"OK","NO OK"))</f>
        <v/>
      </c>
      <c r="Y5" s="250"/>
    </row>
    <row r="6" spans="2:25" ht="39.950000000000003" customHeight="1" x14ac:dyDescent="0.2">
      <c r="B6" s="122">
        <f>IF(Y6&lt;&gt;"",MAX($B$5:B5)+1,0)</f>
        <v>0</v>
      </c>
      <c r="C6" s="124">
        <v>2</v>
      </c>
      <c r="D6" s="251" t="str">
        <f>IF('RELACIÓN DE FACTURAS'!N10="","",'RELACIÓN DE FACTURAS'!N10)</f>
        <v/>
      </c>
      <c r="E6" s="252" t="str">
        <f>IF(D6="SEGUNDO PAGO O POSTERIORES",E5,IF('RELACIÓN DE FACTURAS'!O10="","",'RELACIÓN DE FACTURAS'!O10))</f>
        <v/>
      </c>
      <c r="F6" s="253" t="str">
        <f>IF(D6="SEGUNDO PAGO O POSTERIORES",F5,IF('RELACIÓN DE FACTURAS'!Q10="","",'RELACIÓN DE FACTURAS'!Q10))</f>
        <v/>
      </c>
      <c r="G6" s="254" t="str">
        <f>IF(D6="","",IF(AND(D6="NUEVA FACTURA",'RELACIÓN DE FACTURAS'!P10=""),"",IF(AND(D6="NUEVA FACTURA",'RELACIÓN DE FACTURAS'!P10&lt;&gt;""),'RELACIÓN DE FACTURAS'!P10,IF(D6="SEGUNDO PAGO O POSTERIORES",G5,""))))</f>
        <v/>
      </c>
      <c r="H6" s="255"/>
      <c r="I6" s="256" t="str">
        <f>IF(D6="","",IF(J6="","REVISAR",IF(OR(J6&lt;EXPEDIENTE!$I$25,J6&gt;EXPEDIENTE!$I$27),"SI","NO")))</f>
        <v/>
      </c>
      <c r="J6" s="257" t="str">
        <f t="shared" si="0"/>
        <v/>
      </c>
      <c r="K6" s="254" t="str">
        <f>IF(D6="","",IF('RELACIÓN DE FACTURAS'!AE10="","",'RELACIÓN DE FACTURAS'!AE10))</f>
        <v/>
      </c>
      <c r="L6" s="255"/>
      <c r="M6" s="256" t="str">
        <f>IF(D6="","",IF(N6="","REVISAR",IF(OR(N6&lt;EXPEDIENTE!$I$25,N6&gt;EXPEDIENTE!$I$29),"SI","NO")))</f>
        <v/>
      </c>
      <c r="N6" s="258" t="str">
        <f t="shared" si="1"/>
        <v/>
      </c>
      <c r="O6" s="259">
        <f>IF(N6&lt;EXPEDIENTE!$I$25,-1,IF(N6&gt;EXPEDIENTE!$I$29,1,0))</f>
        <v>0</v>
      </c>
      <c r="P6" s="260" t="str">
        <f t="shared" si="2"/>
        <v/>
      </c>
      <c r="Q6" s="255"/>
      <c r="R6" s="261"/>
      <c r="S6" s="262" t="str">
        <f>IF(OR(Q6="",R6=""),"",IF(Q6&gt;EXPEDIENTE!$I$27,"",MIN(DATE(YEAR(Q6),MONTH(Q6),DAY(Q6)+R6),EXPEDIENTE!$I$29)))</f>
        <v/>
      </c>
      <c r="T6" s="263" t="str">
        <f>IF(D6="","",IF(AND(P6="NO",Q6="",S6=""),"NO",IF(Q6&gt;EXPEDIENTE!$I$27,"ENTREGA FUERA PLAZO",IF(OR(Q6="",R6=""),"PDTE",IF(S6&lt;N6,"SI","NO")))))</f>
        <v/>
      </c>
      <c r="U6" s="264" t="str">
        <f>IF('RELACIÓN DE FACTURAS'!W10="","",'RELACIÓN DE FACTURAS'!W10)</f>
        <v/>
      </c>
      <c r="V6" s="265" t="str">
        <f>IF('RELACIÓN DE FACTURAS'!X10="","",'RELACIÓN DE FACTURAS'!X10)</f>
        <v/>
      </c>
      <c r="W6" s="266"/>
      <c r="X6" s="287" t="str">
        <f t="shared" si="3"/>
        <v/>
      </c>
      <c r="Y6" s="267"/>
    </row>
    <row r="7" spans="2:25" ht="39.950000000000003" customHeight="1" x14ac:dyDescent="0.2">
      <c r="B7" s="122">
        <f>IF(Y7&lt;&gt;"",MAX($B$5:B6)+1,0)</f>
        <v>0</v>
      </c>
      <c r="C7" s="124">
        <v>3</v>
      </c>
      <c r="D7" s="251" t="str">
        <f>IF('RELACIÓN DE FACTURAS'!N11="","",'RELACIÓN DE FACTURAS'!N11)</f>
        <v/>
      </c>
      <c r="E7" s="252" t="str">
        <f>IF(D7="SEGUNDO PAGO O POSTERIORES",E6,IF('RELACIÓN DE FACTURAS'!O11="","",'RELACIÓN DE FACTURAS'!O11))</f>
        <v/>
      </c>
      <c r="F7" s="253" t="str">
        <f>IF(D7="SEGUNDO PAGO O POSTERIORES",F6,IF('RELACIÓN DE FACTURAS'!Q11="","",'RELACIÓN DE FACTURAS'!Q11))</f>
        <v/>
      </c>
      <c r="G7" s="254" t="str">
        <f>IF(D7="","",IF(AND(D7="NUEVA FACTURA",'RELACIÓN DE FACTURAS'!P11=""),"",IF(AND(D7="NUEVA FACTURA",'RELACIÓN DE FACTURAS'!P11&lt;&gt;""),'RELACIÓN DE FACTURAS'!P11,IF(D7="SEGUNDO PAGO O POSTERIORES",G6,""))))</f>
        <v/>
      </c>
      <c r="H7" s="255"/>
      <c r="I7" s="256" t="str">
        <f>IF(D7="","",IF(J7="","REVISAR",IF(OR(J7&lt;EXPEDIENTE!$I$25,J7&gt;EXPEDIENTE!$I$27),"SI","NO")))</f>
        <v/>
      </c>
      <c r="J7" s="257" t="str">
        <f t="shared" si="0"/>
        <v/>
      </c>
      <c r="K7" s="254" t="str">
        <f>IF(D7="","",IF('RELACIÓN DE FACTURAS'!AE11="","",'RELACIÓN DE FACTURAS'!AE11))</f>
        <v/>
      </c>
      <c r="L7" s="255"/>
      <c r="M7" s="256" t="str">
        <f>IF(D7="","",IF(N7="","REVISAR",IF(OR(N7&lt;EXPEDIENTE!$I$25,N7&gt;EXPEDIENTE!$I$29),"SI","NO")))</f>
        <v/>
      </c>
      <c r="N7" s="258" t="str">
        <f t="shared" si="1"/>
        <v/>
      </c>
      <c r="O7" s="259">
        <f>IF(N7&lt;EXPEDIENTE!$I$25,-1,IF(N7&gt;EXPEDIENTE!$I$29,1,0))</f>
        <v>0</v>
      </c>
      <c r="P7" s="260" t="str">
        <f t="shared" si="2"/>
        <v/>
      </c>
      <c r="Q7" s="255"/>
      <c r="R7" s="261"/>
      <c r="S7" s="262" t="str">
        <f>IF(OR(Q7="",R7=""),"",IF(Q7&gt;EXPEDIENTE!$I$27,"",MIN(DATE(YEAR(Q7),MONTH(Q7),DAY(Q7)+R7),EXPEDIENTE!$I$29)))</f>
        <v/>
      </c>
      <c r="T7" s="263" t="str">
        <f>IF(D7="","",IF(AND(P7="NO",Q7="",S7=""),"NO",IF(Q7&gt;EXPEDIENTE!$I$27,"ENTREGA FUERA PLAZO",IF(OR(Q7="",R7=""),"PDTE",IF(S7&lt;N7,"SI","NO")))))</f>
        <v/>
      </c>
      <c r="U7" s="264" t="str">
        <f>IF('RELACIÓN DE FACTURAS'!W11="","",'RELACIÓN DE FACTURAS'!W11)</f>
        <v/>
      </c>
      <c r="V7" s="265" t="str">
        <f>IF('RELACIÓN DE FACTURAS'!X11="","",'RELACIÓN DE FACTURAS'!X11)</f>
        <v/>
      </c>
      <c r="W7" s="266"/>
      <c r="X7" s="287" t="str">
        <f t="shared" si="3"/>
        <v/>
      </c>
      <c r="Y7" s="267"/>
    </row>
    <row r="8" spans="2:25" ht="39.950000000000003" customHeight="1" x14ac:dyDescent="0.2">
      <c r="B8" s="122">
        <f>IF(Y8&lt;&gt;"",MAX($B$5:B7)+1,0)</f>
        <v>0</v>
      </c>
      <c r="C8" s="124">
        <v>4</v>
      </c>
      <c r="D8" s="251" t="str">
        <f>IF('RELACIÓN DE FACTURAS'!N12="","",'RELACIÓN DE FACTURAS'!N12)</f>
        <v/>
      </c>
      <c r="E8" s="252" t="str">
        <f>IF(D8="SEGUNDO PAGO O POSTERIORES",E7,IF('RELACIÓN DE FACTURAS'!O12="","",'RELACIÓN DE FACTURAS'!O12))</f>
        <v/>
      </c>
      <c r="F8" s="253" t="str">
        <f>IF(D8="SEGUNDO PAGO O POSTERIORES",F7,IF('RELACIÓN DE FACTURAS'!Q12="","",'RELACIÓN DE FACTURAS'!Q12))</f>
        <v/>
      </c>
      <c r="G8" s="254" t="str">
        <f>IF(D8="","",IF(AND(D8="NUEVA FACTURA",'RELACIÓN DE FACTURAS'!P12=""),"",IF(AND(D8="NUEVA FACTURA",'RELACIÓN DE FACTURAS'!P12&lt;&gt;""),'RELACIÓN DE FACTURAS'!P12,IF(D8="SEGUNDO PAGO O POSTERIORES",G7,""))))</f>
        <v/>
      </c>
      <c r="H8" s="255"/>
      <c r="I8" s="256" t="str">
        <f>IF(D8="","",IF(J8="","REVISAR",IF(OR(J8&lt;EXPEDIENTE!$I$25,J8&gt;EXPEDIENTE!$I$27),"SI","NO")))</f>
        <v/>
      </c>
      <c r="J8" s="257" t="str">
        <f t="shared" si="0"/>
        <v/>
      </c>
      <c r="K8" s="254" t="str">
        <f>IF(D8="","",IF('RELACIÓN DE FACTURAS'!AE12="","",'RELACIÓN DE FACTURAS'!AE12))</f>
        <v/>
      </c>
      <c r="L8" s="255"/>
      <c r="M8" s="256" t="str">
        <f>IF(D8="","",IF(N8="","REVISAR",IF(OR(N8&lt;EXPEDIENTE!$I$25,N8&gt;EXPEDIENTE!$I$29),"SI","NO")))</f>
        <v/>
      </c>
      <c r="N8" s="258" t="str">
        <f t="shared" si="1"/>
        <v/>
      </c>
      <c r="O8" s="259">
        <f>IF(N8&lt;EXPEDIENTE!$I$25,-1,IF(N8&gt;EXPEDIENTE!$I$29,1,0))</f>
        <v>0</v>
      </c>
      <c r="P8" s="260" t="str">
        <f t="shared" si="2"/>
        <v/>
      </c>
      <c r="Q8" s="255"/>
      <c r="R8" s="261"/>
      <c r="S8" s="262" t="str">
        <f>IF(OR(Q8="",R8=""),"",IF(Q8&gt;EXPEDIENTE!$I$27,"",MIN(DATE(YEAR(Q8),MONTH(Q8),DAY(Q8)+R8),EXPEDIENTE!$I$29)))</f>
        <v/>
      </c>
      <c r="T8" s="263" t="str">
        <f>IF(D8="","",IF(AND(P8="NO",Q8="",S8=""),"NO",IF(Q8&gt;EXPEDIENTE!$I$27,"ENTREGA FUERA PLAZO",IF(OR(Q8="",R8=""),"PDTE",IF(S8&lt;N8,"SI","NO")))))</f>
        <v/>
      </c>
      <c r="U8" s="264" t="str">
        <f>IF('RELACIÓN DE FACTURAS'!W12="","",'RELACIÓN DE FACTURAS'!W12)</f>
        <v/>
      </c>
      <c r="V8" s="265" t="str">
        <f>IF('RELACIÓN DE FACTURAS'!X12="","",'RELACIÓN DE FACTURAS'!X12)</f>
        <v/>
      </c>
      <c r="W8" s="266"/>
      <c r="X8" s="287" t="str">
        <f t="shared" si="3"/>
        <v/>
      </c>
      <c r="Y8" s="267"/>
    </row>
    <row r="9" spans="2:25" ht="39.950000000000003" customHeight="1" x14ac:dyDescent="0.2">
      <c r="B9" s="122">
        <f>IF(Y9&lt;&gt;"",MAX($B$5:B8)+1,0)</f>
        <v>0</v>
      </c>
      <c r="C9" s="124">
        <v>5</v>
      </c>
      <c r="D9" s="251" t="str">
        <f>IF('RELACIÓN DE FACTURAS'!N13="","",'RELACIÓN DE FACTURAS'!N13)</f>
        <v/>
      </c>
      <c r="E9" s="252" t="str">
        <f>IF(D9="SEGUNDO PAGO O POSTERIORES",E8,IF('RELACIÓN DE FACTURAS'!O13="","",'RELACIÓN DE FACTURAS'!O13))</f>
        <v/>
      </c>
      <c r="F9" s="253" t="str">
        <f>IF(D9="SEGUNDO PAGO O POSTERIORES",F8,IF('RELACIÓN DE FACTURAS'!Q13="","",'RELACIÓN DE FACTURAS'!Q13))</f>
        <v/>
      </c>
      <c r="G9" s="254" t="str">
        <f>IF(D9="","",IF(AND(D9="NUEVA FACTURA",'RELACIÓN DE FACTURAS'!P13=""),"",IF(AND(D9="NUEVA FACTURA",'RELACIÓN DE FACTURAS'!P13&lt;&gt;""),'RELACIÓN DE FACTURAS'!P13,IF(D9="SEGUNDO PAGO O POSTERIORES",G8,""))))</f>
        <v/>
      </c>
      <c r="H9" s="255"/>
      <c r="I9" s="256" t="str">
        <f>IF(D9="","",IF(J9="","REVISAR",IF(OR(J9&lt;EXPEDIENTE!$I$25,J9&gt;EXPEDIENTE!$I$27),"SI","NO")))</f>
        <v/>
      </c>
      <c r="J9" s="257" t="str">
        <f t="shared" si="0"/>
        <v/>
      </c>
      <c r="K9" s="254" t="str">
        <f>IF(D9="","",IF('RELACIÓN DE FACTURAS'!AE13="","",'RELACIÓN DE FACTURAS'!AE13))</f>
        <v/>
      </c>
      <c r="L9" s="255"/>
      <c r="M9" s="256" t="str">
        <f>IF(D9="","",IF(N9="","REVISAR",IF(OR(N9&lt;EXPEDIENTE!$I$25,N9&gt;EXPEDIENTE!$I$29),"SI","NO")))</f>
        <v/>
      </c>
      <c r="N9" s="258" t="str">
        <f t="shared" si="1"/>
        <v/>
      </c>
      <c r="O9" s="259">
        <f>IF(N9&lt;EXPEDIENTE!$I$25,-1,IF(N9&gt;EXPEDIENTE!$I$29,1,0))</f>
        <v>0</v>
      </c>
      <c r="P9" s="260" t="str">
        <f t="shared" si="2"/>
        <v/>
      </c>
      <c r="Q9" s="255"/>
      <c r="R9" s="261"/>
      <c r="S9" s="262" t="str">
        <f>IF(OR(Q9="",R9=""),"",IF(Q9&gt;EXPEDIENTE!$I$27,"",MIN(DATE(YEAR(Q9),MONTH(Q9),DAY(Q9)+R9),EXPEDIENTE!$I$29)))</f>
        <v/>
      </c>
      <c r="T9" s="263" t="str">
        <f>IF(D9="","",IF(AND(P9="NO",Q9="",S9=""),"NO",IF(Q9&gt;EXPEDIENTE!$I$27,"ENTREGA FUERA PLAZO",IF(OR(Q9="",R9=""),"PDTE",IF(S9&lt;N9,"SI","NO")))))</f>
        <v/>
      </c>
      <c r="U9" s="264" t="str">
        <f>IF('RELACIÓN DE FACTURAS'!W13="","",'RELACIÓN DE FACTURAS'!W13)</f>
        <v/>
      </c>
      <c r="V9" s="265" t="str">
        <f>IF('RELACIÓN DE FACTURAS'!X13="","",'RELACIÓN DE FACTURAS'!X13)</f>
        <v/>
      </c>
      <c r="W9" s="266"/>
      <c r="X9" s="287" t="str">
        <f t="shared" si="3"/>
        <v/>
      </c>
      <c r="Y9" s="267"/>
    </row>
    <row r="10" spans="2:25" ht="39.950000000000003" customHeight="1" x14ac:dyDescent="0.2">
      <c r="B10" s="122">
        <f>IF(Y10&lt;&gt;"",MAX($B$5:B9)+1,0)</f>
        <v>0</v>
      </c>
      <c r="C10" s="124">
        <v>6</v>
      </c>
      <c r="D10" s="251" t="str">
        <f>IF('RELACIÓN DE FACTURAS'!N14="","",'RELACIÓN DE FACTURAS'!N14)</f>
        <v/>
      </c>
      <c r="E10" s="252" t="str">
        <f>IF(D10="SEGUNDO PAGO O POSTERIORES",E9,IF('RELACIÓN DE FACTURAS'!O14="","",'RELACIÓN DE FACTURAS'!O14))</f>
        <v/>
      </c>
      <c r="F10" s="253" t="str">
        <f>IF(D10="SEGUNDO PAGO O POSTERIORES",F9,IF('RELACIÓN DE FACTURAS'!Q14="","",'RELACIÓN DE FACTURAS'!Q14))</f>
        <v/>
      </c>
      <c r="G10" s="254" t="str">
        <f>IF(D10="","",IF(AND(D10="NUEVA FACTURA",'RELACIÓN DE FACTURAS'!P14=""),"",IF(AND(D10="NUEVA FACTURA",'RELACIÓN DE FACTURAS'!P14&lt;&gt;""),'RELACIÓN DE FACTURAS'!P14,IF(D10="SEGUNDO PAGO O POSTERIORES",G9,""))))</f>
        <v/>
      </c>
      <c r="H10" s="255"/>
      <c r="I10" s="256" t="str">
        <f>IF(D10="","",IF(J10="","REVISAR",IF(OR(J10&lt;EXPEDIENTE!$I$25,J10&gt;EXPEDIENTE!$I$27),"SI","NO")))</f>
        <v/>
      </c>
      <c r="J10" s="257" t="str">
        <f t="shared" si="0"/>
        <v/>
      </c>
      <c r="K10" s="254" t="str">
        <f>IF(D10="","",IF('RELACIÓN DE FACTURAS'!AE14="","",'RELACIÓN DE FACTURAS'!AE14))</f>
        <v/>
      </c>
      <c r="L10" s="255"/>
      <c r="M10" s="256" t="str">
        <f>IF(D10="","",IF(N10="","REVISAR",IF(OR(N10&lt;EXPEDIENTE!$I$25,N10&gt;EXPEDIENTE!$I$29),"SI","NO")))</f>
        <v/>
      </c>
      <c r="N10" s="258" t="str">
        <f t="shared" si="1"/>
        <v/>
      </c>
      <c r="O10" s="259">
        <f>IF(N10&lt;EXPEDIENTE!$I$25,-1,IF(N10&gt;EXPEDIENTE!$I$29,1,0))</f>
        <v>0</v>
      </c>
      <c r="P10" s="260" t="str">
        <f t="shared" si="2"/>
        <v/>
      </c>
      <c r="Q10" s="255"/>
      <c r="R10" s="261"/>
      <c r="S10" s="262" t="str">
        <f>IF(OR(Q10="",R10=""),"",IF(Q10&gt;EXPEDIENTE!$I$27,"",MIN(DATE(YEAR(Q10),MONTH(Q10),DAY(Q10)+R10),EXPEDIENTE!$I$29)))</f>
        <v/>
      </c>
      <c r="T10" s="263" t="str">
        <f>IF(D10="","",IF(AND(P10="NO",Q10="",S10=""),"NO",IF(Q10&gt;EXPEDIENTE!$I$27,"ENTREGA FUERA PLAZO",IF(OR(Q10="",R10=""),"PDTE",IF(S10&lt;N10,"SI","NO")))))</f>
        <v/>
      </c>
      <c r="U10" s="264" t="str">
        <f>IF('RELACIÓN DE FACTURAS'!W14="","",'RELACIÓN DE FACTURAS'!W14)</f>
        <v/>
      </c>
      <c r="V10" s="265" t="str">
        <f>IF('RELACIÓN DE FACTURAS'!X14="","",'RELACIÓN DE FACTURAS'!X14)</f>
        <v/>
      </c>
      <c r="W10" s="266"/>
      <c r="X10" s="287" t="str">
        <f t="shared" si="3"/>
        <v/>
      </c>
      <c r="Y10" s="267"/>
    </row>
    <row r="11" spans="2:25" ht="39.950000000000003" customHeight="1" x14ac:dyDescent="0.2">
      <c r="B11" s="122">
        <f>IF(Y11&lt;&gt;"",MAX($B$5:B10)+1,0)</f>
        <v>0</v>
      </c>
      <c r="C11" s="124">
        <v>7</v>
      </c>
      <c r="D11" s="251" t="str">
        <f>IF('RELACIÓN DE FACTURAS'!N15="","",'RELACIÓN DE FACTURAS'!N15)</f>
        <v/>
      </c>
      <c r="E11" s="252" t="str">
        <f>IF(D11="SEGUNDO PAGO O POSTERIORES",E10,IF('RELACIÓN DE FACTURAS'!O15="","",'RELACIÓN DE FACTURAS'!O15))</f>
        <v/>
      </c>
      <c r="F11" s="253" t="str">
        <f>IF(D11="SEGUNDO PAGO O POSTERIORES",F10,IF('RELACIÓN DE FACTURAS'!Q15="","",'RELACIÓN DE FACTURAS'!Q15))</f>
        <v/>
      </c>
      <c r="G11" s="254" t="str">
        <f>IF(D11="","",IF(AND(D11="NUEVA FACTURA",'RELACIÓN DE FACTURAS'!P15=""),"",IF(AND(D11="NUEVA FACTURA",'RELACIÓN DE FACTURAS'!P15&lt;&gt;""),'RELACIÓN DE FACTURAS'!P15,IF(D11="SEGUNDO PAGO O POSTERIORES",G10,""))))</f>
        <v/>
      </c>
      <c r="H11" s="255"/>
      <c r="I11" s="256" t="str">
        <f>IF(D11="","",IF(J11="","REVISAR",IF(OR(J11&lt;EXPEDIENTE!$I$25,J11&gt;EXPEDIENTE!$I$27),"SI","NO")))</f>
        <v/>
      </c>
      <c r="J11" s="257" t="str">
        <f t="shared" si="0"/>
        <v/>
      </c>
      <c r="K11" s="254" t="str">
        <f>IF(D11="","",IF('RELACIÓN DE FACTURAS'!AE15="","",'RELACIÓN DE FACTURAS'!AE15))</f>
        <v/>
      </c>
      <c r="L11" s="255"/>
      <c r="M11" s="256" t="str">
        <f>IF(D11="","",IF(N11="","REVISAR",IF(OR(N11&lt;EXPEDIENTE!$I$25,N11&gt;EXPEDIENTE!$I$29),"SI","NO")))</f>
        <v/>
      </c>
      <c r="N11" s="258" t="str">
        <f t="shared" si="1"/>
        <v/>
      </c>
      <c r="O11" s="259">
        <f>IF(N11&lt;EXPEDIENTE!$I$25,-1,IF(N11&gt;EXPEDIENTE!$I$29,1,0))</f>
        <v>0</v>
      </c>
      <c r="P11" s="260" t="str">
        <f t="shared" si="2"/>
        <v/>
      </c>
      <c r="Q11" s="255"/>
      <c r="R11" s="261"/>
      <c r="S11" s="262" t="str">
        <f>IF(OR(Q11="",R11=""),"",IF(Q11&gt;EXPEDIENTE!$I$27,"",MIN(DATE(YEAR(Q11),MONTH(Q11),DAY(Q11)+R11),EXPEDIENTE!$I$29)))</f>
        <v/>
      </c>
      <c r="T11" s="263" t="str">
        <f>IF(D11="","",IF(AND(P11="NO",Q11="",S11=""),"NO",IF(Q11&gt;EXPEDIENTE!$I$27,"ENTREGA FUERA PLAZO",IF(OR(Q11="",R11=""),"PDTE",IF(S11&lt;N11,"SI","NO")))))</f>
        <v/>
      </c>
      <c r="U11" s="264" t="str">
        <f>IF('RELACIÓN DE FACTURAS'!W15="","",'RELACIÓN DE FACTURAS'!W15)</f>
        <v/>
      </c>
      <c r="V11" s="265" t="str">
        <f>IF('RELACIÓN DE FACTURAS'!X15="","",'RELACIÓN DE FACTURAS'!X15)</f>
        <v/>
      </c>
      <c r="W11" s="266"/>
      <c r="X11" s="287" t="str">
        <f t="shared" si="3"/>
        <v/>
      </c>
      <c r="Y11" s="267"/>
    </row>
    <row r="12" spans="2:25" ht="39.950000000000003" customHeight="1" x14ac:dyDescent="0.2">
      <c r="B12" s="122">
        <f>IF(Y12&lt;&gt;"",MAX($B$5:B11)+1,0)</f>
        <v>0</v>
      </c>
      <c r="C12" s="124">
        <v>8</v>
      </c>
      <c r="D12" s="251" t="str">
        <f>IF('RELACIÓN DE FACTURAS'!N16="","",'RELACIÓN DE FACTURAS'!N16)</f>
        <v/>
      </c>
      <c r="E12" s="252" t="str">
        <f>IF(D12="SEGUNDO PAGO O POSTERIORES",E11,IF('RELACIÓN DE FACTURAS'!O16="","",'RELACIÓN DE FACTURAS'!O16))</f>
        <v/>
      </c>
      <c r="F12" s="253" t="str">
        <f>IF(D12="SEGUNDO PAGO O POSTERIORES",F11,IF('RELACIÓN DE FACTURAS'!Q16="","",'RELACIÓN DE FACTURAS'!Q16))</f>
        <v/>
      </c>
      <c r="G12" s="254" t="str">
        <f>IF(D12="","",IF(AND(D12="NUEVA FACTURA",'RELACIÓN DE FACTURAS'!P16=""),"",IF(AND(D12="NUEVA FACTURA",'RELACIÓN DE FACTURAS'!P16&lt;&gt;""),'RELACIÓN DE FACTURAS'!P16,IF(D12="SEGUNDO PAGO O POSTERIORES",G11,""))))</f>
        <v/>
      </c>
      <c r="H12" s="255"/>
      <c r="I12" s="256" t="str">
        <f>IF(D12="","",IF(J12="","REVISAR",IF(OR(J12&lt;EXPEDIENTE!$I$25,J12&gt;EXPEDIENTE!$I$27),"SI","NO")))</f>
        <v/>
      </c>
      <c r="J12" s="257" t="str">
        <f t="shared" si="0"/>
        <v/>
      </c>
      <c r="K12" s="254" t="str">
        <f>IF(D12="","",IF('RELACIÓN DE FACTURAS'!AE16="","",'RELACIÓN DE FACTURAS'!AE16))</f>
        <v/>
      </c>
      <c r="L12" s="255"/>
      <c r="M12" s="256" t="str">
        <f>IF(D12="","",IF(N12="","REVISAR",IF(OR(N12&lt;EXPEDIENTE!$I$25,N12&gt;EXPEDIENTE!$I$29),"SI","NO")))</f>
        <v/>
      </c>
      <c r="N12" s="258" t="str">
        <f t="shared" si="1"/>
        <v/>
      </c>
      <c r="O12" s="259">
        <f>IF(N12&lt;EXPEDIENTE!$I$25,-1,IF(N12&gt;EXPEDIENTE!$I$29,1,0))</f>
        <v>0</v>
      </c>
      <c r="P12" s="260" t="str">
        <f t="shared" si="2"/>
        <v/>
      </c>
      <c r="Q12" s="255"/>
      <c r="R12" s="261"/>
      <c r="S12" s="262" t="str">
        <f>IF(OR(Q12="",R12=""),"",IF(Q12&gt;EXPEDIENTE!$I$27,"",MIN(DATE(YEAR(Q12),MONTH(Q12),DAY(Q12)+R12),EXPEDIENTE!$I$29)))</f>
        <v/>
      </c>
      <c r="T12" s="263" t="str">
        <f>IF(D12="","",IF(AND(P12="NO",Q12="",S12=""),"NO",IF(Q12&gt;EXPEDIENTE!$I$27,"ENTREGA FUERA PLAZO",IF(OR(Q12="",R12=""),"PDTE",IF(S12&lt;N12,"SI","NO")))))</f>
        <v/>
      </c>
      <c r="U12" s="264" t="str">
        <f>IF('RELACIÓN DE FACTURAS'!W16="","",'RELACIÓN DE FACTURAS'!W16)</f>
        <v/>
      </c>
      <c r="V12" s="265" t="str">
        <f>IF('RELACIÓN DE FACTURAS'!X16="","",'RELACIÓN DE FACTURAS'!X16)</f>
        <v/>
      </c>
      <c r="W12" s="266"/>
      <c r="X12" s="287" t="str">
        <f t="shared" si="3"/>
        <v/>
      </c>
      <c r="Y12" s="267"/>
    </row>
    <row r="13" spans="2:25" ht="39.950000000000003" customHeight="1" x14ac:dyDescent="0.2">
      <c r="B13" s="122">
        <f>IF(Y13&lt;&gt;"",MAX($B$5:B12)+1,0)</f>
        <v>0</v>
      </c>
      <c r="C13" s="124">
        <v>9</v>
      </c>
      <c r="D13" s="251" t="str">
        <f>IF('RELACIÓN DE FACTURAS'!N17="","",'RELACIÓN DE FACTURAS'!N17)</f>
        <v/>
      </c>
      <c r="E13" s="252" t="str">
        <f>IF(D13="SEGUNDO PAGO O POSTERIORES",E12,IF('RELACIÓN DE FACTURAS'!O17="","",'RELACIÓN DE FACTURAS'!O17))</f>
        <v/>
      </c>
      <c r="F13" s="253" t="str">
        <f>IF(D13="SEGUNDO PAGO O POSTERIORES",F12,IF('RELACIÓN DE FACTURAS'!Q17="","",'RELACIÓN DE FACTURAS'!Q17))</f>
        <v/>
      </c>
      <c r="G13" s="254" t="str">
        <f>IF(D13="","",IF(AND(D13="NUEVA FACTURA",'RELACIÓN DE FACTURAS'!P17=""),"",IF(AND(D13="NUEVA FACTURA",'RELACIÓN DE FACTURAS'!P17&lt;&gt;""),'RELACIÓN DE FACTURAS'!P17,IF(D13="SEGUNDO PAGO O POSTERIORES",G12,""))))</f>
        <v/>
      </c>
      <c r="H13" s="255"/>
      <c r="I13" s="256" t="str">
        <f>IF(D13="","",IF(J13="","REVISAR",IF(OR(J13&lt;EXPEDIENTE!$I$25,J13&gt;EXPEDIENTE!$I$27),"SI","NO")))</f>
        <v/>
      </c>
      <c r="J13" s="257" t="str">
        <f t="shared" si="0"/>
        <v/>
      </c>
      <c r="K13" s="254" t="str">
        <f>IF(D13="","",IF('RELACIÓN DE FACTURAS'!AE17="","",'RELACIÓN DE FACTURAS'!AE17))</f>
        <v/>
      </c>
      <c r="L13" s="255"/>
      <c r="M13" s="256" t="str">
        <f>IF(D13="","",IF(N13="","REVISAR",IF(OR(N13&lt;EXPEDIENTE!$I$25,N13&gt;EXPEDIENTE!$I$29),"SI","NO")))</f>
        <v/>
      </c>
      <c r="N13" s="258" t="str">
        <f t="shared" si="1"/>
        <v/>
      </c>
      <c r="O13" s="259">
        <f>IF(N13&lt;EXPEDIENTE!$I$25,-1,IF(N13&gt;EXPEDIENTE!$I$29,1,0))</f>
        <v>0</v>
      </c>
      <c r="P13" s="260" t="str">
        <f t="shared" si="2"/>
        <v/>
      </c>
      <c r="Q13" s="255"/>
      <c r="R13" s="261"/>
      <c r="S13" s="262" t="str">
        <f>IF(OR(Q13="",R13=""),"",IF(Q13&gt;EXPEDIENTE!$I$27,"",MIN(DATE(YEAR(Q13),MONTH(Q13),DAY(Q13)+R13),EXPEDIENTE!$I$29)))</f>
        <v/>
      </c>
      <c r="T13" s="263" t="str">
        <f>IF(D13="","",IF(AND(P13="NO",Q13="",S13=""),"NO",IF(Q13&gt;EXPEDIENTE!$I$27,"ENTREGA FUERA PLAZO",IF(OR(Q13="",R13=""),"PDTE",IF(S13&lt;N13,"SI","NO")))))</f>
        <v/>
      </c>
      <c r="U13" s="264" t="str">
        <f>IF('RELACIÓN DE FACTURAS'!W17="","",'RELACIÓN DE FACTURAS'!W17)</f>
        <v/>
      </c>
      <c r="V13" s="265" t="str">
        <f>IF('RELACIÓN DE FACTURAS'!X17="","",'RELACIÓN DE FACTURAS'!X17)</f>
        <v/>
      </c>
      <c r="W13" s="266"/>
      <c r="X13" s="287" t="str">
        <f t="shared" si="3"/>
        <v/>
      </c>
      <c r="Y13" s="267"/>
    </row>
    <row r="14" spans="2:25" ht="39.950000000000003" customHeight="1" x14ac:dyDescent="0.2">
      <c r="B14" s="122">
        <f>IF(Y14&lt;&gt;"",MAX($B$5:B13)+1,0)</f>
        <v>0</v>
      </c>
      <c r="C14" s="124">
        <v>10</v>
      </c>
      <c r="D14" s="251" t="str">
        <f>IF('RELACIÓN DE FACTURAS'!N18="","",'RELACIÓN DE FACTURAS'!N18)</f>
        <v/>
      </c>
      <c r="E14" s="252" t="str">
        <f>IF(D14="SEGUNDO PAGO O POSTERIORES",E13,IF('RELACIÓN DE FACTURAS'!O18="","",'RELACIÓN DE FACTURAS'!O18))</f>
        <v/>
      </c>
      <c r="F14" s="253" t="str">
        <f>IF(D14="SEGUNDO PAGO O POSTERIORES",F13,IF('RELACIÓN DE FACTURAS'!Q18="","",'RELACIÓN DE FACTURAS'!Q18))</f>
        <v/>
      </c>
      <c r="G14" s="254" t="str">
        <f>IF(D14="","",IF(AND(D14="NUEVA FACTURA",'RELACIÓN DE FACTURAS'!P18=""),"",IF(AND(D14="NUEVA FACTURA",'RELACIÓN DE FACTURAS'!P18&lt;&gt;""),'RELACIÓN DE FACTURAS'!P18,IF(D14="SEGUNDO PAGO O POSTERIORES",G13,""))))</f>
        <v/>
      </c>
      <c r="H14" s="255"/>
      <c r="I14" s="256" t="str">
        <f>IF(D14="","",IF(J14="","REVISAR",IF(OR(J14&lt;EXPEDIENTE!$I$25,J14&gt;EXPEDIENTE!$I$27),"SI","NO")))</f>
        <v/>
      </c>
      <c r="J14" s="257" t="str">
        <f t="shared" si="0"/>
        <v/>
      </c>
      <c r="K14" s="254" t="str">
        <f>IF(D14="","",IF('RELACIÓN DE FACTURAS'!AE18="","",'RELACIÓN DE FACTURAS'!AE18))</f>
        <v/>
      </c>
      <c r="L14" s="255"/>
      <c r="M14" s="256" t="str">
        <f>IF(D14="","",IF(N14="","REVISAR",IF(OR(N14&lt;EXPEDIENTE!$I$25,N14&gt;EXPEDIENTE!$I$29),"SI","NO")))</f>
        <v/>
      </c>
      <c r="N14" s="258" t="str">
        <f t="shared" si="1"/>
        <v/>
      </c>
      <c r="O14" s="259">
        <f>IF(N14&lt;EXPEDIENTE!$I$25,-1,IF(N14&gt;EXPEDIENTE!$I$29,1,0))</f>
        <v>0</v>
      </c>
      <c r="P14" s="260" t="str">
        <f t="shared" si="2"/>
        <v/>
      </c>
      <c r="Q14" s="255"/>
      <c r="R14" s="261"/>
      <c r="S14" s="262" t="str">
        <f>IF(OR(Q14="",R14=""),"",IF(Q14&gt;EXPEDIENTE!$I$27,"",MIN(DATE(YEAR(Q14),MONTH(Q14),DAY(Q14)+R14),EXPEDIENTE!$I$29)))</f>
        <v/>
      </c>
      <c r="T14" s="263" t="str">
        <f>IF(D14="","",IF(AND(P14="NO",Q14="",S14=""),"NO",IF(Q14&gt;EXPEDIENTE!$I$27,"ENTREGA FUERA PLAZO",IF(OR(Q14="",R14=""),"PDTE",IF(S14&lt;N14,"SI","NO")))))</f>
        <v/>
      </c>
      <c r="U14" s="264" t="str">
        <f>IF('RELACIÓN DE FACTURAS'!W18="","",'RELACIÓN DE FACTURAS'!W18)</f>
        <v/>
      </c>
      <c r="V14" s="265" t="str">
        <f>IF('RELACIÓN DE FACTURAS'!X18="","",'RELACIÓN DE FACTURAS'!X18)</f>
        <v/>
      </c>
      <c r="W14" s="266"/>
      <c r="X14" s="287" t="str">
        <f t="shared" si="3"/>
        <v/>
      </c>
      <c r="Y14" s="267"/>
    </row>
    <row r="15" spans="2:25" ht="39.950000000000003" customHeight="1" x14ac:dyDescent="0.2">
      <c r="B15" s="122">
        <f>IF(Y15&lt;&gt;"",MAX($B$5:B14)+1,0)</f>
        <v>0</v>
      </c>
      <c r="C15" s="124">
        <v>11</v>
      </c>
      <c r="D15" s="251" t="str">
        <f>IF('RELACIÓN DE FACTURAS'!N19="","",'RELACIÓN DE FACTURAS'!N19)</f>
        <v/>
      </c>
      <c r="E15" s="252" t="str">
        <f>IF(D15="SEGUNDO PAGO O POSTERIORES",E14,IF('RELACIÓN DE FACTURAS'!O19="","",'RELACIÓN DE FACTURAS'!O19))</f>
        <v/>
      </c>
      <c r="F15" s="253" t="str">
        <f>IF(D15="SEGUNDO PAGO O POSTERIORES",F14,IF('RELACIÓN DE FACTURAS'!Q19="","",'RELACIÓN DE FACTURAS'!Q19))</f>
        <v/>
      </c>
      <c r="G15" s="254" t="str">
        <f>IF(D15="","",IF(AND(D15="NUEVA FACTURA",'RELACIÓN DE FACTURAS'!P19=""),"",IF(AND(D15="NUEVA FACTURA",'RELACIÓN DE FACTURAS'!P19&lt;&gt;""),'RELACIÓN DE FACTURAS'!P19,IF(D15="SEGUNDO PAGO O POSTERIORES",G14,""))))</f>
        <v/>
      </c>
      <c r="H15" s="255"/>
      <c r="I15" s="256" t="str">
        <f>IF(D15="","",IF(J15="","REVISAR",IF(OR(J15&lt;EXPEDIENTE!$I$25,J15&gt;EXPEDIENTE!$I$27),"SI","NO")))</f>
        <v/>
      </c>
      <c r="J15" s="257" t="str">
        <f t="shared" si="0"/>
        <v/>
      </c>
      <c r="K15" s="254" t="str">
        <f>IF(D15="","",IF('RELACIÓN DE FACTURAS'!AE19="","",'RELACIÓN DE FACTURAS'!AE19))</f>
        <v/>
      </c>
      <c r="L15" s="255"/>
      <c r="M15" s="256" t="str">
        <f>IF(D15="","",IF(N15="","REVISAR",IF(OR(N15&lt;EXPEDIENTE!$I$25,N15&gt;EXPEDIENTE!$I$29),"SI","NO")))</f>
        <v/>
      </c>
      <c r="N15" s="258" t="str">
        <f t="shared" si="1"/>
        <v/>
      </c>
      <c r="O15" s="259">
        <f>IF(N15&lt;EXPEDIENTE!$I$25,-1,IF(N15&gt;EXPEDIENTE!$I$29,1,0))</f>
        <v>0</v>
      </c>
      <c r="P15" s="260" t="str">
        <f t="shared" si="2"/>
        <v/>
      </c>
      <c r="Q15" s="255"/>
      <c r="R15" s="261"/>
      <c r="S15" s="262" t="str">
        <f>IF(OR(Q15="",R15=""),"",IF(Q15&gt;EXPEDIENTE!$I$27,"",MIN(DATE(YEAR(Q15),MONTH(Q15),DAY(Q15)+R15),EXPEDIENTE!$I$29)))</f>
        <v/>
      </c>
      <c r="T15" s="263" t="str">
        <f>IF(D15="","",IF(AND(P15="NO",Q15="",S15=""),"NO",IF(Q15&gt;EXPEDIENTE!$I$27,"ENTREGA FUERA PLAZO",IF(OR(Q15="",R15=""),"PDTE",IF(S15&lt;N15,"SI","NO")))))</f>
        <v/>
      </c>
      <c r="U15" s="264" t="str">
        <f>IF('RELACIÓN DE FACTURAS'!W19="","",'RELACIÓN DE FACTURAS'!W19)</f>
        <v/>
      </c>
      <c r="V15" s="265" t="str">
        <f>IF('RELACIÓN DE FACTURAS'!X19="","",'RELACIÓN DE FACTURAS'!X19)</f>
        <v/>
      </c>
      <c r="W15" s="266"/>
      <c r="X15" s="287" t="str">
        <f t="shared" si="3"/>
        <v/>
      </c>
      <c r="Y15" s="267"/>
    </row>
    <row r="16" spans="2:25" ht="39.950000000000003" customHeight="1" x14ac:dyDescent="0.2">
      <c r="B16" s="122">
        <f>IF(Y16&lt;&gt;"",MAX($B$5:B15)+1,0)</f>
        <v>0</v>
      </c>
      <c r="C16" s="124">
        <v>12</v>
      </c>
      <c r="D16" s="251" t="str">
        <f>IF('RELACIÓN DE FACTURAS'!N20="","",'RELACIÓN DE FACTURAS'!N20)</f>
        <v/>
      </c>
      <c r="E16" s="252" t="str">
        <f>IF(D16="SEGUNDO PAGO O POSTERIORES",E15,IF('RELACIÓN DE FACTURAS'!O20="","",'RELACIÓN DE FACTURAS'!O20))</f>
        <v/>
      </c>
      <c r="F16" s="253" t="str">
        <f>IF(D16="SEGUNDO PAGO O POSTERIORES",F15,IF('RELACIÓN DE FACTURAS'!Q20="","",'RELACIÓN DE FACTURAS'!Q20))</f>
        <v/>
      </c>
      <c r="G16" s="254" t="str">
        <f>IF(D16="","",IF(AND(D16="NUEVA FACTURA",'RELACIÓN DE FACTURAS'!P20=""),"",IF(AND(D16="NUEVA FACTURA",'RELACIÓN DE FACTURAS'!P20&lt;&gt;""),'RELACIÓN DE FACTURAS'!P20,IF(D16="SEGUNDO PAGO O POSTERIORES",G15,""))))</f>
        <v/>
      </c>
      <c r="H16" s="255"/>
      <c r="I16" s="256" t="str">
        <f>IF(D16="","",IF(J16="","REVISAR",IF(OR(J16&lt;EXPEDIENTE!$I$25,J16&gt;EXPEDIENTE!$I$27),"SI","NO")))</f>
        <v/>
      </c>
      <c r="J16" s="257" t="str">
        <f t="shared" si="0"/>
        <v/>
      </c>
      <c r="K16" s="254" t="str">
        <f>IF(D16="","",IF('RELACIÓN DE FACTURAS'!AE20="","",'RELACIÓN DE FACTURAS'!AE20))</f>
        <v/>
      </c>
      <c r="L16" s="255"/>
      <c r="M16" s="256" t="str">
        <f>IF(D16="","",IF(N16="","REVISAR",IF(OR(N16&lt;EXPEDIENTE!$I$25,N16&gt;EXPEDIENTE!$I$29),"SI","NO")))</f>
        <v/>
      </c>
      <c r="N16" s="258" t="str">
        <f t="shared" si="1"/>
        <v/>
      </c>
      <c r="O16" s="259">
        <f>IF(N16&lt;EXPEDIENTE!$I$25,-1,IF(N16&gt;EXPEDIENTE!$I$29,1,0))</f>
        <v>0</v>
      </c>
      <c r="P16" s="260" t="str">
        <f t="shared" si="2"/>
        <v/>
      </c>
      <c r="Q16" s="255"/>
      <c r="R16" s="261"/>
      <c r="S16" s="262" t="str">
        <f>IF(OR(Q16="",R16=""),"",IF(Q16&gt;EXPEDIENTE!$I$27,"",MIN(DATE(YEAR(Q16),MONTH(Q16),DAY(Q16)+R16),EXPEDIENTE!$I$29)))</f>
        <v/>
      </c>
      <c r="T16" s="263" t="str">
        <f>IF(D16="","",IF(AND(P16="NO",Q16="",S16=""),"NO",IF(Q16&gt;EXPEDIENTE!$I$27,"ENTREGA FUERA PLAZO",IF(OR(Q16="",R16=""),"PDTE",IF(S16&lt;N16,"SI","NO")))))</f>
        <v/>
      </c>
      <c r="U16" s="264" t="str">
        <f>IF('RELACIÓN DE FACTURAS'!W20="","",'RELACIÓN DE FACTURAS'!W20)</f>
        <v/>
      </c>
      <c r="V16" s="265" t="str">
        <f>IF('RELACIÓN DE FACTURAS'!X20="","",'RELACIÓN DE FACTURAS'!X20)</f>
        <v/>
      </c>
      <c r="W16" s="266"/>
      <c r="X16" s="287" t="str">
        <f t="shared" si="3"/>
        <v/>
      </c>
      <c r="Y16" s="267"/>
    </row>
    <row r="17" spans="2:25" ht="39.950000000000003" customHeight="1" x14ac:dyDescent="0.2">
      <c r="B17" s="122">
        <f>IF(Y17&lt;&gt;"",MAX($B$5:B16)+1,0)</f>
        <v>0</v>
      </c>
      <c r="C17" s="124">
        <v>13</v>
      </c>
      <c r="D17" s="251" t="str">
        <f>IF('RELACIÓN DE FACTURAS'!N21="","",'RELACIÓN DE FACTURAS'!N21)</f>
        <v/>
      </c>
      <c r="E17" s="252" t="str">
        <f>IF(D17="SEGUNDO PAGO O POSTERIORES",E16,IF('RELACIÓN DE FACTURAS'!O21="","",'RELACIÓN DE FACTURAS'!O21))</f>
        <v/>
      </c>
      <c r="F17" s="253" t="str">
        <f>IF(D17="SEGUNDO PAGO O POSTERIORES",F16,IF('RELACIÓN DE FACTURAS'!Q21="","",'RELACIÓN DE FACTURAS'!Q21))</f>
        <v/>
      </c>
      <c r="G17" s="254" t="str">
        <f>IF(D17="","",IF(AND(D17="NUEVA FACTURA",'RELACIÓN DE FACTURAS'!P21=""),"",IF(AND(D17="NUEVA FACTURA",'RELACIÓN DE FACTURAS'!P21&lt;&gt;""),'RELACIÓN DE FACTURAS'!P21,IF(D17="SEGUNDO PAGO O POSTERIORES",G16,""))))</f>
        <v/>
      </c>
      <c r="H17" s="255"/>
      <c r="I17" s="256" t="str">
        <f>IF(D17="","",IF(J17="","REVISAR",IF(OR(J17&lt;EXPEDIENTE!$I$25,J17&gt;EXPEDIENTE!$I$27),"SI","NO")))</f>
        <v/>
      </c>
      <c r="J17" s="257" t="str">
        <f t="shared" si="0"/>
        <v/>
      </c>
      <c r="K17" s="254" t="str">
        <f>IF(D17="","",IF('RELACIÓN DE FACTURAS'!AE21="","",'RELACIÓN DE FACTURAS'!AE21))</f>
        <v/>
      </c>
      <c r="L17" s="255"/>
      <c r="M17" s="256" t="str">
        <f>IF(D17="","",IF(N17="","REVISAR",IF(OR(N17&lt;EXPEDIENTE!$I$25,N17&gt;EXPEDIENTE!$I$29),"SI","NO")))</f>
        <v/>
      </c>
      <c r="N17" s="258" t="str">
        <f t="shared" si="1"/>
        <v/>
      </c>
      <c r="O17" s="259">
        <f>IF(N17&lt;EXPEDIENTE!$I$25,-1,IF(N17&gt;EXPEDIENTE!$I$29,1,0))</f>
        <v>0</v>
      </c>
      <c r="P17" s="260" t="str">
        <f t="shared" si="2"/>
        <v/>
      </c>
      <c r="Q17" s="255"/>
      <c r="R17" s="261"/>
      <c r="S17" s="262" t="str">
        <f>IF(OR(Q17="",R17=""),"",IF(Q17&gt;EXPEDIENTE!$I$27,"",MIN(DATE(YEAR(Q17),MONTH(Q17),DAY(Q17)+R17),EXPEDIENTE!$I$29)))</f>
        <v/>
      </c>
      <c r="T17" s="263" t="str">
        <f>IF(D17="","",IF(AND(P17="NO",Q17="",S17=""),"NO",IF(Q17&gt;EXPEDIENTE!$I$27,"ENTREGA FUERA PLAZO",IF(OR(Q17="",R17=""),"PDTE",IF(S17&lt;N17,"SI","NO")))))</f>
        <v/>
      </c>
      <c r="U17" s="264" t="str">
        <f>IF('RELACIÓN DE FACTURAS'!W21="","",'RELACIÓN DE FACTURAS'!W21)</f>
        <v/>
      </c>
      <c r="V17" s="265" t="str">
        <f>IF('RELACIÓN DE FACTURAS'!X21="","",'RELACIÓN DE FACTURAS'!X21)</f>
        <v/>
      </c>
      <c r="W17" s="266"/>
      <c r="X17" s="287" t="str">
        <f t="shared" si="3"/>
        <v/>
      </c>
      <c r="Y17" s="267"/>
    </row>
    <row r="18" spans="2:25" ht="39.950000000000003" customHeight="1" x14ac:dyDescent="0.2">
      <c r="B18" s="122">
        <f>IF(Y18&lt;&gt;"",MAX($B$5:B17)+1,0)</f>
        <v>0</v>
      </c>
      <c r="C18" s="124">
        <v>14</v>
      </c>
      <c r="D18" s="251" t="str">
        <f>IF('RELACIÓN DE FACTURAS'!N22="","",'RELACIÓN DE FACTURAS'!N22)</f>
        <v/>
      </c>
      <c r="E18" s="252" t="str">
        <f>IF(D18="SEGUNDO PAGO O POSTERIORES",E17,IF('RELACIÓN DE FACTURAS'!O22="","",'RELACIÓN DE FACTURAS'!O22))</f>
        <v/>
      </c>
      <c r="F18" s="253" t="str">
        <f>IF(D18="SEGUNDO PAGO O POSTERIORES",F17,IF('RELACIÓN DE FACTURAS'!Q22="","",'RELACIÓN DE FACTURAS'!Q22))</f>
        <v/>
      </c>
      <c r="G18" s="254" t="str">
        <f>IF(D18="","",IF(AND(D18="NUEVA FACTURA",'RELACIÓN DE FACTURAS'!P22=""),"",IF(AND(D18="NUEVA FACTURA",'RELACIÓN DE FACTURAS'!P22&lt;&gt;""),'RELACIÓN DE FACTURAS'!P22,IF(D18="SEGUNDO PAGO O POSTERIORES",G17,""))))</f>
        <v/>
      </c>
      <c r="H18" s="255"/>
      <c r="I18" s="256" t="str">
        <f>IF(D18="","",IF(J18="","REVISAR",IF(OR(J18&lt;EXPEDIENTE!$I$25,J18&gt;EXPEDIENTE!$I$27),"SI","NO")))</f>
        <v/>
      </c>
      <c r="J18" s="257" t="str">
        <f t="shared" si="0"/>
        <v/>
      </c>
      <c r="K18" s="254" t="str">
        <f>IF(D18="","",IF('RELACIÓN DE FACTURAS'!AE22="","",'RELACIÓN DE FACTURAS'!AE22))</f>
        <v/>
      </c>
      <c r="L18" s="255"/>
      <c r="M18" s="256" t="str">
        <f>IF(D18="","",IF(N18="","REVISAR",IF(OR(N18&lt;EXPEDIENTE!$I$25,N18&gt;EXPEDIENTE!$I$29),"SI","NO")))</f>
        <v/>
      </c>
      <c r="N18" s="258" t="str">
        <f t="shared" si="1"/>
        <v/>
      </c>
      <c r="O18" s="259">
        <f>IF(N18&lt;EXPEDIENTE!$I$25,-1,IF(N18&gt;EXPEDIENTE!$I$29,1,0))</f>
        <v>0</v>
      </c>
      <c r="P18" s="260" t="str">
        <f t="shared" si="2"/>
        <v/>
      </c>
      <c r="Q18" s="255"/>
      <c r="R18" s="261"/>
      <c r="S18" s="262" t="str">
        <f>IF(OR(Q18="",R18=""),"",IF(Q18&gt;EXPEDIENTE!$I$27,"",MIN(DATE(YEAR(Q18),MONTH(Q18),DAY(Q18)+R18),EXPEDIENTE!$I$29)))</f>
        <v/>
      </c>
      <c r="T18" s="263" t="str">
        <f>IF(D18="","",IF(AND(P18="NO",Q18="",S18=""),"NO",IF(Q18&gt;EXPEDIENTE!$I$27,"ENTREGA FUERA PLAZO",IF(OR(Q18="",R18=""),"PDTE",IF(S18&lt;N18,"SI","NO")))))</f>
        <v/>
      </c>
      <c r="U18" s="264" t="str">
        <f>IF('RELACIÓN DE FACTURAS'!W22="","",'RELACIÓN DE FACTURAS'!W22)</f>
        <v/>
      </c>
      <c r="V18" s="265" t="str">
        <f>IF('RELACIÓN DE FACTURAS'!X22="","",'RELACIÓN DE FACTURAS'!X22)</f>
        <v/>
      </c>
      <c r="W18" s="266"/>
      <c r="X18" s="287" t="str">
        <f t="shared" si="3"/>
        <v/>
      </c>
      <c r="Y18" s="267"/>
    </row>
    <row r="19" spans="2:25" ht="39.950000000000003" customHeight="1" x14ac:dyDescent="0.2">
      <c r="B19" s="122">
        <f>IF(Y19&lt;&gt;"",MAX($B$5:B18)+1,0)</f>
        <v>0</v>
      </c>
      <c r="C19" s="124">
        <v>15</v>
      </c>
      <c r="D19" s="251" t="str">
        <f>IF('RELACIÓN DE FACTURAS'!N23="","",'RELACIÓN DE FACTURAS'!N23)</f>
        <v/>
      </c>
      <c r="E19" s="252" t="str">
        <f>IF(D19="SEGUNDO PAGO O POSTERIORES",E18,IF('RELACIÓN DE FACTURAS'!O23="","",'RELACIÓN DE FACTURAS'!O23))</f>
        <v/>
      </c>
      <c r="F19" s="253" t="str">
        <f>IF(D19="SEGUNDO PAGO O POSTERIORES",F18,IF('RELACIÓN DE FACTURAS'!Q23="","",'RELACIÓN DE FACTURAS'!Q23))</f>
        <v/>
      </c>
      <c r="G19" s="254" t="str">
        <f>IF(D19="","",IF(AND(D19="NUEVA FACTURA",'RELACIÓN DE FACTURAS'!P23=""),"",IF(AND(D19="NUEVA FACTURA",'RELACIÓN DE FACTURAS'!P23&lt;&gt;""),'RELACIÓN DE FACTURAS'!P23,IF(D19="SEGUNDO PAGO O POSTERIORES",G18,""))))</f>
        <v/>
      </c>
      <c r="H19" s="255"/>
      <c r="I19" s="256" t="str">
        <f>IF(D19="","",IF(J19="","REVISAR",IF(OR(J19&lt;EXPEDIENTE!$I$25,J19&gt;EXPEDIENTE!$I$27),"SI","NO")))</f>
        <v/>
      </c>
      <c r="J19" s="257" t="str">
        <f t="shared" si="0"/>
        <v/>
      </c>
      <c r="K19" s="254" t="str">
        <f>IF(D19="","",IF('RELACIÓN DE FACTURAS'!AE23="","",'RELACIÓN DE FACTURAS'!AE23))</f>
        <v/>
      </c>
      <c r="L19" s="255"/>
      <c r="M19" s="256" t="str">
        <f>IF(D19="","",IF(N19="","REVISAR",IF(OR(N19&lt;EXPEDIENTE!$I$25,N19&gt;EXPEDIENTE!$I$29),"SI","NO")))</f>
        <v/>
      </c>
      <c r="N19" s="258" t="str">
        <f t="shared" si="1"/>
        <v/>
      </c>
      <c r="O19" s="259">
        <f>IF(N19&lt;EXPEDIENTE!$I$25,-1,IF(N19&gt;EXPEDIENTE!$I$29,1,0))</f>
        <v>0</v>
      </c>
      <c r="P19" s="260" t="str">
        <f t="shared" si="2"/>
        <v/>
      </c>
      <c r="Q19" s="255"/>
      <c r="R19" s="261"/>
      <c r="S19" s="262" t="str">
        <f>IF(OR(Q19="",R19=""),"",IF(Q19&gt;EXPEDIENTE!$I$27,"",MIN(DATE(YEAR(Q19),MONTH(Q19),DAY(Q19)+R19),EXPEDIENTE!$I$29)))</f>
        <v/>
      </c>
      <c r="T19" s="263" t="str">
        <f>IF(D19="","",IF(AND(P19="NO",Q19="",S19=""),"NO",IF(Q19&gt;EXPEDIENTE!$I$27,"ENTREGA FUERA PLAZO",IF(OR(Q19="",R19=""),"PDTE",IF(S19&lt;N19,"SI","NO")))))</f>
        <v/>
      </c>
      <c r="U19" s="264" t="str">
        <f>IF('RELACIÓN DE FACTURAS'!W23="","",'RELACIÓN DE FACTURAS'!W23)</f>
        <v/>
      </c>
      <c r="V19" s="265" t="str">
        <f>IF('RELACIÓN DE FACTURAS'!X23="","",'RELACIÓN DE FACTURAS'!X23)</f>
        <v/>
      </c>
      <c r="W19" s="266"/>
      <c r="X19" s="287" t="str">
        <f t="shared" si="3"/>
        <v/>
      </c>
      <c r="Y19" s="267"/>
    </row>
    <row r="20" spans="2:25" ht="39.950000000000003" customHeight="1" x14ac:dyDescent="0.2">
      <c r="B20" s="122">
        <f>IF(Y20&lt;&gt;"",MAX($B$5:B19)+1,0)</f>
        <v>0</v>
      </c>
      <c r="C20" s="124">
        <v>16</v>
      </c>
      <c r="D20" s="251" t="str">
        <f>IF('RELACIÓN DE FACTURAS'!N24="","",'RELACIÓN DE FACTURAS'!N24)</f>
        <v/>
      </c>
      <c r="E20" s="252" t="str">
        <f>IF(D20="SEGUNDO PAGO O POSTERIORES",E19,IF('RELACIÓN DE FACTURAS'!O24="","",'RELACIÓN DE FACTURAS'!O24))</f>
        <v/>
      </c>
      <c r="F20" s="253" t="str">
        <f>IF(D20="SEGUNDO PAGO O POSTERIORES",F19,IF('RELACIÓN DE FACTURAS'!Q24="","",'RELACIÓN DE FACTURAS'!Q24))</f>
        <v/>
      </c>
      <c r="G20" s="254" t="str">
        <f>IF(D20="","",IF(AND(D20="NUEVA FACTURA",'RELACIÓN DE FACTURAS'!P24=""),"",IF(AND(D20="NUEVA FACTURA",'RELACIÓN DE FACTURAS'!P24&lt;&gt;""),'RELACIÓN DE FACTURAS'!P24,IF(D20="SEGUNDO PAGO O POSTERIORES",G19,""))))</f>
        <v/>
      </c>
      <c r="H20" s="255"/>
      <c r="I20" s="256" t="str">
        <f>IF(D20="","",IF(J20="","REVISAR",IF(OR(J20&lt;EXPEDIENTE!$I$25,J20&gt;EXPEDIENTE!$I$27),"SI","NO")))</f>
        <v/>
      </c>
      <c r="J20" s="257" t="str">
        <f t="shared" si="0"/>
        <v/>
      </c>
      <c r="K20" s="254" t="str">
        <f>IF(D20="","",IF('RELACIÓN DE FACTURAS'!AE24="","",'RELACIÓN DE FACTURAS'!AE24))</f>
        <v/>
      </c>
      <c r="L20" s="255"/>
      <c r="M20" s="256" t="str">
        <f>IF(D20="","",IF(N20="","REVISAR",IF(OR(N20&lt;EXPEDIENTE!$I$25,N20&gt;EXPEDIENTE!$I$29),"SI","NO")))</f>
        <v/>
      </c>
      <c r="N20" s="258" t="str">
        <f t="shared" si="1"/>
        <v/>
      </c>
      <c r="O20" s="259">
        <f>IF(N20&lt;EXPEDIENTE!$I$25,-1,IF(N20&gt;EXPEDIENTE!$I$29,1,0))</f>
        <v>0</v>
      </c>
      <c r="P20" s="260" t="str">
        <f t="shared" si="2"/>
        <v/>
      </c>
      <c r="Q20" s="255"/>
      <c r="R20" s="261"/>
      <c r="S20" s="262" t="str">
        <f>IF(OR(Q20="",R20=""),"",IF(Q20&gt;EXPEDIENTE!$I$27,"",MIN(DATE(YEAR(Q20),MONTH(Q20),DAY(Q20)+R20),EXPEDIENTE!$I$29)))</f>
        <v/>
      </c>
      <c r="T20" s="263" t="str">
        <f>IF(D20="","",IF(AND(P20="NO",Q20="",S20=""),"NO",IF(Q20&gt;EXPEDIENTE!$I$27,"ENTREGA FUERA PLAZO",IF(OR(Q20="",R20=""),"PDTE",IF(S20&lt;N20,"SI","NO")))))</f>
        <v/>
      </c>
      <c r="U20" s="264" t="str">
        <f>IF('RELACIÓN DE FACTURAS'!W24="","",'RELACIÓN DE FACTURAS'!W24)</f>
        <v/>
      </c>
      <c r="V20" s="265" t="str">
        <f>IF('RELACIÓN DE FACTURAS'!X24="","",'RELACIÓN DE FACTURAS'!X24)</f>
        <v/>
      </c>
      <c r="W20" s="266"/>
      <c r="X20" s="287" t="str">
        <f t="shared" si="3"/>
        <v/>
      </c>
      <c r="Y20" s="267"/>
    </row>
    <row r="21" spans="2:25" ht="39.950000000000003" customHeight="1" x14ac:dyDescent="0.2">
      <c r="B21" s="122">
        <f>IF(Y21&lt;&gt;"",MAX($B$5:B20)+1,0)</f>
        <v>0</v>
      </c>
      <c r="C21" s="124">
        <v>17</v>
      </c>
      <c r="D21" s="251" t="str">
        <f>IF('RELACIÓN DE FACTURAS'!N25="","",'RELACIÓN DE FACTURAS'!N25)</f>
        <v/>
      </c>
      <c r="E21" s="252" t="str">
        <f>IF(D21="SEGUNDO PAGO O POSTERIORES",E20,IF('RELACIÓN DE FACTURAS'!O25="","",'RELACIÓN DE FACTURAS'!O25))</f>
        <v/>
      </c>
      <c r="F21" s="253" t="str">
        <f>IF(D21="SEGUNDO PAGO O POSTERIORES",F20,IF('RELACIÓN DE FACTURAS'!Q25="","",'RELACIÓN DE FACTURAS'!Q25))</f>
        <v/>
      </c>
      <c r="G21" s="254" t="str">
        <f>IF(D21="","",IF(AND(D21="NUEVA FACTURA",'RELACIÓN DE FACTURAS'!P25=""),"",IF(AND(D21="NUEVA FACTURA",'RELACIÓN DE FACTURAS'!P25&lt;&gt;""),'RELACIÓN DE FACTURAS'!P25,IF(D21="SEGUNDO PAGO O POSTERIORES",G20,""))))</f>
        <v/>
      </c>
      <c r="H21" s="255"/>
      <c r="I21" s="256" t="str">
        <f>IF(D21="","",IF(J21="","REVISAR",IF(OR(J21&lt;EXPEDIENTE!$I$25,J21&gt;EXPEDIENTE!$I$27),"SI","NO")))</f>
        <v/>
      </c>
      <c r="J21" s="257" t="str">
        <f t="shared" si="0"/>
        <v/>
      </c>
      <c r="K21" s="254" t="str">
        <f>IF(D21="","",IF('RELACIÓN DE FACTURAS'!AE25="","",'RELACIÓN DE FACTURAS'!AE25))</f>
        <v/>
      </c>
      <c r="L21" s="255"/>
      <c r="M21" s="256" t="str">
        <f>IF(D21="","",IF(N21="","REVISAR",IF(OR(N21&lt;EXPEDIENTE!$I$25,N21&gt;EXPEDIENTE!$I$29),"SI","NO")))</f>
        <v/>
      </c>
      <c r="N21" s="258" t="str">
        <f t="shared" si="1"/>
        <v/>
      </c>
      <c r="O21" s="259">
        <f>IF(N21&lt;EXPEDIENTE!$I$25,-1,IF(N21&gt;EXPEDIENTE!$I$29,1,0))</f>
        <v>0</v>
      </c>
      <c r="P21" s="260" t="str">
        <f t="shared" si="2"/>
        <v/>
      </c>
      <c r="Q21" s="255"/>
      <c r="R21" s="261"/>
      <c r="S21" s="262" t="str">
        <f>IF(OR(Q21="",R21=""),"",IF(Q21&gt;EXPEDIENTE!$I$27,"",MIN(DATE(YEAR(Q21),MONTH(Q21),DAY(Q21)+R21),EXPEDIENTE!$I$29)))</f>
        <v/>
      </c>
      <c r="T21" s="263" t="str">
        <f>IF(D21="","",IF(AND(P21="NO",Q21="",S21=""),"NO",IF(Q21&gt;EXPEDIENTE!$I$27,"ENTREGA FUERA PLAZO",IF(OR(Q21="",R21=""),"PDTE",IF(S21&lt;N21,"SI","NO")))))</f>
        <v/>
      </c>
      <c r="U21" s="264" t="str">
        <f>IF('RELACIÓN DE FACTURAS'!W25="","",'RELACIÓN DE FACTURAS'!W25)</f>
        <v/>
      </c>
      <c r="V21" s="265" t="str">
        <f>IF('RELACIÓN DE FACTURAS'!X25="","",'RELACIÓN DE FACTURAS'!X25)</f>
        <v/>
      </c>
      <c r="W21" s="266"/>
      <c r="X21" s="287" t="str">
        <f t="shared" si="3"/>
        <v/>
      </c>
      <c r="Y21" s="267"/>
    </row>
    <row r="22" spans="2:25" ht="39.950000000000003" customHeight="1" x14ac:dyDescent="0.2">
      <c r="B22" s="122">
        <f>IF(Y22&lt;&gt;"",MAX($B$5:B21)+1,0)</f>
        <v>0</v>
      </c>
      <c r="C22" s="124">
        <v>18</v>
      </c>
      <c r="D22" s="251" t="str">
        <f>IF('RELACIÓN DE FACTURAS'!N26="","",'RELACIÓN DE FACTURAS'!N26)</f>
        <v/>
      </c>
      <c r="E22" s="252" t="str">
        <f>IF(D22="SEGUNDO PAGO O POSTERIORES",E21,IF('RELACIÓN DE FACTURAS'!O26="","",'RELACIÓN DE FACTURAS'!O26))</f>
        <v/>
      </c>
      <c r="F22" s="253" t="str">
        <f>IF(D22="SEGUNDO PAGO O POSTERIORES",F21,IF('RELACIÓN DE FACTURAS'!Q26="","",'RELACIÓN DE FACTURAS'!Q26))</f>
        <v/>
      </c>
      <c r="G22" s="254" t="str">
        <f>IF(D22="","",IF(AND(D22="NUEVA FACTURA",'RELACIÓN DE FACTURAS'!P26=""),"",IF(AND(D22="NUEVA FACTURA",'RELACIÓN DE FACTURAS'!P26&lt;&gt;""),'RELACIÓN DE FACTURAS'!P26,IF(D22="SEGUNDO PAGO O POSTERIORES",G21,""))))</f>
        <v/>
      </c>
      <c r="H22" s="255"/>
      <c r="I22" s="256" t="str">
        <f>IF(D22="","",IF(J22="","REVISAR",IF(OR(J22&lt;EXPEDIENTE!$I$25,J22&gt;EXPEDIENTE!$I$27),"SI","NO")))</f>
        <v/>
      </c>
      <c r="J22" s="257" t="str">
        <f t="shared" si="0"/>
        <v/>
      </c>
      <c r="K22" s="254" t="str">
        <f>IF(D22="","",IF('RELACIÓN DE FACTURAS'!AE26="","",'RELACIÓN DE FACTURAS'!AE26))</f>
        <v/>
      </c>
      <c r="L22" s="255"/>
      <c r="M22" s="256" t="str">
        <f>IF(D22="","",IF(N22="","REVISAR",IF(OR(N22&lt;EXPEDIENTE!$I$25,N22&gt;EXPEDIENTE!$I$29),"SI","NO")))</f>
        <v/>
      </c>
      <c r="N22" s="258" t="str">
        <f t="shared" si="1"/>
        <v/>
      </c>
      <c r="O22" s="259">
        <f>IF(N22&lt;EXPEDIENTE!$I$25,-1,IF(N22&gt;EXPEDIENTE!$I$29,1,0))</f>
        <v>0</v>
      </c>
      <c r="P22" s="260" t="str">
        <f t="shared" si="2"/>
        <v/>
      </c>
      <c r="Q22" s="255"/>
      <c r="R22" s="261"/>
      <c r="S22" s="262" t="str">
        <f>IF(OR(Q22="",R22=""),"",IF(Q22&gt;EXPEDIENTE!$I$27,"",MIN(DATE(YEAR(Q22),MONTH(Q22),DAY(Q22)+R22),EXPEDIENTE!$I$29)))</f>
        <v/>
      </c>
      <c r="T22" s="263" t="str">
        <f>IF(D22="","",IF(AND(P22="NO",Q22="",S22=""),"NO",IF(Q22&gt;EXPEDIENTE!$I$27,"ENTREGA FUERA PLAZO",IF(OR(Q22="",R22=""),"PDTE",IF(S22&lt;N22,"SI","NO")))))</f>
        <v/>
      </c>
      <c r="U22" s="264" t="str">
        <f>IF('RELACIÓN DE FACTURAS'!W26="","",'RELACIÓN DE FACTURAS'!W26)</f>
        <v/>
      </c>
      <c r="V22" s="265" t="str">
        <f>IF('RELACIÓN DE FACTURAS'!X26="","",'RELACIÓN DE FACTURAS'!X26)</f>
        <v/>
      </c>
      <c r="W22" s="266"/>
      <c r="X22" s="287" t="str">
        <f t="shared" si="3"/>
        <v/>
      </c>
      <c r="Y22" s="267"/>
    </row>
    <row r="23" spans="2:25" ht="39.950000000000003" customHeight="1" x14ac:dyDescent="0.2">
      <c r="B23" s="122">
        <f>IF(Y23&lt;&gt;"",MAX($B$5:B22)+1,0)</f>
        <v>0</v>
      </c>
      <c r="C23" s="124">
        <v>19</v>
      </c>
      <c r="D23" s="251" t="str">
        <f>IF('RELACIÓN DE FACTURAS'!N27="","",'RELACIÓN DE FACTURAS'!N27)</f>
        <v/>
      </c>
      <c r="E23" s="252" t="str">
        <f>IF(D23="SEGUNDO PAGO O POSTERIORES",E22,IF('RELACIÓN DE FACTURAS'!O27="","",'RELACIÓN DE FACTURAS'!O27))</f>
        <v/>
      </c>
      <c r="F23" s="253" t="str">
        <f>IF(D23="SEGUNDO PAGO O POSTERIORES",F22,IF('RELACIÓN DE FACTURAS'!Q27="","",'RELACIÓN DE FACTURAS'!Q27))</f>
        <v/>
      </c>
      <c r="G23" s="254" t="str">
        <f>IF(D23="","",IF(AND(D23="NUEVA FACTURA",'RELACIÓN DE FACTURAS'!P27=""),"",IF(AND(D23="NUEVA FACTURA",'RELACIÓN DE FACTURAS'!P27&lt;&gt;""),'RELACIÓN DE FACTURAS'!P27,IF(D23="SEGUNDO PAGO O POSTERIORES",G22,""))))</f>
        <v/>
      </c>
      <c r="H23" s="255"/>
      <c r="I23" s="256" t="str">
        <f>IF(D23="","",IF(J23="","REVISAR",IF(OR(J23&lt;EXPEDIENTE!$I$25,J23&gt;EXPEDIENTE!$I$27),"SI","NO")))</f>
        <v/>
      </c>
      <c r="J23" s="257" t="str">
        <f t="shared" si="0"/>
        <v/>
      </c>
      <c r="K23" s="254" t="str">
        <f>IF(D23="","",IF('RELACIÓN DE FACTURAS'!AE27="","",'RELACIÓN DE FACTURAS'!AE27))</f>
        <v/>
      </c>
      <c r="L23" s="255"/>
      <c r="M23" s="256" t="str">
        <f>IF(D23="","",IF(N23="","REVISAR",IF(OR(N23&lt;EXPEDIENTE!$I$25,N23&gt;EXPEDIENTE!$I$29),"SI","NO")))</f>
        <v/>
      </c>
      <c r="N23" s="258" t="str">
        <f t="shared" si="1"/>
        <v/>
      </c>
      <c r="O23" s="259">
        <f>IF(N23&lt;EXPEDIENTE!$I$25,-1,IF(N23&gt;EXPEDIENTE!$I$29,1,0))</f>
        <v>0</v>
      </c>
      <c r="P23" s="260" t="str">
        <f t="shared" si="2"/>
        <v/>
      </c>
      <c r="Q23" s="255"/>
      <c r="R23" s="261"/>
      <c r="S23" s="262" t="str">
        <f>IF(OR(Q23="",R23=""),"",IF(Q23&gt;EXPEDIENTE!$I$27,"",MIN(DATE(YEAR(Q23),MONTH(Q23),DAY(Q23)+R23),EXPEDIENTE!$I$29)))</f>
        <v/>
      </c>
      <c r="T23" s="263" t="str">
        <f>IF(D23="","",IF(AND(P23="NO",Q23="",S23=""),"NO",IF(Q23&gt;EXPEDIENTE!$I$27,"ENTREGA FUERA PLAZO",IF(OR(Q23="",R23=""),"PDTE",IF(S23&lt;N23,"SI","NO")))))</f>
        <v/>
      </c>
      <c r="U23" s="264" t="str">
        <f>IF('RELACIÓN DE FACTURAS'!W27="","",'RELACIÓN DE FACTURAS'!W27)</f>
        <v/>
      </c>
      <c r="V23" s="265" t="str">
        <f>IF('RELACIÓN DE FACTURAS'!X27="","",'RELACIÓN DE FACTURAS'!X27)</f>
        <v/>
      </c>
      <c r="W23" s="266"/>
      <c r="X23" s="287" t="str">
        <f t="shared" si="3"/>
        <v/>
      </c>
      <c r="Y23" s="267"/>
    </row>
    <row r="24" spans="2:25" ht="39.950000000000003" customHeight="1" x14ac:dyDescent="0.2">
      <c r="B24" s="122">
        <f>IF(Y24&lt;&gt;"",MAX($B$5:B23)+1,0)</f>
        <v>0</v>
      </c>
      <c r="C24" s="124">
        <v>20</v>
      </c>
      <c r="D24" s="251" t="str">
        <f>IF('RELACIÓN DE FACTURAS'!N28="","",'RELACIÓN DE FACTURAS'!N28)</f>
        <v/>
      </c>
      <c r="E24" s="252" t="str">
        <f>IF(D24="SEGUNDO PAGO O POSTERIORES",E23,IF('RELACIÓN DE FACTURAS'!O28="","",'RELACIÓN DE FACTURAS'!O28))</f>
        <v/>
      </c>
      <c r="F24" s="253" t="str">
        <f>IF(D24="SEGUNDO PAGO O POSTERIORES",F23,IF('RELACIÓN DE FACTURAS'!Q28="","",'RELACIÓN DE FACTURAS'!Q28))</f>
        <v/>
      </c>
      <c r="G24" s="254" t="str">
        <f>IF(D24="","",IF(AND(D24="NUEVA FACTURA",'RELACIÓN DE FACTURAS'!P28=""),"",IF(AND(D24="NUEVA FACTURA",'RELACIÓN DE FACTURAS'!P28&lt;&gt;""),'RELACIÓN DE FACTURAS'!P28,IF(D24="SEGUNDO PAGO O POSTERIORES",G23,""))))</f>
        <v/>
      </c>
      <c r="H24" s="255"/>
      <c r="I24" s="256" t="str">
        <f>IF(D24="","",IF(J24="","REVISAR",IF(OR(J24&lt;EXPEDIENTE!$I$25,J24&gt;EXPEDIENTE!$I$27),"SI","NO")))</f>
        <v/>
      </c>
      <c r="J24" s="257" t="str">
        <f t="shared" si="0"/>
        <v/>
      </c>
      <c r="K24" s="254" t="str">
        <f>IF(D24="","",IF('RELACIÓN DE FACTURAS'!AE28="","",'RELACIÓN DE FACTURAS'!AE28))</f>
        <v/>
      </c>
      <c r="L24" s="255"/>
      <c r="M24" s="256" t="str">
        <f>IF(D24="","",IF(N24="","REVISAR",IF(OR(N24&lt;EXPEDIENTE!$I$25,N24&gt;EXPEDIENTE!$I$29),"SI","NO")))</f>
        <v/>
      </c>
      <c r="N24" s="258" t="str">
        <f t="shared" si="1"/>
        <v/>
      </c>
      <c r="O24" s="259">
        <f>IF(N24&lt;EXPEDIENTE!$I$25,-1,IF(N24&gt;EXPEDIENTE!$I$29,1,0))</f>
        <v>0</v>
      </c>
      <c r="P24" s="260" t="str">
        <f t="shared" si="2"/>
        <v/>
      </c>
      <c r="Q24" s="255"/>
      <c r="R24" s="261"/>
      <c r="S24" s="262" t="str">
        <f>IF(OR(Q24="",R24=""),"",IF(Q24&gt;EXPEDIENTE!$I$27,"",MIN(DATE(YEAR(Q24),MONTH(Q24),DAY(Q24)+R24),EXPEDIENTE!$I$29)))</f>
        <v/>
      </c>
      <c r="T24" s="263" t="str">
        <f>IF(D24="","",IF(AND(P24="NO",Q24="",S24=""),"NO",IF(Q24&gt;EXPEDIENTE!$I$27,"ENTREGA FUERA PLAZO",IF(OR(Q24="",R24=""),"PDTE",IF(S24&lt;N24,"SI","NO")))))</f>
        <v/>
      </c>
      <c r="U24" s="264" t="str">
        <f>IF('RELACIÓN DE FACTURAS'!W28="","",'RELACIÓN DE FACTURAS'!W28)</f>
        <v/>
      </c>
      <c r="V24" s="265" t="str">
        <f>IF('RELACIÓN DE FACTURAS'!X28="","",'RELACIÓN DE FACTURAS'!X28)</f>
        <v/>
      </c>
      <c r="W24" s="266"/>
      <c r="X24" s="287" t="str">
        <f t="shared" si="3"/>
        <v/>
      </c>
      <c r="Y24" s="267"/>
    </row>
    <row r="25" spans="2:25" ht="39.950000000000003" customHeight="1" x14ac:dyDescent="0.2">
      <c r="B25" s="122">
        <f>IF(Y25&lt;&gt;"",MAX($B$5:B24)+1,0)</f>
        <v>0</v>
      </c>
      <c r="C25" s="124">
        <v>21</v>
      </c>
      <c r="D25" s="251" t="str">
        <f>IF('RELACIÓN DE FACTURAS'!N29="","",'RELACIÓN DE FACTURAS'!N29)</f>
        <v/>
      </c>
      <c r="E25" s="252" t="str">
        <f>IF(D25="SEGUNDO PAGO O POSTERIORES",E24,IF('RELACIÓN DE FACTURAS'!O29="","",'RELACIÓN DE FACTURAS'!O29))</f>
        <v/>
      </c>
      <c r="F25" s="253" t="str">
        <f>IF(D25="SEGUNDO PAGO O POSTERIORES",F24,IF('RELACIÓN DE FACTURAS'!Q29="","",'RELACIÓN DE FACTURAS'!Q29))</f>
        <v/>
      </c>
      <c r="G25" s="254" t="str">
        <f>IF(D25="","",IF(AND(D25="NUEVA FACTURA",'RELACIÓN DE FACTURAS'!P29=""),"",IF(AND(D25="NUEVA FACTURA",'RELACIÓN DE FACTURAS'!P29&lt;&gt;""),'RELACIÓN DE FACTURAS'!P29,IF(D25="SEGUNDO PAGO O POSTERIORES",G24,""))))</f>
        <v/>
      </c>
      <c r="H25" s="255"/>
      <c r="I25" s="256" t="str">
        <f>IF(D25="","",IF(J25="","REVISAR",IF(OR(J25&lt;EXPEDIENTE!$I$25,J25&gt;EXPEDIENTE!$I$27),"SI","NO")))</f>
        <v/>
      </c>
      <c r="J25" s="257" t="str">
        <f t="shared" si="0"/>
        <v/>
      </c>
      <c r="K25" s="254" t="str">
        <f>IF(D25="","",IF('RELACIÓN DE FACTURAS'!AE29="","",'RELACIÓN DE FACTURAS'!AE29))</f>
        <v/>
      </c>
      <c r="L25" s="255"/>
      <c r="M25" s="256" t="str">
        <f>IF(D25="","",IF(N25="","REVISAR",IF(OR(N25&lt;EXPEDIENTE!$I$25,N25&gt;EXPEDIENTE!$I$29),"SI","NO")))</f>
        <v/>
      </c>
      <c r="N25" s="258" t="str">
        <f t="shared" si="1"/>
        <v/>
      </c>
      <c r="O25" s="259">
        <f>IF(N25&lt;EXPEDIENTE!$I$25,-1,IF(N25&gt;EXPEDIENTE!$I$29,1,0))</f>
        <v>0</v>
      </c>
      <c r="P25" s="260" t="str">
        <f t="shared" si="2"/>
        <v/>
      </c>
      <c r="Q25" s="255"/>
      <c r="R25" s="261"/>
      <c r="S25" s="262" t="str">
        <f>IF(OR(Q25="",R25=""),"",IF(Q25&gt;EXPEDIENTE!$I$27,"",MIN(DATE(YEAR(Q25),MONTH(Q25),DAY(Q25)+R25),EXPEDIENTE!$I$29)))</f>
        <v/>
      </c>
      <c r="T25" s="263" t="str">
        <f>IF(D25="","",IF(AND(P25="NO",Q25="",S25=""),"NO",IF(Q25&gt;EXPEDIENTE!$I$27,"ENTREGA FUERA PLAZO",IF(OR(Q25="",R25=""),"PDTE",IF(S25&lt;N25,"SI","NO")))))</f>
        <v/>
      </c>
      <c r="U25" s="264" t="str">
        <f>IF('RELACIÓN DE FACTURAS'!W29="","",'RELACIÓN DE FACTURAS'!W29)</f>
        <v/>
      </c>
      <c r="V25" s="265" t="str">
        <f>IF('RELACIÓN DE FACTURAS'!X29="","",'RELACIÓN DE FACTURAS'!X29)</f>
        <v/>
      </c>
      <c r="W25" s="266"/>
      <c r="X25" s="287" t="str">
        <f t="shared" si="3"/>
        <v/>
      </c>
      <c r="Y25" s="267"/>
    </row>
    <row r="26" spans="2:25" ht="39.950000000000003" customHeight="1" x14ac:dyDescent="0.2">
      <c r="B26" s="122">
        <f>IF(Y26&lt;&gt;"",MAX($B$5:B25)+1,0)</f>
        <v>0</v>
      </c>
      <c r="C26" s="124">
        <v>22</v>
      </c>
      <c r="D26" s="251" t="str">
        <f>IF('RELACIÓN DE FACTURAS'!N30="","",'RELACIÓN DE FACTURAS'!N30)</f>
        <v/>
      </c>
      <c r="E26" s="252" t="str">
        <f>IF(D26="SEGUNDO PAGO O POSTERIORES",E25,IF('RELACIÓN DE FACTURAS'!O30="","",'RELACIÓN DE FACTURAS'!O30))</f>
        <v/>
      </c>
      <c r="F26" s="253" t="str">
        <f>IF(D26="SEGUNDO PAGO O POSTERIORES",F25,IF('RELACIÓN DE FACTURAS'!Q30="","",'RELACIÓN DE FACTURAS'!Q30))</f>
        <v/>
      </c>
      <c r="G26" s="254" t="str">
        <f>IF(D26="","",IF(AND(D26="NUEVA FACTURA",'RELACIÓN DE FACTURAS'!P30=""),"",IF(AND(D26="NUEVA FACTURA",'RELACIÓN DE FACTURAS'!P30&lt;&gt;""),'RELACIÓN DE FACTURAS'!P30,IF(D26="SEGUNDO PAGO O POSTERIORES",G25,""))))</f>
        <v/>
      </c>
      <c r="H26" s="255"/>
      <c r="I26" s="256" t="str">
        <f>IF(D26="","",IF(J26="","REVISAR",IF(OR(J26&lt;EXPEDIENTE!$I$25,J26&gt;EXPEDIENTE!$I$27),"SI","NO")))</f>
        <v/>
      </c>
      <c r="J26" s="257" t="str">
        <f t="shared" si="0"/>
        <v/>
      </c>
      <c r="K26" s="254" t="str">
        <f>IF(D26="","",IF('RELACIÓN DE FACTURAS'!AE30="","",'RELACIÓN DE FACTURAS'!AE30))</f>
        <v/>
      </c>
      <c r="L26" s="255"/>
      <c r="M26" s="256" t="str">
        <f>IF(D26="","",IF(N26="","REVISAR",IF(OR(N26&lt;EXPEDIENTE!$I$25,N26&gt;EXPEDIENTE!$I$29),"SI","NO")))</f>
        <v/>
      </c>
      <c r="N26" s="258" t="str">
        <f t="shared" si="1"/>
        <v/>
      </c>
      <c r="O26" s="259">
        <f>IF(N26&lt;EXPEDIENTE!$I$25,-1,IF(N26&gt;EXPEDIENTE!$I$29,1,0))</f>
        <v>0</v>
      </c>
      <c r="P26" s="260" t="str">
        <f t="shared" si="2"/>
        <v/>
      </c>
      <c r="Q26" s="255"/>
      <c r="R26" s="261"/>
      <c r="S26" s="262" t="str">
        <f>IF(OR(Q26="",R26=""),"",IF(Q26&gt;EXPEDIENTE!$I$27,"",MIN(DATE(YEAR(Q26),MONTH(Q26),DAY(Q26)+R26),EXPEDIENTE!$I$29)))</f>
        <v/>
      </c>
      <c r="T26" s="263" t="str">
        <f>IF(D26="","",IF(AND(P26="NO",Q26="",S26=""),"NO",IF(Q26&gt;EXPEDIENTE!$I$27,"ENTREGA FUERA PLAZO",IF(OR(Q26="",R26=""),"PDTE",IF(S26&lt;N26,"SI","NO")))))</f>
        <v/>
      </c>
      <c r="U26" s="264" t="str">
        <f>IF('RELACIÓN DE FACTURAS'!W30="","",'RELACIÓN DE FACTURAS'!W30)</f>
        <v/>
      </c>
      <c r="V26" s="265" t="str">
        <f>IF('RELACIÓN DE FACTURAS'!X30="","",'RELACIÓN DE FACTURAS'!X30)</f>
        <v/>
      </c>
      <c r="W26" s="266"/>
      <c r="X26" s="287" t="str">
        <f t="shared" si="3"/>
        <v/>
      </c>
      <c r="Y26" s="267"/>
    </row>
    <row r="27" spans="2:25" ht="39.950000000000003" customHeight="1" x14ac:dyDescent="0.2">
      <c r="B27" s="122">
        <f>IF(Y27&lt;&gt;"",MAX($B$5:B26)+1,0)</f>
        <v>0</v>
      </c>
      <c r="C27" s="124">
        <v>23</v>
      </c>
      <c r="D27" s="251" t="str">
        <f>IF('RELACIÓN DE FACTURAS'!N31="","",'RELACIÓN DE FACTURAS'!N31)</f>
        <v/>
      </c>
      <c r="E27" s="252" t="str">
        <f>IF(D27="SEGUNDO PAGO O POSTERIORES",E26,IF('RELACIÓN DE FACTURAS'!O31="","",'RELACIÓN DE FACTURAS'!O31))</f>
        <v/>
      </c>
      <c r="F27" s="253" t="str">
        <f>IF(D27="SEGUNDO PAGO O POSTERIORES",F26,IF('RELACIÓN DE FACTURAS'!Q31="","",'RELACIÓN DE FACTURAS'!Q31))</f>
        <v/>
      </c>
      <c r="G27" s="254" t="str">
        <f>IF(D27="","",IF(AND(D27="NUEVA FACTURA",'RELACIÓN DE FACTURAS'!P31=""),"",IF(AND(D27="NUEVA FACTURA",'RELACIÓN DE FACTURAS'!P31&lt;&gt;""),'RELACIÓN DE FACTURAS'!P31,IF(D27="SEGUNDO PAGO O POSTERIORES",G26,""))))</f>
        <v/>
      </c>
      <c r="H27" s="255"/>
      <c r="I27" s="256" t="str">
        <f>IF(D27="","",IF(J27="","REVISAR",IF(OR(J27&lt;EXPEDIENTE!$I$25,J27&gt;EXPEDIENTE!$I$27),"SI","NO")))</f>
        <v/>
      </c>
      <c r="J27" s="257" t="str">
        <f t="shared" si="0"/>
        <v/>
      </c>
      <c r="K27" s="254" t="str">
        <f>IF(D27="","",IF('RELACIÓN DE FACTURAS'!AE31="","",'RELACIÓN DE FACTURAS'!AE31))</f>
        <v/>
      </c>
      <c r="L27" s="255"/>
      <c r="M27" s="256" t="str">
        <f>IF(D27="","",IF(N27="","REVISAR",IF(OR(N27&lt;EXPEDIENTE!$I$25,N27&gt;EXPEDIENTE!$I$29),"SI","NO")))</f>
        <v/>
      </c>
      <c r="N27" s="258" t="str">
        <f t="shared" si="1"/>
        <v/>
      </c>
      <c r="O27" s="259">
        <f>IF(N27&lt;EXPEDIENTE!$I$25,-1,IF(N27&gt;EXPEDIENTE!$I$29,1,0))</f>
        <v>0</v>
      </c>
      <c r="P27" s="260" t="str">
        <f t="shared" si="2"/>
        <v/>
      </c>
      <c r="Q27" s="255"/>
      <c r="R27" s="261"/>
      <c r="S27" s="262" t="str">
        <f>IF(OR(Q27="",R27=""),"",IF(Q27&gt;EXPEDIENTE!$I$27,"",MIN(DATE(YEAR(Q27),MONTH(Q27),DAY(Q27)+R27),EXPEDIENTE!$I$29)))</f>
        <v/>
      </c>
      <c r="T27" s="263" t="str">
        <f>IF(D27="","",IF(AND(P27="NO",Q27="",S27=""),"NO",IF(Q27&gt;EXPEDIENTE!$I$27,"ENTREGA FUERA PLAZO",IF(OR(Q27="",R27=""),"PDTE",IF(S27&lt;N27,"SI","NO")))))</f>
        <v/>
      </c>
      <c r="U27" s="264" t="str">
        <f>IF('RELACIÓN DE FACTURAS'!W31="","",'RELACIÓN DE FACTURAS'!W31)</f>
        <v/>
      </c>
      <c r="V27" s="265" t="str">
        <f>IF('RELACIÓN DE FACTURAS'!X31="","",'RELACIÓN DE FACTURAS'!X31)</f>
        <v/>
      </c>
      <c r="W27" s="266"/>
      <c r="X27" s="287" t="str">
        <f t="shared" si="3"/>
        <v/>
      </c>
      <c r="Y27" s="267"/>
    </row>
    <row r="28" spans="2:25" ht="39.950000000000003" customHeight="1" x14ac:dyDescent="0.2">
      <c r="B28" s="122">
        <f>IF(Y28&lt;&gt;"",MAX($B$5:B27)+1,0)</f>
        <v>0</v>
      </c>
      <c r="C28" s="124">
        <v>24</v>
      </c>
      <c r="D28" s="251" t="str">
        <f>IF('RELACIÓN DE FACTURAS'!N32="","",'RELACIÓN DE FACTURAS'!N32)</f>
        <v/>
      </c>
      <c r="E28" s="252" t="str">
        <f>IF(D28="SEGUNDO PAGO O POSTERIORES",E27,IF('RELACIÓN DE FACTURAS'!O32="","",'RELACIÓN DE FACTURAS'!O32))</f>
        <v/>
      </c>
      <c r="F28" s="253" t="str">
        <f>IF(D28="SEGUNDO PAGO O POSTERIORES",F27,IF('RELACIÓN DE FACTURAS'!Q32="","",'RELACIÓN DE FACTURAS'!Q32))</f>
        <v/>
      </c>
      <c r="G28" s="254" t="str">
        <f>IF(D28="","",IF(AND(D28="NUEVA FACTURA",'RELACIÓN DE FACTURAS'!P32=""),"",IF(AND(D28="NUEVA FACTURA",'RELACIÓN DE FACTURAS'!P32&lt;&gt;""),'RELACIÓN DE FACTURAS'!P32,IF(D28="SEGUNDO PAGO O POSTERIORES",G27,""))))</f>
        <v/>
      </c>
      <c r="H28" s="255"/>
      <c r="I28" s="256" t="str">
        <f>IF(D28="","",IF(J28="","REVISAR",IF(OR(J28&lt;EXPEDIENTE!$I$25,J28&gt;EXPEDIENTE!$I$27),"SI","NO")))</f>
        <v/>
      </c>
      <c r="J28" s="257" t="str">
        <f t="shared" si="0"/>
        <v/>
      </c>
      <c r="K28" s="254" t="str">
        <f>IF(D28="","",IF('RELACIÓN DE FACTURAS'!AE32="","",'RELACIÓN DE FACTURAS'!AE32))</f>
        <v/>
      </c>
      <c r="L28" s="255"/>
      <c r="M28" s="256" t="str">
        <f>IF(D28="","",IF(N28="","REVISAR",IF(OR(N28&lt;EXPEDIENTE!$I$25,N28&gt;EXPEDIENTE!$I$29),"SI","NO")))</f>
        <v/>
      </c>
      <c r="N28" s="258" t="str">
        <f t="shared" si="1"/>
        <v/>
      </c>
      <c r="O28" s="259">
        <f>IF(N28&lt;EXPEDIENTE!$I$25,-1,IF(N28&gt;EXPEDIENTE!$I$29,1,0))</f>
        <v>0</v>
      </c>
      <c r="P28" s="260" t="str">
        <f t="shared" si="2"/>
        <v/>
      </c>
      <c r="Q28" s="255"/>
      <c r="R28" s="261"/>
      <c r="S28" s="262" t="str">
        <f>IF(OR(Q28="",R28=""),"",IF(Q28&gt;EXPEDIENTE!$I$27,"",MIN(DATE(YEAR(Q28),MONTH(Q28),DAY(Q28)+R28),EXPEDIENTE!$I$29)))</f>
        <v/>
      </c>
      <c r="T28" s="263" t="str">
        <f>IF(D28="","",IF(AND(P28="NO",Q28="",S28=""),"NO",IF(Q28&gt;EXPEDIENTE!$I$27,"ENTREGA FUERA PLAZO",IF(OR(Q28="",R28=""),"PDTE",IF(S28&lt;N28,"SI","NO")))))</f>
        <v/>
      </c>
      <c r="U28" s="264" t="str">
        <f>IF('RELACIÓN DE FACTURAS'!W32="","",'RELACIÓN DE FACTURAS'!W32)</f>
        <v/>
      </c>
      <c r="V28" s="265" t="str">
        <f>IF('RELACIÓN DE FACTURAS'!X32="","",'RELACIÓN DE FACTURAS'!X32)</f>
        <v/>
      </c>
      <c r="W28" s="266"/>
      <c r="X28" s="287" t="str">
        <f t="shared" si="3"/>
        <v/>
      </c>
      <c r="Y28" s="267"/>
    </row>
    <row r="29" spans="2:25" ht="39.950000000000003" customHeight="1" x14ac:dyDescent="0.2">
      <c r="B29" s="122">
        <f>IF(Y29&lt;&gt;"",MAX($B$5:B28)+1,0)</f>
        <v>0</v>
      </c>
      <c r="C29" s="124">
        <v>25</v>
      </c>
      <c r="D29" s="251" t="str">
        <f>IF('RELACIÓN DE FACTURAS'!N33="","",'RELACIÓN DE FACTURAS'!N33)</f>
        <v/>
      </c>
      <c r="E29" s="252" t="str">
        <f>IF(D29="SEGUNDO PAGO O POSTERIORES",E28,IF('RELACIÓN DE FACTURAS'!O33="","",'RELACIÓN DE FACTURAS'!O33))</f>
        <v/>
      </c>
      <c r="F29" s="253" t="str">
        <f>IF(D29="SEGUNDO PAGO O POSTERIORES",F28,IF('RELACIÓN DE FACTURAS'!Q33="","",'RELACIÓN DE FACTURAS'!Q33))</f>
        <v/>
      </c>
      <c r="G29" s="254" t="str">
        <f>IF(D29="","",IF(AND(D29="NUEVA FACTURA",'RELACIÓN DE FACTURAS'!P33=""),"",IF(AND(D29="NUEVA FACTURA",'RELACIÓN DE FACTURAS'!P33&lt;&gt;""),'RELACIÓN DE FACTURAS'!P33,IF(D29="SEGUNDO PAGO O POSTERIORES",G28,""))))</f>
        <v/>
      </c>
      <c r="H29" s="255"/>
      <c r="I29" s="256" t="str">
        <f>IF(D29="","",IF(J29="","REVISAR",IF(OR(J29&lt;EXPEDIENTE!$I$25,J29&gt;EXPEDIENTE!$I$27),"SI","NO")))</f>
        <v/>
      </c>
      <c r="J29" s="257" t="str">
        <f t="shared" si="0"/>
        <v/>
      </c>
      <c r="K29" s="254" t="str">
        <f>IF(D29="","",IF('RELACIÓN DE FACTURAS'!AE33="","",'RELACIÓN DE FACTURAS'!AE33))</f>
        <v/>
      </c>
      <c r="L29" s="255"/>
      <c r="M29" s="256" t="str">
        <f>IF(D29="","",IF(N29="","REVISAR",IF(OR(N29&lt;EXPEDIENTE!$I$25,N29&gt;EXPEDIENTE!$I$29),"SI","NO")))</f>
        <v/>
      </c>
      <c r="N29" s="258" t="str">
        <f t="shared" si="1"/>
        <v/>
      </c>
      <c r="O29" s="259">
        <f>IF(N29&lt;EXPEDIENTE!$I$25,-1,IF(N29&gt;EXPEDIENTE!$I$29,1,0))</f>
        <v>0</v>
      </c>
      <c r="P29" s="260" t="str">
        <f t="shared" si="2"/>
        <v/>
      </c>
      <c r="Q29" s="255"/>
      <c r="R29" s="261"/>
      <c r="S29" s="262" t="str">
        <f>IF(OR(Q29="",R29=""),"",IF(Q29&gt;EXPEDIENTE!$I$27,"",MIN(DATE(YEAR(Q29),MONTH(Q29),DAY(Q29)+R29),EXPEDIENTE!$I$29)))</f>
        <v/>
      </c>
      <c r="T29" s="263" t="str">
        <f>IF(D29="","",IF(AND(P29="NO",Q29="",S29=""),"NO",IF(Q29&gt;EXPEDIENTE!$I$27,"ENTREGA FUERA PLAZO",IF(OR(Q29="",R29=""),"PDTE",IF(S29&lt;N29,"SI","NO")))))</f>
        <v/>
      </c>
      <c r="U29" s="264" t="str">
        <f>IF('RELACIÓN DE FACTURAS'!W33="","",'RELACIÓN DE FACTURAS'!W33)</f>
        <v/>
      </c>
      <c r="V29" s="265" t="str">
        <f>IF('RELACIÓN DE FACTURAS'!X33="","",'RELACIÓN DE FACTURAS'!X33)</f>
        <v/>
      </c>
      <c r="W29" s="266"/>
      <c r="X29" s="287" t="str">
        <f t="shared" si="3"/>
        <v/>
      </c>
      <c r="Y29" s="267"/>
    </row>
    <row r="30" spans="2:25" ht="39.950000000000003" customHeight="1" x14ac:dyDescent="0.2">
      <c r="B30" s="122">
        <f>IF(Y30&lt;&gt;"",MAX($B$5:B29)+1,0)</f>
        <v>0</v>
      </c>
      <c r="C30" s="124">
        <v>26</v>
      </c>
      <c r="D30" s="251" t="str">
        <f>IF('RELACIÓN DE FACTURAS'!N34="","",'RELACIÓN DE FACTURAS'!N34)</f>
        <v/>
      </c>
      <c r="E30" s="252" t="str">
        <f>IF(D30="SEGUNDO PAGO O POSTERIORES",E29,IF('RELACIÓN DE FACTURAS'!O34="","",'RELACIÓN DE FACTURAS'!O34))</f>
        <v/>
      </c>
      <c r="F30" s="253" t="str">
        <f>IF(D30="SEGUNDO PAGO O POSTERIORES",F29,IF('RELACIÓN DE FACTURAS'!Q34="","",'RELACIÓN DE FACTURAS'!Q34))</f>
        <v/>
      </c>
      <c r="G30" s="254" t="str">
        <f>IF(D30="","",IF(AND(D30="NUEVA FACTURA",'RELACIÓN DE FACTURAS'!P34=""),"",IF(AND(D30="NUEVA FACTURA",'RELACIÓN DE FACTURAS'!P34&lt;&gt;""),'RELACIÓN DE FACTURAS'!P34,IF(D30="SEGUNDO PAGO O POSTERIORES",G29,""))))</f>
        <v/>
      </c>
      <c r="H30" s="255"/>
      <c r="I30" s="256" t="str">
        <f>IF(D30="","",IF(J30="","REVISAR",IF(OR(J30&lt;EXPEDIENTE!$I$25,J30&gt;EXPEDIENTE!$I$27),"SI","NO")))</f>
        <v/>
      </c>
      <c r="J30" s="257" t="str">
        <f t="shared" si="0"/>
        <v/>
      </c>
      <c r="K30" s="254" t="str">
        <f>IF(D30="","",IF('RELACIÓN DE FACTURAS'!AE34="","",'RELACIÓN DE FACTURAS'!AE34))</f>
        <v/>
      </c>
      <c r="L30" s="255"/>
      <c r="M30" s="256" t="str">
        <f>IF(D30="","",IF(N30="","REVISAR",IF(OR(N30&lt;EXPEDIENTE!$I$25,N30&gt;EXPEDIENTE!$I$29),"SI","NO")))</f>
        <v/>
      </c>
      <c r="N30" s="258" t="str">
        <f t="shared" si="1"/>
        <v/>
      </c>
      <c r="O30" s="259">
        <f>IF(N30&lt;EXPEDIENTE!$I$25,-1,IF(N30&gt;EXPEDIENTE!$I$29,1,0))</f>
        <v>0</v>
      </c>
      <c r="P30" s="260" t="str">
        <f t="shared" si="2"/>
        <v/>
      </c>
      <c r="Q30" s="255"/>
      <c r="R30" s="261"/>
      <c r="S30" s="262" t="str">
        <f>IF(OR(Q30="",R30=""),"",IF(Q30&gt;EXPEDIENTE!$I$27,"",MIN(DATE(YEAR(Q30),MONTH(Q30),DAY(Q30)+R30),EXPEDIENTE!$I$29)))</f>
        <v/>
      </c>
      <c r="T30" s="263" t="str">
        <f>IF(D30="","",IF(AND(P30="NO",Q30="",S30=""),"NO",IF(Q30&gt;EXPEDIENTE!$I$27,"ENTREGA FUERA PLAZO",IF(OR(Q30="",R30=""),"PDTE",IF(S30&lt;N30,"SI","NO")))))</f>
        <v/>
      </c>
      <c r="U30" s="264" t="str">
        <f>IF('RELACIÓN DE FACTURAS'!W34="","",'RELACIÓN DE FACTURAS'!W34)</f>
        <v/>
      </c>
      <c r="V30" s="265" t="str">
        <f>IF('RELACIÓN DE FACTURAS'!X34="","",'RELACIÓN DE FACTURAS'!X34)</f>
        <v/>
      </c>
      <c r="W30" s="266"/>
      <c r="X30" s="287" t="str">
        <f t="shared" si="3"/>
        <v/>
      </c>
      <c r="Y30" s="267"/>
    </row>
    <row r="31" spans="2:25" ht="39.950000000000003" customHeight="1" x14ac:dyDescent="0.2">
      <c r="B31" s="122">
        <f>IF(Y31&lt;&gt;"",MAX($B$5:B30)+1,0)</f>
        <v>0</v>
      </c>
      <c r="C31" s="124">
        <v>27</v>
      </c>
      <c r="D31" s="251" t="str">
        <f>IF('RELACIÓN DE FACTURAS'!N35="","",'RELACIÓN DE FACTURAS'!N35)</f>
        <v/>
      </c>
      <c r="E31" s="252" t="str">
        <f>IF(D31="SEGUNDO PAGO O POSTERIORES",E30,IF('RELACIÓN DE FACTURAS'!O35="","",'RELACIÓN DE FACTURAS'!O35))</f>
        <v/>
      </c>
      <c r="F31" s="253" t="str">
        <f>IF(D31="SEGUNDO PAGO O POSTERIORES",F30,IF('RELACIÓN DE FACTURAS'!Q35="","",'RELACIÓN DE FACTURAS'!Q35))</f>
        <v/>
      </c>
      <c r="G31" s="254" t="str">
        <f>IF(D31="","",IF(AND(D31="NUEVA FACTURA",'RELACIÓN DE FACTURAS'!P35=""),"",IF(AND(D31="NUEVA FACTURA",'RELACIÓN DE FACTURAS'!P35&lt;&gt;""),'RELACIÓN DE FACTURAS'!P35,IF(D31="SEGUNDO PAGO O POSTERIORES",G30,""))))</f>
        <v/>
      </c>
      <c r="H31" s="255"/>
      <c r="I31" s="256" t="str">
        <f>IF(D31="","",IF(J31="","REVISAR",IF(OR(J31&lt;EXPEDIENTE!$I$25,J31&gt;EXPEDIENTE!$I$27),"SI","NO")))</f>
        <v/>
      </c>
      <c r="J31" s="257" t="str">
        <f t="shared" si="0"/>
        <v/>
      </c>
      <c r="K31" s="254" t="str">
        <f>IF(D31="","",IF('RELACIÓN DE FACTURAS'!AE35="","",'RELACIÓN DE FACTURAS'!AE35))</f>
        <v/>
      </c>
      <c r="L31" s="255"/>
      <c r="M31" s="256" t="str">
        <f>IF(D31="","",IF(N31="","REVISAR",IF(OR(N31&lt;EXPEDIENTE!$I$25,N31&gt;EXPEDIENTE!$I$29),"SI","NO")))</f>
        <v/>
      </c>
      <c r="N31" s="258" t="str">
        <f t="shared" si="1"/>
        <v/>
      </c>
      <c r="O31" s="259">
        <f>IF(N31&lt;EXPEDIENTE!$I$25,-1,IF(N31&gt;EXPEDIENTE!$I$29,1,0))</f>
        <v>0</v>
      </c>
      <c r="P31" s="260" t="str">
        <f t="shared" si="2"/>
        <v/>
      </c>
      <c r="Q31" s="255"/>
      <c r="R31" s="261"/>
      <c r="S31" s="262" t="str">
        <f>IF(OR(Q31="",R31=""),"",IF(Q31&gt;EXPEDIENTE!$I$27,"",MIN(DATE(YEAR(Q31),MONTH(Q31),DAY(Q31)+R31),EXPEDIENTE!$I$29)))</f>
        <v/>
      </c>
      <c r="T31" s="263" t="str">
        <f>IF(D31="","",IF(AND(P31="NO",Q31="",S31=""),"NO",IF(Q31&gt;EXPEDIENTE!$I$27,"ENTREGA FUERA PLAZO",IF(OR(Q31="",R31=""),"PDTE",IF(S31&lt;N31,"SI","NO")))))</f>
        <v/>
      </c>
      <c r="U31" s="264" t="str">
        <f>IF('RELACIÓN DE FACTURAS'!W35="","",'RELACIÓN DE FACTURAS'!W35)</f>
        <v/>
      </c>
      <c r="V31" s="265" t="str">
        <f>IF('RELACIÓN DE FACTURAS'!X35="","",'RELACIÓN DE FACTURAS'!X35)</f>
        <v/>
      </c>
      <c r="W31" s="266"/>
      <c r="X31" s="287" t="str">
        <f t="shared" si="3"/>
        <v/>
      </c>
      <c r="Y31" s="267"/>
    </row>
    <row r="32" spans="2:25" ht="39.950000000000003" customHeight="1" x14ac:dyDescent="0.2">
      <c r="B32" s="122">
        <f>IF(Y32&lt;&gt;"",MAX($B$5:B31)+1,0)</f>
        <v>0</v>
      </c>
      <c r="C32" s="124">
        <v>28</v>
      </c>
      <c r="D32" s="251" t="str">
        <f>IF('RELACIÓN DE FACTURAS'!N36="","",'RELACIÓN DE FACTURAS'!N36)</f>
        <v/>
      </c>
      <c r="E32" s="252" t="str">
        <f>IF(D32="SEGUNDO PAGO O POSTERIORES",E31,IF('RELACIÓN DE FACTURAS'!O36="","",'RELACIÓN DE FACTURAS'!O36))</f>
        <v/>
      </c>
      <c r="F32" s="253" t="str">
        <f>IF(D32="SEGUNDO PAGO O POSTERIORES",F31,IF('RELACIÓN DE FACTURAS'!Q36="","",'RELACIÓN DE FACTURAS'!Q36))</f>
        <v/>
      </c>
      <c r="G32" s="254" t="str">
        <f>IF(D32="","",IF(AND(D32="NUEVA FACTURA",'RELACIÓN DE FACTURAS'!P36=""),"",IF(AND(D32="NUEVA FACTURA",'RELACIÓN DE FACTURAS'!P36&lt;&gt;""),'RELACIÓN DE FACTURAS'!P36,IF(D32="SEGUNDO PAGO O POSTERIORES",G31,""))))</f>
        <v/>
      </c>
      <c r="H32" s="255"/>
      <c r="I32" s="256" t="str">
        <f>IF(D32="","",IF(J32="","REVISAR",IF(OR(J32&lt;EXPEDIENTE!$I$25,J32&gt;EXPEDIENTE!$I$27),"SI","NO")))</f>
        <v/>
      </c>
      <c r="J32" s="257" t="str">
        <f t="shared" si="0"/>
        <v/>
      </c>
      <c r="K32" s="254" t="str">
        <f>IF(D32="","",IF('RELACIÓN DE FACTURAS'!AE36="","",'RELACIÓN DE FACTURAS'!AE36))</f>
        <v/>
      </c>
      <c r="L32" s="255"/>
      <c r="M32" s="256" t="str">
        <f>IF(D32="","",IF(N32="","REVISAR",IF(OR(N32&lt;EXPEDIENTE!$I$25,N32&gt;EXPEDIENTE!$I$29),"SI","NO")))</f>
        <v/>
      </c>
      <c r="N32" s="258" t="str">
        <f t="shared" si="1"/>
        <v/>
      </c>
      <c r="O32" s="259">
        <f>IF(N32&lt;EXPEDIENTE!$I$25,-1,IF(N32&gt;EXPEDIENTE!$I$29,1,0))</f>
        <v>0</v>
      </c>
      <c r="P32" s="260" t="str">
        <f t="shared" si="2"/>
        <v/>
      </c>
      <c r="Q32" s="255"/>
      <c r="R32" s="261"/>
      <c r="S32" s="262" t="str">
        <f>IF(OR(Q32="",R32=""),"",IF(Q32&gt;EXPEDIENTE!$I$27,"",MIN(DATE(YEAR(Q32),MONTH(Q32),DAY(Q32)+R32),EXPEDIENTE!$I$29)))</f>
        <v/>
      </c>
      <c r="T32" s="263" t="str">
        <f>IF(D32="","",IF(AND(P32="NO",Q32="",S32=""),"NO",IF(Q32&gt;EXPEDIENTE!$I$27,"ENTREGA FUERA PLAZO",IF(OR(Q32="",R32=""),"PDTE",IF(S32&lt;N32,"SI","NO")))))</f>
        <v/>
      </c>
      <c r="U32" s="264" t="str">
        <f>IF('RELACIÓN DE FACTURAS'!W36="","",'RELACIÓN DE FACTURAS'!W36)</f>
        <v/>
      </c>
      <c r="V32" s="265" t="str">
        <f>IF('RELACIÓN DE FACTURAS'!X36="","",'RELACIÓN DE FACTURAS'!X36)</f>
        <v/>
      </c>
      <c r="W32" s="266"/>
      <c r="X32" s="287" t="str">
        <f t="shared" si="3"/>
        <v/>
      </c>
      <c r="Y32" s="267"/>
    </row>
    <row r="33" spans="2:25" ht="39.950000000000003" customHeight="1" x14ac:dyDescent="0.2">
      <c r="B33" s="122">
        <f>IF(Y33&lt;&gt;"",MAX($B$5:B32)+1,0)</f>
        <v>0</v>
      </c>
      <c r="C33" s="124">
        <v>29</v>
      </c>
      <c r="D33" s="251" t="str">
        <f>IF('RELACIÓN DE FACTURAS'!N37="","",'RELACIÓN DE FACTURAS'!N37)</f>
        <v/>
      </c>
      <c r="E33" s="252" t="str">
        <f>IF(D33="SEGUNDO PAGO O POSTERIORES",E32,IF('RELACIÓN DE FACTURAS'!O37="","",'RELACIÓN DE FACTURAS'!O37))</f>
        <v/>
      </c>
      <c r="F33" s="253" t="str">
        <f>IF(D33="SEGUNDO PAGO O POSTERIORES",F32,IF('RELACIÓN DE FACTURAS'!Q37="","",'RELACIÓN DE FACTURAS'!Q37))</f>
        <v/>
      </c>
      <c r="G33" s="254" t="str">
        <f>IF(D33="","",IF(AND(D33="NUEVA FACTURA",'RELACIÓN DE FACTURAS'!P37=""),"",IF(AND(D33="NUEVA FACTURA",'RELACIÓN DE FACTURAS'!P37&lt;&gt;""),'RELACIÓN DE FACTURAS'!P37,IF(D33="SEGUNDO PAGO O POSTERIORES",G32,""))))</f>
        <v/>
      </c>
      <c r="H33" s="255"/>
      <c r="I33" s="256" t="str">
        <f>IF(D33="","",IF(J33="","REVISAR",IF(OR(J33&lt;EXPEDIENTE!$I$25,J33&gt;EXPEDIENTE!$I$27),"SI","NO")))</f>
        <v/>
      </c>
      <c r="J33" s="257" t="str">
        <f t="shared" ref="J33:J79" si="4">IF(D33="","",IF(H33&lt;&gt;"",H33,G33))</f>
        <v/>
      </c>
      <c r="K33" s="254" t="str">
        <f>IF(D33="","",IF('RELACIÓN DE FACTURAS'!AE37="","",'RELACIÓN DE FACTURAS'!AE37))</f>
        <v/>
      </c>
      <c r="L33" s="255"/>
      <c r="M33" s="256" t="str">
        <f>IF(D33="","",IF(N33="","REVISAR",IF(OR(N33&lt;EXPEDIENTE!$I$25,N33&gt;EXPEDIENTE!$I$29),"SI","NO")))</f>
        <v/>
      </c>
      <c r="N33" s="258" t="str">
        <f t="shared" ref="N33:N79" si="5">IF(D33="","",IF(L33&lt;&gt;"",L33,K33))</f>
        <v/>
      </c>
      <c r="O33" s="259">
        <f>IF(N33&lt;EXPEDIENTE!$I$25,-1,IF(N33&gt;EXPEDIENTE!$I$29,1,0))</f>
        <v>0</v>
      </c>
      <c r="P33" s="260" t="str">
        <f t="shared" ref="P33:P79" si="6">IF(D33="","",IF(OR(J33="",N33=""),"PDTE",IF(N33-J33&gt;30,"SI","NO")))</f>
        <v/>
      </c>
      <c r="Q33" s="255"/>
      <c r="R33" s="261"/>
      <c r="S33" s="262" t="str">
        <f>IF(OR(Q33="",R33=""),"",IF(Q33&gt;EXPEDIENTE!$I$27,"",MIN(DATE(YEAR(Q33),MONTH(Q33),DAY(Q33)+R33),EXPEDIENTE!$I$29)))</f>
        <v/>
      </c>
      <c r="T33" s="263" t="str">
        <f>IF(D33="","",IF(AND(P33="NO",Q33="",S33=""),"NO",IF(Q33&gt;EXPEDIENTE!$I$27,"ENTREGA FUERA PLAZO",IF(OR(Q33="",R33=""),"PDTE",IF(S33&lt;N33,"SI","NO")))))</f>
        <v/>
      </c>
      <c r="U33" s="264" t="str">
        <f>IF('RELACIÓN DE FACTURAS'!W37="","",'RELACIÓN DE FACTURAS'!W37)</f>
        <v/>
      </c>
      <c r="V33" s="265" t="str">
        <f>IF('RELACIÓN DE FACTURAS'!X37="","",'RELACIÓN DE FACTURAS'!X37)</f>
        <v/>
      </c>
      <c r="W33" s="266"/>
      <c r="X33" s="287" t="str">
        <f t="shared" ref="X33:X79" si="7">IF(D33="","",IF(AND(I33="NO",M33="NO",T33="NO",W33="NO"),"OK","NO OK"))</f>
        <v/>
      </c>
      <c r="Y33" s="267"/>
    </row>
    <row r="34" spans="2:25" ht="39.950000000000003" customHeight="1" x14ac:dyDescent="0.2">
      <c r="B34" s="122">
        <f>IF(Y34&lt;&gt;"",MAX($B$5:B33)+1,0)</f>
        <v>0</v>
      </c>
      <c r="C34" s="124">
        <v>30</v>
      </c>
      <c r="D34" s="251" t="str">
        <f>IF('RELACIÓN DE FACTURAS'!N38="","",'RELACIÓN DE FACTURAS'!N38)</f>
        <v/>
      </c>
      <c r="E34" s="252" t="str">
        <f>IF(D34="SEGUNDO PAGO O POSTERIORES",E33,IF('RELACIÓN DE FACTURAS'!O38="","",'RELACIÓN DE FACTURAS'!O38))</f>
        <v/>
      </c>
      <c r="F34" s="253" t="str">
        <f>IF(D34="SEGUNDO PAGO O POSTERIORES",F33,IF('RELACIÓN DE FACTURAS'!Q38="","",'RELACIÓN DE FACTURAS'!Q38))</f>
        <v/>
      </c>
      <c r="G34" s="254" t="str">
        <f>IF(D34="","",IF(AND(D34="NUEVA FACTURA",'RELACIÓN DE FACTURAS'!P38=""),"",IF(AND(D34="NUEVA FACTURA",'RELACIÓN DE FACTURAS'!P38&lt;&gt;""),'RELACIÓN DE FACTURAS'!P38,IF(D34="SEGUNDO PAGO O POSTERIORES",G33,""))))</f>
        <v/>
      </c>
      <c r="H34" s="255"/>
      <c r="I34" s="256" t="str">
        <f>IF(D34="","",IF(J34="","REVISAR",IF(OR(J34&lt;EXPEDIENTE!$I$25,J34&gt;EXPEDIENTE!$I$27),"SI","NO")))</f>
        <v/>
      </c>
      <c r="J34" s="257" t="str">
        <f t="shared" si="4"/>
        <v/>
      </c>
      <c r="K34" s="254" t="str">
        <f>IF(D34="","",IF('RELACIÓN DE FACTURAS'!AE38="","",'RELACIÓN DE FACTURAS'!AE38))</f>
        <v/>
      </c>
      <c r="L34" s="255"/>
      <c r="M34" s="256" t="str">
        <f>IF(D34="","",IF(N34="","REVISAR",IF(OR(N34&lt;EXPEDIENTE!$I$25,N34&gt;EXPEDIENTE!$I$29),"SI","NO")))</f>
        <v/>
      </c>
      <c r="N34" s="258" t="str">
        <f t="shared" si="5"/>
        <v/>
      </c>
      <c r="O34" s="259">
        <f>IF(N34&lt;EXPEDIENTE!$I$25,-1,IF(N34&gt;EXPEDIENTE!$I$29,1,0))</f>
        <v>0</v>
      </c>
      <c r="P34" s="260" t="str">
        <f t="shared" si="6"/>
        <v/>
      </c>
      <c r="Q34" s="255"/>
      <c r="R34" s="261"/>
      <c r="S34" s="262" t="str">
        <f>IF(OR(Q34="",R34=""),"",IF(Q34&gt;EXPEDIENTE!$I$27,"",MIN(DATE(YEAR(Q34),MONTH(Q34),DAY(Q34)+R34),EXPEDIENTE!$I$29)))</f>
        <v/>
      </c>
      <c r="T34" s="263" t="str">
        <f>IF(D34="","",IF(AND(P34="NO",Q34="",S34=""),"NO",IF(Q34&gt;EXPEDIENTE!$I$27,"ENTREGA FUERA PLAZO",IF(OR(Q34="",R34=""),"PDTE",IF(S34&lt;N34,"SI","NO")))))</f>
        <v/>
      </c>
      <c r="U34" s="264" t="str">
        <f>IF('RELACIÓN DE FACTURAS'!W38="","",'RELACIÓN DE FACTURAS'!W38)</f>
        <v/>
      </c>
      <c r="V34" s="265" t="str">
        <f>IF('RELACIÓN DE FACTURAS'!X38="","",'RELACIÓN DE FACTURAS'!X38)</f>
        <v/>
      </c>
      <c r="W34" s="266"/>
      <c r="X34" s="287" t="str">
        <f t="shared" si="7"/>
        <v/>
      </c>
      <c r="Y34" s="267"/>
    </row>
    <row r="35" spans="2:25" ht="39.950000000000003" customHeight="1" x14ac:dyDescent="0.2">
      <c r="B35" s="122">
        <f>IF(Y35&lt;&gt;"",MAX($B$5:B34)+1,0)</f>
        <v>0</v>
      </c>
      <c r="C35" s="124">
        <v>31</v>
      </c>
      <c r="D35" s="251" t="str">
        <f>IF('RELACIÓN DE FACTURAS'!N39="","",'RELACIÓN DE FACTURAS'!N39)</f>
        <v/>
      </c>
      <c r="E35" s="252" t="str">
        <f>IF(D35="SEGUNDO PAGO O POSTERIORES",E34,IF('RELACIÓN DE FACTURAS'!O39="","",'RELACIÓN DE FACTURAS'!O39))</f>
        <v/>
      </c>
      <c r="F35" s="253" t="str">
        <f>IF(D35="SEGUNDO PAGO O POSTERIORES",F34,IF('RELACIÓN DE FACTURAS'!Q39="","",'RELACIÓN DE FACTURAS'!Q39))</f>
        <v/>
      </c>
      <c r="G35" s="254" t="str">
        <f>IF(D35="","",IF(AND(D35="NUEVA FACTURA",'RELACIÓN DE FACTURAS'!P39=""),"",IF(AND(D35="NUEVA FACTURA",'RELACIÓN DE FACTURAS'!P39&lt;&gt;""),'RELACIÓN DE FACTURAS'!P39,IF(D35="SEGUNDO PAGO O POSTERIORES",G34,""))))</f>
        <v/>
      </c>
      <c r="H35" s="255"/>
      <c r="I35" s="256" t="str">
        <f>IF(D35="","",IF(J35="","REVISAR",IF(OR(J35&lt;EXPEDIENTE!$I$25,J35&gt;EXPEDIENTE!$I$27),"SI","NO")))</f>
        <v/>
      </c>
      <c r="J35" s="257" t="str">
        <f t="shared" si="4"/>
        <v/>
      </c>
      <c r="K35" s="254" t="str">
        <f>IF(D35="","",IF('RELACIÓN DE FACTURAS'!AE39="","",'RELACIÓN DE FACTURAS'!AE39))</f>
        <v/>
      </c>
      <c r="L35" s="255"/>
      <c r="M35" s="256" t="str">
        <f>IF(D35="","",IF(N35="","REVISAR",IF(OR(N35&lt;EXPEDIENTE!$I$25,N35&gt;EXPEDIENTE!$I$29),"SI","NO")))</f>
        <v/>
      </c>
      <c r="N35" s="258" t="str">
        <f t="shared" si="5"/>
        <v/>
      </c>
      <c r="O35" s="259">
        <f>IF(N35&lt;EXPEDIENTE!$I$25,-1,IF(N35&gt;EXPEDIENTE!$I$29,1,0))</f>
        <v>0</v>
      </c>
      <c r="P35" s="260" t="str">
        <f t="shared" si="6"/>
        <v/>
      </c>
      <c r="Q35" s="255"/>
      <c r="R35" s="261"/>
      <c r="S35" s="262" t="str">
        <f>IF(OR(Q35="",R35=""),"",IF(Q35&gt;EXPEDIENTE!$I$27,"",MIN(DATE(YEAR(Q35),MONTH(Q35),DAY(Q35)+R35),EXPEDIENTE!$I$29)))</f>
        <v/>
      </c>
      <c r="T35" s="263" t="str">
        <f>IF(D35="","",IF(AND(P35="NO",Q35="",S35=""),"NO",IF(Q35&gt;EXPEDIENTE!$I$27,"ENTREGA FUERA PLAZO",IF(OR(Q35="",R35=""),"PDTE",IF(S35&lt;N35,"SI","NO")))))</f>
        <v/>
      </c>
      <c r="U35" s="264" t="str">
        <f>IF('RELACIÓN DE FACTURAS'!W39="","",'RELACIÓN DE FACTURAS'!W39)</f>
        <v/>
      </c>
      <c r="V35" s="265" t="str">
        <f>IF('RELACIÓN DE FACTURAS'!X39="","",'RELACIÓN DE FACTURAS'!X39)</f>
        <v/>
      </c>
      <c r="W35" s="266"/>
      <c r="X35" s="287" t="str">
        <f t="shared" si="7"/>
        <v/>
      </c>
      <c r="Y35" s="267"/>
    </row>
    <row r="36" spans="2:25" ht="39.950000000000003" customHeight="1" x14ac:dyDescent="0.2">
      <c r="B36" s="122">
        <f>IF(Y36&lt;&gt;"",MAX($B$5:B35)+1,0)</f>
        <v>0</v>
      </c>
      <c r="C36" s="124">
        <v>32</v>
      </c>
      <c r="D36" s="251" t="str">
        <f>IF('RELACIÓN DE FACTURAS'!N40="","",'RELACIÓN DE FACTURAS'!N40)</f>
        <v/>
      </c>
      <c r="E36" s="252" t="str">
        <f>IF(D36="SEGUNDO PAGO O POSTERIORES",E35,IF('RELACIÓN DE FACTURAS'!O40="","",'RELACIÓN DE FACTURAS'!O40))</f>
        <v/>
      </c>
      <c r="F36" s="253" t="str">
        <f>IF(D36="SEGUNDO PAGO O POSTERIORES",F35,IF('RELACIÓN DE FACTURAS'!Q40="","",'RELACIÓN DE FACTURAS'!Q40))</f>
        <v/>
      </c>
      <c r="G36" s="254" t="str">
        <f>IF(D36="","",IF(AND(D36="NUEVA FACTURA",'RELACIÓN DE FACTURAS'!P40=""),"",IF(AND(D36="NUEVA FACTURA",'RELACIÓN DE FACTURAS'!P40&lt;&gt;""),'RELACIÓN DE FACTURAS'!P40,IF(D36="SEGUNDO PAGO O POSTERIORES",G35,""))))</f>
        <v/>
      </c>
      <c r="H36" s="255"/>
      <c r="I36" s="256" t="str">
        <f>IF(D36="","",IF(J36="","REVISAR",IF(OR(J36&lt;EXPEDIENTE!$I$25,J36&gt;EXPEDIENTE!$I$27),"SI","NO")))</f>
        <v/>
      </c>
      <c r="J36" s="257" t="str">
        <f t="shared" si="4"/>
        <v/>
      </c>
      <c r="K36" s="254" t="str">
        <f>IF(D36="","",IF('RELACIÓN DE FACTURAS'!AE40="","",'RELACIÓN DE FACTURAS'!AE40))</f>
        <v/>
      </c>
      <c r="L36" s="255"/>
      <c r="M36" s="256" t="str">
        <f>IF(D36="","",IF(N36="","REVISAR",IF(OR(N36&lt;EXPEDIENTE!$I$25,N36&gt;EXPEDIENTE!$I$29),"SI","NO")))</f>
        <v/>
      </c>
      <c r="N36" s="258" t="str">
        <f t="shared" si="5"/>
        <v/>
      </c>
      <c r="O36" s="259">
        <f>IF(N36&lt;EXPEDIENTE!$I$25,-1,IF(N36&gt;EXPEDIENTE!$I$29,1,0))</f>
        <v>0</v>
      </c>
      <c r="P36" s="260" t="str">
        <f t="shared" si="6"/>
        <v/>
      </c>
      <c r="Q36" s="255"/>
      <c r="R36" s="261"/>
      <c r="S36" s="262" t="str">
        <f>IF(OR(Q36="",R36=""),"",IF(Q36&gt;EXPEDIENTE!$I$27,"",MIN(DATE(YEAR(Q36),MONTH(Q36),DAY(Q36)+R36),EXPEDIENTE!$I$29)))</f>
        <v/>
      </c>
      <c r="T36" s="263" t="str">
        <f>IF(D36="","",IF(AND(P36="NO",Q36="",S36=""),"NO",IF(Q36&gt;EXPEDIENTE!$I$27,"ENTREGA FUERA PLAZO",IF(OR(Q36="",R36=""),"PDTE",IF(S36&lt;N36,"SI","NO")))))</f>
        <v/>
      </c>
      <c r="U36" s="264" t="str">
        <f>IF('RELACIÓN DE FACTURAS'!W40="","",'RELACIÓN DE FACTURAS'!W40)</f>
        <v/>
      </c>
      <c r="V36" s="265" t="str">
        <f>IF('RELACIÓN DE FACTURAS'!X40="","",'RELACIÓN DE FACTURAS'!X40)</f>
        <v/>
      </c>
      <c r="W36" s="266"/>
      <c r="X36" s="287" t="str">
        <f t="shared" si="7"/>
        <v/>
      </c>
      <c r="Y36" s="267"/>
    </row>
    <row r="37" spans="2:25" ht="39.950000000000003" customHeight="1" x14ac:dyDescent="0.2">
      <c r="B37" s="122">
        <f>IF(Y37&lt;&gt;"",MAX($B$5:B36)+1,0)</f>
        <v>0</v>
      </c>
      <c r="C37" s="124">
        <v>33</v>
      </c>
      <c r="D37" s="251" t="str">
        <f>IF('RELACIÓN DE FACTURAS'!N41="","",'RELACIÓN DE FACTURAS'!N41)</f>
        <v/>
      </c>
      <c r="E37" s="252" t="str">
        <f>IF(D37="SEGUNDO PAGO O POSTERIORES",E36,IF('RELACIÓN DE FACTURAS'!O41="","",'RELACIÓN DE FACTURAS'!O41))</f>
        <v/>
      </c>
      <c r="F37" s="253" t="str">
        <f>IF(D37="SEGUNDO PAGO O POSTERIORES",F36,IF('RELACIÓN DE FACTURAS'!Q41="","",'RELACIÓN DE FACTURAS'!Q41))</f>
        <v/>
      </c>
      <c r="G37" s="254" t="str">
        <f>IF(D37="","",IF(AND(D37="NUEVA FACTURA",'RELACIÓN DE FACTURAS'!P41=""),"",IF(AND(D37="NUEVA FACTURA",'RELACIÓN DE FACTURAS'!P41&lt;&gt;""),'RELACIÓN DE FACTURAS'!P41,IF(D37="SEGUNDO PAGO O POSTERIORES",G36,""))))</f>
        <v/>
      </c>
      <c r="H37" s="255"/>
      <c r="I37" s="256" t="str">
        <f>IF(D37="","",IF(J37="","REVISAR",IF(OR(J37&lt;EXPEDIENTE!$I$25,J37&gt;EXPEDIENTE!$I$27),"SI","NO")))</f>
        <v/>
      </c>
      <c r="J37" s="257" t="str">
        <f t="shared" si="4"/>
        <v/>
      </c>
      <c r="K37" s="254" t="str">
        <f>IF(D37="","",IF('RELACIÓN DE FACTURAS'!AE41="","",'RELACIÓN DE FACTURAS'!AE41))</f>
        <v/>
      </c>
      <c r="L37" s="255"/>
      <c r="M37" s="256" t="str">
        <f>IF(D37="","",IF(N37="","REVISAR",IF(OR(N37&lt;EXPEDIENTE!$I$25,N37&gt;EXPEDIENTE!$I$29),"SI","NO")))</f>
        <v/>
      </c>
      <c r="N37" s="258" t="str">
        <f t="shared" si="5"/>
        <v/>
      </c>
      <c r="O37" s="259">
        <f>IF(N37&lt;EXPEDIENTE!$I$25,-1,IF(N37&gt;EXPEDIENTE!$I$29,1,0))</f>
        <v>0</v>
      </c>
      <c r="P37" s="260" t="str">
        <f t="shared" si="6"/>
        <v/>
      </c>
      <c r="Q37" s="255"/>
      <c r="R37" s="261"/>
      <c r="S37" s="262" t="str">
        <f>IF(OR(Q37="",R37=""),"",IF(Q37&gt;EXPEDIENTE!$I$27,"",MIN(DATE(YEAR(Q37),MONTH(Q37),DAY(Q37)+R37),EXPEDIENTE!$I$29)))</f>
        <v/>
      </c>
      <c r="T37" s="263" t="str">
        <f>IF(D37="","",IF(AND(P37="NO",Q37="",S37=""),"NO",IF(Q37&gt;EXPEDIENTE!$I$27,"ENTREGA FUERA PLAZO",IF(OR(Q37="",R37=""),"PDTE",IF(S37&lt;N37,"SI","NO")))))</f>
        <v/>
      </c>
      <c r="U37" s="264" t="str">
        <f>IF('RELACIÓN DE FACTURAS'!W41="","",'RELACIÓN DE FACTURAS'!W41)</f>
        <v/>
      </c>
      <c r="V37" s="265" t="str">
        <f>IF('RELACIÓN DE FACTURAS'!X41="","",'RELACIÓN DE FACTURAS'!X41)</f>
        <v/>
      </c>
      <c r="W37" s="266"/>
      <c r="X37" s="287" t="str">
        <f t="shared" si="7"/>
        <v/>
      </c>
      <c r="Y37" s="267"/>
    </row>
    <row r="38" spans="2:25" ht="39.950000000000003" customHeight="1" x14ac:dyDescent="0.2">
      <c r="B38" s="122">
        <f>IF(Y38&lt;&gt;"",MAX($B$5:B37)+1,0)</f>
        <v>0</v>
      </c>
      <c r="C38" s="124">
        <v>34</v>
      </c>
      <c r="D38" s="251" t="str">
        <f>IF('RELACIÓN DE FACTURAS'!N42="","",'RELACIÓN DE FACTURAS'!N42)</f>
        <v/>
      </c>
      <c r="E38" s="252" t="str">
        <f>IF(D38="SEGUNDO PAGO O POSTERIORES",E37,IF('RELACIÓN DE FACTURAS'!O42="","",'RELACIÓN DE FACTURAS'!O42))</f>
        <v/>
      </c>
      <c r="F38" s="253" t="str">
        <f>IF(D38="SEGUNDO PAGO O POSTERIORES",F37,IF('RELACIÓN DE FACTURAS'!Q42="","",'RELACIÓN DE FACTURAS'!Q42))</f>
        <v/>
      </c>
      <c r="G38" s="254" t="str">
        <f>IF(D38="","",IF(AND(D38="NUEVA FACTURA",'RELACIÓN DE FACTURAS'!P42=""),"",IF(AND(D38="NUEVA FACTURA",'RELACIÓN DE FACTURAS'!P42&lt;&gt;""),'RELACIÓN DE FACTURAS'!P42,IF(D38="SEGUNDO PAGO O POSTERIORES",G37,""))))</f>
        <v/>
      </c>
      <c r="H38" s="255"/>
      <c r="I38" s="256" t="str">
        <f>IF(D38="","",IF(J38="","REVISAR",IF(OR(J38&lt;EXPEDIENTE!$I$25,J38&gt;EXPEDIENTE!$I$27),"SI","NO")))</f>
        <v/>
      </c>
      <c r="J38" s="257" t="str">
        <f t="shared" si="4"/>
        <v/>
      </c>
      <c r="K38" s="254" t="str">
        <f>IF(D38="","",IF('RELACIÓN DE FACTURAS'!AE42="","",'RELACIÓN DE FACTURAS'!AE42))</f>
        <v/>
      </c>
      <c r="L38" s="255"/>
      <c r="M38" s="256" t="str">
        <f>IF(D38="","",IF(N38="","REVISAR",IF(OR(N38&lt;EXPEDIENTE!$I$25,N38&gt;EXPEDIENTE!$I$29),"SI","NO")))</f>
        <v/>
      </c>
      <c r="N38" s="258" t="str">
        <f t="shared" si="5"/>
        <v/>
      </c>
      <c r="O38" s="259">
        <f>IF(N38&lt;EXPEDIENTE!$I$25,-1,IF(N38&gt;EXPEDIENTE!$I$29,1,0))</f>
        <v>0</v>
      </c>
      <c r="P38" s="260" t="str">
        <f t="shared" si="6"/>
        <v/>
      </c>
      <c r="Q38" s="255"/>
      <c r="R38" s="261"/>
      <c r="S38" s="262" t="str">
        <f>IF(OR(Q38="",R38=""),"",IF(Q38&gt;EXPEDIENTE!$I$27,"",MIN(DATE(YEAR(Q38),MONTH(Q38),DAY(Q38)+R38),EXPEDIENTE!$I$29)))</f>
        <v/>
      </c>
      <c r="T38" s="263" t="str">
        <f>IF(D38="","",IF(AND(P38="NO",Q38="",S38=""),"NO",IF(Q38&gt;EXPEDIENTE!$I$27,"ENTREGA FUERA PLAZO",IF(OR(Q38="",R38=""),"PDTE",IF(S38&lt;N38,"SI","NO")))))</f>
        <v/>
      </c>
      <c r="U38" s="264" t="str">
        <f>IF('RELACIÓN DE FACTURAS'!W42="","",'RELACIÓN DE FACTURAS'!W42)</f>
        <v/>
      </c>
      <c r="V38" s="265" t="str">
        <f>IF('RELACIÓN DE FACTURAS'!X42="","",'RELACIÓN DE FACTURAS'!X42)</f>
        <v/>
      </c>
      <c r="W38" s="266"/>
      <c r="X38" s="287" t="str">
        <f t="shared" si="7"/>
        <v/>
      </c>
      <c r="Y38" s="267"/>
    </row>
    <row r="39" spans="2:25" ht="39.950000000000003" customHeight="1" x14ac:dyDescent="0.2">
      <c r="B39" s="122">
        <f>IF(Y39&lt;&gt;"",MAX($B$5:B38)+1,0)</f>
        <v>0</v>
      </c>
      <c r="C39" s="124">
        <v>35</v>
      </c>
      <c r="D39" s="251" t="str">
        <f>IF('RELACIÓN DE FACTURAS'!N43="","",'RELACIÓN DE FACTURAS'!N43)</f>
        <v/>
      </c>
      <c r="E39" s="252" t="str">
        <f>IF(D39="SEGUNDO PAGO O POSTERIORES",E38,IF('RELACIÓN DE FACTURAS'!O43="","",'RELACIÓN DE FACTURAS'!O43))</f>
        <v/>
      </c>
      <c r="F39" s="253" t="str">
        <f>IF(D39="SEGUNDO PAGO O POSTERIORES",F38,IF('RELACIÓN DE FACTURAS'!Q43="","",'RELACIÓN DE FACTURAS'!Q43))</f>
        <v/>
      </c>
      <c r="G39" s="254" t="str">
        <f>IF(D39="","",IF(AND(D39="NUEVA FACTURA",'RELACIÓN DE FACTURAS'!P43=""),"",IF(AND(D39="NUEVA FACTURA",'RELACIÓN DE FACTURAS'!P43&lt;&gt;""),'RELACIÓN DE FACTURAS'!P43,IF(D39="SEGUNDO PAGO O POSTERIORES",G38,""))))</f>
        <v/>
      </c>
      <c r="H39" s="255"/>
      <c r="I39" s="256" t="str">
        <f>IF(D39="","",IF(J39="","REVISAR",IF(OR(J39&lt;EXPEDIENTE!$I$25,J39&gt;EXPEDIENTE!$I$27),"SI","NO")))</f>
        <v/>
      </c>
      <c r="J39" s="257" t="str">
        <f t="shared" si="4"/>
        <v/>
      </c>
      <c r="K39" s="254" t="str">
        <f>IF(D39="","",IF('RELACIÓN DE FACTURAS'!AE43="","",'RELACIÓN DE FACTURAS'!AE43))</f>
        <v/>
      </c>
      <c r="L39" s="255"/>
      <c r="M39" s="256" t="str">
        <f>IF(D39="","",IF(N39="","REVISAR",IF(OR(N39&lt;EXPEDIENTE!$I$25,N39&gt;EXPEDIENTE!$I$29),"SI","NO")))</f>
        <v/>
      </c>
      <c r="N39" s="258" t="str">
        <f t="shared" si="5"/>
        <v/>
      </c>
      <c r="O39" s="259">
        <f>IF(N39&lt;EXPEDIENTE!$I$25,-1,IF(N39&gt;EXPEDIENTE!$I$29,1,0))</f>
        <v>0</v>
      </c>
      <c r="P39" s="260" t="str">
        <f t="shared" si="6"/>
        <v/>
      </c>
      <c r="Q39" s="255"/>
      <c r="R39" s="261"/>
      <c r="S39" s="262" t="str">
        <f>IF(OR(Q39="",R39=""),"",IF(Q39&gt;EXPEDIENTE!$I$27,"",MIN(DATE(YEAR(Q39),MONTH(Q39),DAY(Q39)+R39),EXPEDIENTE!$I$29)))</f>
        <v/>
      </c>
      <c r="T39" s="263" t="str">
        <f>IF(D39="","",IF(AND(P39="NO",Q39="",S39=""),"NO",IF(Q39&gt;EXPEDIENTE!$I$27,"ENTREGA FUERA PLAZO",IF(OR(Q39="",R39=""),"PDTE",IF(S39&lt;N39,"SI","NO")))))</f>
        <v/>
      </c>
      <c r="U39" s="264" t="str">
        <f>IF('RELACIÓN DE FACTURAS'!W43="","",'RELACIÓN DE FACTURAS'!W43)</f>
        <v/>
      </c>
      <c r="V39" s="265" t="str">
        <f>IF('RELACIÓN DE FACTURAS'!X43="","",'RELACIÓN DE FACTURAS'!X43)</f>
        <v/>
      </c>
      <c r="W39" s="266"/>
      <c r="X39" s="287" t="str">
        <f t="shared" si="7"/>
        <v/>
      </c>
      <c r="Y39" s="267"/>
    </row>
    <row r="40" spans="2:25" ht="39.950000000000003" customHeight="1" x14ac:dyDescent="0.2">
      <c r="B40" s="122">
        <f>IF(Y40&lt;&gt;"",MAX($B$5:B39)+1,0)</f>
        <v>0</v>
      </c>
      <c r="C40" s="124">
        <v>36</v>
      </c>
      <c r="D40" s="251" t="str">
        <f>IF('RELACIÓN DE FACTURAS'!N44="","",'RELACIÓN DE FACTURAS'!N44)</f>
        <v/>
      </c>
      <c r="E40" s="252" t="str">
        <f>IF(D40="SEGUNDO PAGO O POSTERIORES",E39,IF('RELACIÓN DE FACTURAS'!O44="","",'RELACIÓN DE FACTURAS'!O44))</f>
        <v/>
      </c>
      <c r="F40" s="253" t="str">
        <f>IF(D40="SEGUNDO PAGO O POSTERIORES",F39,IF('RELACIÓN DE FACTURAS'!Q44="","",'RELACIÓN DE FACTURAS'!Q44))</f>
        <v/>
      </c>
      <c r="G40" s="254" t="str">
        <f>IF(D40="","",IF(AND(D40="NUEVA FACTURA",'RELACIÓN DE FACTURAS'!P44=""),"",IF(AND(D40="NUEVA FACTURA",'RELACIÓN DE FACTURAS'!P44&lt;&gt;""),'RELACIÓN DE FACTURAS'!P44,IF(D40="SEGUNDO PAGO O POSTERIORES",G39,""))))</f>
        <v/>
      </c>
      <c r="H40" s="255"/>
      <c r="I40" s="256" t="str">
        <f>IF(D40="","",IF(J40="","REVISAR",IF(OR(J40&lt;EXPEDIENTE!$I$25,J40&gt;EXPEDIENTE!$I$27),"SI","NO")))</f>
        <v/>
      </c>
      <c r="J40" s="257" t="str">
        <f t="shared" si="4"/>
        <v/>
      </c>
      <c r="K40" s="254" t="str">
        <f>IF(D40="","",IF('RELACIÓN DE FACTURAS'!AE44="","",'RELACIÓN DE FACTURAS'!AE44))</f>
        <v/>
      </c>
      <c r="L40" s="255"/>
      <c r="M40" s="256" t="str">
        <f>IF(D40="","",IF(N40="","REVISAR",IF(OR(N40&lt;EXPEDIENTE!$I$25,N40&gt;EXPEDIENTE!$I$29),"SI","NO")))</f>
        <v/>
      </c>
      <c r="N40" s="258" t="str">
        <f t="shared" si="5"/>
        <v/>
      </c>
      <c r="O40" s="259">
        <f>IF(N40&lt;EXPEDIENTE!$I$25,-1,IF(N40&gt;EXPEDIENTE!$I$29,1,0))</f>
        <v>0</v>
      </c>
      <c r="P40" s="260" t="str">
        <f t="shared" si="6"/>
        <v/>
      </c>
      <c r="Q40" s="255"/>
      <c r="R40" s="261"/>
      <c r="S40" s="262" t="str">
        <f>IF(OR(Q40="",R40=""),"",IF(Q40&gt;EXPEDIENTE!$I$27,"",MIN(DATE(YEAR(Q40),MONTH(Q40),DAY(Q40)+R40),EXPEDIENTE!$I$29)))</f>
        <v/>
      </c>
      <c r="T40" s="263" t="str">
        <f>IF(D40="","",IF(AND(P40="NO",Q40="",S40=""),"NO",IF(Q40&gt;EXPEDIENTE!$I$27,"ENTREGA FUERA PLAZO",IF(OR(Q40="",R40=""),"PDTE",IF(S40&lt;N40,"SI","NO")))))</f>
        <v/>
      </c>
      <c r="U40" s="264" t="str">
        <f>IF('RELACIÓN DE FACTURAS'!W44="","",'RELACIÓN DE FACTURAS'!W44)</f>
        <v/>
      </c>
      <c r="V40" s="265" t="str">
        <f>IF('RELACIÓN DE FACTURAS'!X44="","",'RELACIÓN DE FACTURAS'!X44)</f>
        <v/>
      </c>
      <c r="W40" s="266"/>
      <c r="X40" s="287" t="str">
        <f t="shared" si="7"/>
        <v/>
      </c>
      <c r="Y40" s="267"/>
    </row>
    <row r="41" spans="2:25" ht="39.950000000000003" customHeight="1" x14ac:dyDescent="0.2">
      <c r="B41" s="122">
        <f>IF(Y41&lt;&gt;"",MAX($B$5:B40)+1,0)</f>
        <v>0</v>
      </c>
      <c r="C41" s="124">
        <v>37</v>
      </c>
      <c r="D41" s="251" t="str">
        <f>IF('RELACIÓN DE FACTURAS'!N45="","",'RELACIÓN DE FACTURAS'!N45)</f>
        <v/>
      </c>
      <c r="E41" s="252" t="str">
        <f>IF(D41="SEGUNDO PAGO O POSTERIORES",E40,IF('RELACIÓN DE FACTURAS'!O45="","",'RELACIÓN DE FACTURAS'!O45))</f>
        <v/>
      </c>
      <c r="F41" s="253" t="str">
        <f>IF(D41="SEGUNDO PAGO O POSTERIORES",F40,IF('RELACIÓN DE FACTURAS'!Q45="","",'RELACIÓN DE FACTURAS'!Q45))</f>
        <v/>
      </c>
      <c r="G41" s="254" t="str">
        <f>IF(D41="","",IF(AND(D41="NUEVA FACTURA",'RELACIÓN DE FACTURAS'!P45=""),"",IF(AND(D41="NUEVA FACTURA",'RELACIÓN DE FACTURAS'!P45&lt;&gt;""),'RELACIÓN DE FACTURAS'!P45,IF(D41="SEGUNDO PAGO O POSTERIORES",G40,""))))</f>
        <v/>
      </c>
      <c r="H41" s="255"/>
      <c r="I41" s="256" t="str">
        <f>IF(D41="","",IF(J41="","REVISAR",IF(OR(J41&lt;EXPEDIENTE!$I$25,J41&gt;EXPEDIENTE!$I$27),"SI","NO")))</f>
        <v/>
      </c>
      <c r="J41" s="257" t="str">
        <f t="shared" si="4"/>
        <v/>
      </c>
      <c r="K41" s="254" t="str">
        <f>IF(D41="","",IF('RELACIÓN DE FACTURAS'!AE45="","",'RELACIÓN DE FACTURAS'!AE45))</f>
        <v/>
      </c>
      <c r="L41" s="255"/>
      <c r="M41" s="256" t="str">
        <f>IF(D41="","",IF(N41="","REVISAR",IF(OR(N41&lt;EXPEDIENTE!$I$25,N41&gt;EXPEDIENTE!$I$29),"SI","NO")))</f>
        <v/>
      </c>
      <c r="N41" s="258" t="str">
        <f t="shared" si="5"/>
        <v/>
      </c>
      <c r="O41" s="259">
        <f>IF(N41&lt;EXPEDIENTE!$I$25,-1,IF(N41&gt;EXPEDIENTE!$I$29,1,0))</f>
        <v>0</v>
      </c>
      <c r="P41" s="260" t="str">
        <f t="shared" si="6"/>
        <v/>
      </c>
      <c r="Q41" s="255"/>
      <c r="R41" s="261"/>
      <c r="S41" s="262" t="str">
        <f>IF(OR(Q41="",R41=""),"",IF(Q41&gt;EXPEDIENTE!$I$27,"",MIN(DATE(YEAR(Q41),MONTH(Q41),DAY(Q41)+R41),EXPEDIENTE!$I$29)))</f>
        <v/>
      </c>
      <c r="T41" s="263" t="str">
        <f>IF(D41="","",IF(AND(P41="NO",Q41="",S41=""),"NO",IF(Q41&gt;EXPEDIENTE!$I$27,"ENTREGA FUERA PLAZO",IF(OR(Q41="",R41=""),"PDTE",IF(S41&lt;N41,"SI","NO")))))</f>
        <v/>
      </c>
      <c r="U41" s="264" t="str">
        <f>IF('RELACIÓN DE FACTURAS'!W45="","",'RELACIÓN DE FACTURAS'!W45)</f>
        <v/>
      </c>
      <c r="V41" s="265" t="str">
        <f>IF('RELACIÓN DE FACTURAS'!X45="","",'RELACIÓN DE FACTURAS'!X45)</f>
        <v/>
      </c>
      <c r="W41" s="266"/>
      <c r="X41" s="287" t="str">
        <f t="shared" si="7"/>
        <v/>
      </c>
      <c r="Y41" s="267"/>
    </row>
    <row r="42" spans="2:25" ht="39.950000000000003" customHeight="1" x14ac:dyDescent="0.2">
      <c r="B42" s="122">
        <f>IF(Y42&lt;&gt;"",MAX($B$5:B41)+1,0)</f>
        <v>0</v>
      </c>
      <c r="C42" s="124">
        <v>38</v>
      </c>
      <c r="D42" s="251" t="str">
        <f>IF('RELACIÓN DE FACTURAS'!N46="","",'RELACIÓN DE FACTURAS'!N46)</f>
        <v/>
      </c>
      <c r="E42" s="252" t="str">
        <f>IF(D42="SEGUNDO PAGO O POSTERIORES",E41,IF('RELACIÓN DE FACTURAS'!O46="","",'RELACIÓN DE FACTURAS'!O46))</f>
        <v/>
      </c>
      <c r="F42" s="253" t="str">
        <f>IF(D42="SEGUNDO PAGO O POSTERIORES",F41,IF('RELACIÓN DE FACTURAS'!Q46="","",'RELACIÓN DE FACTURAS'!Q46))</f>
        <v/>
      </c>
      <c r="G42" s="254" t="str">
        <f>IF(D42="","",IF(AND(D42="NUEVA FACTURA",'RELACIÓN DE FACTURAS'!P46=""),"",IF(AND(D42="NUEVA FACTURA",'RELACIÓN DE FACTURAS'!P46&lt;&gt;""),'RELACIÓN DE FACTURAS'!P46,IF(D42="SEGUNDO PAGO O POSTERIORES",G41,""))))</f>
        <v/>
      </c>
      <c r="H42" s="255"/>
      <c r="I42" s="256" t="str">
        <f>IF(D42="","",IF(J42="","REVISAR",IF(OR(J42&lt;EXPEDIENTE!$I$25,J42&gt;EXPEDIENTE!$I$27),"SI","NO")))</f>
        <v/>
      </c>
      <c r="J42" s="257" t="str">
        <f t="shared" si="4"/>
        <v/>
      </c>
      <c r="K42" s="254" t="str">
        <f>IF(D42="","",IF('RELACIÓN DE FACTURAS'!AE46="","",'RELACIÓN DE FACTURAS'!AE46))</f>
        <v/>
      </c>
      <c r="L42" s="255"/>
      <c r="M42" s="256" t="str">
        <f>IF(D42="","",IF(N42="","REVISAR",IF(OR(N42&lt;EXPEDIENTE!$I$25,N42&gt;EXPEDIENTE!$I$29),"SI","NO")))</f>
        <v/>
      </c>
      <c r="N42" s="258" t="str">
        <f t="shared" si="5"/>
        <v/>
      </c>
      <c r="O42" s="259">
        <f>IF(N42&lt;EXPEDIENTE!$I$25,-1,IF(N42&gt;EXPEDIENTE!$I$29,1,0))</f>
        <v>0</v>
      </c>
      <c r="P42" s="260" t="str">
        <f t="shared" si="6"/>
        <v/>
      </c>
      <c r="Q42" s="255"/>
      <c r="R42" s="261"/>
      <c r="S42" s="262" t="str">
        <f>IF(OR(Q42="",R42=""),"",IF(Q42&gt;EXPEDIENTE!$I$27,"",MIN(DATE(YEAR(Q42),MONTH(Q42),DAY(Q42)+R42),EXPEDIENTE!$I$29)))</f>
        <v/>
      </c>
      <c r="T42" s="263" t="str">
        <f>IF(D42="","",IF(AND(P42="NO",Q42="",S42=""),"NO",IF(Q42&gt;EXPEDIENTE!$I$27,"ENTREGA FUERA PLAZO",IF(OR(Q42="",R42=""),"PDTE",IF(S42&lt;N42,"SI","NO")))))</f>
        <v/>
      </c>
      <c r="U42" s="264" t="str">
        <f>IF('RELACIÓN DE FACTURAS'!W46="","",'RELACIÓN DE FACTURAS'!W46)</f>
        <v/>
      </c>
      <c r="V42" s="265" t="str">
        <f>IF('RELACIÓN DE FACTURAS'!X46="","",'RELACIÓN DE FACTURAS'!X46)</f>
        <v/>
      </c>
      <c r="W42" s="266"/>
      <c r="X42" s="287" t="str">
        <f t="shared" si="7"/>
        <v/>
      </c>
      <c r="Y42" s="267"/>
    </row>
    <row r="43" spans="2:25" ht="39.950000000000003" customHeight="1" x14ac:dyDescent="0.2">
      <c r="B43" s="122">
        <f>IF(Y43&lt;&gt;"",MAX($B$5:B42)+1,0)</f>
        <v>0</v>
      </c>
      <c r="C43" s="124">
        <v>39</v>
      </c>
      <c r="D43" s="251" t="str">
        <f>IF('RELACIÓN DE FACTURAS'!N47="","",'RELACIÓN DE FACTURAS'!N47)</f>
        <v/>
      </c>
      <c r="E43" s="252" t="str">
        <f>IF(D43="SEGUNDO PAGO O POSTERIORES",E42,IF('RELACIÓN DE FACTURAS'!O47="","",'RELACIÓN DE FACTURAS'!O47))</f>
        <v/>
      </c>
      <c r="F43" s="253" t="str">
        <f>IF(D43="SEGUNDO PAGO O POSTERIORES",F42,IF('RELACIÓN DE FACTURAS'!Q47="","",'RELACIÓN DE FACTURAS'!Q47))</f>
        <v/>
      </c>
      <c r="G43" s="254" t="str">
        <f>IF(D43="","",IF(AND(D43="NUEVA FACTURA",'RELACIÓN DE FACTURAS'!P47=""),"",IF(AND(D43="NUEVA FACTURA",'RELACIÓN DE FACTURAS'!P47&lt;&gt;""),'RELACIÓN DE FACTURAS'!P47,IF(D43="SEGUNDO PAGO O POSTERIORES",G42,""))))</f>
        <v/>
      </c>
      <c r="H43" s="255"/>
      <c r="I43" s="256" t="str">
        <f>IF(D43="","",IF(J43="","REVISAR",IF(OR(J43&lt;EXPEDIENTE!$I$25,J43&gt;EXPEDIENTE!$I$27),"SI","NO")))</f>
        <v/>
      </c>
      <c r="J43" s="257" t="str">
        <f t="shared" si="4"/>
        <v/>
      </c>
      <c r="K43" s="254" t="str">
        <f>IF(D43="","",IF('RELACIÓN DE FACTURAS'!AE47="","",'RELACIÓN DE FACTURAS'!AE47))</f>
        <v/>
      </c>
      <c r="L43" s="255"/>
      <c r="M43" s="256" t="str">
        <f>IF(D43="","",IF(N43="","REVISAR",IF(OR(N43&lt;EXPEDIENTE!$I$25,N43&gt;EXPEDIENTE!$I$29),"SI","NO")))</f>
        <v/>
      </c>
      <c r="N43" s="258" t="str">
        <f t="shared" si="5"/>
        <v/>
      </c>
      <c r="O43" s="259">
        <f>IF(N43&lt;EXPEDIENTE!$I$25,-1,IF(N43&gt;EXPEDIENTE!$I$29,1,0))</f>
        <v>0</v>
      </c>
      <c r="P43" s="260" t="str">
        <f t="shared" si="6"/>
        <v/>
      </c>
      <c r="Q43" s="255"/>
      <c r="R43" s="261"/>
      <c r="S43" s="262" t="str">
        <f>IF(OR(Q43="",R43=""),"",IF(Q43&gt;EXPEDIENTE!$I$27,"",MIN(DATE(YEAR(Q43),MONTH(Q43),DAY(Q43)+R43),EXPEDIENTE!$I$29)))</f>
        <v/>
      </c>
      <c r="T43" s="263" t="str">
        <f>IF(D43="","",IF(AND(P43="NO",Q43="",S43=""),"NO",IF(Q43&gt;EXPEDIENTE!$I$27,"ENTREGA FUERA PLAZO",IF(OR(Q43="",R43=""),"PDTE",IF(S43&lt;N43,"SI","NO")))))</f>
        <v/>
      </c>
      <c r="U43" s="264" t="str">
        <f>IF('RELACIÓN DE FACTURAS'!W47="","",'RELACIÓN DE FACTURAS'!W47)</f>
        <v/>
      </c>
      <c r="V43" s="265" t="str">
        <f>IF('RELACIÓN DE FACTURAS'!X47="","",'RELACIÓN DE FACTURAS'!X47)</f>
        <v/>
      </c>
      <c r="W43" s="266"/>
      <c r="X43" s="287" t="str">
        <f t="shared" si="7"/>
        <v/>
      </c>
      <c r="Y43" s="267"/>
    </row>
    <row r="44" spans="2:25" ht="39.950000000000003" customHeight="1" x14ac:dyDescent="0.2">
      <c r="B44" s="122">
        <f>IF(Y44&lt;&gt;"",MAX($B$5:B43)+1,0)</f>
        <v>0</v>
      </c>
      <c r="C44" s="124">
        <v>40</v>
      </c>
      <c r="D44" s="251" t="str">
        <f>IF('RELACIÓN DE FACTURAS'!N48="","",'RELACIÓN DE FACTURAS'!N48)</f>
        <v/>
      </c>
      <c r="E44" s="252" t="str">
        <f>IF(D44="SEGUNDO PAGO O POSTERIORES",E43,IF('RELACIÓN DE FACTURAS'!O48="","",'RELACIÓN DE FACTURAS'!O48))</f>
        <v/>
      </c>
      <c r="F44" s="253" t="str">
        <f>IF(D44="SEGUNDO PAGO O POSTERIORES",F43,IF('RELACIÓN DE FACTURAS'!Q48="","",'RELACIÓN DE FACTURAS'!Q48))</f>
        <v/>
      </c>
      <c r="G44" s="254" t="str">
        <f>IF(D44="","",IF(AND(D44="NUEVA FACTURA",'RELACIÓN DE FACTURAS'!P48=""),"",IF(AND(D44="NUEVA FACTURA",'RELACIÓN DE FACTURAS'!P48&lt;&gt;""),'RELACIÓN DE FACTURAS'!P48,IF(D44="SEGUNDO PAGO O POSTERIORES",G43,""))))</f>
        <v/>
      </c>
      <c r="H44" s="255"/>
      <c r="I44" s="256" t="str">
        <f>IF(D44="","",IF(J44="","REVISAR",IF(OR(J44&lt;EXPEDIENTE!$I$25,J44&gt;EXPEDIENTE!$I$27),"SI","NO")))</f>
        <v/>
      </c>
      <c r="J44" s="257" t="str">
        <f t="shared" ref="J44:J78" si="8">IF(D44="","",IF(H44&lt;&gt;"",H44,G44))</f>
        <v/>
      </c>
      <c r="K44" s="254" t="str">
        <f>IF(D44="","",IF('RELACIÓN DE FACTURAS'!AE48="","",'RELACIÓN DE FACTURAS'!AE48))</f>
        <v/>
      </c>
      <c r="L44" s="255"/>
      <c r="M44" s="256" t="str">
        <f>IF(D44="","",IF(N44="","REVISAR",IF(OR(N44&lt;EXPEDIENTE!$I$25,N44&gt;EXPEDIENTE!$I$29),"SI","NO")))</f>
        <v/>
      </c>
      <c r="N44" s="258" t="str">
        <f t="shared" ref="N44:N78" si="9">IF(D44="","",IF(L44&lt;&gt;"",L44,K44))</f>
        <v/>
      </c>
      <c r="O44" s="259">
        <f>IF(N44&lt;EXPEDIENTE!$I$25,-1,IF(N44&gt;EXPEDIENTE!$I$29,1,0))</f>
        <v>0</v>
      </c>
      <c r="P44" s="260" t="str">
        <f t="shared" ref="P44:P78" si="10">IF(D44="","",IF(OR(J44="",N44=""),"PDTE",IF(N44-J44&gt;30,"SI","NO")))</f>
        <v/>
      </c>
      <c r="Q44" s="255"/>
      <c r="R44" s="261"/>
      <c r="S44" s="262" t="str">
        <f>IF(OR(Q44="",R44=""),"",IF(Q44&gt;EXPEDIENTE!$I$27,"",MIN(DATE(YEAR(Q44),MONTH(Q44),DAY(Q44)+R44),EXPEDIENTE!$I$29)))</f>
        <v/>
      </c>
      <c r="T44" s="263" t="str">
        <f>IF(D44="","",IF(AND(P44="NO",Q44="",S44=""),"NO",IF(Q44&gt;EXPEDIENTE!$I$27,"ENTREGA FUERA PLAZO",IF(OR(Q44="",R44=""),"PDTE",IF(S44&lt;N44,"SI","NO")))))</f>
        <v/>
      </c>
      <c r="U44" s="264" t="str">
        <f>IF('RELACIÓN DE FACTURAS'!W48="","",'RELACIÓN DE FACTURAS'!W48)</f>
        <v/>
      </c>
      <c r="V44" s="265" t="str">
        <f>IF('RELACIÓN DE FACTURAS'!X48="","",'RELACIÓN DE FACTURAS'!X48)</f>
        <v/>
      </c>
      <c r="W44" s="266"/>
      <c r="X44" s="287" t="str">
        <f t="shared" ref="X44:X78" si="11">IF(D44="","",IF(AND(I44="NO",M44="NO",T44="NO",W44="NO"),"OK","NO OK"))</f>
        <v/>
      </c>
      <c r="Y44" s="267"/>
    </row>
    <row r="45" spans="2:25" ht="39.950000000000003" customHeight="1" x14ac:dyDescent="0.2">
      <c r="B45" s="122">
        <f>IF(Y45&lt;&gt;"",MAX($B$5:B44)+1,0)</f>
        <v>0</v>
      </c>
      <c r="C45" s="124">
        <v>41</v>
      </c>
      <c r="D45" s="251" t="str">
        <f>IF('RELACIÓN DE FACTURAS'!N49="","",'RELACIÓN DE FACTURAS'!N49)</f>
        <v/>
      </c>
      <c r="E45" s="252" t="str">
        <f>IF(D45="SEGUNDO PAGO O POSTERIORES",E44,IF('RELACIÓN DE FACTURAS'!O49="","",'RELACIÓN DE FACTURAS'!O49))</f>
        <v/>
      </c>
      <c r="F45" s="253" t="str">
        <f>IF(D45="SEGUNDO PAGO O POSTERIORES",F44,IF('RELACIÓN DE FACTURAS'!Q49="","",'RELACIÓN DE FACTURAS'!Q49))</f>
        <v/>
      </c>
      <c r="G45" s="254" t="str">
        <f>IF(D45="","",IF(AND(D45="NUEVA FACTURA",'RELACIÓN DE FACTURAS'!P49=""),"",IF(AND(D45="NUEVA FACTURA",'RELACIÓN DE FACTURAS'!P49&lt;&gt;""),'RELACIÓN DE FACTURAS'!P49,IF(D45="SEGUNDO PAGO O POSTERIORES",G44,""))))</f>
        <v/>
      </c>
      <c r="H45" s="255"/>
      <c r="I45" s="256" t="str">
        <f>IF(D45="","",IF(J45="","REVISAR",IF(OR(J45&lt;EXPEDIENTE!$I$25,J45&gt;EXPEDIENTE!$I$27),"SI","NO")))</f>
        <v/>
      </c>
      <c r="J45" s="257" t="str">
        <f t="shared" si="8"/>
        <v/>
      </c>
      <c r="K45" s="254" t="str">
        <f>IF(D45="","",IF('RELACIÓN DE FACTURAS'!AE49="","",'RELACIÓN DE FACTURAS'!AE49))</f>
        <v/>
      </c>
      <c r="L45" s="255"/>
      <c r="M45" s="256" t="str">
        <f>IF(D45="","",IF(N45="","REVISAR",IF(OR(N45&lt;EXPEDIENTE!$I$25,N45&gt;EXPEDIENTE!$I$29),"SI","NO")))</f>
        <v/>
      </c>
      <c r="N45" s="258" t="str">
        <f t="shared" si="9"/>
        <v/>
      </c>
      <c r="O45" s="259">
        <f>IF(N45&lt;EXPEDIENTE!$I$25,-1,IF(N45&gt;EXPEDIENTE!$I$29,1,0))</f>
        <v>0</v>
      </c>
      <c r="P45" s="260" t="str">
        <f t="shared" si="10"/>
        <v/>
      </c>
      <c r="Q45" s="255"/>
      <c r="R45" s="261"/>
      <c r="S45" s="262" t="str">
        <f>IF(OR(Q45="",R45=""),"",IF(Q45&gt;EXPEDIENTE!$I$27,"",MIN(DATE(YEAR(Q45),MONTH(Q45),DAY(Q45)+R45),EXPEDIENTE!$I$29)))</f>
        <v/>
      </c>
      <c r="T45" s="263" t="str">
        <f>IF(D45="","",IF(AND(P45="NO",Q45="",S45=""),"NO",IF(Q45&gt;EXPEDIENTE!$I$27,"ENTREGA FUERA PLAZO",IF(OR(Q45="",R45=""),"PDTE",IF(S45&lt;N45,"SI","NO")))))</f>
        <v/>
      </c>
      <c r="U45" s="264" t="str">
        <f>IF('RELACIÓN DE FACTURAS'!W49="","",'RELACIÓN DE FACTURAS'!W49)</f>
        <v/>
      </c>
      <c r="V45" s="265" t="str">
        <f>IF('RELACIÓN DE FACTURAS'!X49="","",'RELACIÓN DE FACTURAS'!X49)</f>
        <v/>
      </c>
      <c r="W45" s="266"/>
      <c r="X45" s="287" t="str">
        <f t="shared" si="11"/>
        <v/>
      </c>
      <c r="Y45" s="267"/>
    </row>
    <row r="46" spans="2:25" ht="39.950000000000003" customHeight="1" x14ac:dyDescent="0.2">
      <c r="B46" s="122">
        <f>IF(Y46&lt;&gt;"",MAX($B$5:B45)+1,0)</f>
        <v>0</v>
      </c>
      <c r="C46" s="124">
        <v>42</v>
      </c>
      <c r="D46" s="251" t="str">
        <f>IF('RELACIÓN DE FACTURAS'!N50="","",'RELACIÓN DE FACTURAS'!N50)</f>
        <v/>
      </c>
      <c r="E46" s="252" t="str">
        <f>IF(D46="SEGUNDO PAGO O POSTERIORES",E45,IF('RELACIÓN DE FACTURAS'!O50="","",'RELACIÓN DE FACTURAS'!O50))</f>
        <v/>
      </c>
      <c r="F46" s="253" t="str">
        <f>IF(D46="SEGUNDO PAGO O POSTERIORES",F45,IF('RELACIÓN DE FACTURAS'!Q50="","",'RELACIÓN DE FACTURAS'!Q50))</f>
        <v/>
      </c>
      <c r="G46" s="254" t="str">
        <f>IF(D46="","",IF(AND(D46="NUEVA FACTURA",'RELACIÓN DE FACTURAS'!P50=""),"",IF(AND(D46="NUEVA FACTURA",'RELACIÓN DE FACTURAS'!P50&lt;&gt;""),'RELACIÓN DE FACTURAS'!P50,IF(D46="SEGUNDO PAGO O POSTERIORES",G45,""))))</f>
        <v/>
      </c>
      <c r="H46" s="255"/>
      <c r="I46" s="256" t="str">
        <f>IF(D46="","",IF(J46="","REVISAR",IF(OR(J46&lt;EXPEDIENTE!$I$25,J46&gt;EXPEDIENTE!$I$27),"SI","NO")))</f>
        <v/>
      </c>
      <c r="J46" s="257" t="str">
        <f t="shared" si="8"/>
        <v/>
      </c>
      <c r="K46" s="254" t="str">
        <f>IF(D46="","",IF('RELACIÓN DE FACTURAS'!AE50="","",'RELACIÓN DE FACTURAS'!AE50))</f>
        <v/>
      </c>
      <c r="L46" s="255"/>
      <c r="M46" s="256" t="str">
        <f>IF(D46="","",IF(N46="","REVISAR",IF(OR(N46&lt;EXPEDIENTE!$I$25,N46&gt;EXPEDIENTE!$I$29),"SI","NO")))</f>
        <v/>
      </c>
      <c r="N46" s="258" t="str">
        <f t="shared" si="9"/>
        <v/>
      </c>
      <c r="O46" s="259">
        <f>IF(N46&lt;EXPEDIENTE!$I$25,-1,IF(N46&gt;EXPEDIENTE!$I$29,1,0))</f>
        <v>0</v>
      </c>
      <c r="P46" s="260" t="str">
        <f t="shared" si="10"/>
        <v/>
      </c>
      <c r="Q46" s="255"/>
      <c r="R46" s="261"/>
      <c r="S46" s="262" t="str">
        <f>IF(OR(Q46="",R46=""),"",IF(Q46&gt;EXPEDIENTE!$I$27,"",MIN(DATE(YEAR(Q46),MONTH(Q46),DAY(Q46)+R46),EXPEDIENTE!$I$29)))</f>
        <v/>
      </c>
      <c r="T46" s="263" t="str">
        <f>IF(D46="","",IF(AND(P46="NO",Q46="",S46=""),"NO",IF(Q46&gt;EXPEDIENTE!$I$27,"ENTREGA FUERA PLAZO",IF(OR(Q46="",R46=""),"PDTE",IF(S46&lt;N46,"SI","NO")))))</f>
        <v/>
      </c>
      <c r="U46" s="264" t="str">
        <f>IF('RELACIÓN DE FACTURAS'!W50="","",'RELACIÓN DE FACTURAS'!W50)</f>
        <v/>
      </c>
      <c r="V46" s="265" t="str">
        <f>IF('RELACIÓN DE FACTURAS'!X50="","",'RELACIÓN DE FACTURAS'!X50)</f>
        <v/>
      </c>
      <c r="W46" s="266"/>
      <c r="X46" s="287" t="str">
        <f t="shared" si="11"/>
        <v/>
      </c>
      <c r="Y46" s="267"/>
    </row>
    <row r="47" spans="2:25" ht="39.950000000000003" customHeight="1" x14ac:dyDescent="0.2">
      <c r="B47" s="122">
        <f>IF(Y47&lt;&gt;"",MAX($B$5:B46)+1,0)</f>
        <v>0</v>
      </c>
      <c r="C47" s="124">
        <v>43</v>
      </c>
      <c r="D47" s="251" t="str">
        <f>IF('RELACIÓN DE FACTURAS'!N51="","",'RELACIÓN DE FACTURAS'!N51)</f>
        <v/>
      </c>
      <c r="E47" s="252" t="str">
        <f>IF(D47="SEGUNDO PAGO O POSTERIORES",E46,IF('RELACIÓN DE FACTURAS'!O51="","",'RELACIÓN DE FACTURAS'!O51))</f>
        <v/>
      </c>
      <c r="F47" s="253" t="str">
        <f>IF(D47="SEGUNDO PAGO O POSTERIORES",F46,IF('RELACIÓN DE FACTURAS'!Q51="","",'RELACIÓN DE FACTURAS'!Q51))</f>
        <v/>
      </c>
      <c r="G47" s="254" t="str">
        <f>IF(D47="","",IF(AND(D47="NUEVA FACTURA",'RELACIÓN DE FACTURAS'!P51=""),"",IF(AND(D47="NUEVA FACTURA",'RELACIÓN DE FACTURAS'!P51&lt;&gt;""),'RELACIÓN DE FACTURAS'!P51,IF(D47="SEGUNDO PAGO O POSTERIORES",G46,""))))</f>
        <v/>
      </c>
      <c r="H47" s="255"/>
      <c r="I47" s="256" t="str">
        <f>IF(D47="","",IF(J47="","REVISAR",IF(OR(J47&lt;EXPEDIENTE!$I$25,J47&gt;EXPEDIENTE!$I$27),"SI","NO")))</f>
        <v/>
      </c>
      <c r="J47" s="257" t="str">
        <f t="shared" si="8"/>
        <v/>
      </c>
      <c r="K47" s="254" t="str">
        <f>IF(D47="","",IF('RELACIÓN DE FACTURAS'!AE51="","",'RELACIÓN DE FACTURAS'!AE51))</f>
        <v/>
      </c>
      <c r="L47" s="255"/>
      <c r="M47" s="256" t="str">
        <f>IF(D47="","",IF(N47="","REVISAR",IF(OR(N47&lt;EXPEDIENTE!$I$25,N47&gt;EXPEDIENTE!$I$29),"SI","NO")))</f>
        <v/>
      </c>
      <c r="N47" s="258" t="str">
        <f t="shared" si="9"/>
        <v/>
      </c>
      <c r="O47" s="259">
        <f>IF(N47&lt;EXPEDIENTE!$I$25,-1,IF(N47&gt;EXPEDIENTE!$I$29,1,0))</f>
        <v>0</v>
      </c>
      <c r="P47" s="260" t="str">
        <f t="shared" si="10"/>
        <v/>
      </c>
      <c r="Q47" s="255"/>
      <c r="R47" s="261"/>
      <c r="S47" s="262" t="str">
        <f>IF(OR(Q47="",R47=""),"",IF(Q47&gt;EXPEDIENTE!$I$27,"",MIN(DATE(YEAR(Q47),MONTH(Q47),DAY(Q47)+R47),EXPEDIENTE!$I$29)))</f>
        <v/>
      </c>
      <c r="T47" s="263" t="str">
        <f>IF(D47="","",IF(AND(P47="NO",Q47="",S47=""),"NO",IF(Q47&gt;EXPEDIENTE!$I$27,"ENTREGA FUERA PLAZO",IF(OR(Q47="",R47=""),"PDTE",IF(S47&lt;N47,"SI","NO")))))</f>
        <v/>
      </c>
      <c r="U47" s="264" t="str">
        <f>IF('RELACIÓN DE FACTURAS'!W51="","",'RELACIÓN DE FACTURAS'!W51)</f>
        <v/>
      </c>
      <c r="V47" s="265" t="str">
        <f>IF('RELACIÓN DE FACTURAS'!X51="","",'RELACIÓN DE FACTURAS'!X51)</f>
        <v/>
      </c>
      <c r="W47" s="266"/>
      <c r="X47" s="287" t="str">
        <f t="shared" si="11"/>
        <v/>
      </c>
      <c r="Y47" s="267"/>
    </row>
    <row r="48" spans="2:25" ht="39.950000000000003" customHeight="1" x14ac:dyDescent="0.2">
      <c r="B48" s="122">
        <f>IF(Y48&lt;&gt;"",MAX($B$5:B47)+1,0)</f>
        <v>0</v>
      </c>
      <c r="C48" s="124">
        <v>44</v>
      </c>
      <c r="D48" s="251" t="str">
        <f>IF('RELACIÓN DE FACTURAS'!N52="","",'RELACIÓN DE FACTURAS'!N52)</f>
        <v/>
      </c>
      <c r="E48" s="252" t="str">
        <f>IF(D48="SEGUNDO PAGO O POSTERIORES",E47,IF('RELACIÓN DE FACTURAS'!O52="","",'RELACIÓN DE FACTURAS'!O52))</f>
        <v/>
      </c>
      <c r="F48" s="253" t="str">
        <f>IF(D48="SEGUNDO PAGO O POSTERIORES",F47,IF('RELACIÓN DE FACTURAS'!Q52="","",'RELACIÓN DE FACTURAS'!Q52))</f>
        <v/>
      </c>
      <c r="G48" s="254" t="str">
        <f>IF(D48="","",IF(AND(D48="NUEVA FACTURA",'RELACIÓN DE FACTURAS'!P52=""),"",IF(AND(D48="NUEVA FACTURA",'RELACIÓN DE FACTURAS'!P52&lt;&gt;""),'RELACIÓN DE FACTURAS'!P52,IF(D48="SEGUNDO PAGO O POSTERIORES",G47,""))))</f>
        <v/>
      </c>
      <c r="H48" s="255"/>
      <c r="I48" s="256" t="str">
        <f>IF(D48="","",IF(J48="","REVISAR",IF(OR(J48&lt;EXPEDIENTE!$I$25,J48&gt;EXPEDIENTE!$I$27),"SI","NO")))</f>
        <v/>
      </c>
      <c r="J48" s="257" t="str">
        <f t="shared" si="8"/>
        <v/>
      </c>
      <c r="K48" s="254" t="str">
        <f>IF(D48="","",IF('RELACIÓN DE FACTURAS'!AE52="","",'RELACIÓN DE FACTURAS'!AE52))</f>
        <v/>
      </c>
      <c r="L48" s="255"/>
      <c r="M48" s="256" t="str">
        <f>IF(D48="","",IF(N48="","REVISAR",IF(OR(N48&lt;EXPEDIENTE!$I$25,N48&gt;EXPEDIENTE!$I$29),"SI","NO")))</f>
        <v/>
      </c>
      <c r="N48" s="258" t="str">
        <f t="shared" si="9"/>
        <v/>
      </c>
      <c r="O48" s="259">
        <f>IF(N48&lt;EXPEDIENTE!$I$25,-1,IF(N48&gt;EXPEDIENTE!$I$29,1,0))</f>
        <v>0</v>
      </c>
      <c r="P48" s="260" t="str">
        <f t="shared" si="10"/>
        <v/>
      </c>
      <c r="Q48" s="255"/>
      <c r="R48" s="261"/>
      <c r="S48" s="262" t="str">
        <f>IF(OR(Q48="",R48=""),"",IF(Q48&gt;EXPEDIENTE!$I$27,"",MIN(DATE(YEAR(Q48),MONTH(Q48),DAY(Q48)+R48),EXPEDIENTE!$I$29)))</f>
        <v/>
      </c>
      <c r="T48" s="263" t="str">
        <f>IF(D48="","",IF(AND(P48="NO",Q48="",S48=""),"NO",IF(Q48&gt;EXPEDIENTE!$I$27,"ENTREGA FUERA PLAZO",IF(OR(Q48="",R48=""),"PDTE",IF(S48&lt;N48,"SI","NO")))))</f>
        <v/>
      </c>
      <c r="U48" s="264" t="str">
        <f>IF('RELACIÓN DE FACTURAS'!W52="","",'RELACIÓN DE FACTURAS'!W52)</f>
        <v/>
      </c>
      <c r="V48" s="265" t="str">
        <f>IF('RELACIÓN DE FACTURAS'!X52="","",'RELACIÓN DE FACTURAS'!X52)</f>
        <v/>
      </c>
      <c r="W48" s="266"/>
      <c r="X48" s="287" t="str">
        <f t="shared" si="11"/>
        <v/>
      </c>
      <c r="Y48" s="267"/>
    </row>
    <row r="49" spans="2:25" ht="39.950000000000003" customHeight="1" x14ac:dyDescent="0.2">
      <c r="B49" s="122">
        <f>IF(Y49&lt;&gt;"",MAX($B$5:B48)+1,0)</f>
        <v>0</v>
      </c>
      <c r="C49" s="124">
        <v>45</v>
      </c>
      <c r="D49" s="251" t="str">
        <f>IF('RELACIÓN DE FACTURAS'!N53="","",'RELACIÓN DE FACTURAS'!N53)</f>
        <v/>
      </c>
      <c r="E49" s="252" t="str">
        <f>IF(D49="SEGUNDO PAGO O POSTERIORES",E48,IF('RELACIÓN DE FACTURAS'!O53="","",'RELACIÓN DE FACTURAS'!O53))</f>
        <v/>
      </c>
      <c r="F49" s="253" t="str">
        <f>IF(D49="SEGUNDO PAGO O POSTERIORES",F48,IF('RELACIÓN DE FACTURAS'!Q53="","",'RELACIÓN DE FACTURAS'!Q53))</f>
        <v/>
      </c>
      <c r="G49" s="254" t="str">
        <f>IF(D49="","",IF(AND(D49="NUEVA FACTURA",'RELACIÓN DE FACTURAS'!P53=""),"",IF(AND(D49="NUEVA FACTURA",'RELACIÓN DE FACTURAS'!P53&lt;&gt;""),'RELACIÓN DE FACTURAS'!P53,IF(D49="SEGUNDO PAGO O POSTERIORES",G48,""))))</f>
        <v/>
      </c>
      <c r="H49" s="255"/>
      <c r="I49" s="256" t="str">
        <f>IF(D49="","",IF(J49="","REVISAR",IF(OR(J49&lt;EXPEDIENTE!$I$25,J49&gt;EXPEDIENTE!$I$27),"SI","NO")))</f>
        <v/>
      </c>
      <c r="J49" s="257" t="str">
        <f t="shared" si="8"/>
        <v/>
      </c>
      <c r="K49" s="254" t="str">
        <f>IF(D49="","",IF('RELACIÓN DE FACTURAS'!AE53="","",'RELACIÓN DE FACTURAS'!AE53))</f>
        <v/>
      </c>
      <c r="L49" s="255"/>
      <c r="M49" s="256" t="str">
        <f>IF(D49="","",IF(N49="","REVISAR",IF(OR(N49&lt;EXPEDIENTE!$I$25,N49&gt;EXPEDIENTE!$I$29),"SI","NO")))</f>
        <v/>
      </c>
      <c r="N49" s="258" t="str">
        <f t="shared" si="9"/>
        <v/>
      </c>
      <c r="O49" s="259">
        <f>IF(N49&lt;EXPEDIENTE!$I$25,-1,IF(N49&gt;EXPEDIENTE!$I$29,1,0))</f>
        <v>0</v>
      </c>
      <c r="P49" s="260" t="str">
        <f t="shared" si="10"/>
        <v/>
      </c>
      <c r="Q49" s="255"/>
      <c r="R49" s="261"/>
      <c r="S49" s="262" t="str">
        <f>IF(OR(Q49="",R49=""),"",IF(Q49&gt;EXPEDIENTE!$I$27,"",MIN(DATE(YEAR(Q49),MONTH(Q49),DAY(Q49)+R49),EXPEDIENTE!$I$29)))</f>
        <v/>
      </c>
      <c r="T49" s="263" t="str">
        <f>IF(D49="","",IF(AND(P49="NO",Q49="",S49=""),"NO",IF(Q49&gt;EXPEDIENTE!$I$27,"ENTREGA FUERA PLAZO",IF(OR(Q49="",R49=""),"PDTE",IF(S49&lt;N49,"SI","NO")))))</f>
        <v/>
      </c>
      <c r="U49" s="264" t="str">
        <f>IF('RELACIÓN DE FACTURAS'!W53="","",'RELACIÓN DE FACTURAS'!W53)</f>
        <v/>
      </c>
      <c r="V49" s="265" t="str">
        <f>IF('RELACIÓN DE FACTURAS'!X53="","",'RELACIÓN DE FACTURAS'!X53)</f>
        <v/>
      </c>
      <c r="W49" s="266"/>
      <c r="X49" s="287" t="str">
        <f t="shared" si="11"/>
        <v/>
      </c>
      <c r="Y49" s="267"/>
    </row>
    <row r="50" spans="2:25" ht="39.950000000000003" customHeight="1" x14ac:dyDescent="0.2">
      <c r="B50" s="122">
        <f>IF(Y50&lt;&gt;"",MAX($B$5:B49)+1,0)</f>
        <v>0</v>
      </c>
      <c r="C50" s="124">
        <v>46</v>
      </c>
      <c r="D50" s="251" t="str">
        <f>IF('RELACIÓN DE FACTURAS'!N54="","",'RELACIÓN DE FACTURAS'!N54)</f>
        <v/>
      </c>
      <c r="E50" s="252" t="str">
        <f>IF(D50="SEGUNDO PAGO O POSTERIORES",E49,IF('RELACIÓN DE FACTURAS'!O54="","",'RELACIÓN DE FACTURAS'!O54))</f>
        <v/>
      </c>
      <c r="F50" s="253" t="str">
        <f>IF(D50="SEGUNDO PAGO O POSTERIORES",F49,IF('RELACIÓN DE FACTURAS'!Q54="","",'RELACIÓN DE FACTURAS'!Q54))</f>
        <v/>
      </c>
      <c r="G50" s="254" t="str">
        <f>IF(D50="","",IF(AND(D50="NUEVA FACTURA",'RELACIÓN DE FACTURAS'!P54=""),"",IF(AND(D50="NUEVA FACTURA",'RELACIÓN DE FACTURAS'!P54&lt;&gt;""),'RELACIÓN DE FACTURAS'!P54,IF(D50="SEGUNDO PAGO O POSTERIORES",G49,""))))</f>
        <v/>
      </c>
      <c r="H50" s="255"/>
      <c r="I50" s="256" t="str">
        <f>IF(D50="","",IF(J50="","REVISAR",IF(OR(J50&lt;EXPEDIENTE!$I$25,J50&gt;EXPEDIENTE!$I$27),"SI","NO")))</f>
        <v/>
      </c>
      <c r="J50" s="257" t="str">
        <f t="shared" si="8"/>
        <v/>
      </c>
      <c r="K50" s="254" t="str">
        <f>IF(D50="","",IF('RELACIÓN DE FACTURAS'!AE54="","",'RELACIÓN DE FACTURAS'!AE54))</f>
        <v/>
      </c>
      <c r="L50" s="255"/>
      <c r="M50" s="256" t="str">
        <f>IF(D50="","",IF(N50="","REVISAR",IF(OR(N50&lt;EXPEDIENTE!$I$25,N50&gt;EXPEDIENTE!$I$29),"SI","NO")))</f>
        <v/>
      </c>
      <c r="N50" s="258" t="str">
        <f t="shared" si="9"/>
        <v/>
      </c>
      <c r="O50" s="259">
        <f>IF(N50&lt;EXPEDIENTE!$I$25,-1,IF(N50&gt;EXPEDIENTE!$I$29,1,0))</f>
        <v>0</v>
      </c>
      <c r="P50" s="260" t="str">
        <f t="shared" si="10"/>
        <v/>
      </c>
      <c r="Q50" s="255"/>
      <c r="R50" s="261"/>
      <c r="S50" s="262" t="str">
        <f>IF(OR(Q50="",R50=""),"",IF(Q50&gt;EXPEDIENTE!$I$27,"",MIN(DATE(YEAR(Q50),MONTH(Q50),DAY(Q50)+R50),EXPEDIENTE!$I$29)))</f>
        <v/>
      </c>
      <c r="T50" s="263" t="str">
        <f>IF(D50="","",IF(AND(P50="NO",Q50="",S50=""),"NO",IF(Q50&gt;EXPEDIENTE!$I$27,"ENTREGA FUERA PLAZO",IF(OR(Q50="",R50=""),"PDTE",IF(S50&lt;N50,"SI","NO")))))</f>
        <v/>
      </c>
      <c r="U50" s="264" t="str">
        <f>IF('RELACIÓN DE FACTURAS'!W54="","",'RELACIÓN DE FACTURAS'!W54)</f>
        <v/>
      </c>
      <c r="V50" s="265" t="str">
        <f>IF('RELACIÓN DE FACTURAS'!X54="","",'RELACIÓN DE FACTURAS'!X54)</f>
        <v/>
      </c>
      <c r="W50" s="266"/>
      <c r="X50" s="287" t="str">
        <f t="shared" si="11"/>
        <v/>
      </c>
      <c r="Y50" s="267"/>
    </row>
    <row r="51" spans="2:25" ht="39.950000000000003" customHeight="1" x14ac:dyDescent="0.2">
      <c r="B51" s="122">
        <f>IF(Y51&lt;&gt;"",MAX($B$5:B50)+1,0)</f>
        <v>0</v>
      </c>
      <c r="C51" s="124">
        <v>47</v>
      </c>
      <c r="D51" s="251" t="str">
        <f>IF('RELACIÓN DE FACTURAS'!N55="","",'RELACIÓN DE FACTURAS'!N55)</f>
        <v/>
      </c>
      <c r="E51" s="252" t="str">
        <f>IF(D51="SEGUNDO PAGO O POSTERIORES",E50,IF('RELACIÓN DE FACTURAS'!O55="","",'RELACIÓN DE FACTURAS'!O55))</f>
        <v/>
      </c>
      <c r="F51" s="253" t="str">
        <f>IF(D51="SEGUNDO PAGO O POSTERIORES",F50,IF('RELACIÓN DE FACTURAS'!Q55="","",'RELACIÓN DE FACTURAS'!Q55))</f>
        <v/>
      </c>
      <c r="G51" s="254" t="str">
        <f>IF(D51="","",IF(AND(D51="NUEVA FACTURA",'RELACIÓN DE FACTURAS'!P55=""),"",IF(AND(D51="NUEVA FACTURA",'RELACIÓN DE FACTURAS'!P55&lt;&gt;""),'RELACIÓN DE FACTURAS'!P55,IF(D51="SEGUNDO PAGO O POSTERIORES",G50,""))))</f>
        <v/>
      </c>
      <c r="H51" s="255"/>
      <c r="I51" s="256" t="str">
        <f>IF(D51="","",IF(J51="","REVISAR",IF(OR(J51&lt;EXPEDIENTE!$I$25,J51&gt;EXPEDIENTE!$I$27),"SI","NO")))</f>
        <v/>
      </c>
      <c r="J51" s="257" t="str">
        <f t="shared" si="8"/>
        <v/>
      </c>
      <c r="K51" s="254" t="str">
        <f>IF(D51="","",IF('RELACIÓN DE FACTURAS'!AE55="","",'RELACIÓN DE FACTURAS'!AE55))</f>
        <v/>
      </c>
      <c r="L51" s="255"/>
      <c r="M51" s="256" t="str">
        <f>IF(D51="","",IF(N51="","REVISAR",IF(OR(N51&lt;EXPEDIENTE!$I$25,N51&gt;EXPEDIENTE!$I$29),"SI","NO")))</f>
        <v/>
      </c>
      <c r="N51" s="258" t="str">
        <f t="shared" si="9"/>
        <v/>
      </c>
      <c r="O51" s="259">
        <f>IF(N51&lt;EXPEDIENTE!$I$25,-1,IF(N51&gt;EXPEDIENTE!$I$29,1,0))</f>
        <v>0</v>
      </c>
      <c r="P51" s="260" t="str">
        <f t="shared" si="10"/>
        <v/>
      </c>
      <c r="Q51" s="255"/>
      <c r="R51" s="261"/>
      <c r="S51" s="262" t="str">
        <f>IF(OR(Q51="",R51=""),"",IF(Q51&gt;EXPEDIENTE!$I$27,"",MIN(DATE(YEAR(Q51),MONTH(Q51),DAY(Q51)+R51),EXPEDIENTE!$I$29)))</f>
        <v/>
      </c>
      <c r="T51" s="263" t="str">
        <f>IF(D51="","",IF(AND(P51="NO",Q51="",S51=""),"NO",IF(Q51&gt;EXPEDIENTE!$I$27,"ENTREGA FUERA PLAZO",IF(OR(Q51="",R51=""),"PDTE",IF(S51&lt;N51,"SI","NO")))))</f>
        <v/>
      </c>
      <c r="U51" s="264" t="str">
        <f>IF('RELACIÓN DE FACTURAS'!W55="","",'RELACIÓN DE FACTURAS'!W55)</f>
        <v/>
      </c>
      <c r="V51" s="265" t="str">
        <f>IF('RELACIÓN DE FACTURAS'!X55="","",'RELACIÓN DE FACTURAS'!X55)</f>
        <v/>
      </c>
      <c r="W51" s="266"/>
      <c r="X51" s="287" t="str">
        <f t="shared" si="11"/>
        <v/>
      </c>
      <c r="Y51" s="267"/>
    </row>
    <row r="52" spans="2:25" ht="39.950000000000003" customHeight="1" x14ac:dyDescent="0.2">
      <c r="B52" s="122">
        <f>IF(Y52&lt;&gt;"",MAX($B$5:B51)+1,0)</f>
        <v>0</v>
      </c>
      <c r="C52" s="124">
        <v>48</v>
      </c>
      <c r="D52" s="251" t="str">
        <f>IF('RELACIÓN DE FACTURAS'!N56="","",'RELACIÓN DE FACTURAS'!N56)</f>
        <v/>
      </c>
      <c r="E52" s="252" t="str">
        <f>IF(D52="SEGUNDO PAGO O POSTERIORES",E51,IF('RELACIÓN DE FACTURAS'!O56="","",'RELACIÓN DE FACTURAS'!O56))</f>
        <v/>
      </c>
      <c r="F52" s="253" t="str">
        <f>IF(D52="SEGUNDO PAGO O POSTERIORES",F51,IF('RELACIÓN DE FACTURAS'!Q56="","",'RELACIÓN DE FACTURAS'!Q56))</f>
        <v/>
      </c>
      <c r="G52" s="254" t="str">
        <f>IF(D52="","",IF(AND(D52="NUEVA FACTURA",'RELACIÓN DE FACTURAS'!P56=""),"",IF(AND(D52="NUEVA FACTURA",'RELACIÓN DE FACTURAS'!P56&lt;&gt;""),'RELACIÓN DE FACTURAS'!P56,IF(D52="SEGUNDO PAGO O POSTERIORES",G51,""))))</f>
        <v/>
      </c>
      <c r="H52" s="255"/>
      <c r="I52" s="256" t="str">
        <f>IF(D52="","",IF(J52="","REVISAR",IF(OR(J52&lt;EXPEDIENTE!$I$25,J52&gt;EXPEDIENTE!$I$27),"SI","NO")))</f>
        <v/>
      </c>
      <c r="J52" s="257" t="str">
        <f t="shared" si="8"/>
        <v/>
      </c>
      <c r="K52" s="254" t="str">
        <f>IF(D52="","",IF('RELACIÓN DE FACTURAS'!AE56="","",'RELACIÓN DE FACTURAS'!AE56))</f>
        <v/>
      </c>
      <c r="L52" s="255"/>
      <c r="M52" s="256" t="str">
        <f>IF(D52="","",IF(N52="","REVISAR",IF(OR(N52&lt;EXPEDIENTE!$I$25,N52&gt;EXPEDIENTE!$I$29),"SI","NO")))</f>
        <v/>
      </c>
      <c r="N52" s="258" t="str">
        <f t="shared" si="9"/>
        <v/>
      </c>
      <c r="O52" s="259">
        <f>IF(N52&lt;EXPEDIENTE!$I$25,-1,IF(N52&gt;EXPEDIENTE!$I$29,1,0))</f>
        <v>0</v>
      </c>
      <c r="P52" s="260" t="str">
        <f t="shared" si="10"/>
        <v/>
      </c>
      <c r="Q52" s="255"/>
      <c r="R52" s="261"/>
      <c r="S52" s="262" t="str">
        <f>IF(OR(Q52="",R52=""),"",IF(Q52&gt;EXPEDIENTE!$I$27,"",MIN(DATE(YEAR(Q52),MONTH(Q52),DAY(Q52)+R52),EXPEDIENTE!$I$29)))</f>
        <v/>
      </c>
      <c r="T52" s="263" t="str">
        <f>IF(D52="","",IF(AND(P52="NO",Q52="",S52=""),"NO",IF(Q52&gt;EXPEDIENTE!$I$27,"ENTREGA FUERA PLAZO",IF(OR(Q52="",R52=""),"PDTE",IF(S52&lt;N52,"SI","NO")))))</f>
        <v/>
      </c>
      <c r="U52" s="264" t="str">
        <f>IF('RELACIÓN DE FACTURAS'!W56="","",'RELACIÓN DE FACTURAS'!W56)</f>
        <v/>
      </c>
      <c r="V52" s="265" t="str">
        <f>IF('RELACIÓN DE FACTURAS'!X56="","",'RELACIÓN DE FACTURAS'!X56)</f>
        <v/>
      </c>
      <c r="W52" s="266"/>
      <c r="X52" s="287" t="str">
        <f t="shared" si="11"/>
        <v/>
      </c>
      <c r="Y52" s="267"/>
    </row>
    <row r="53" spans="2:25" ht="39.950000000000003" customHeight="1" x14ac:dyDescent="0.2">
      <c r="B53" s="122">
        <f>IF(Y53&lt;&gt;"",MAX($B$5:B52)+1,0)</f>
        <v>0</v>
      </c>
      <c r="C53" s="124">
        <v>49</v>
      </c>
      <c r="D53" s="251" t="str">
        <f>IF('RELACIÓN DE FACTURAS'!N57="","",'RELACIÓN DE FACTURAS'!N57)</f>
        <v/>
      </c>
      <c r="E53" s="252" t="str">
        <f>IF(D53="SEGUNDO PAGO O POSTERIORES",E52,IF('RELACIÓN DE FACTURAS'!O57="","",'RELACIÓN DE FACTURAS'!O57))</f>
        <v/>
      </c>
      <c r="F53" s="253" t="str">
        <f>IF(D53="SEGUNDO PAGO O POSTERIORES",F52,IF('RELACIÓN DE FACTURAS'!Q57="","",'RELACIÓN DE FACTURAS'!Q57))</f>
        <v/>
      </c>
      <c r="G53" s="254" t="str">
        <f>IF(D53="","",IF(AND(D53="NUEVA FACTURA",'RELACIÓN DE FACTURAS'!P57=""),"",IF(AND(D53="NUEVA FACTURA",'RELACIÓN DE FACTURAS'!P57&lt;&gt;""),'RELACIÓN DE FACTURAS'!P57,IF(D53="SEGUNDO PAGO O POSTERIORES",G52,""))))</f>
        <v/>
      </c>
      <c r="H53" s="255"/>
      <c r="I53" s="256" t="str">
        <f>IF(D53="","",IF(J53="","REVISAR",IF(OR(J53&lt;EXPEDIENTE!$I$25,J53&gt;EXPEDIENTE!$I$27),"SI","NO")))</f>
        <v/>
      </c>
      <c r="J53" s="257" t="str">
        <f t="shared" si="8"/>
        <v/>
      </c>
      <c r="K53" s="254" t="str">
        <f>IF(D53="","",IF('RELACIÓN DE FACTURAS'!AE57="","",'RELACIÓN DE FACTURAS'!AE57))</f>
        <v/>
      </c>
      <c r="L53" s="255"/>
      <c r="M53" s="256" t="str">
        <f>IF(D53="","",IF(N53="","REVISAR",IF(OR(N53&lt;EXPEDIENTE!$I$25,N53&gt;EXPEDIENTE!$I$29),"SI","NO")))</f>
        <v/>
      </c>
      <c r="N53" s="258" t="str">
        <f t="shared" si="9"/>
        <v/>
      </c>
      <c r="O53" s="259">
        <f>IF(N53&lt;EXPEDIENTE!$I$25,-1,IF(N53&gt;EXPEDIENTE!$I$29,1,0))</f>
        <v>0</v>
      </c>
      <c r="P53" s="260" t="str">
        <f t="shared" si="10"/>
        <v/>
      </c>
      <c r="Q53" s="255"/>
      <c r="R53" s="261"/>
      <c r="S53" s="262" t="str">
        <f>IF(OR(Q53="",R53=""),"",IF(Q53&gt;EXPEDIENTE!$I$27,"",MIN(DATE(YEAR(Q53),MONTH(Q53),DAY(Q53)+R53),EXPEDIENTE!$I$29)))</f>
        <v/>
      </c>
      <c r="T53" s="263" t="str">
        <f>IF(D53="","",IF(AND(P53="NO",Q53="",S53=""),"NO",IF(Q53&gt;EXPEDIENTE!$I$27,"ENTREGA FUERA PLAZO",IF(OR(Q53="",R53=""),"PDTE",IF(S53&lt;N53,"SI","NO")))))</f>
        <v/>
      </c>
      <c r="U53" s="264" t="str">
        <f>IF('RELACIÓN DE FACTURAS'!W57="","",'RELACIÓN DE FACTURAS'!W57)</f>
        <v/>
      </c>
      <c r="V53" s="265" t="str">
        <f>IF('RELACIÓN DE FACTURAS'!X57="","",'RELACIÓN DE FACTURAS'!X57)</f>
        <v/>
      </c>
      <c r="W53" s="266"/>
      <c r="X53" s="287" t="str">
        <f t="shared" si="11"/>
        <v/>
      </c>
      <c r="Y53" s="267"/>
    </row>
    <row r="54" spans="2:25" ht="39.950000000000003" customHeight="1" x14ac:dyDescent="0.2">
      <c r="B54" s="122">
        <f>IF(Y54&lt;&gt;"",MAX($B$5:B53)+1,0)</f>
        <v>0</v>
      </c>
      <c r="C54" s="124">
        <v>50</v>
      </c>
      <c r="D54" s="251" t="str">
        <f>IF('RELACIÓN DE FACTURAS'!N58="","",'RELACIÓN DE FACTURAS'!N58)</f>
        <v/>
      </c>
      <c r="E54" s="252" t="str">
        <f>IF(D54="SEGUNDO PAGO O POSTERIORES",E53,IF('RELACIÓN DE FACTURAS'!O58="","",'RELACIÓN DE FACTURAS'!O58))</f>
        <v/>
      </c>
      <c r="F54" s="253" t="str">
        <f>IF(D54="SEGUNDO PAGO O POSTERIORES",F53,IF('RELACIÓN DE FACTURAS'!Q58="","",'RELACIÓN DE FACTURAS'!Q58))</f>
        <v/>
      </c>
      <c r="G54" s="254" t="str">
        <f>IF(D54="","",IF(AND(D54="NUEVA FACTURA",'RELACIÓN DE FACTURAS'!P58=""),"",IF(AND(D54="NUEVA FACTURA",'RELACIÓN DE FACTURAS'!P58&lt;&gt;""),'RELACIÓN DE FACTURAS'!P58,IF(D54="SEGUNDO PAGO O POSTERIORES",G53,""))))</f>
        <v/>
      </c>
      <c r="H54" s="255"/>
      <c r="I54" s="256" t="str">
        <f>IF(D54="","",IF(J54="","REVISAR",IF(OR(J54&lt;EXPEDIENTE!$I$25,J54&gt;EXPEDIENTE!$I$27),"SI","NO")))</f>
        <v/>
      </c>
      <c r="J54" s="257" t="str">
        <f t="shared" si="8"/>
        <v/>
      </c>
      <c r="K54" s="254" t="str">
        <f>IF(D54="","",IF('RELACIÓN DE FACTURAS'!AE58="","",'RELACIÓN DE FACTURAS'!AE58))</f>
        <v/>
      </c>
      <c r="L54" s="255"/>
      <c r="M54" s="256" t="str">
        <f>IF(D54="","",IF(N54="","REVISAR",IF(OR(N54&lt;EXPEDIENTE!$I$25,N54&gt;EXPEDIENTE!$I$29),"SI","NO")))</f>
        <v/>
      </c>
      <c r="N54" s="258" t="str">
        <f t="shared" si="9"/>
        <v/>
      </c>
      <c r="O54" s="259">
        <f>IF(N54&lt;EXPEDIENTE!$I$25,-1,IF(N54&gt;EXPEDIENTE!$I$29,1,0))</f>
        <v>0</v>
      </c>
      <c r="P54" s="260" t="str">
        <f t="shared" si="10"/>
        <v/>
      </c>
      <c r="Q54" s="255"/>
      <c r="R54" s="261"/>
      <c r="S54" s="262" t="str">
        <f>IF(OR(Q54="",R54=""),"",IF(Q54&gt;EXPEDIENTE!$I$27,"",MIN(DATE(YEAR(Q54),MONTH(Q54),DAY(Q54)+R54),EXPEDIENTE!$I$29)))</f>
        <v/>
      </c>
      <c r="T54" s="263" t="str">
        <f>IF(D54="","",IF(AND(P54="NO",Q54="",S54=""),"NO",IF(Q54&gt;EXPEDIENTE!$I$27,"ENTREGA FUERA PLAZO",IF(OR(Q54="",R54=""),"PDTE",IF(S54&lt;N54,"SI","NO")))))</f>
        <v/>
      </c>
      <c r="U54" s="264" t="str">
        <f>IF('RELACIÓN DE FACTURAS'!W58="","",'RELACIÓN DE FACTURAS'!W58)</f>
        <v/>
      </c>
      <c r="V54" s="265" t="str">
        <f>IF('RELACIÓN DE FACTURAS'!X58="","",'RELACIÓN DE FACTURAS'!X58)</f>
        <v/>
      </c>
      <c r="W54" s="266"/>
      <c r="X54" s="287" t="str">
        <f t="shared" si="11"/>
        <v/>
      </c>
      <c r="Y54" s="267"/>
    </row>
    <row r="55" spans="2:25" ht="39.950000000000003" customHeight="1" x14ac:dyDescent="0.2">
      <c r="B55" s="122">
        <f>IF(Y55&lt;&gt;"",MAX($B$5:B54)+1,0)</f>
        <v>0</v>
      </c>
      <c r="C55" s="124">
        <v>51</v>
      </c>
      <c r="D55" s="251" t="str">
        <f>IF('RELACIÓN DE FACTURAS'!N59="","",'RELACIÓN DE FACTURAS'!N59)</f>
        <v/>
      </c>
      <c r="E55" s="252" t="str">
        <f>IF(D55="SEGUNDO PAGO O POSTERIORES",E54,IF('RELACIÓN DE FACTURAS'!O59="","",'RELACIÓN DE FACTURAS'!O59))</f>
        <v/>
      </c>
      <c r="F55" s="253" t="str">
        <f>IF(D55="SEGUNDO PAGO O POSTERIORES",F54,IF('RELACIÓN DE FACTURAS'!Q59="","",'RELACIÓN DE FACTURAS'!Q59))</f>
        <v/>
      </c>
      <c r="G55" s="254" t="str">
        <f>IF(D55="","",IF(AND(D55="NUEVA FACTURA",'RELACIÓN DE FACTURAS'!P59=""),"",IF(AND(D55="NUEVA FACTURA",'RELACIÓN DE FACTURAS'!P59&lt;&gt;""),'RELACIÓN DE FACTURAS'!P59,IF(D55="SEGUNDO PAGO O POSTERIORES",G54,""))))</f>
        <v/>
      </c>
      <c r="H55" s="255"/>
      <c r="I55" s="256" t="str">
        <f>IF(D55="","",IF(J55="","REVISAR",IF(OR(J55&lt;EXPEDIENTE!$I$25,J55&gt;EXPEDIENTE!$I$27),"SI","NO")))</f>
        <v/>
      </c>
      <c r="J55" s="257" t="str">
        <f t="shared" si="8"/>
        <v/>
      </c>
      <c r="K55" s="254" t="str">
        <f>IF(D55="","",IF('RELACIÓN DE FACTURAS'!AE59="","",'RELACIÓN DE FACTURAS'!AE59))</f>
        <v/>
      </c>
      <c r="L55" s="255"/>
      <c r="M55" s="256" t="str">
        <f>IF(D55="","",IF(N55="","REVISAR",IF(OR(N55&lt;EXPEDIENTE!$I$25,N55&gt;EXPEDIENTE!$I$29),"SI","NO")))</f>
        <v/>
      </c>
      <c r="N55" s="258" t="str">
        <f t="shared" si="9"/>
        <v/>
      </c>
      <c r="O55" s="259">
        <f>IF(N55&lt;EXPEDIENTE!$I$25,-1,IF(N55&gt;EXPEDIENTE!$I$29,1,0))</f>
        <v>0</v>
      </c>
      <c r="P55" s="260" t="str">
        <f t="shared" si="10"/>
        <v/>
      </c>
      <c r="Q55" s="255"/>
      <c r="R55" s="261"/>
      <c r="S55" s="262" t="str">
        <f>IF(OR(Q55="",R55=""),"",IF(Q55&gt;EXPEDIENTE!$I$27,"",MIN(DATE(YEAR(Q55),MONTH(Q55),DAY(Q55)+R55),EXPEDIENTE!$I$29)))</f>
        <v/>
      </c>
      <c r="T55" s="263" t="str">
        <f>IF(D55="","",IF(AND(P55="NO",Q55="",S55=""),"NO",IF(Q55&gt;EXPEDIENTE!$I$27,"ENTREGA FUERA PLAZO",IF(OR(Q55="",R55=""),"PDTE",IF(S55&lt;N55,"SI","NO")))))</f>
        <v/>
      </c>
      <c r="U55" s="264" t="str">
        <f>IF('RELACIÓN DE FACTURAS'!W59="","",'RELACIÓN DE FACTURAS'!W59)</f>
        <v/>
      </c>
      <c r="V55" s="265" t="str">
        <f>IF('RELACIÓN DE FACTURAS'!X59="","",'RELACIÓN DE FACTURAS'!X59)</f>
        <v/>
      </c>
      <c r="W55" s="266"/>
      <c r="X55" s="287" t="str">
        <f t="shared" si="11"/>
        <v/>
      </c>
      <c r="Y55" s="267"/>
    </row>
    <row r="56" spans="2:25" ht="39.950000000000003" customHeight="1" x14ac:dyDescent="0.2">
      <c r="B56" s="122">
        <f>IF(Y56&lt;&gt;"",MAX($B$5:B55)+1,0)</f>
        <v>0</v>
      </c>
      <c r="C56" s="124">
        <v>52</v>
      </c>
      <c r="D56" s="251" t="str">
        <f>IF('RELACIÓN DE FACTURAS'!N60="","",'RELACIÓN DE FACTURAS'!N60)</f>
        <v/>
      </c>
      <c r="E56" s="252" t="str">
        <f>IF(D56="SEGUNDO PAGO O POSTERIORES",E55,IF('RELACIÓN DE FACTURAS'!O60="","",'RELACIÓN DE FACTURAS'!O60))</f>
        <v/>
      </c>
      <c r="F56" s="253" t="str">
        <f>IF(D56="SEGUNDO PAGO O POSTERIORES",F55,IF('RELACIÓN DE FACTURAS'!Q60="","",'RELACIÓN DE FACTURAS'!Q60))</f>
        <v/>
      </c>
      <c r="G56" s="254" t="str">
        <f>IF(D56="","",IF(AND(D56="NUEVA FACTURA",'RELACIÓN DE FACTURAS'!P60=""),"",IF(AND(D56="NUEVA FACTURA",'RELACIÓN DE FACTURAS'!P60&lt;&gt;""),'RELACIÓN DE FACTURAS'!P60,IF(D56="SEGUNDO PAGO O POSTERIORES",G55,""))))</f>
        <v/>
      </c>
      <c r="H56" s="255"/>
      <c r="I56" s="256" t="str">
        <f>IF(D56="","",IF(J56="","REVISAR",IF(OR(J56&lt;EXPEDIENTE!$I$25,J56&gt;EXPEDIENTE!$I$27),"SI","NO")))</f>
        <v/>
      </c>
      <c r="J56" s="257" t="str">
        <f t="shared" si="8"/>
        <v/>
      </c>
      <c r="K56" s="254" t="str">
        <f>IF(D56="","",IF('RELACIÓN DE FACTURAS'!AE60="","",'RELACIÓN DE FACTURAS'!AE60))</f>
        <v/>
      </c>
      <c r="L56" s="255"/>
      <c r="M56" s="256" t="str">
        <f>IF(D56="","",IF(N56="","REVISAR",IF(OR(N56&lt;EXPEDIENTE!$I$25,N56&gt;EXPEDIENTE!$I$29),"SI","NO")))</f>
        <v/>
      </c>
      <c r="N56" s="258" t="str">
        <f t="shared" si="9"/>
        <v/>
      </c>
      <c r="O56" s="259">
        <f>IF(N56&lt;EXPEDIENTE!$I$25,-1,IF(N56&gt;EXPEDIENTE!$I$29,1,0))</f>
        <v>0</v>
      </c>
      <c r="P56" s="260" t="str">
        <f t="shared" si="10"/>
        <v/>
      </c>
      <c r="Q56" s="255"/>
      <c r="R56" s="261"/>
      <c r="S56" s="262" t="str">
        <f>IF(OR(Q56="",R56=""),"",IF(Q56&gt;EXPEDIENTE!$I$27,"",MIN(DATE(YEAR(Q56),MONTH(Q56),DAY(Q56)+R56),EXPEDIENTE!$I$29)))</f>
        <v/>
      </c>
      <c r="T56" s="263" t="str">
        <f>IF(D56="","",IF(AND(P56="NO",Q56="",S56=""),"NO",IF(Q56&gt;EXPEDIENTE!$I$27,"ENTREGA FUERA PLAZO",IF(OR(Q56="",R56=""),"PDTE",IF(S56&lt;N56,"SI","NO")))))</f>
        <v/>
      </c>
      <c r="U56" s="264" t="str">
        <f>IF('RELACIÓN DE FACTURAS'!W60="","",'RELACIÓN DE FACTURAS'!W60)</f>
        <v/>
      </c>
      <c r="V56" s="265" t="str">
        <f>IF('RELACIÓN DE FACTURAS'!X60="","",'RELACIÓN DE FACTURAS'!X60)</f>
        <v/>
      </c>
      <c r="W56" s="266"/>
      <c r="X56" s="287" t="str">
        <f t="shared" si="11"/>
        <v/>
      </c>
      <c r="Y56" s="267"/>
    </row>
    <row r="57" spans="2:25" ht="39.950000000000003" customHeight="1" x14ac:dyDescent="0.2">
      <c r="B57" s="122">
        <f>IF(Y57&lt;&gt;"",MAX($B$5:B56)+1,0)</f>
        <v>0</v>
      </c>
      <c r="C57" s="124">
        <v>53</v>
      </c>
      <c r="D57" s="251" t="str">
        <f>IF('RELACIÓN DE FACTURAS'!N61="","",'RELACIÓN DE FACTURAS'!N61)</f>
        <v/>
      </c>
      <c r="E57" s="252" t="str">
        <f>IF(D57="SEGUNDO PAGO O POSTERIORES",E56,IF('RELACIÓN DE FACTURAS'!O61="","",'RELACIÓN DE FACTURAS'!O61))</f>
        <v/>
      </c>
      <c r="F57" s="253" t="str">
        <f>IF(D57="SEGUNDO PAGO O POSTERIORES",F56,IF('RELACIÓN DE FACTURAS'!Q61="","",'RELACIÓN DE FACTURAS'!Q61))</f>
        <v/>
      </c>
      <c r="G57" s="254" t="str">
        <f>IF(D57="","",IF(AND(D57="NUEVA FACTURA",'RELACIÓN DE FACTURAS'!P61=""),"",IF(AND(D57="NUEVA FACTURA",'RELACIÓN DE FACTURAS'!P61&lt;&gt;""),'RELACIÓN DE FACTURAS'!P61,IF(D57="SEGUNDO PAGO O POSTERIORES",G56,""))))</f>
        <v/>
      </c>
      <c r="H57" s="255"/>
      <c r="I57" s="256" t="str">
        <f>IF(D57="","",IF(J57="","REVISAR",IF(OR(J57&lt;EXPEDIENTE!$I$25,J57&gt;EXPEDIENTE!$I$27),"SI","NO")))</f>
        <v/>
      </c>
      <c r="J57" s="257" t="str">
        <f t="shared" si="8"/>
        <v/>
      </c>
      <c r="K57" s="254" t="str">
        <f>IF(D57="","",IF('RELACIÓN DE FACTURAS'!AE61="","",'RELACIÓN DE FACTURAS'!AE61))</f>
        <v/>
      </c>
      <c r="L57" s="255"/>
      <c r="M57" s="256" t="str">
        <f>IF(D57="","",IF(N57="","REVISAR",IF(OR(N57&lt;EXPEDIENTE!$I$25,N57&gt;EXPEDIENTE!$I$29),"SI","NO")))</f>
        <v/>
      </c>
      <c r="N57" s="258" t="str">
        <f t="shared" si="9"/>
        <v/>
      </c>
      <c r="O57" s="259">
        <f>IF(N57&lt;EXPEDIENTE!$I$25,-1,IF(N57&gt;EXPEDIENTE!$I$29,1,0))</f>
        <v>0</v>
      </c>
      <c r="P57" s="260" t="str">
        <f t="shared" si="10"/>
        <v/>
      </c>
      <c r="Q57" s="255"/>
      <c r="R57" s="261"/>
      <c r="S57" s="262" t="str">
        <f>IF(OR(Q57="",R57=""),"",IF(Q57&gt;EXPEDIENTE!$I$27,"",MIN(DATE(YEAR(Q57),MONTH(Q57),DAY(Q57)+R57),EXPEDIENTE!$I$29)))</f>
        <v/>
      </c>
      <c r="T57" s="263" t="str">
        <f>IF(D57="","",IF(AND(P57="NO",Q57="",S57=""),"NO",IF(Q57&gt;EXPEDIENTE!$I$27,"ENTREGA FUERA PLAZO",IF(OR(Q57="",R57=""),"PDTE",IF(S57&lt;N57,"SI","NO")))))</f>
        <v/>
      </c>
      <c r="U57" s="264" t="str">
        <f>IF('RELACIÓN DE FACTURAS'!W61="","",'RELACIÓN DE FACTURAS'!W61)</f>
        <v/>
      </c>
      <c r="V57" s="265" t="str">
        <f>IF('RELACIÓN DE FACTURAS'!X61="","",'RELACIÓN DE FACTURAS'!X61)</f>
        <v/>
      </c>
      <c r="W57" s="266"/>
      <c r="X57" s="287" t="str">
        <f t="shared" si="11"/>
        <v/>
      </c>
      <c r="Y57" s="267"/>
    </row>
    <row r="58" spans="2:25" ht="39.950000000000003" customHeight="1" x14ac:dyDescent="0.2">
      <c r="B58" s="122">
        <f>IF(Y58&lt;&gt;"",MAX($B$5:B57)+1,0)</f>
        <v>0</v>
      </c>
      <c r="C58" s="124">
        <v>54</v>
      </c>
      <c r="D58" s="251" t="str">
        <f>IF('RELACIÓN DE FACTURAS'!N62="","",'RELACIÓN DE FACTURAS'!N62)</f>
        <v/>
      </c>
      <c r="E58" s="252" t="str">
        <f>IF(D58="SEGUNDO PAGO O POSTERIORES",E57,IF('RELACIÓN DE FACTURAS'!O62="","",'RELACIÓN DE FACTURAS'!O62))</f>
        <v/>
      </c>
      <c r="F58" s="253" t="str">
        <f>IF(D58="SEGUNDO PAGO O POSTERIORES",F57,IF('RELACIÓN DE FACTURAS'!Q62="","",'RELACIÓN DE FACTURAS'!Q62))</f>
        <v/>
      </c>
      <c r="G58" s="254" t="str">
        <f>IF(D58="","",IF(AND(D58="NUEVA FACTURA",'RELACIÓN DE FACTURAS'!P62=""),"",IF(AND(D58="NUEVA FACTURA",'RELACIÓN DE FACTURAS'!P62&lt;&gt;""),'RELACIÓN DE FACTURAS'!P62,IF(D58="SEGUNDO PAGO O POSTERIORES",G57,""))))</f>
        <v/>
      </c>
      <c r="H58" s="255"/>
      <c r="I58" s="256" t="str">
        <f>IF(D58="","",IF(J58="","REVISAR",IF(OR(J58&lt;EXPEDIENTE!$I$25,J58&gt;EXPEDIENTE!$I$27),"SI","NO")))</f>
        <v/>
      </c>
      <c r="J58" s="257" t="str">
        <f t="shared" si="8"/>
        <v/>
      </c>
      <c r="K58" s="254" t="str">
        <f>IF(D58="","",IF('RELACIÓN DE FACTURAS'!AE62="","",'RELACIÓN DE FACTURAS'!AE62))</f>
        <v/>
      </c>
      <c r="L58" s="255"/>
      <c r="M58" s="256" t="str">
        <f>IF(D58="","",IF(N58="","REVISAR",IF(OR(N58&lt;EXPEDIENTE!$I$25,N58&gt;EXPEDIENTE!$I$29),"SI","NO")))</f>
        <v/>
      </c>
      <c r="N58" s="258" t="str">
        <f t="shared" si="9"/>
        <v/>
      </c>
      <c r="O58" s="259">
        <f>IF(N58&lt;EXPEDIENTE!$I$25,-1,IF(N58&gt;EXPEDIENTE!$I$29,1,0))</f>
        <v>0</v>
      </c>
      <c r="P58" s="260" t="str">
        <f t="shared" si="10"/>
        <v/>
      </c>
      <c r="Q58" s="255"/>
      <c r="R58" s="261"/>
      <c r="S58" s="262" t="str">
        <f>IF(OR(Q58="",R58=""),"",IF(Q58&gt;EXPEDIENTE!$I$27,"",MIN(DATE(YEAR(Q58),MONTH(Q58),DAY(Q58)+R58),EXPEDIENTE!$I$29)))</f>
        <v/>
      </c>
      <c r="T58" s="263" t="str">
        <f>IF(D58="","",IF(AND(P58="NO",Q58="",S58=""),"NO",IF(Q58&gt;EXPEDIENTE!$I$27,"ENTREGA FUERA PLAZO",IF(OR(Q58="",R58=""),"PDTE",IF(S58&lt;N58,"SI","NO")))))</f>
        <v/>
      </c>
      <c r="U58" s="264" t="str">
        <f>IF('RELACIÓN DE FACTURAS'!W62="","",'RELACIÓN DE FACTURAS'!W62)</f>
        <v/>
      </c>
      <c r="V58" s="265" t="str">
        <f>IF('RELACIÓN DE FACTURAS'!X62="","",'RELACIÓN DE FACTURAS'!X62)</f>
        <v/>
      </c>
      <c r="W58" s="266"/>
      <c r="X58" s="287" t="str">
        <f t="shared" si="11"/>
        <v/>
      </c>
      <c r="Y58" s="267"/>
    </row>
    <row r="59" spans="2:25" ht="39.950000000000003" customHeight="1" x14ac:dyDescent="0.2">
      <c r="B59" s="122">
        <f>IF(Y59&lt;&gt;"",MAX($B$5:B58)+1,0)</f>
        <v>0</v>
      </c>
      <c r="C59" s="124">
        <v>55</v>
      </c>
      <c r="D59" s="251" t="str">
        <f>IF('RELACIÓN DE FACTURAS'!N63="","",'RELACIÓN DE FACTURAS'!N63)</f>
        <v/>
      </c>
      <c r="E59" s="252" t="str">
        <f>IF(D59="SEGUNDO PAGO O POSTERIORES",E58,IF('RELACIÓN DE FACTURAS'!O63="","",'RELACIÓN DE FACTURAS'!O63))</f>
        <v/>
      </c>
      <c r="F59" s="253" t="str">
        <f>IF(D59="SEGUNDO PAGO O POSTERIORES",F58,IF('RELACIÓN DE FACTURAS'!Q63="","",'RELACIÓN DE FACTURAS'!Q63))</f>
        <v/>
      </c>
      <c r="G59" s="254" t="str">
        <f>IF(D59="","",IF(AND(D59="NUEVA FACTURA",'RELACIÓN DE FACTURAS'!P63=""),"",IF(AND(D59="NUEVA FACTURA",'RELACIÓN DE FACTURAS'!P63&lt;&gt;""),'RELACIÓN DE FACTURAS'!P63,IF(D59="SEGUNDO PAGO O POSTERIORES",G58,""))))</f>
        <v/>
      </c>
      <c r="H59" s="255"/>
      <c r="I59" s="256" t="str">
        <f>IF(D59="","",IF(J59="","REVISAR",IF(OR(J59&lt;EXPEDIENTE!$I$25,J59&gt;EXPEDIENTE!$I$27),"SI","NO")))</f>
        <v/>
      </c>
      <c r="J59" s="257" t="str">
        <f t="shared" si="8"/>
        <v/>
      </c>
      <c r="K59" s="254" t="str">
        <f>IF(D59="","",IF('RELACIÓN DE FACTURAS'!AE63="","",'RELACIÓN DE FACTURAS'!AE63))</f>
        <v/>
      </c>
      <c r="L59" s="255"/>
      <c r="M59" s="256" t="str">
        <f>IF(D59="","",IF(N59="","REVISAR",IF(OR(N59&lt;EXPEDIENTE!$I$25,N59&gt;EXPEDIENTE!$I$29),"SI","NO")))</f>
        <v/>
      </c>
      <c r="N59" s="258" t="str">
        <f t="shared" si="9"/>
        <v/>
      </c>
      <c r="O59" s="259">
        <f>IF(N59&lt;EXPEDIENTE!$I$25,-1,IF(N59&gt;EXPEDIENTE!$I$29,1,0))</f>
        <v>0</v>
      </c>
      <c r="P59" s="260" t="str">
        <f t="shared" si="10"/>
        <v/>
      </c>
      <c r="Q59" s="255"/>
      <c r="R59" s="261"/>
      <c r="S59" s="262" t="str">
        <f>IF(OR(Q59="",R59=""),"",IF(Q59&gt;EXPEDIENTE!$I$27,"",MIN(DATE(YEAR(Q59),MONTH(Q59),DAY(Q59)+R59),EXPEDIENTE!$I$29)))</f>
        <v/>
      </c>
      <c r="T59" s="263" t="str">
        <f>IF(D59="","",IF(AND(P59="NO",Q59="",S59=""),"NO",IF(Q59&gt;EXPEDIENTE!$I$27,"ENTREGA FUERA PLAZO",IF(OR(Q59="",R59=""),"PDTE",IF(S59&lt;N59,"SI","NO")))))</f>
        <v/>
      </c>
      <c r="U59" s="264" t="str">
        <f>IF('RELACIÓN DE FACTURAS'!W63="","",'RELACIÓN DE FACTURAS'!W63)</f>
        <v/>
      </c>
      <c r="V59" s="265" t="str">
        <f>IF('RELACIÓN DE FACTURAS'!X63="","",'RELACIÓN DE FACTURAS'!X63)</f>
        <v/>
      </c>
      <c r="W59" s="266"/>
      <c r="X59" s="287" t="str">
        <f t="shared" si="11"/>
        <v/>
      </c>
      <c r="Y59" s="267"/>
    </row>
    <row r="60" spans="2:25" ht="39.950000000000003" customHeight="1" x14ac:dyDescent="0.2">
      <c r="B60" s="122">
        <f>IF(Y60&lt;&gt;"",MAX($B$5:B59)+1,0)</f>
        <v>0</v>
      </c>
      <c r="C60" s="124">
        <v>56</v>
      </c>
      <c r="D60" s="251" t="str">
        <f>IF('RELACIÓN DE FACTURAS'!N64="","",'RELACIÓN DE FACTURAS'!N64)</f>
        <v/>
      </c>
      <c r="E60" s="252" t="str">
        <f>IF(D60="SEGUNDO PAGO O POSTERIORES",E59,IF('RELACIÓN DE FACTURAS'!O64="","",'RELACIÓN DE FACTURAS'!O64))</f>
        <v/>
      </c>
      <c r="F60" s="253" t="str">
        <f>IF(D60="SEGUNDO PAGO O POSTERIORES",F59,IF('RELACIÓN DE FACTURAS'!Q64="","",'RELACIÓN DE FACTURAS'!Q64))</f>
        <v/>
      </c>
      <c r="G60" s="254" t="str">
        <f>IF(D60="","",IF(AND(D60="NUEVA FACTURA",'RELACIÓN DE FACTURAS'!P64=""),"",IF(AND(D60="NUEVA FACTURA",'RELACIÓN DE FACTURAS'!P64&lt;&gt;""),'RELACIÓN DE FACTURAS'!P64,IF(D60="SEGUNDO PAGO O POSTERIORES",G59,""))))</f>
        <v/>
      </c>
      <c r="H60" s="255"/>
      <c r="I60" s="256" t="str">
        <f>IF(D60="","",IF(J60="","REVISAR",IF(OR(J60&lt;EXPEDIENTE!$I$25,J60&gt;EXPEDIENTE!$I$27),"SI","NO")))</f>
        <v/>
      </c>
      <c r="J60" s="257" t="str">
        <f t="shared" si="8"/>
        <v/>
      </c>
      <c r="K60" s="254" t="str">
        <f>IF(D60="","",IF('RELACIÓN DE FACTURAS'!AE64="","",'RELACIÓN DE FACTURAS'!AE64))</f>
        <v/>
      </c>
      <c r="L60" s="255"/>
      <c r="M60" s="256" t="str">
        <f>IF(D60="","",IF(N60="","REVISAR",IF(OR(N60&lt;EXPEDIENTE!$I$25,N60&gt;EXPEDIENTE!$I$29),"SI","NO")))</f>
        <v/>
      </c>
      <c r="N60" s="258" t="str">
        <f t="shared" si="9"/>
        <v/>
      </c>
      <c r="O60" s="259">
        <f>IF(N60&lt;EXPEDIENTE!$I$25,-1,IF(N60&gt;EXPEDIENTE!$I$29,1,0))</f>
        <v>0</v>
      </c>
      <c r="P60" s="260" t="str">
        <f t="shared" si="10"/>
        <v/>
      </c>
      <c r="Q60" s="255"/>
      <c r="R60" s="261"/>
      <c r="S60" s="262" t="str">
        <f>IF(OR(Q60="",R60=""),"",IF(Q60&gt;EXPEDIENTE!$I$27,"",MIN(DATE(YEAR(Q60),MONTH(Q60),DAY(Q60)+R60),EXPEDIENTE!$I$29)))</f>
        <v/>
      </c>
      <c r="T60" s="263" t="str">
        <f>IF(D60="","",IF(AND(P60="NO",Q60="",S60=""),"NO",IF(Q60&gt;EXPEDIENTE!$I$27,"ENTREGA FUERA PLAZO",IF(OR(Q60="",R60=""),"PDTE",IF(S60&lt;N60,"SI","NO")))))</f>
        <v/>
      </c>
      <c r="U60" s="264" t="str">
        <f>IF('RELACIÓN DE FACTURAS'!W64="","",'RELACIÓN DE FACTURAS'!W64)</f>
        <v/>
      </c>
      <c r="V60" s="265" t="str">
        <f>IF('RELACIÓN DE FACTURAS'!X64="","",'RELACIÓN DE FACTURAS'!X64)</f>
        <v/>
      </c>
      <c r="W60" s="266"/>
      <c r="X60" s="287" t="str">
        <f t="shared" si="11"/>
        <v/>
      </c>
      <c r="Y60" s="267"/>
    </row>
    <row r="61" spans="2:25" ht="39.950000000000003" customHeight="1" x14ac:dyDescent="0.2">
      <c r="B61" s="122">
        <f>IF(Y61&lt;&gt;"",MAX($B$5:B60)+1,0)</f>
        <v>0</v>
      </c>
      <c r="C61" s="124">
        <v>57</v>
      </c>
      <c r="D61" s="251" t="str">
        <f>IF('RELACIÓN DE FACTURAS'!N65="","",'RELACIÓN DE FACTURAS'!N65)</f>
        <v/>
      </c>
      <c r="E61" s="252" t="str">
        <f>IF(D61="SEGUNDO PAGO O POSTERIORES",E60,IF('RELACIÓN DE FACTURAS'!O65="","",'RELACIÓN DE FACTURAS'!O65))</f>
        <v/>
      </c>
      <c r="F61" s="253" t="str">
        <f>IF(D61="SEGUNDO PAGO O POSTERIORES",F60,IF('RELACIÓN DE FACTURAS'!Q65="","",'RELACIÓN DE FACTURAS'!Q65))</f>
        <v/>
      </c>
      <c r="G61" s="254" t="str">
        <f>IF(D61="","",IF(AND(D61="NUEVA FACTURA",'RELACIÓN DE FACTURAS'!P65=""),"",IF(AND(D61="NUEVA FACTURA",'RELACIÓN DE FACTURAS'!P65&lt;&gt;""),'RELACIÓN DE FACTURAS'!P65,IF(D61="SEGUNDO PAGO O POSTERIORES",G60,""))))</f>
        <v/>
      </c>
      <c r="H61" s="255"/>
      <c r="I61" s="256" t="str">
        <f>IF(D61="","",IF(J61="","REVISAR",IF(OR(J61&lt;EXPEDIENTE!$I$25,J61&gt;EXPEDIENTE!$I$27),"SI","NO")))</f>
        <v/>
      </c>
      <c r="J61" s="257" t="str">
        <f t="shared" si="8"/>
        <v/>
      </c>
      <c r="K61" s="254" t="str">
        <f>IF(D61="","",IF('RELACIÓN DE FACTURAS'!AE65="","",'RELACIÓN DE FACTURAS'!AE65))</f>
        <v/>
      </c>
      <c r="L61" s="255"/>
      <c r="M61" s="256" t="str">
        <f>IF(D61="","",IF(N61="","REVISAR",IF(OR(N61&lt;EXPEDIENTE!$I$25,N61&gt;EXPEDIENTE!$I$29),"SI","NO")))</f>
        <v/>
      </c>
      <c r="N61" s="258" t="str">
        <f t="shared" si="9"/>
        <v/>
      </c>
      <c r="O61" s="259">
        <f>IF(N61&lt;EXPEDIENTE!$I$25,-1,IF(N61&gt;EXPEDIENTE!$I$29,1,0))</f>
        <v>0</v>
      </c>
      <c r="P61" s="260" t="str">
        <f t="shared" si="10"/>
        <v/>
      </c>
      <c r="Q61" s="255"/>
      <c r="R61" s="261"/>
      <c r="S61" s="262" t="str">
        <f>IF(OR(Q61="",R61=""),"",IF(Q61&gt;EXPEDIENTE!$I$27,"",MIN(DATE(YEAR(Q61),MONTH(Q61),DAY(Q61)+R61),EXPEDIENTE!$I$29)))</f>
        <v/>
      </c>
      <c r="T61" s="263" t="str">
        <f>IF(D61="","",IF(AND(P61="NO",Q61="",S61=""),"NO",IF(Q61&gt;EXPEDIENTE!$I$27,"ENTREGA FUERA PLAZO",IF(OR(Q61="",R61=""),"PDTE",IF(S61&lt;N61,"SI","NO")))))</f>
        <v/>
      </c>
      <c r="U61" s="264" t="str">
        <f>IF('RELACIÓN DE FACTURAS'!W65="","",'RELACIÓN DE FACTURAS'!W65)</f>
        <v/>
      </c>
      <c r="V61" s="265" t="str">
        <f>IF('RELACIÓN DE FACTURAS'!X65="","",'RELACIÓN DE FACTURAS'!X65)</f>
        <v/>
      </c>
      <c r="W61" s="266"/>
      <c r="X61" s="287" t="str">
        <f t="shared" si="11"/>
        <v/>
      </c>
      <c r="Y61" s="267"/>
    </row>
    <row r="62" spans="2:25" ht="39.950000000000003" customHeight="1" x14ac:dyDescent="0.2">
      <c r="B62" s="122">
        <f>IF(Y62&lt;&gt;"",MAX($B$5:B61)+1,0)</f>
        <v>0</v>
      </c>
      <c r="C62" s="124">
        <v>58</v>
      </c>
      <c r="D62" s="251" t="str">
        <f>IF('RELACIÓN DE FACTURAS'!N66="","",'RELACIÓN DE FACTURAS'!N66)</f>
        <v/>
      </c>
      <c r="E62" s="252" t="str">
        <f>IF(D62="SEGUNDO PAGO O POSTERIORES",E61,IF('RELACIÓN DE FACTURAS'!O66="","",'RELACIÓN DE FACTURAS'!O66))</f>
        <v/>
      </c>
      <c r="F62" s="253" t="str">
        <f>IF(D62="SEGUNDO PAGO O POSTERIORES",F61,IF('RELACIÓN DE FACTURAS'!Q66="","",'RELACIÓN DE FACTURAS'!Q66))</f>
        <v/>
      </c>
      <c r="G62" s="254" t="str">
        <f>IF(D62="","",IF(AND(D62="NUEVA FACTURA",'RELACIÓN DE FACTURAS'!P66=""),"",IF(AND(D62="NUEVA FACTURA",'RELACIÓN DE FACTURAS'!P66&lt;&gt;""),'RELACIÓN DE FACTURAS'!P66,IF(D62="SEGUNDO PAGO O POSTERIORES",G61,""))))</f>
        <v/>
      </c>
      <c r="H62" s="255"/>
      <c r="I62" s="256" t="str">
        <f>IF(D62="","",IF(J62="","REVISAR",IF(OR(J62&lt;EXPEDIENTE!$I$25,J62&gt;EXPEDIENTE!$I$27),"SI","NO")))</f>
        <v/>
      </c>
      <c r="J62" s="257" t="str">
        <f t="shared" si="8"/>
        <v/>
      </c>
      <c r="K62" s="254" t="str">
        <f>IF(D62="","",IF('RELACIÓN DE FACTURAS'!AE66="","",'RELACIÓN DE FACTURAS'!AE66))</f>
        <v/>
      </c>
      <c r="L62" s="255"/>
      <c r="M62" s="256" t="str">
        <f>IF(D62="","",IF(N62="","REVISAR",IF(OR(N62&lt;EXPEDIENTE!$I$25,N62&gt;EXPEDIENTE!$I$29),"SI","NO")))</f>
        <v/>
      </c>
      <c r="N62" s="258" t="str">
        <f t="shared" si="9"/>
        <v/>
      </c>
      <c r="O62" s="259">
        <f>IF(N62&lt;EXPEDIENTE!$I$25,-1,IF(N62&gt;EXPEDIENTE!$I$29,1,0))</f>
        <v>0</v>
      </c>
      <c r="P62" s="260" t="str">
        <f t="shared" si="10"/>
        <v/>
      </c>
      <c r="Q62" s="255"/>
      <c r="R62" s="261"/>
      <c r="S62" s="262" t="str">
        <f>IF(OR(Q62="",R62=""),"",IF(Q62&gt;EXPEDIENTE!$I$27,"",MIN(DATE(YEAR(Q62),MONTH(Q62),DAY(Q62)+R62),EXPEDIENTE!$I$29)))</f>
        <v/>
      </c>
      <c r="T62" s="263" t="str">
        <f>IF(D62="","",IF(AND(P62="NO",Q62="",S62=""),"NO",IF(Q62&gt;EXPEDIENTE!$I$27,"ENTREGA FUERA PLAZO",IF(OR(Q62="",R62=""),"PDTE",IF(S62&lt;N62,"SI","NO")))))</f>
        <v/>
      </c>
      <c r="U62" s="264" t="str">
        <f>IF('RELACIÓN DE FACTURAS'!W66="","",'RELACIÓN DE FACTURAS'!W66)</f>
        <v/>
      </c>
      <c r="V62" s="265" t="str">
        <f>IF('RELACIÓN DE FACTURAS'!X66="","",'RELACIÓN DE FACTURAS'!X66)</f>
        <v/>
      </c>
      <c r="W62" s="266"/>
      <c r="X62" s="287" t="str">
        <f t="shared" si="11"/>
        <v/>
      </c>
      <c r="Y62" s="267"/>
    </row>
    <row r="63" spans="2:25" ht="39.950000000000003" customHeight="1" x14ac:dyDescent="0.2">
      <c r="B63" s="122">
        <f>IF(Y63&lt;&gt;"",MAX($B$5:B62)+1,0)</f>
        <v>0</v>
      </c>
      <c r="C63" s="124">
        <v>59</v>
      </c>
      <c r="D63" s="251" t="str">
        <f>IF('RELACIÓN DE FACTURAS'!N67="","",'RELACIÓN DE FACTURAS'!N67)</f>
        <v/>
      </c>
      <c r="E63" s="252" t="str">
        <f>IF(D63="SEGUNDO PAGO O POSTERIORES",E62,IF('RELACIÓN DE FACTURAS'!O67="","",'RELACIÓN DE FACTURAS'!O67))</f>
        <v/>
      </c>
      <c r="F63" s="253" t="str">
        <f>IF(D63="SEGUNDO PAGO O POSTERIORES",F62,IF('RELACIÓN DE FACTURAS'!Q67="","",'RELACIÓN DE FACTURAS'!Q67))</f>
        <v/>
      </c>
      <c r="G63" s="254" t="str">
        <f>IF(D63="","",IF(AND(D63="NUEVA FACTURA",'RELACIÓN DE FACTURAS'!P67=""),"",IF(AND(D63="NUEVA FACTURA",'RELACIÓN DE FACTURAS'!P67&lt;&gt;""),'RELACIÓN DE FACTURAS'!P67,IF(D63="SEGUNDO PAGO O POSTERIORES",G62,""))))</f>
        <v/>
      </c>
      <c r="H63" s="255"/>
      <c r="I63" s="256" t="str">
        <f>IF(D63="","",IF(J63="","REVISAR",IF(OR(J63&lt;EXPEDIENTE!$I$25,J63&gt;EXPEDIENTE!$I$27),"SI","NO")))</f>
        <v/>
      </c>
      <c r="J63" s="257" t="str">
        <f t="shared" si="8"/>
        <v/>
      </c>
      <c r="K63" s="254" t="str">
        <f>IF(D63="","",IF('RELACIÓN DE FACTURAS'!AE67="","",'RELACIÓN DE FACTURAS'!AE67))</f>
        <v/>
      </c>
      <c r="L63" s="255"/>
      <c r="M63" s="256" t="str">
        <f>IF(D63="","",IF(N63="","REVISAR",IF(OR(N63&lt;EXPEDIENTE!$I$25,N63&gt;EXPEDIENTE!$I$29),"SI","NO")))</f>
        <v/>
      </c>
      <c r="N63" s="258" t="str">
        <f t="shared" si="9"/>
        <v/>
      </c>
      <c r="O63" s="259">
        <f>IF(N63&lt;EXPEDIENTE!$I$25,-1,IF(N63&gt;EXPEDIENTE!$I$29,1,0))</f>
        <v>0</v>
      </c>
      <c r="P63" s="260" t="str">
        <f t="shared" si="10"/>
        <v/>
      </c>
      <c r="Q63" s="255"/>
      <c r="R63" s="261"/>
      <c r="S63" s="262" t="str">
        <f>IF(OR(Q63="",R63=""),"",IF(Q63&gt;EXPEDIENTE!$I$27,"",MIN(DATE(YEAR(Q63),MONTH(Q63),DAY(Q63)+R63),EXPEDIENTE!$I$29)))</f>
        <v/>
      </c>
      <c r="T63" s="263" t="str">
        <f>IF(D63="","",IF(AND(P63="NO",Q63="",S63=""),"NO",IF(Q63&gt;EXPEDIENTE!$I$27,"ENTREGA FUERA PLAZO",IF(OR(Q63="",R63=""),"PDTE",IF(S63&lt;N63,"SI","NO")))))</f>
        <v/>
      </c>
      <c r="U63" s="264" t="str">
        <f>IF('RELACIÓN DE FACTURAS'!W67="","",'RELACIÓN DE FACTURAS'!W67)</f>
        <v/>
      </c>
      <c r="V63" s="265" t="str">
        <f>IF('RELACIÓN DE FACTURAS'!X67="","",'RELACIÓN DE FACTURAS'!X67)</f>
        <v/>
      </c>
      <c r="W63" s="266"/>
      <c r="X63" s="287" t="str">
        <f t="shared" si="11"/>
        <v/>
      </c>
      <c r="Y63" s="267"/>
    </row>
    <row r="64" spans="2:25" ht="39.950000000000003" customHeight="1" x14ac:dyDescent="0.2">
      <c r="B64" s="122">
        <f>IF(Y64&lt;&gt;"",MAX($B$5:B63)+1,0)</f>
        <v>0</v>
      </c>
      <c r="C64" s="124">
        <v>60</v>
      </c>
      <c r="D64" s="251" t="str">
        <f>IF('RELACIÓN DE FACTURAS'!N68="","",'RELACIÓN DE FACTURAS'!N68)</f>
        <v/>
      </c>
      <c r="E64" s="252" t="str">
        <f>IF(D64="SEGUNDO PAGO O POSTERIORES",E63,IF('RELACIÓN DE FACTURAS'!O68="","",'RELACIÓN DE FACTURAS'!O68))</f>
        <v/>
      </c>
      <c r="F64" s="253" t="str">
        <f>IF(D64="SEGUNDO PAGO O POSTERIORES",F63,IF('RELACIÓN DE FACTURAS'!Q68="","",'RELACIÓN DE FACTURAS'!Q68))</f>
        <v/>
      </c>
      <c r="G64" s="254" t="str">
        <f>IF(D64="","",IF(AND(D64="NUEVA FACTURA",'RELACIÓN DE FACTURAS'!P68=""),"",IF(AND(D64="NUEVA FACTURA",'RELACIÓN DE FACTURAS'!P68&lt;&gt;""),'RELACIÓN DE FACTURAS'!P68,IF(D64="SEGUNDO PAGO O POSTERIORES",G63,""))))</f>
        <v/>
      </c>
      <c r="H64" s="255"/>
      <c r="I64" s="256" t="str">
        <f>IF(D64="","",IF(J64="","REVISAR",IF(OR(J64&lt;EXPEDIENTE!$I$25,J64&gt;EXPEDIENTE!$I$27),"SI","NO")))</f>
        <v/>
      </c>
      <c r="J64" s="257" t="str">
        <f t="shared" si="8"/>
        <v/>
      </c>
      <c r="K64" s="254" t="str">
        <f>IF(D64="","",IF('RELACIÓN DE FACTURAS'!AE68="","",'RELACIÓN DE FACTURAS'!AE68))</f>
        <v/>
      </c>
      <c r="L64" s="255"/>
      <c r="M64" s="256" t="str">
        <f>IF(D64="","",IF(N64="","REVISAR",IF(OR(N64&lt;EXPEDIENTE!$I$25,N64&gt;EXPEDIENTE!$I$29),"SI","NO")))</f>
        <v/>
      </c>
      <c r="N64" s="258" t="str">
        <f t="shared" si="9"/>
        <v/>
      </c>
      <c r="O64" s="259">
        <f>IF(N64&lt;EXPEDIENTE!$I$25,-1,IF(N64&gt;EXPEDIENTE!$I$29,1,0))</f>
        <v>0</v>
      </c>
      <c r="P64" s="260" t="str">
        <f t="shared" si="10"/>
        <v/>
      </c>
      <c r="Q64" s="255"/>
      <c r="R64" s="261"/>
      <c r="S64" s="262" t="str">
        <f>IF(OR(Q64="",R64=""),"",IF(Q64&gt;EXPEDIENTE!$I$27,"",MIN(DATE(YEAR(Q64),MONTH(Q64),DAY(Q64)+R64),EXPEDIENTE!$I$29)))</f>
        <v/>
      </c>
      <c r="T64" s="263" t="str">
        <f>IF(D64="","",IF(AND(P64="NO",Q64="",S64=""),"NO",IF(Q64&gt;EXPEDIENTE!$I$27,"ENTREGA FUERA PLAZO",IF(OR(Q64="",R64=""),"PDTE",IF(S64&lt;N64,"SI","NO")))))</f>
        <v/>
      </c>
      <c r="U64" s="264" t="str">
        <f>IF('RELACIÓN DE FACTURAS'!W68="","",'RELACIÓN DE FACTURAS'!W68)</f>
        <v/>
      </c>
      <c r="V64" s="265" t="str">
        <f>IF('RELACIÓN DE FACTURAS'!X68="","",'RELACIÓN DE FACTURAS'!X68)</f>
        <v/>
      </c>
      <c r="W64" s="266"/>
      <c r="X64" s="287" t="str">
        <f t="shared" si="11"/>
        <v/>
      </c>
      <c r="Y64" s="267"/>
    </row>
    <row r="65" spans="2:25" ht="39.950000000000003" customHeight="1" x14ac:dyDescent="0.2">
      <c r="B65" s="122">
        <f>IF(Y65&lt;&gt;"",MAX($B$5:B64)+1,0)</f>
        <v>0</v>
      </c>
      <c r="C65" s="124">
        <v>61</v>
      </c>
      <c r="D65" s="251" t="str">
        <f>IF('RELACIÓN DE FACTURAS'!N69="","",'RELACIÓN DE FACTURAS'!N69)</f>
        <v/>
      </c>
      <c r="E65" s="252" t="str">
        <f>IF(D65="SEGUNDO PAGO O POSTERIORES",E64,IF('RELACIÓN DE FACTURAS'!O69="","",'RELACIÓN DE FACTURAS'!O69))</f>
        <v/>
      </c>
      <c r="F65" s="253" t="str">
        <f>IF(D65="SEGUNDO PAGO O POSTERIORES",F64,IF('RELACIÓN DE FACTURAS'!Q69="","",'RELACIÓN DE FACTURAS'!Q69))</f>
        <v/>
      </c>
      <c r="G65" s="254" t="str">
        <f>IF(D65="","",IF(AND(D65="NUEVA FACTURA",'RELACIÓN DE FACTURAS'!P69=""),"",IF(AND(D65="NUEVA FACTURA",'RELACIÓN DE FACTURAS'!P69&lt;&gt;""),'RELACIÓN DE FACTURAS'!P69,IF(D65="SEGUNDO PAGO O POSTERIORES",G64,""))))</f>
        <v/>
      </c>
      <c r="H65" s="255"/>
      <c r="I65" s="256" t="str">
        <f>IF(D65="","",IF(J65="","REVISAR",IF(OR(J65&lt;EXPEDIENTE!$I$25,J65&gt;EXPEDIENTE!$I$27),"SI","NO")))</f>
        <v/>
      </c>
      <c r="J65" s="257" t="str">
        <f t="shared" si="8"/>
        <v/>
      </c>
      <c r="K65" s="254" t="str">
        <f>IF(D65="","",IF('RELACIÓN DE FACTURAS'!AE69="","",'RELACIÓN DE FACTURAS'!AE69))</f>
        <v/>
      </c>
      <c r="L65" s="255"/>
      <c r="M65" s="256" t="str">
        <f>IF(D65="","",IF(N65="","REVISAR",IF(OR(N65&lt;EXPEDIENTE!$I$25,N65&gt;EXPEDIENTE!$I$29),"SI","NO")))</f>
        <v/>
      </c>
      <c r="N65" s="258" t="str">
        <f t="shared" si="9"/>
        <v/>
      </c>
      <c r="O65" s="259">
        <f>IF(N65&lt;EXPEDIENTE!$I$25,-1,IF(N65&gt;EXPEDIENTE!$I$29,1,0))</f>
        <v>0</v>
      </c>
      <c r="P65" s="260" t="str">
        <f t="shared" si="10"/>
        <v/>
      </c>
      <c r="Q65" s="255"/>
      <c r="R65" s="261"/>
      <c r="S65" s="262" t="str">
        <f>IF(OR(Q65="",R65=""),"",IF(Q65&gt;EXPEDIENTE!$I$27,"",MIN(DATE(YEAR(Q65),MONTH(Q65),DAY(Q65)+R65),EXPEDIENTE!$I$29)))</f>
        <v/>
      </c>
      <c r="T65" s="263" t="str">
        <f>IF(D65="","",IF(AND(P65="NO",Q65="",S65=""),"NO",IF(Q65&gt;EXPEDIENTE!$I$27,"ENTREGA FUERA PLAZO",IF(OR(Q65="",R65=""),"PDTE",IF(S65&lt;N65,"SI","NO")))))</f>
        <v/>
      </c>
      <c r="U65" s="264" t="str">
        <f>IF('RELACIÓN DE FACTURAS'!W69="","",'RELACIÓN DE FACTURAS'!W69)</f>
        <v/>
      </c>
      <c r="V65" s="265" t="str">
        <f>IF('RELACIÓN DE FACTURAS'!X69="","",'RELACIÓN DE FACTURAS'!X69)</f>
        <v/>
      </c>
      <c r="W65" s="266"/>
      <c r="X65" s="287" t="str">
        <f t="shared" si="11"/>
        <v/>
      </c>
      <c r="Y65" s="267"/>
    </row>
    <row r="66" spans="2:25" ht="39.950000000000003" customHeight="1" x14ac:dyDescent="0.2">
      <c r="B66" s="122">
        <f>IF(Y66&lt;&gt;"",MAX($B$5:B65)+1,0)</f>
        <v>0</v>
      </c>
      <c r="C66" s="124">
        <v>62</v>
      </c>
      <c r="D66" s="251" t="str">
        <f>IF('RELACIÓN DE FACTURAS'!N70="","",'RELACIÓN DE FACTURAS'!N70)</f>
        <v/>
      </c>
      <c r="E66" s="252" t="str">
        <f>IF(D66="SEGUNDO PAGO O POSTERIORES",E65,IF('RELACIÓN DE FACTURAS'!O70="","",'RELACIÓN DE FACTURAS'!O70))</f>
        <v/>
      </c>
      <c r="F66" s="253" t="str">
        <f>IF(D66="SEGUNDO PAGO O POSTERIORES",F65,IF('RELACIÓN DE FACTURAS'!Q70="","",'RELACIÓN DE FACTURAS'!Q70))</f>
        <v/>
      </c>
      <c r="G66" s="254" t="str">
        <f>IF(D66="","",IF(AND(D66="NUEVA FACTURA",'RELACIÓN DE FACTURAS'!P70=""),"",IF(AND(D66="NUEVA FACTURA",'RELACIÓN DE FACTURAS'!P70&lt;&gt;""),'RELACIÓN DE FACTURAS'!P70,IF(D66="SEGUNDO PAGO O POSTERIORES",G65,""))))</f>
        <v/>
      </c>
      <c r="H66" s="255"/>
      <c r="I66" s="256" t="str">
        <f>IF(D66="","",IF(J66="","REVISAR",IF(OR(J66&lt;EXPEDIENTE!$I$25,J66&gt;EXPEDIENTE!$I$27),"SI","NO")))</f>
        <v/>
      </c>
      <c r="J66" s="257" t="str">
        <f t="shared" si="8"/>
        <v/>
      </c>
      <c r="K66" s="254" t="str">
        <f>IF(D66="","",IF('RELACIÓN DE FACTURAS'!AE70="","",'RELACIÓN DE FACTURAS'!AE70))</f>
        <v/>
      </c>
      <c r="L66" s="255"/>
      <c r="M66" s="256" t="str">
        <f>IF(D66="","",IF(N66="","REVISAR",IF(OR(N66&lt;EXPEDIENTE!$I$25,N66&gt;EXPEDIENTE!$I$29),"SI","NO")))</f>
        <v/>
      </c>
      <c r="N66" s="258" t="str">
        <f t="shared" si="9"/>
        <v/>
      </c>
      <c r="O66" s="259">
        <f>IF(N66&lt;EXPEDIENTE!$I$25,-1,IF(N66&gt;EXPEDIENTE!$I$29,1,0))</f>
        <v>0</v>
      </c>
      <c r="P66" s="260" t="str">
        <f t="shared" si="10"/>
        <v/>
      </c>
      <c r="Q66" s="255"/>
      <c r="R66" s="261"/>
      <c r="S66" s="262" t="str">
        <f>IF(OR(Q66="",R66=""),"",IF(Q66&gt;EXPEDIENTE!$I$27,"",MIN(DATE(YEAR(Q66),MONTH(Q66),DAY(Q66)+R66),EXPEDIENTE!$I$29)))</f>
        <v/>
      </c>
      <c r="T66" s="263" t="str">
        <f>IF(D66="","",IF(AND(P66="NO",Q66="",S66=""),"NO",IF(Q66&gt;EXPEDIENTE!$I$27,"ENTREGA FUERA PLAZO",IF(OR(Q66="",R66=""),"PDTE",IF(S66&lt;N66,"SI","NO")))))</f>
        <v/>
      </c>
      <c r="U66" s="264" t="str">
        <f>IF('RELACIÓN DE FACTURAS'!W70="","",'RELACIÓN DE FACTURAS'!W70)</f>
        <v/>
      </c>
      <c r="V66" s="265" t="str">
        <f>IF('RELACIÓN DE FACTURAS'!X70="","",'RELACIÓN DE FACTURAS'!X70)</f>
        <v/>
      </c>
      <c r="W66" s="266"/>
      <c r="X66" s="287" t="str">
        <f t="shared" si="11"/>
        <v/>
      </c>
      <c r="Y66" s="267"/>
    </row>
    <row r="67" spans="2:25" ht="39.950000000000003" customHeight="1" x14ac:dyDescent="0.2">
      <c r="B67" s="122">
        <f>IF(Y67&lt;&gt;"",MAX($B$5:B66)+1,0)</f>
        <v>0</v>
      </c>
      <c r="C67" s="124">
        <v>63</v>
      </c>
      <c r="D67" s="251" t="str">
        <f>IF('RELACIÓN DE FACTURAS'!N71="","",'RELACIÓN DE FACTURAS'!N71)</f>
        <v/>
      </c>
      <c r="E67" s="252" t="str">
        <f>IF(D67="SEGUNDO PAGO O POSTERIORES",E66,IF('RELACIÓN DE FACTURAS'!O71="","",'RELACIÓN DE FACTURAS'!O71))</f>
        <v/>
      </c>
      <c r="F67" s="253" t="str">
        <f>IF(D67="SEGUNDO PAGO O POSTERIORES",F66,IF('RELACIÓN DE FACTURAS'!Q71="","",'RELACIÓN DE FACTURAS'!Q71))</f>
        <v/>
      </c>
      <c r="G67" s="254" t="str">
        <f>IF(D67="","",IF(AND(D67="NUEVA FACTURA",'RELACIÓN DE FACTURAS'!P71=""),"",IF(AND(D67="NUEVA FACTURA",'RELACIÓN DE FACTURAS'!P71&lt;&gt;""),'RELACIÓN DE FACTURAS'!P71,IF(D67="SEGUNDO PAGO O POSTERIORES",G66,""))))</f>
        <v/>
      </c>
      <c r="H67" s="255"/>
      <c r="I67" s="256" t="str">
        <f>IF(D67="","",IF(J67="","REVISAR",IF(OR(J67&lt;EXPEDIENTE!$I$25,J67&gt;EXPEDIENTE!$I$27),"SI","NO")))</f>
        <v/>
      </c>
      <c r="J67" s="257" t="str">
        <f t="shared" si="8"/>
        <v/>
      </c>
      <c r="K67" s="254" t="str">
        <f>IF(D67="","",IF('RELACIÓN DE FACTURAS'!AE71="","",'RELACIÓN DE FACTURAS'!AE71))</f>
        <v/>
      </c>
      <c r="L67" s="255"/>
      <c r="M67" s="256" t="str">
        <f>IF(D67="","",IF(N67="","REVISAR",IF(OR(N67&lt;EXPEDIENTE!$I$25,N67&gt;EXPEDIENTE!$I$29),"SI","NO")))</f>
        <v/>
      </c>
      <c r="N67" s="258" t="str">
        <f t="shared" si="9"/>
        <v/>
      </c>
      <c r="O67" s="259">
        <f>IF(N67&lt;EXPEDIENTE!$I$25,-1,IF(N67&gt;EXPEDIENTE!$I$29,1,0))</f>
        <v>0</v>
      </c>
      <c r="P67" s="260" t="str">
        <f t="shared" si="10"/>
        <v/>
      </c>
      <c r="Q67" s="255"/>
      <c r="R67" s="261"/>
      <c r="S67" s="262" t="str">
        <f>IF(OR(Q67="",R67=""),"",IF(Q67&gt;EXPEDIENTE!$I$27,"",MIN(DATE(YEAR(Q67),MONTH(Q67),DAY(Q67)+R67),EXPEDIENTE!$I$29)))</f>
        <v/>
      </c>
      <c r="T67" s="263" t="str">
        <f>IF(D67="","",IF(AND(P67="NO",Q67="",S67=""),"NO",IF(Q67&gt;EXPEDIENTE!$I$27,"ENTREGA FUERA PLAZO",IF(OR(Q67="",R67=""),"PDTE",IF(S67&lt;N67,"SI","NO")))))</f>
        <v/>
      </c>
      <c r="U67" s="264" t="str">
        <f>IF('RELACIÓN DE FACTURAS'!W71="","",'RELACIÓN DE FACTURAS'!W71)</f>
        <v/>
      </c>
      <c r="V67" s="265" t="str">
        <f>IF('RELACIÓN DE FACTURAS'!X71="","",'RELACIÓN DE FACTURAS'!X71)</f>
        <v/>
      </c>
      <c r="W67" s="266"/>
      <c r="X67" s="287" t="str">
        <f t="shared" si="11"/>
        <v/>
      </c>
      <c r="Y67" s="267"/>
    </row>
    <row r="68" spans="2:25" ht="39.950000000000003" customHeight="1" x14ac:dyDescent="0.2">
      <c r="B68" s="122">
        <f>IF(Y68&lt;&gt;"",MAX($B$5:B67)+1,0)</f>
        <v>0</v>
      </c>
      <c r="C68" s="124">
        <v>64</v>
      </c>
      <c r="D68" s="251" t="str">
        <f>IF('RELACIÓN DE FACTURAS'!N72="","",'RELACIÓN DE FACTURAS'!N72)</f>
        <v/>
      </c>
      <c r="E68" s="252" t="str">
        <f>IF(D68="SEGUNDO PAGO O POSTERIORES",E67,IF('RELACIÓN DE FACTURAS'!O72="","",'RELACIÓN DE FACTURAS'!O72))</f>
        <v/>
      </c>
      <c r="F68" s="253" t="str">
        <f>IF(D68="SEGUNDO PAGO O POSTERIORES",F67,IF('RELACIÓN DE FACTURAS'!Q72="","",'RELACIÓN DE FACTURAS'!Q72))</f>
        <v/>
      </c>
      <c r="G68" s="254" t="str">
        <f>IF(D68="","",IF(AND(D68="NUEVA FACTURA",'RELACIÓN DE FACTURAS'!P72=""),"",IF(AND(D68="NUEVA FACTURA",'RELACIÓN DE FACTURAS'!P72&lt;&gt;""),'RELACIÓN DE FACTURAS'!P72,IF(D68="SEGUNDO PAGO O POSTERIORES",G67,""))))</f>
        <v/>
      </c>
      <c r="H68" s="255"/>
      <c r="I68" s="256" t="str">
        <f>IF(D68="","",IF(J68="","REVISAR",IF(OR(J68&lt;EXPEDIENTE!$I$25,J68&gt;EXPEDIENTE!$I$27),"SI","NO")))</f>
        <v/>
      </c>
      <c r="J68" s="257" t="str">
        <f t="shared" si="8"/>
        <v/>
      </c>
      <c r="K68" s="254" t="str">
        <f>IF(D68="","",IF('RELACIÓN DE FACTURAS'!AE72="","",'RELACIÓN DE FACTURAS'!AE72))</f>
        <v/>
      </c>
      <c r="L68" s="255"/>
      <c r="M68" s="256" t="str">
        <f>IF(D68="","",IF(N68="","REVISAR",IF(OR(N68&lt;EXPEDIENTE!$I$25,N68&gt;EXPEDIENTE!$I$29),"SI","NO")))</f>
        <v/>
      </c>
      <c r="N68" s="258" t="str">
        <f t="shared" si="9"/>
        <v/>
      </c>
      <c r="O68" s="259">
        <f>IF(N68&lt;EXPEDIENTE!$I$25,-1,IF(N68&gt;EXPEDIENTE!$I$29,1,0))</f>
        <v>0</v>
      </c>
      <c r="P68" s="260" t="str">
        <f t="shared" si="10"/>
        <v/>
      </c>
      <c r="Q68" s="255"/>
      <c r="R68" s="261"/>
      <c r="S68" s="262" t="str">
        <f>IF(OR(Q68="",R68=""),"",IF(Q68&gt;EXPEDIENTE!$I$27,"",MIN(DATE(YEAR(Q68),MONTH(Q68),DAY(Q68)+R68),EXPEDIENTE!$I$29)))</f>
        <v/>
      </c>
      <c r="T68" s="263" t="str">
        <f>IF(D68="","",IF(AND(P68="NO",Q68="",S68=""),"NO",IF(Q68&gt;EXPEDIENTE!$I$27,"ENTREGA FUERA PLAZO",IF(OR(Q68="",R68=""),"PDTE",IF(S68&lt;N68,"SI","NO")))))</f>
        <v/>
      </c>
      <c r="U68" s="264" t="str">
        <f>IF('RELACIÓN DE FACTURAS'!W72="","",'RELACIÓN DE FACTURAS'!W72)</f>
        <v/>
      </c>
      <c r="V68" s="265" t="str">
        <f>IF('RELACIÓN DE FACTURAS'!X72="","",'RELACIÓN DE FACTURAS'!X72)</f>
        <v/>
      </c>
      <c r="W68" s="266"/>
      <c r="X68" s="287" t="str">
        <f t="shared" si="11"/>
        <v/>
      </c>
      <c r="Y68" s="267"/>
    </row>
    <row r="69" spans="2:25" ht="39.950000000000003" customHeight="1" x14ac:dyDescent="0.2">
      <c r="B69" s="122">
        <f>IF(Y69&lt;&gt;"",MAX($B$5:B68)+1,0)</f>
        <v>0</v>
      </c>
      <c r="C69" s="124">
        <v>65</v>
      </c>
      <c r="D69" s="251" t="str">
        <f>IF('RELACIÓN DE FACTURAS'!N73="","",'RELACIÓN DE FACTURAS'!N73)</f>
        <v/>
      </c>
      <c r="E69" s="252" t="str">
        <f>IF(D69="SEGUNDO PAGO O POSTERIORES",E68,IF('RELACIÓN DE FACTURAS'!O73="","",'RELACIÓN DE FACTURAS'!O73))</f>
        <v/>
      </c>
      <c r="F69" s="253" t="str">
        <f>IF(D69="SEGUNDO PAGO O POSTERIORES",F68,IF('RELACIÓN DE FACTURAS'!Q73="","",'RELACIÓN DE FACTURAS'!Q73))</f>
        <v/>
      </c>
      <c r="G69" s="254" t="str">
        <f>IF(D69="","",IF(AND(D69="NUEVA FACTURA",'RELACIÓN DE FACTURAS'!P73=""),"",IF(AND(D69="NUEVA FACTURA",'RELACIÓN DE FACTURAS'!P73&lt;&gt;""),'RELACIÓN DE FACTURAS'!P73,IF(D69="SEGUNDO PAGO O POSTERIORES",G68,""))))</f>
        <v/>
      </c>
      <c r="H69" s="255"/>
      <c r="I69" s="256" t="str">
        <f>IF(D69="","",IF(J69="","REVISAR",IF(OR(J69&lt;EXPEDIENTE!$I$25,J69&gt;EXPEDIENTE!$I$27),"SI","NO")))</f>
        <v/>
      </c>
      <c r="J69" s="257" t="str">
        <f t="shared" si="8"/>
        <v/>
      </c>
      <c r="K69" s="254" t="str">
        <f>IF(D69="","",IF('RELACIÓN DE FACTURAS'!AE73="","",'RELACIÓN DE FACTURAS'!AE73))</f>
        <v/>
      </c>
      <c r="L69" s="255"/>
      <c r="M69" s="256" t="str">
        <f>IF(D69="","",IF(N69="","REVISAR",IF(OR(N69&lt;EXPEDIENTE!$I$25,N69&gt;EXPEDIENTE!$I$29),"SI","NO")))</f>
        <v/>
      </c>
      <c r="N69" s="258" t="str">
        <f t="shared" si="9"/>
        <v/>
      </c>
      <c r="O69" s="259">
        <f>IF(N69&lt;EXPEDIENTE!$I$25,-1,IF(N69&gt;EXPEDIENTE!$I$29,1,0))</f>
        <v>0</v>
      </c>
      <c r="P69" s="260" t="str">
        <f t="shared" si="10"/>
        <v/>
      </c>
      <c r="Q69" s="255"/>
      <c r="R69" s="261"/>
      <c r="S69" s="262" t="str">
        <f>IF(OR(Q69="",R69=""),"",IF(Q69&gt;EXPEDIENTE!$I$27,"",MIN(DATE(YEAR(Q69),MONTH(Q69),DAY(Q69)+R69),EXPEDIENTE!$I$29)))</f>
        <v/>
      </c>
      <c r="T69" s="263" t="str">
        <f>IF(D69="","",IF(AND(P69="NO",Q69="",S69=""),"NO",IF(Q69&gt;EXPEDIENTE!$I$27,"ENTREGA FUERA PLAZO",IF(OR(Q69="",R69=""),"PDTE",IF(S69&lt;N69,"SI","NO")))))</f>
        <v/>
      </c>
      <c r="U69" s="264" t="str">
        <f>IF('RELACIÓN DE FACTURAS'!W73="","",'RELACIÓN DE FACTURAS'!W73)</f>
        <v/>
      </c>
      <c r="V69" s="265" t="str">
        <f>IF('RELACIÓN DE FACTURAS'!X73="","",'RELACIÓN DE FACTURAS'!X73)</f>
        <v/>
      </c>
      <c r="W69" s="266"/>
      <c r="X69" s="287" t="str">
        <f t="shared" si="11"/>
        <v/>
      </c>
      <c r="Y69" s="267"/>
    </row>
    <row r="70" spans="2:25" ht="39.950000000000003" customHeight="1" x14ac:dyDescent="0.2">
      <c r="B70" s="122">
        <f>IF(Y70&lt;&gt;"",MAX($B$5:B69)+1,0)</f>
        <v>0</v>
      </c>
      <c r="C70" s="124">
        <v>66</v>
      </c>
      <c r="D70" s="251" t="str">
        <f>IF('RELACIÓN DE FACTURAS'!N74="","",'RELACIÓN DE FACTURAS'!N74)</f>
        <v/>
      </c>
      <c r="E70" s="252" t="str">
        <f>IF(D70="SEGUNDO PAGO O POSTERIORES",E69,IF('RELACIÓN DE FACTURAS'!O74="","",'RELACIÓN DE FACTURAS'!O74))</f>
        <v/>
      </c>
      <c r="F70" s="253" t="str">
        <f>IF(D70="SEGUNDO PAGO O POSTERIORES",F69,IF('RELACIÓN DE FACTURAS'!Q74="","",'RELACIÓN DE FACTURAS'!Q74))</f>
        <v/>
      </c>
      <c r="G70" s="254" t="str">
        <f>IF(D70="","",IF(AND(D70="NUEVA FACTURA",'RELACIÓN DE FACTURAS'!P74=""),"",IF(AND(D70="NUEVA FACTURA",'RELACIÓN DE FACTURAS'!P74&lt;&gt;""),'RELACIÓN DE FACTURAS'!P74,IF(D70="SEGUNDO PAGO O POSTERIORES",G69,""))))</f>
        <v/>
      </c>
      <c r="H70" s="255"/>
      <c r="I70" s="256" t="str">
        <f>IF(D70="","",IF(J70="","REVISAR",IF(OR(J70&lt;EXPEDIENTE!$I$25,J70&gt;EXPEDIENTE!$I$27),"SI","NO")))</f>
        <v/>
      </c>
      <c r="J70" s="257" t="str">
        <f t="shared" si="8"/>
        <v/>
      </c>
      <c r="K70" s="254" t="str">
        <f>IF(D70="","",IF('RELACIÓN DE FACTURAS'!AE74="","",'RELACIÓN DE FACTURAS'!AE74))</f>
        <v/>
      </c>
      <c r="L70" s="255"/>
      <c r="M70" s="256" t="str">
        <f>IF(D70="","",IF(N70="","REVISAR",IF(OR(N70&lt;EXPEDIENTE!$I$25,N70&gt;EXPEDIENTE!$I$29),"SI","NO")))</f>
        <v/>
      </c>
      <c r="N70" s="258" t="str">
        <f t="shared" si="9"/>
        <v/>
      </c>
      <c r="O70" s="259">
        <f>IF(N70&lt;EXPEDIENTE!$I$25,-1,IF(N70&gt;EXPEDIENTE!$I$29,1,0))</f>
        <v>0</v>
      </c>
      <c r="P70" s="260" t="str">
        <f t="shared" si="10"/>
        <v/>
      </c>
      <c r="Q70" s="255"/>
      <c r="R70" s="261"/>
      <c r="S70" s="262" t="str">
        <f>IF(OR(Q70="",R70=""),"",IF(Q70&gt;EXPEDIENTE!$I$27,"",MIN(DATE(YEAR(Q70),MONTH(Q70),DAY(Q70)+R70),EXPEDIENTE!$I$29)))</f>
        <v/>
      </c>
      <c r="T70" s="263" t="str">
        <f>IF(D70="","",IF(AND(P70="NO",Q70="",S70=""),"NO",IF(Q70&gt;EXPEDIENTE!$I$27,"ENTREGA FUERA PLAZO",IF(OR(Q70="",R70=""),"PDTE",IF(S70&lt;N70,"SI","NO")))))</f>
        <v/>
      </c>
      <c r="U70" s="264" t="str">
        <f>IF('RELACIÓN DE FACTURAS'!W74="","",'RELACIÓN DE FACTURAS'!W74)</f>
        <v/>
      </c>
      <c r="V70" s="265" t="str">
        <f>IF('RELACIÓN DE FACTURAS'!X74="","",'RELACIÓN DE FACTURAS'!X74)</f>
        <v/>
      </c>
      <c r="W70" s="266"/>
      <c r="X70" s="287" t="str">
        <f t="shared" si="11"/>
        <v/>
      </c>
      <c r="Y70" s="267"/>
    </row>
    <row r="71" spans="2:25" ht="39.950000000000003" customHeight="1" x14ac:dyDescent="0.2">
      <c r="B71" s="122">
        <f>IF(Y71&lt;&gt;"",MAX($B$5:B70)+1,0)</f>
        <v>0</v>
      </c>
      <c r="C71" s="124">
        <v>67</v>
      </c>
      <c r="D71" s="251" t="str">
        <f>IF('RELACIÓN DE FACTURAS'!N75="","",'RELACIÓN DE FACTURAS'!N75)</f>
        <v/>
      </c>
      <c r="E71" s="252" t="str">
        <f>IF(D71="SEGUNDO PAGO O POSTERIORES",E70,IF('RELACIÓN DE FACTURAS'!O75="","",'RELACIÓN DE FACTURAS'!O75))</f>
        <v/>
      </c>
      <c r="F71" s="253" t="str">
        <f>IF(D71="SEGUNDO PAGO O POSTERIORES",F70,IF('RELACIÓN DE FACTURAS'!Q75="","",'RELACIÓN DE FACTURAS'!Q75))</f>
        <v/>
      </c>
      <c r="G71" s="254" t="str">
        <f>IF(D71="","",IF(AND(D71="NUEVA FACTURA",'RELACIÓN DE FACTURAS'!P75=""),"",IF(AND(D71="NUEVA FACTURA",'RELACIÓN DE FACTURAS'!P75&lt;&gt;""),'RELACIÓN DE FACTURAS'!P75,IF(D71="SEGUNDO PAGO O POSTERIORES",G70,""))))</f>
        <v/>
      </c>
      <c r="H71" s="255"/>
      <c r="I71" s="256" t="str">
        <f>IF(D71="","",IF(J71="","REVISAR",IF(OR(J71&lt;EXPEDIENTE!$I$25,J71&gt;EXPEDIENTE!$I$27),"SI","NO")))</f>
        <v/>
      </c>
      <c r="J71" s="257" t="str">
        <f t="shared" si="8"/>
        <v/>
      </c>
      <c r="K71" s="254" t="str">
        <f>IF(D71="","",IF('RELACIÓN DE FACTURAS'!AE75="","",'RELACIÓN DE FACTURAS'!AE75))</f>
        <v/>
      </c>
      <c r="L71" s="255"/>
      <c r="M71" s="256" t="str">
        <f>IF(D71="","",IF(N71="","REVISAR",IF(OR(N71&lt;EXPEDIENTE!$I$25,N71&gt;EXPEDIENTE!$I$29),"SI","NO")))</f>
        <v/>
      </c>
      <c r="N71" s="258" t="str">
        <f t="shared" si="9"/>
        <v/>
      </c>
      <c r="O71" s="259">
        <f>IF(N71&lt;EXPEDIENTE!$I$25,-1,IF(N71&gt;EXPEDIENTE!$I$29,1,0))</f>
        <v>0</v>
      </c>
      <c r="P71" s="260" t="str">
        <f t="shared" si="10"/>
        <v/>
      </c>
      <c r="Q71" s="255"/>
      <c r="R71" s="261"/>
      <c r="S71" s="262" t="str">
        <f>IF(OR(Q71="",R71=""),"",IF(Q71&gt;EXPEDIENTE!$I$27,"",MIN(DATE(YEAR(Q71),MONTH(Q71),DAY(Q71)+R71),EXPEDIENTE!$I$29)))</f>
        <v/>
      </c>
      <c r="T71" s="263" t="str">
        <f>IF(D71="","",IF(AND(P71="NO",Q71="",S71=""),"NO",IF(Q71&gt;EXPEDIENTE!$I$27,"ENTREGA FUERA PLAZO",IF(OR(Q71="",R71=""),"PDTE",IF(S71&lt;N71,"SI","NO")))))</f>
        <v/>
      </c>
      <c r="U71" s="264" t="str">
        <f>IF('RELACIÓN DE FACTURAS'!W75="","",'RELACIÓN DE FACTURAS'!W75)</f>
        <v/>
      </c>
      <c r="V71" s="265" t="str">
        <f>IF('RELACIÓN DE FACTURAS'!X75="","",'RELACIÓN DE FACTURAS'!X75)</f>
        <v/>
      </c>
      <c r="W71" s="266"/>
      <c r="X71" s="287" t="str">
        <f t="shared" si="11"/>
        <v/>
      </c>
      <c r="Y71" s="267"/>
    </row>
    <row r="72" spans="2:25" ht="39.950000000000003" customHeight="1" x14ac:dyDescent="0.2">
      <c r="B72" s="122">
        <f>IF(Y72&lt;&gt;"",MAX($B$5:B71)+1,0)</f>
        <v>0</v>
      </c>
      <c r="C72" s="124">
        <v>68</v>
      </c>
      <c r="D72" s="251" t="str">
        <f>IF('RELACIÓN DE FACTURAS'!N76="","",'RELACIÓN DE FACTURAS'!N76)</f>
        <v/>
      </c>
      <c r="E72" s="252" t="str">
        <f>IF(D72="SEGUNDO PAGO O POSTERIORES",E71,IF('RELACIÓN DE FACTURAS'!O76="","",'RELACIÓN DE FACTURAS'!O76))</f>
        <v/>
      </c>
      <c r="F72" s="253" t="str">
        <f>IF(D72="SEGUNDO PAGO O POSTERIORES",F71,IF('RELACIÓN DE FACTURAS'!Q76="","",'RELACIÓN DE FACTURAS'!Q76))</f>
        <v/>
      </c>
      <c r="G72" s="254" t="str">
        <f>IF(D72="","",IF(AND(D72="NUEVA FACTURA",'RELACIÓN DE FACTURAS'!P76=""),"",IF(AND(D72="NUEVA FACTURA",'RELACIÓN DE FACTURAS'!P76&lt;&gt;""),'RELACIÓN DE FACTURAS'!P76,IF(D72="SEGUNDO PAGO O POSTERIORES",G71,""))))</f>
        <v/>
      </c>
      <c r="H72" s="255"/>
      <c r="I72" s="256" t="str">
        <f>IF(D72="","",IF(J72="","REVISAR",IF(OR(J72&lt;EXPEDIENTE!$I$25,J72&gt;EXPEDIENTE!$I$27),"SI","NO")))</f>
        <v/>
      </c>
      <c r="J72" s="257" t="str">
        <f t="shared" si="8"/>
        <v/>
      </c>
      <c r="K72" s="254" t="str">
        <f>IF(D72="","",IF('RELACIÓN DE FACTURAS'!AE76="","",'RELACIÓN DE FACTURAS'!AE76))</f>
        <v/>
      </c>
      <c r="L72" s="255"/>
      <c r="M72" s="256" t="str">
        <f>IF(D72="","",IF(N72="","REVISAR",IF(OR(N72&lt;EXPEDIENTE!$I$25,N72&gt;EXPEDIENTE!$I$29),"SI","NO")))</f>
        <v/>
      </c>
      <c r="N72" s="258" t="str">
        <f t="shared" si="9"/>
        <v/>
      </c>
      <c r="O72" s="259">
        <f>IF(N72&lt;EXPEDIENTE!$I$25,-1,IF(N72&gt;EXPEDIENTE!$I$29,1,0))</f>
        <v>0</v>
      </c>
      <c r="P72" s="260" t="str">
        <f t="shared" si="10"/>
        <v/>
      </c>
      <c r="Q72" s="255"/>
      <c r="R72" s="261"/>
      <c r="S72" s="262" t="str">
        <f>IF(OR(Q72="",R72=""),"",IF(Q72&gt;EXPEDIENTE!$I$27,"",MIN(DATE(YEAR(Q72),MONTH(Q72),DAY(Q72)+R72),EXPEDIENTE!$I$29)))</f>
        <v/>
      </c>
      <c r="T72" s="263" t="str">
        <f>IF(D72="","",IF(AND(P72="NO",Q72="",S72=""),"NO",IF(Q72&gt;EXPEDIENTE!$I$27,"ENTREGA FUERA PLAZO",IF(OR(Q72="",R72=""),"PDTE",IF(S72&lt;N72,"SI","NO")))))</f>
        <v/>
      </c>
      <c r="U72" s="264" t="str">
        <f>IF('RELACIÓN DE FACTURAS'!W76="","",'RELACIÓN DE FACTURAS'!W76)</f>
        <v/>
      </c>
      <c r="V72" s="265" t="str">
        <f>IF('RELACIÓN DE FACTURAS'!X76="","",'RELACIÓN DE FACTURAS'!X76)</f>
        <v/>
      </c>
      <c r="W72" s="266"/>
      <c r="X72" s="287" t="str">
        <f t="shared" si="11"/>
        <v/>
      </c>
      <c r="Y72" s="267"/>
    </row>
    <row r="73" spans="2:25" ht="39.950000000000003" customHeight="1" x14ac:dyDescent="0.2">
      <c r="B73" s="122">
        <f>IF(Y73&lt;&gt;"",MAX($B$5:B72)+1,0)</f>
        <v>0</v>
      </c>
      <c r="C73" s="124">
        <v>69</v>
      </c>
      <c r="D73" s="251" t="str">
        <f>IF('RELACIÓN DE FACTURAS'!N77="","",'RELACIÓN DE FACTURAS'!N77)</f>
        <v/>
      </c>
      <c r="E73" s="252" t="str">
        <f>IF(D73="SEGUNDO PAGO O POSTERIORES",E72,IF('RELACIÓN DE FACTURAS'!O77="","",'RELACIÓN DE FACTURAS'!O77))</f>
        <v/>
      </c>
      <c r="F73" s="253" t="str">
        <f>IF(D73="SEGUNDO PAGO O POSTERIORES",F72,IF('RELACIÓN DE FACTURAS'!Q77="","",'RELACIÓN DE FACTURAS'!Q77))</f>
        <v/>
      </c>
      <c r="G73" s="254" t="str">
        <f>IF(D73="","",IF(AND(D73="NUEVA FACTURA",'RELACIÓN DE FACTURAS'!P77=""),"",IF(AND(D73="NUEVA FACTURA",'RELACIÓN DE FACTURAS'!P77&lt;&gt;""),'RELACIÓN DE FACTURAS'!P77,IF(D73="SEGUNDO PAGO O POSTERIORES",G72,""))))</f>
        <v/>
      </c>
      <c r="H73" s="255"/>
      <c r="I73" s="256" t="str">
        <f>IF(D73="","",IF(J73="","REVISAR",IF(OR(J73&lt;EXPEDIENTE!$I$25,J73&gt;EXPEDIENTE!$I$27),"SI","NO")))</f>
        <v/>
      </c>
      <c r="J73" s="257" t="str">
        <f t="shared" si="8"/>
        <v/>
      </c>
      <c r="K73" s="254" t="str">
        <f>IF(D73="","",IF('RELACIÓN DE FACTURAS'!AE77="","",'RELACIÓN DE FACTURAS'!AE77))</f>
        <v/>
      </c>
      <c r="L73" s="255"/>
      <c r="M73" s="256" t="str">
        <f>IF(D73="","",IF(N73="","REVISAR",IF(OR(N73&lt;EXPEDIENTE!$I$25,N73&gt;EXPEDIENTE!$I$29),"SI","NO")))</f>
        <v/>
      </c>
      <c r="N73" s="258" t="str">
        <f t="shared" si="9"/>
        <v/>
      </c>
      <c r="O73" s="259">
        <f>IF(N73&lt;EXPEDIENTE!$I$25,-1,IF(N73&gt;EXPEDIENTE!$I$29,1,0))</f>
        <v>0</v>
      </c>
      <c r="P73" s="260" t="str">
        <f t="shared" si="10"/>
        <v/>
      </c>
      <c r="Q73" s="255"/>
      <c r="R73" s="261"/>
      <c r="S73" s="262" t="str">
        <f>IF(OR(Q73="",R73=""),"",IF(Q73&gt;EXPEDIENTE!$I$27,"",MIN(DATE(YEAR(Q73),MONTH(Q73),DAY(Q73)+R73),EXPEDIENTE!$I$29)))</f>
        <v/>
      </c>
      <c r="T73" s="263" t="str">
        <f>IF(D73="","",IF(AND(P73="NO",Q73="",S73=""),"NO",IF(Q73&gt;EXPEDIENTE!$I$27,"ENTREGA FUERA PLAZO",IF(OR(Q73="",R73=""),"PDTE",IF(S73&lt;N73,"SI","NO")))))</f>
        <v/>
      </c>
      <c r="U73" s="264" t="str">
        <f>IF('RELACIÓN DE FACTURAS'!W77="","",'RELACIÓN DE FACTURAS'!W77)</f>
        <v/>
      </c>
      <c r="V73" s="265" t="str">
        <f>IF('RELACIÓN DE FACTURAS'!X77="","",'RELACIÓN DE FACTURAS'!X77)</f>
        <v/>
      </c>
      <c r="W73" s="266"/>
      <c r="X73" s="287" t="str">
        <f t="shared" si="11"/>
        <v/>
      </c>
      <c r="Y73" s="267"/>
    </row>
    <row r="74" spans="2:25" ht="39.950000000000003" customHeight="1" x14ac:dyDescent="0.2">
      <c r="B74" s="122">
        <f>IF(Y74&lt;&gt;"",MAX($B$5:B73)+1,0)</f>
        <v>0</v>
      </c>
      <c r="C74" s="124">
        <v>70</v>
      </c>
      <c r="D74" s="251" t="str">
        <f>IF('RELACIÓN DE FACTURAS'!N78="","",'RELACIÓN DE FACTURAS'!N78)</f>
        <v/>
      </c>
      <c r="E74" s="252" t="str">
        <f>IF(D74="SEGUNDO PAGO O POSTERIORES",E73,IF('RELACIÓN DE FACTURAS'!O78="","",'RELACIÓN DE FACTURAS'!O78))</f>
        <v/>
      </c>
      <c r="F74" s="253" t="str">
        <f>IF(D74="SEGUNDO PAGO O POSTERIORES",F73,IF('RELACIÓN DE FACTURAS'!Q78="","",'RELACIÓN DE FACTURAS'!Q78))</f>
        <v/>
      </c>
      <c r="G74" s="254" t="str">
        <f>IF(D74="","",IF(AND(D74="NUEVA FACTURA",'RELACIÓN DE FACTURAS'!P78=""),"",IF(AND(D74="NUEVA FACTURA",'RELACIÓN DE FACTURAS'!P78&lt;&gt;""),'RELACIÓN DE FACTURAS'!P78,IF(D74="SEGUNDO PAGO O POSTERIORES",G73,""))))</f>
        <v/>
      </c>
      <c r="H74" s="255"/>
      <c r="I74" s="256" t="str">
        <f>IF(D74="","",IF(J74="","REVISAR",IF(OR(J74&lt;EXPEDIENTE!$I$25,J74&gt;EXPEDIENTE!$I$27),"SI","NO")))</f>
        <v/>
      </c>
      <c r="J74" s="257" t="str">
        <f t="shared" si="8"/>
        <v/>
      </c>
      <c r="K74" s="254" t="str">
        <f>IF(D74="","",IF('RELACIÓN DE FACTURAS'!AE78="","",'RELACIÓN DE FACTURAS'!AE78))</f>
        <v/>
      </c>
      <c r="L74" s="255"/>
      <c r="M74" s="256" t="str">
        <f>IF(D74="","",IF(N74="","REVISAR",IF(OR(N74&lt;EXPEDIENTE!$I$25,N74&gt;EXPEDIENTE!$I$29),"SI","NO")))</f>
        <v/>
      </c>
      <c r="N74" s="258" t="str">
        <f t="shared" si="9"/>
        <v/>
      </c>
      <c r="O74" s="259">
        <f>IF(N74&lt;EXPEDIENTE!$I$25,-1,IF(N74&gt;EXPEDIENTE!$I$29,1,0))</f>
        <v>0</v>
      </c>
      <c r="P74" s="260" t="str">
        <f t="shared" si="10"/>
        <v/>
      </c>
      <c r="Q74" s="255"/>
      <c r="R74" s="261"/>
      <c r="S74" s="262" t="str">
        <f>IF(OR(Q74="",R74=""),"",IF(Q74&gt;EXPEDIENTE!$I$27,"",MIN(DATE(YEAR(Q74),MONTH(Q74),DAY(Q74)+R74),EXPEDIENTE!$I$29)))</f>
        <v/>
      </c>
      <c r="T74" s="263" t="str">
        <f>IF(D74="","",IF(AND(P74="NO",Q74="",S74=""),"NO",IF(Q74&gt;EXPEDIENTE!$I$27,"ENTREGA FUERA PLAZO",IF(OR(Q74="",R74=""),"PDTE",IF(S74&lt;N74,"SI","NO")))))</f>
        <v/>
      </c>
      <c r="U74" s="264" t="str">
        <f>IF('RELACIÓN DE FACTURAS'!W78="","",'RELACIÓN DE FACTURAS'!W78)</f>
        <v/>
      </c>
      <c r="V74" s="265" t="str">
        <f>IF('RELACIÓN DE FACTURAS'!X78="","",'RELACIÓN DE FACTURAS'!X78)</f>
        <v/>
      </c>
      <c r="W74" s="266"/>
      <c r="X74" s="287" t="str">
        <f t="shared" si="11"/>
        <v/>
      </c>
      <c r="Y74" s="267"/>
    </row>
    <row r="75" spans="2:25" ht="39.950000000000003" customHeight="1" x14ac:dyDescent="0.2">
      <c r="B75" s="122">
        <f>IF(Y75&lt;&gt;"",MAX($B$5:B74)+1,0)</f>
        <v>0</v>
      </c>
      <c r="C75" s="124">
        <v>71</v>
      </c>
      <c r="D75" s="251" t="str">
        <f>IF('RELACIÓN DE FACTURAS'!N79="","",'RELACIÓN DE FACTURAS'!N79)</f>
        <v/>
      </c>
      <c r="E75" s="252" t="str">
        <f>IF(D75="SEGUNDO PAGO O POSTERIORES",E74,IF('RELACIÓN DE FACTURAS'!O79="","",'RELACIÓN DE FACTURAS'!O79))</f>
        <v/>
      </c>
      <c r="F75" s="253" t="str">
        <f>IF(D75="SEGUNDO PAGO O POSTERIORES",F74,IF('RELACIÓN DE FACTURAS'!Q79="","",'RELACIÓN DE FACTURAS'!Q79))</f>
        <v/>
      </c>
      <c r="G75" s="254" t="str">
        <f>IF(D75="","",IF(AND(D75="NUEVA FACTURA",'RELACIÓN DE FACTURAS'!P79=""),"",IF(AND(D75="NUEVA FACTURA",'RELACIÓN DE FACTURAS'!P79&lt;&gt;""),'RELACIÓN DE FACTURAS'!P79,IF(D75="SEGUNDO PAGO O POSTERIORES",G74,""))))</f>
        <v/>
      </c>
      <c r="H75" s="255"/>
      <c r="I75" s="256" t="str">
        <f>IF(D75="","",IF(J75="","REVISAR",IF(OR(J75&lt;EXPEDIENTE!$I$25,J75&gt;EXPEDIENTE!$I$27),"SI","NO")))</f>
        <v/>
      </c>
      <c r="J75" s="257" t="str">
        <f t="shared" si="8"/>
        <v/>
      </c>
      <c r="K75" s="254" t="str">
        <f>IF(D75="","",IF('RELACIÓN DE FACTURAS'!AE79="","",'RELACIÓN DE FACTURAS'!AE79))</f>
        <v/>
      </c>
      <c r="L75" s="255"/>
      <c r="M75" s="256" t="str">
        <f>IF(D75="","",IF(N75="","REVISAR",IF(OR(N75&lt;EXPEDIENTE!$I$25,N75&gt;EXPEDIENTE!$I$29),"SI","NO")))</f>
        <v/>
      </c>
      <c r="N75" s="258" t="str">
        <f t="shared" si="9"/>
        <v/>
      </c>
      <c r="O75" s="259">
        <f>IF(N75&lt;EXPEDIENTE!$I$25,-1,IF(N75&gt;EXPEDIENTE!$I$29,1,0))</f>
        <v>0</v>
      </c>
      <c r="P75" s="260" t="str">
        <f t="shared" si="10"/>
        <v/>
      </c>
      <c r="Q75" s="255"/>
      <c r="R75" s="261"/>
      <c r="S75" s="262" t="str">
        <f>IF(OR(Q75="",R75=""),"",IF(Q75&gt;EXPEDIENTE!$I$27,"",MIN(DATE(YEAR(Q75),MONTH(Q75),DAY(Q75)+R75),EXPEDIENTE!$I$29)))</f>
        <v/>
      </c>
      <c r="T75" s="263" t="str">
        <f>IF(D75="","",IF(AND(P75="NO",Q75="",S75=""),"NO",IF(Q75&gt;EXPEDIENTE!$I$27,"ENTREGA FUERA PLAZO",IF(OR(Q75="",R75=""),"PDTE",IF(S75&lt;N75,"SI","NO")))))</f>
        <v/>
      </c>
      <c r="U75" s="264" t="str">
        <f>IF('RELACIÓN DE FACTURAS'!W79="","",'RELACIÓN DE FACTURAS'!W79)</f>
        <v/>
      </c>
      <c r="V75" s="265" t="str">
        <f>IF('RELACIÓN DE FACTURAS'!X79="","",'RELACIÓN DE FACTURAS'!X79)</f>
        <v/>
      </c>
      <c r="W75" s="266"/>
      <c r="X75" s="287" t="str">
        <f t="shared" si="11"/>
        <v/>
      </c>
      <c r="Y75" s="267"/>
    </row>
    <row r="76" spans="2:25" ht="39.950000000000003" customHeight="1" x14ac:dyDescent="0.2">
      <c r="B76" s="122">
        <f>IF(Y76&lt;&gt;"",MAX($B$5:B75)+1,0)</f>
        <v>0</v>
      </c>
      <c r="C76" s="124">
        <v>72</v>
      </c>
      <c r="D76" s="251" t="str">
        <f>IF('RELACIÓN DE FACTURAS'!N80="","",'RELACIÓN DE FACTURAS'!N80)</f>
        <v/>
      </c>
      <c r="E76" s="252" t="str">
        <f>IF(D76="SEGUNDO PAGO O POSTERIORES",E75,IF('RELACIÓN DE FACTURAS'!O80="","",'RELACIÓN DE FACTURAS'!O80))</f>
        <v/>
      </c>
      <c r="F76" s="253" t="str">
        <f>IF(D76="SEGUNDO PAGO O POSTERIORES",F75,IF('RELACIÓN DE FACTURAS'!Q80="","",'RELACIÓN DE FACTURAS'!Q80))</f>
        <v/>
      </c>
      <c r="G76" s="254" t="str">
        <f>IF(D76="","",IF(AND(D76="NUEVA FACTURA",'RELACIÓN DE FACTURAS'!P80=""),"",IF(AND(D76="NUEVA FACTURA",'RELACIÓN DE FACTURAS'!P80&lt;&gt;""),'RELACIÓN DE FACTURAS'!P80,IF(D76="SEGUNDO PAGO O POSTERIORES",G75,""))))</f>
        <v/>
      </c>
      <c r="H76" s="255"/>
      <c r="I76" s="256" t="str">
        <f>IF(D76="","",IF(J76="","REVISAR",IF(OR(J76&lt;EXPEDIENTE!$I$25,J76&gt;EXPEDIENTE!$I$27),"SI","NO")))</f>
        <v/>
      </c>
      <c r="J76" s="257" t="str">
        <f t="shared" si="8"/>
        <v/>
      </c>
      <c r="K76" s="254" t="str">
        <f>IF(D76="","",IF('RELACIÓN DE FACTURAS'!AE80="","",'RELACIÓN DE FACTURAS'!AE80))</f>
        <v/>
      </c>
      <c r="L76" s="255"/>
      <c r="M76" s="256" t="str">
        <f>IF(D76="","",IF(N76="","REVISAR",IF(OR(N76&lt;EXPEDIENTE!$I$25,N76&gt;EXPEDIENTE!$I$29),"SI","NO")))</f>
        <v/>
      </c>
      <c r="N76" s="258" t="str">
        <f t="shared" si="9"/>
        <v/>
      </c>
      <c r="O76" s="259">
        <f>IF(N76&lt;EXPEDIENTE!$I$25,-1,IF(N76&gt;EXPEDIENTE!$I$29,1,0))</f>
        <v>0</v>
      </c>
      <c r="P76" s="260" t="str">
        <f t="shared" si="10"/>
        <v/>
      </c>
      <c r="Q76" s="255"/>
      <c r="R76" s="261"/>
      <c r="S76" s="262" t="str">
        <f>IF(OR(Q76="",R76=""),"",IF(Q76&gt;EXPEDIENTE!$I$27,"",MIN(DATE(YEAR(Q76),MONTH(Q76),DAY(Q76)+R76),EXPEDIENTE!$I$29)))</f>
        <v/>
      </c>
      <c r="T76" s="263" t="str">
        <f>IF(D76="","",IF(AND(P76="NO",Q76="",S76=""),"NO",IF(Q76&gt;EXPEDIENTE!$I$27,"ENTREGA FUERA PLAZO",IF(OR(Q76="",R76=""),"PDTE",IF(S76&lt;N76,"SI","NO")))))</f>
        <v/>
      </c>
      <c r="U76" s="264" t="str">
        <f>IF('RELACIÓN DE FACTURAS'!W80="","",'RELACIÓN DE FACTURAS'!W80)</f>
        <v/>
      </c>
      <c r="V76" s="265" t="str">
        <f>IF('RELACIÓN DE FACTURAS'!X80="","",'RELACIÓN DE FACTURAS'!X80)</f>
        <v/>
      </c>
      <c r="W76" s="266"/>
      <c r="X76" s="287" t="str">
        <f t="shared" si="11"/>
        <v/>
      </c>
      <c r="Y76" s="267"/>
    </row>
    <row r="77" spans="2:25" ht="39.950000000000003" customHeight="1" x14ac:dyDescent="0.2">
      <c r="B77" s="122">
        <f>IF(Y77&lt;&gt;"",MAX($B$5:B76)+1,0)</f>
        <v>0</v>
      </c>
      <c r="C77" s="124">
        <v>73</v>
      </c>
      <c r="D77" s="251" t="str">
        <f>IF('RELACIÓN DE FACTURAS'!N81="","",'RELACIÓN DE FACTURAS'!N81)</f>
        <v/>
      </c>
      <c r="E77" s="252" t="str">
        <f>IF(D77="SEGUNDO PAGO O POSTERIORES",E76,IF('RELACIÓN DE FACTURAS'!O81="","",'RELACIÓN DE FACTURAS'!O81))</f>
        <v/>
      </c>
      <c r="F77" s="253" t="str">
        <f>IF(D77="SEGUNDO PAGO O POSTERIORES",F76,IF('RELACIÓN DE FACTURAS'!Q81="","",'RELACIÓN DE FACTURAS'!Q81))</f>
        <v/>
      </c>
      <c r="G77" s="254" t="str">
        <f>IF(D77="","",IF(AND(D77="NUEVA FACTURA",'RELACIÓN DE FACTURAS'!P81=""),"",IF(AND(D77="NUEVA FACTURA",'RELACIÓN DE FACTURAS'!P81&lt;&gt;""),'RELACIÓN DE FACTURAS'!P81,IF(D77="SEGUNDO PAGO O POSTERIORES",G76,""))))</f>
        <v/>
      </c>
      <c r="H77" s="255"/>
      <c r="I77" s="256" t="str">
        <f>IF(D77="","",IF(J77="","REVISAR",IF(OR(J77&lt;EXPEDIENTE!$I$25,J77&gt;EXPEDIENTE!$I$27),"SI","NO")))</f>
        <v/>
      </c>
      <c r="J77" s="257" t="str">
        <f t="shared" si="8"/>
        <v/>
      </c>
      <c r="K77" s="254" t="str">
        <f>IF(D77="","",IF('RELACIÓN DE FACTURAS'!AE81="","",'RELACIÓN DE FACTURAS'!AE81))</f>
        <v/>
      </c>
      <c r="L77" s="255"/>
      <c r="M77" s="256" t="str">
        <f>IF(D77="","",IF(N77="","REVISAR",IF(OR(N77&lt;EXPEDIENTE!$I$25,N77&gt;EXPEDIENTE!$I$29),"SI","NO")))</f>
        <v/>
      </c>
      <c r="N77" s="258" t="str">
        <f t="shared" si="9"/>
        <v/>
      </c>
      <c r="O77" s="259">
        <f>IF(N77&lt;EXPEDIENTE!$I$25,-1,IF(N77&gt;EXPEDIENTE!$I$29,1,0))</f>
        <v>0</v>
      </c>
      <c r="P77" s="260" t="str">
        <f t="shared" si="10"/>
        <v/>
      </c>
      <c r="Q77" s="255"/>
      <c r="R77" s="261"/>
      <c r="S77" s="262" t="str">
        <f>IF(OR(Q77="",R77=""),"",IF(Q77&gt;EXPEDIENTE!$I$27,"",MIN(DATE(YEAR(Q77),MONTH(Q77),DAY(Q77)+R77),EXPEDIENTE!$I$29)))</f>
        <v/>
      </c>
      <c r="T77" s="263" t="str">
        <f>IF(D77="","",IF(AND(P77="NO",Q77="",S77=""),"NO",IF(Q77&gt;EXPEDIENTE!$I$27,"ENTREGA FUERA PLAZO",IF(OR(Q77="",R77=""),"PDTE",IF(S77&lt;N77,"SI","NO")))))</f>
        <v/>
      </c>
      <c r="U77" s="264" t="str">
        <f>IF('RELACIÓN DE FACTURAS'!W81="","",'RELACIÓN DE FACTURAS'!W81)</f>
        <v/>
      </c>
      <c r="V77" s="265" t="str">
        <f>IF('RELACIÓN DE FACTURAS'!X81="","",'RELACIÓN DE FACTURAS'!X81)</f>
        <v/>
      </c>
      <c r="W77" s="266"/>
      <c r="X77" s="287" t="str">
        <f t="shared" si="11"/>
        <v/>
      </c>
      <c r="Y77" s="267"/>
    </row>
    <row r="78" spans="2:25" ht="39.950000000000003" customHeight="1" x14ac:dyDescent="0.2">
      <c r="B78" s="122">
        <f>IF(Y78&lt;&gt;"",MAX($B$5:B77)+1,0)</f>
        <v>0</v>
      </c>
      <c r="C78" s="124">
        <v>74</v>
      </c>
      <c r="D78" s="251" t="str">
        <f>IF('RELACIÓN DE FACTURAS'!N82="","",'RELACIÓN DE FACTURAS'!N82)</f>
        <v/>
      </c>
      <c r="E78" s="252" t="str">
        <f>IF(D78="SEGUNDO PAGO O POSTERIORES",E77,IF('RELACIÓN DE FACTURAS'!O82="","",'RELACIÓN DE FACTURAS'!O82))</f>
        <v/>
      </c>
      <c r="F78" s="253" t="str">
        <f>IF(D78="SEGUNDO PAGO O POSTERIORES",F77,IF('RELACIÓN DE FACTURAS'!Q82="","",'RELACIÓN DE FACTURAS'!Q82))</f>
        <v/>
      </c>
      <c r="G78" s="254" t="str">
        <f>IF(D78="","",IF(AND(D78="NUEVA FACTURA",'RELACIÓN DE FACTURAS'!P82=""),"",IF(AND(D78="NUEVA FACTURA",'RELACIÓN DE FACTURAS'!P82&lt;&gt;""),'RELACIÓN DE FACTURAS'!P82,IF(D78="SEGUNDO PAGO O POSTERIORES",G77,""))))</f>
        <v/>
      </c>
      <c r="H78" s="255"/>
      <c r="I78" s="256" t="str">
        <f>IF(D78="","",IF(J78="","REVISAR",IF(OR(J78&lt;EXPEDIENTE!$I$25,J78&gt;EXPEDIENTE!$I$27),"SI","NO")))</f>
        <v/>
      </c>
      <c r="J78" s="257" t="str">
        <f t="shared" si="8"/>
        <v/>
      </c>
      <c r="K78" s="254" t="str">
        <f>IF(D78="","",IF('RELACIÓN DE FACTURAS'!AE82="","",'RELACIÓN DE FACTURAS'!AE82))</f>
        <v/>
      </c>
      <c r="L78" s="255"/>
      <c r="M78" s="256" t="str">
        <f>IF(D78="","",IF(N78="","REVISAR",IF(OR(N78&lt;EXPEDIENTE!$I$25,N78&gt;EXPEDIENTE!$I$29),"SI","NO")))</f>
        <v/>
      </c>
      <c r="N78" s="258" t="str">
        <f t="shared" si="9"/>
        <v/>
      </c>
      <c r="O78" s="259">
        <f>IF(N78&lt;EXPEDIENTE!$I$25,-1,IF(N78&gt;EXPEDIENTE!$I$29,1,0))</f>
        <v>0</v>
      </c>
      <c r="P78" s="260" t="str">
        <f t="shared" si="10"/>
        <v/>
      </c>
      <c r="Q78" s="255"/>
      <c r="R78" s="261"/>
      <c r="S78" s="262" t="str">
        <f>IF(OR(Q78="",R78=""),"",IF(Q78&gt;EXPEDIENTE!$I$27,"",MIN(DATE(YEAR(Q78),MONTH(Q78),DAY(Q78)+R78),EXPEDIENTE!$I$29)))</f>
        <v/>
      </c>
      <c r="T78" s="263" t="str">
        <f>IF(D78="","",IF(AND(P78="NO",Q78="",S78=""),"NO",IF(Q78&gt;EXPEDIENTE!$I$27,"ENTREGA FUERA PLAZO",IF(OR(Q78="",R78=""),"PDTE",IF(S78&lt;N78,"SI","NO")))))</f>
        <v/>
      </c>
      <c r="U78" s="264" t="str">
        <f>IF('RELACIÓN DE FACTURAS'!W82="","",'RELACIÓN DE FACTURAS'!W82)</f>
        <v/>
      </c>
      <c r="V78" s="265" t="str">
        <f>IF('RELACIÓN DE FACTURAS'!X82="","",'RELACIÓN DE FACTURAS'!X82)</f>
        <v/>
      </c>
      <c r="W78" s="266"/>
      <c r="X78" s="287" t="str">
        <f t="shared" si="11"/>
        <v/>
      </c>
      <c r="Y78" s="267"/>
    </row>
    <row r="79" spans="2:25" ht="39.950000000000003" customHeight="1" thickBot="1" x14ac:dyDescent="0.25">
      <c r="B79" s="122">
        <f>IF(Y79&lt;&gt;"",MAX($B$5:B78)+1,0)</f>
        <v>0</v>
      </c>
      <c r="C79" s="124">
        <v>75</v>
      </c>
      <c r="D79" s="268" t="str">
        <f>IF('RELACIÓN DE FACTURAS'!N83="","",'RELACIÓN DE FACTURAS'!N83)</f>
        <v/>
      </c>
      <c r="E79" s="269" t="str">
        <f>IF(D79="SEGUNDO PAGO O POSTERIORES",E43,IF('RELACIÓN DE FACTURAS'!O83="","",'RELACIÓN DE FACTURAS'!O83))</f>
        <v/>
      </c>
      <c r="F79" s="270" t="str">
        <f>IF(D79="SEGUNDO PAGO O POSTERIORES",F43,IF('RELACIÓN DE FACTURAS'!Q83="","",'RELACIÓN DE FACTURAS'!Q83))</f>
        <v/>
      </c>
      <c r="G79" s="271" t="str">
        <f>IF(D79="","",IF(AND(D79="NUEVA FACTURA",'RELACIÓN DE FACTURAS'!P83=""),"",IF(AND(D79="NUEVA FACTURA",'RELACIÓN DE FACTURAS'!P83&lt;&gt;""),'RELACIÓN DE FACTURAS'!P83,IF(D79="SEGUNDO PAGO O POSTERIORES",G43,""))))</f>
        <v/>
      </c>
      <c r="H79" s="272"/>
      <c r="I79" s="273" t="str">
        <f>IF(D79="","",IF(J79="","REVISAR",IF(OR(J79&lt;EXPEDIENTE!$I$25,J79&gt;EXPEDIENTE!$I$27),"SI","NO")))</f>
        <v/>
      </c>
      <c r="J79" s="274" t="str">
        <f t="shared" si="4"/>
        <v/>
      </c>
      <c r="K79" s="271" t="str">
        <f>IF(D79="","",IF('RELACIÓN DE FACTURAS'!AE83="","",'RELACIÓN DE FACTURAS'!AE83))</f>
        <v/>
      </c>
      <c r="L79" s="272"/>
      <c r="M79" s="273" t="str">
        <f>IF(D79="","",IF(N79="","REVISAR",IF(OR(N79&lt;EXPEDIENTE!$I$25,N79&gt;EXPEDIENTE!$I$29),"SI","NO")))</f>
        <v/>
      </c>
      <c r="N79" s="275" t="str">
        <f t="shared" si="5"/>
        <v/>
      </c>
      <c r="O79" s="276">
        <f>IF(N79&lt;EXPEDIENTE!$I$25,-1,IF(N79&gt;EXPEDIENTE!$I$29,1,0))</f>
        <v>0</v>
      </c>
      <c r="P79" s="277" t="str">
        <f t="shared" si="6"/>
        <v/>
      </c>
      <c r="Q79" s="272"/>
      <c r="R79" s="278"/>
      <c r="S79" s="279" t="str">
        <f>IF(OR(Q79="",R79=""),"",IF(Q79&gt;EXPEDIENTE!$I$27,"",MIN(DATE(YEAR(Q79),MONTH(Q79),DAY(Q79)+R79),EXPEDIENTE!$I$29)))</f>
        <v/>
      </c>
      <c r="T79" s="280" t="str">
        <f>IF(D79="","",IF(AND(P79="NO",Q79="",S79=""),"NO",IF(Q79&gt;EXPEDIENTE!$I$27,"ENTREGA FUERA PLAZO",IF(OR(Q79="",R79=""),"PDTE",IF(S79&lt;N79,"SI","NO")))))</f>
        <v/>
      </c>
      <c r="U79" s="281" t="str">
        <f>IF('RELACIÓN DE FACTURAS'!W83="","",'RELACIÓN DE FACTURAS'!W83)</f>
        <v/>
      </c>
      <c r="V79" s="282" t="str">
        <f>IF('RELACIÓN DE FACTURAS'!X83="","",'RELACIÓN DE FACTURAS'!X83)</f>
        <v/>
      </c>
      <c r="W79" s="283"/>
      <c r="X79" s="288" t="str">
        <f t="shared" si="7"/>
        <v/>
      </c>
      <c r="Y79" s="284"/>
    </row>
    <row r="80" spans="2:25" x14ac:dyDescent="0.2">
      <c r="G80" s="126"/>
      <c r="H80" s="126"/>
      <c r="J80" s="126"/>
      <c r="K80" s="126"/>
      <c r="L80" s="126"/>
      <c r="N80" s="126"/>
      <c r="O80" s="126"/>
    </row>
    <row r="81" spans="21:22" x14ac:dyDescent="0.2">
      <c r="U81" s="285">
        <f>SUM(U5:U79)</f>
        <v>0</v>
      </c>
      <c r="V81" s="285">
        <f>SUM(V5:V79)</f>
        <v>0</v>
      </c>
    </row>
  </sheetData>
  <sheetProtection algorithmName="SHA-512" hashValue="bWbDOR5ENb46c9qOodndmpQS0BZiJDKQtNzUUCu7yt0f+S7VCjv+joHkVQBTWpdzYtNY3ydwTFO9EAeU7Y1DYw==" saltValue="03yrSw97gmPD1niP5Sea6g==" spinCount="100000" sheet="1" objects="1" scenarios="1"/>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392ED7CD-4344-4C76-AF8D-16A44B926EB4}">
            <xm:f>EXPEDIENTE!$I$27</xm:f>
            <x14:dxf>
              <font>
                <b/>
                <i val="0"/>
              </font>
              <fill>
                <patternFill>
                  <bgColor rgb="FFFF7C8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election activeCell="H16" sqref="H16"/>
    </sheetView>
  </sheetViews>
  <sheetFormatPr baseColWidth="10" defaultColWidth="11.42578125" defaultRowHeight="15" x14ac:dyDescent="0.2"/>
  <cols>
    <col min="1" max="1" width="1.7109375" style="122" customWidth="1"/>
    <col min="2" max="2" width="5.7109375" style="122" customWidth="1"/>
    <col min="3" max="3" width="15.7109375" style="122" customWidth="1"/>
    <col min="4" max="4" width="30.7109375" style="122" customWidth="1"/>
    <col min="5" max="5" width="45.85546875" style="122" customWidth="1"/>
    <col min="6" max="6" width="11.42578125" style="122"/>
    <col min="7" max="7" width="11.42578125" style="122" customWidth="1"/>
    <col min="8" max="16384" width="11.42578125" style="122"/>
  </cols>
  <sheetData>
    <row r="1" spans="2:5" ht="15.75" thickBot="1" x14ac:dyDescent="0.25"/>
    <row r="2" spans="2:5" ht="15" customHeight="1" thickBot="1" x14ac:dyDescent="0.25">
      <c r="C2" s="433" t="s">
        <v>160</v>
      </c>
      <c r="D2" s="434"/>
    </row>
    <row r="3" spans="2:5" ht="26.25" customHeight="1" x14ac:dyDescent="0.2">
      <c r="C3" s="289" t="s">
        <v>161</v>
      </c>
      <c r="D3" s="290">
        <f>'RELACIÓN DE FACTURAS'!W84</f>
        <v>0</v>
      </c>
    </row>
    <row r="4" spans="2:5" ht="26.25" customHeight="1" x14ac:dyDescent="0.2">
      <c r="C4" s="291" t="s">
        <v>162</v>
      </c>
      <c r="D4" s="292">
        <f>PAGOS!V81</f>
        <v>0</v>
      </c>
    </row>
    <row r="5" spans="2:5" ht="15.75" thickBot="1" x14ac:dyDescent="0.25"/>
    <row r="6" spans="2:5" ht="15" customHeight="1" thickBot="1" x14ac:dyDescent="0.25">
      <c r="C6" s="433" t="s">
        <v>86</v>
      </c>
      <c r="D6" s="434"/>
    </row>
    <row r="7" spans="2:5" ht="26.25" customHeight="1" x14ac:dyDescent="0.2">
      <c r="C7" s="293" t="s">
        <v>87</v>
      </c>
      <c r="D7" s="294" t="str">
        <f>IF(MIN(PAGOS!$N$5:$N$79)=0,"",MIN(PAGOS!$N$5:$N$79))</f>
        <v/>
      </c>
    </row>
    <row r="8" spans="2:5" ht="26.25" customHeight="1" x14ac:dyDescent="0.2">
      <c r="C8" s="295" t="s">
        <v>88</v>
      </c>
      <c r="D8" s="255" t="str">
        <f>IF(MAX(PAGOS!$N$5:$N$79)=0,"",MAX(PAGOS!$N$5:$N$79))</f>
        <v/>
      </c>
    </row>
    <row r="9" spans="2:5" ht="30" customHeight="1" x14ac:dyDescent="0.2">
      <c r="C9" s="296" t="s">
        <v>89</v>
      </c>
      <c r="D9" s="255" t="str">
        <f>IF(_xlfn.MINIFS(PAGOS!N5:N79,PAGOS!O5:O79,0)=0,"",_xlfn.MINIFS(PAGOS!N5:N79,PAGOS!O5:O79,0))</f>
        <v/>
      </c>
    </row>
    <row r="10" spans="2:5" ht="30" customHeight="1" x14ac:dyDescent="0.2">
      <c r="C10" s="296" t="s">
        <v>90</v>
      </c>
      <c r="D10" s="255" t="str">
        <f>IF(_xlfn.MAXIFS(PAGOS!N5:N79,PAGOS!O5:O79,0)=0,"",_xlfn.MAXIFS(PAGOS!N5:N79,PAGOS!O5:O79,0))</f>
        <v/>
      </c>
    </row>
    <row r="11" spans="2:5" ht="15.75" thickBot="1" x14ac:dyDescent="0.25"/>
    <row r="12" spans="2:5" s="146" customFormat="1" ht="20.100000000000001" customHeight="1" thickBot="1" x14ac:dyDescent="0.25">
      <c r="C12" s="297" t="s">
        <v>48</v>
      </c>
      <c r="D12" s="298" t="s">
        <v>1</v>
      </c>
      <c r="E12" s="299" t="s">
        <v>7</v>
      </c>
    </row>
    <row r="13" spans="2:5" ht="24.95" customHeight="1" x14ac:dyDescent="0.2">
      <c r="B13" s="122">
        <v>1</v>
      </c>
      <c r="C13" s="300" t="str">
        <f>IFERROR(VLOOKUP($B13,PAGOS!$B$5:$Y$79,4,0),"")</f>
        <v/>
      </c>
      <c r="D13" s="301" t="str">
        <f>IFERROR(VLOOKUP($B13,PAGOS!$B$5:$Y$79,5,0),"")</f>
        <v/>
      </c>
      <c r="E13" s="301" t="str">
        <f>IFERROR(VLOOKUP($B13,PAGOS!$B$5:$Y$79,24,0),"")</f>
        <v/>
      </c>
    </row>
    <row r="14" spans="2:5" ht="24.95" customHeight="1" x14ac:dyDescent="0.2">
      <c r="B14" s="122">
        <v>2</v>
      </c>
      <c r="C14" s="302" t="str">
        <f>IFERROR(VLOOKUP($B14,PAGOS!$B$5:$Y$79,4,0),"")</f>
        <v/>
      </c>
      <c r="D14" s="303" t="str">
        <f>IFERROR(VLOOKUP($B14,PAGOS!$B$5:$Y$79,5,0),"")</f>
        <v/>
      </c>
      <c r="E14" s="303" t="str">
        <f>IFERROR(VLOOKUP($B14,PAGOS!$B$5:$Y$79,24,0),"")</f>
        <v/>
      </c>
    </row>
    <row r="15" spans="2:5" ht="24.95" customHeight="1" x14ac:dyDescent="0.2">
      <c r="B15" s="122">
        <v>3</v>
      </c>
      <c r="C15" s="302" t="str">
        <f>IFERROR(VLOOKUP($B15,PAGOS!$B$5:$Y$79,4,0),"")</f>
        <v/>
      </c>
      <c r="D15" s="303" t="str">
        <f>IFERROR(VLOOKUP($B15,PAGOS!$B$5:$Y$79,5,0),"")</f>
        <v/>
      </c>
      <c r="E15" s="303" t="str">
        <f>IFERROR(VLOOKUP($B15,PAGOS!$B$5:$Y$79,24,0),"")</f>
        <v/>
      </c>
    </row>
    <row r="16" spans="2:5" ht="24.95" customHeight="1" x14ac:dyDescent="0.2">
      <c r="B16" s="122">
        <v>4</v>
      </c>
      <c r="C16" s="302" t="str">
        <f>IFERROR(VLOOKUP($B16,PAGOS!$B$5:$Y$79,4,0),"")</f>
        <v/>
      </c>
      <c r="D16" s="303" t="str">
        <f>IFERROR(VLOOKUP($B16,PAGOS!$B$5:$Y$79,5,0),"")</f>
        <v/>
      </c>
      <c r="E16" s="303" t="str">
        <f>IFERROR(VLOOKUP($B16,PAGOS!$B$5:$Y$79,24,0),"")</f>
        <v/>
      </c>
    </row>
    <row r="17" spans="2:5" ht="24.95" customHeight="1" x14ac:dyDescent="0.2">
      <c r="B17" s="122">
        <v>5</v>
      </c>
      <c r="C17" s="302" t="str">
        <f>IFERROR(VLOOKUP($B17,PAGOS!$B$5:$Y$79,4,0),"")</f>
        <v/>
      </c>
      <c r="D17" s="303" t="str">
        <f>IFERROR(VLOOKUP($B17,PAGOS!$B$5:$Y$79,5,0),"")</f>
        <v/>
      </c>
      <c r="E17" s="303" t="str">
        <f>IFERROR(VLOOKUP($B17,PAGOS!$B$5:$Y$79,24,0),"")</f>
        <v/>
      </c>
    </row>
    <row r="18" spans="2:5" ht="24.95" customHeight="1" x14ac:dyDescent="0.2">
      <c r="B18" s="122">
        <v>6</v>
      </c>
      <c r="C18" s="302" t="str">
        <f>IFERROR(VLOOKUP($B18,PAGOS!$B$5:$Y$79,4,0),"")</f>
        <v/>
      </c>
      <c r="D18" s="303" t="str">
        <f>IFERROR(VLOOKUP($B18,PAGOS!$B$5:$Y$79,5,0),"")</f>
        <v/>
      </c>
      <c r="E18" s="303" t="str">
        <f>IFERROR(VLOOKUP($B18,PAGOS!$B$5:$Y$79,24,0),"")</f>
        <v/>
      </c>
    </row>
    <row r="19" spans="2:5" ht="24.95" customHeight="1" x14ac:dyDescent="0.2">
      <c r="B19" s="122">
        <v>7</v>
      </c>
      <c r="C19" s="302" t="str">
        <f>IFERROR(VLOOKUP($B19,PAGOS!$B$5:$Y$79,4,0),"")</f>
        <v/>
      </c>
      <c r="D19" s="303" t="str">
        <f>IFERROR(VLOOKUP($B19,PAGOS!$B$5:$Y$79,5,0),"")</f>
        <v/>
      </c>
      <c r="E19" s="303" t="str">
        <f>IFERROR(VLOOKUP($B19,PAGOS!$B$5:$Y$79,24,0),"")</f>
        <v/>
      </c>
    </row>
    <row r="20" spans="2:5" ht="24.95" customHeight="1" x14ac:dyDescent="0.2">
      <c r="B20" s="122">
        <v>8</v>
      </c>
      <c r="C20" s="302" t="str">
        <f>IFERROR(VLOOKUP($B20,PAGOS!$B$5:$Y$79,4,0),"")</f>
        <v/>
      </c>
      <c r="D20" s="303" t="str">
        <f>IFERROR(VLOOKUP($B20,PAGOS!$B$5:$Y$79,5,0),"")</f>
        <v/>
      </c>
      <c r="E20" s="303" t="str">
        <f>IFERROR(VLOOKUP($B20,PAGOS!$B$5:$Y$79,24,0),"")</f>
        <v/>
      </c>
    </row>
    <row r="21" spans="2:5" ht="24.95" customHeight="1" x14ac:dyDescent="0.2">
      <c r="B21" s="122">
        <v>9</v>
      </c>
      <c r="C21" s="302" t="str">
        <f>IFERROR(VLOOKUP($B21,PAGOS!$B$5:$Y$79,4,0),"")</f>
        <v/>
      </c>
      <c r="D21" s="303" t="str">
        <f>IFERROR(VLOOKUP($B21,PAGOS!$B$5:$Y$79,5,0),"")</f>
        <v/>
      </c>
      <c r="E21" s="303" t="str">
        <f>IFERROR(VLOOKUP($B21,PAGOS!$B$5:$Y$79,24,0),"")</f>
        <v/>
      </c>
    </row>
    <row r="22" spans="2:5" ht="24.95" customHeight="1" x14ac:dyDescent="0.2">
      <c r="B22" s="122">
        <v>10</v>
      </c>
      <c r="C22" s="302" t="str">
        <f>IFERROR(VLOOKUP($B22,PAGOS!$B$5:$Y$79,4,0),"")</f>
        <v/>
      </c>
      <c r="D22" s="303" t="str">
        <f>IFERROR(VLOOKUP($B22,PAGOS!$B$5:$Y$79,5,0),"")</f>
        <v/>
      </c>
      <c r="E22" s="303" t="str">
        <f>IFERROR(VLOOKUP($B22,PAGOS!$B$5:$Y$79,24,0),"")</f>
        <v/>
      </c>
    </row>
    <row r="23" spans="2:5" ht="24.95" customHeight="1" x14ac:dyDescent="0.2">
      <c r="B23" s="122">
        <v>11</v>
      </c>
      <c r="C23" s="302" t="str">
        <f>IFERROR(VLOOKUP($B23,PAGOS!$B$5:$Y$79,4,0),"")</f>
        <v/>
      </c>
      <c r="D23" s="303" t="str">
        <f>IFERROR(VLOOKUP($B23,PAGOS!$B$5:$Y$79,5,0),"")</f>
        <v/>
      </c>
      <c r="E23" s="303" t="str">
        <f>IFERROR(VLOOKUP($B23,PAGOS!$B$5:$Y$79,24,0),"")</f>
        <v/>
      </c>
    </row>
    <row r="24" spans="2:5" ht="24.95" customHeight="1" x14ac:dyDescent="0.2">
      <c r="B24" s="122">
        <v>12</v>
      </c>
      <c r="C24" s="302" t="str">
        <f>IFERROR(VLOOKUP($B24,PAGOS!$B$5:$Y$79,4,0),"")</f>
        <v/>
      </c>
      <c r="D24" s="303" t="str">
        <f>IFERROR(VLOOKUP($B24,PAGOS!$B$5:$Y$79,5,0),"")</f>
        <v/>
      </c>
      <c r="E24" s="303" t="str">
        <f>IFERROR(VLOOKUP($B24,PAGOS!$B$5:$Y$79,24,0),"")</f>
        <v/>
      </c>
    </row>
    <row r="25" spans="2:5" ht="24.95" customHeight="1" x14ac:dyDescent="0.2">
      <c r="B25" s="122">
        <v>13</v>
      </c>
      <c r="C25" s="302" t="str">
        <f>IFERROR(VLOOKUP($B25,PAGOS!$B$5:$Y$79,4,0),"")</f>
        <v/>
      </c>
      <c r="D25" s="303" t="str">
        <f>IFERROR(VLOOKUP($B25,PAGOS!$B$5:$Y$79,5,0),"")</f>
        <v/>
      </c>
      <c r="E25" s="303" t="str">
        <f>IFERROR(VLOOKUP($B25,PAGOS!$B$5:$Y$79,24,0),"")</f>
        <v/>
      </c>
    </row>
    <row r="26" spans="2:5" ht="24.95" customHeight="1" x14ac:dyDescent="0.2">
      <c r="B26" s="122">
        <v>14</v>
      </c>
      <c r="C26" s="302" t="str">
        <f>IFERROR(VLOOKUP($B26,PAGOS!$B$5:$Y$79,4,0),"")</f>
        <v/>
      </c>
      <c r="D26" s="303" t="str">
        <f>IFERROR(VLOOKUP($B26,PAGOS!$B$5:$Y$79,5,0),"")</f>
        <v/>
      </c>
      <c r="E26" s="303" t="str">
        <f>IFERROR(VLOOKUP($B26,PAGOS!$B$5:$Y$79,24,0),"")</f>
        <v/>
      </c>
    </row>
    <row r="27" spans="2:5" ht="24.95" customHeight="1" x14ac:dyDescent="0.2">
      <c r="B27" s="122">
        <v>15</v>
      </c>
      <c r="C27" s="302" t="str">
        <f>IFERROR(VLOOKUP($B27,PAGOS!$B$5:$Y$79,4,0),"")</f>
        <v/>
      </c>
      <c r="D27" s="303" t="str">
        <f>IFERROR(VLOOKUP($B27,PAGOS!$B$5:$Y$79,5,0),"")</f>
        <v/>
      </c>
      <c r="E27" s="303" t="str">
        <f>IFERROR(VLOOKUP($B27,PAGOS!$B$5:$Y$79,24,0),"")</f>
        <v/>
      </c>
    </row>
    <row r="28" spans="2:5" ht="24.95" customHeight="1" x14ac:dyDescent="0.2">
      <c r="B28" s="122">
        <v>16</v>
      </c>
      <c r="C28" s="302" t="str">
        <f>IFERROR(VLOOKUP($B28,PAGOS!$B$5:$Y$79,4,0),"")</f>
        <v/>
      </c>
      <c r="D28" s="303" t="str">
        <f>IFERROR(VLOOKUP($B28,PAGOS!$B$5:$Y$79,5,0),"")</f>
        <v/>
      </c>
      <c r="E28" s="303" t="str">
        <f>IFERROR(VLOOKUP($B28,PAGOS!$B$5:$Y$79,24,0),"")</f>
        <v/>
      </c>
    </row>
    <row r="29" spans="2:5" ht="24.95" customHeight="1" x14ac:dyDescent="0.2">
      <c r="B29" s="122">
        <v>17</v>
      </c>
      <c r="C29" s="302" t="str">
        <f>IFERROR(VLOOKUP($B29,PAGOS!$B$5:$Y$79,4,0),"")</f>
        <v/>
      </c>
      <c r="D29" s="303" t="str">
        <f>IFERROR(VLOOKUP($B29,PAGOS!$B$5:$Y$79,5,0),"")</f>
        <v/>
      </c>
      <c r="E29" s="303" t="str">
        <f>IFERROR(VLOOKUP($B29,PAGOS!$B$5:$Y$79,24,0),"")</f>
        <v/>
      </c>
    </row>
    <row r="30" spans="2:5" ht="24.95" customHeight="1" x14ac:dyDescent="0.2">
      <c r="B30" s="122">
        <v>18</v>
      </c>
      <c r="C30" s="302" t="str">
        <f>IFERROR(VLOOKUP($B30,PAGOS!$B$5:$Y$79,4,0),"")</f>
        <v/>
      </c>
      <c r="D30" s="303" t="str">
        <f>IFERROR(VLOOKUP($B30,PAGOS!$B$5:$Y$79,5,0),"")</f>
        <v/>
      </c>
      <c r="E30" s="303" t="str">
        <f>IFERROR(VLOOKUP($B30,PAGOS!$B$5:$Y$79,24,0),"")</f>
        <v/>
      </c>
    </row>
    <row r="31" spans="2:5" ht="24.95" customHeight="1" x14ac:dyDescent="0.2">
      <c r="B31" s="122">
        <v>19</v>
      </c>
      <c r="C31" s="302" t="str">
        <f>IFERROR(VLOOKUP($B31,PAGOS!$B$5:$Y$79,4,0),"")</f>
        <v/>
      </c>
      <c r="D31" s="303" t="str">
        <f>IFERROR(VLOOKUP($B31,PAGOS!$B$5:$Y$79,5,0),"")</f>
        <v/>
      </c>
      <c r="E31" s="303" t="str">
        <f>IFERROR(VLOOKUP($B31,PAGOS!$B$5:$Y$79,24,0),"")</f>
        <v/>
      </c>
    </row>
    <row r="32" spans="2:5" ht="24.95" customHeight="1" x14ac:dyDescent="0.2">
      <c r="B32" s="122">
        <v>20</v>
      </c>
      <c r="C32" s="302" t="str">
        <f>IFERROR(VLOOKUP($B32,PAGOS!$B$5:$Y$79,4,0),"")</f>
        <v/>
      </c>
      <c r="D32" s="303" t="str">
        <f>IFERROR(VLOOKUP($B32,PAGOS!$B$5:$Y$79,5,0),"")</f>
        <v/>
      </c>
      <c r="E32" s="303" t="str">
        <f>IFERROR(VLOOKUP($B32,PAGOS!$B$5:$Y$79,24,0),"")</f>
        <v/>
      </c>
    </row>
    <row r="33" spans="2:5" ht="24.95" customHeight="1" x14ac:dyDescent="0.2">
      <c r="B33" s="122">
        <v>21</v>
      </c>
      <c r="C33" s="302" t="str">
        <f>IFERROR(VLOOKUP($B33,PAGOS!$B$5:$Y$79,4,0),"")</f>
        <v/>
      </c>
      <c r="D33" s="303" t="str">
        <f>IFERROR(VLOOKUP($B33,PAGOS!$B$5:$Y$79,5,0),"")</f>
        <v/>
      </c>
      <c r="E33" s="303" t="str">
        <f>IFERROR(VLOOKUP($B33,PAGOS!$B$5:$Y$79,24,0),"")</f>
        <v/>
      </c>
    </row>
    <row r="34" spans="2:5" ht="24.95" customHeight="1" x14ac:dyDescent="0.2">
      <c r="B34" s="122">
        <v>22</v>
      </c>
      <c r="C34" s="302" t="str">
        <f>IFERROR(VLOOKUP($B34,PAGOS!$B$5:$Y$79,4,0),"")</f>
        <v/>
      </c>
      <c r="D34" s="303" t="str">
        <f>IFERROR(VLOOKUP($B34,PAGOS!$B$5:$Y$79,5,0),"")</f>
        <v/>
      </c>
      <c r="E34" s="303" t="str">
        <f>IFERROR(VLOOKUP($B34,PAGOS!$B$5:$Y$79,24,0),"")</f>
        <v/>
      </c>
    </row>
    <row r="35" spans="2:5" ht="24.95" customHeight="1" x14ac:dyDescent="0.2">
      <c r="B35" s="122">
        <v>23</v>
      </c>
      <c r="C35" s="302" t="str">
        <f>IFERROR(VLOOKUP($B35,PAGOS!$B$5:$Y$79,4,0),"")</f>
        <v/>
      </c>
      <c r="D35" s="303" t="str">
        <f>IFERROR(VLOOKUP($B35,PAGOS!$B$5:$Y$79,5,0),"")</f>
        <v/>
      </c>
      <c r="E35" s="303" t="str">
        <f>IFERROR(VLOOKUP($B35,PAGOS!$B$5:$Y$79,24,0),"")</f>
        <v/>
      </c>
    </row>
    <row r="36" spans="2:5" ht="24.95" customHeight="1" x14ac:dyDescent="0.2">
      <c r="B36" s="122">
        <v>24</v>
      </c>
      <c r="C36" s="302" t="str">
        <f>IFERROR(VLOOKUP($B36,PAGOS!$B$5:$Y$79,4,0),"")</f>
        <v/>
      </c>
      <c r="D36" s="303" t="str">
        <f>IFERROR(VLOOKUP($B36,PAGOS!$B$5:$Y$79,5,0),"")</f>
        <v/>
      </c>
      <c r="E36" s="303" t="str">
        <f>IFERROR(VLOOKUP($B36,PAGOS!$B$5:$Y$79,24,0),"")</f>
        <v/>
      </c>
    </row>
    <row r="37" spans="2:5" ht="24.95" customHeight="1" x14ac:dyDescent="0.2">
      <c r="B37" s="122">
        <v>25</v>
      </c>
      <c r="C37" s="302" t="str">
        <f>IFERROR(VLOOKUP($B37,PAGOS!$B$5:$Y$79,4,0),"")</f>
        <v/>
      </c>
      <c r="D37" s="303" t="str">
        <f>IFERROR(VLOOKUP($B37,PAGOS!$B$5:$Y$79,5,0),"")</f>
        <v/>
      </c>
      <c r="E37" s="303" t="str">
        <f>IFERROR(VLOOKUP($B37,PAGOS!$B$5:$Y$79,24,0),"")</f>
        <v/>
      </c>
    </row>
    <row r="38" spans="2:5" ht="24.95" customHeight="1" x14ac:dyDescent="0.2">
      <c r="B38" s="122">
        <v>26</v>
      </c>
      <c r="C38" s="302" t="str">
        <f>IFERROR(VLOOKUP($B38,PAGOS!$B$5:$Y$79,4,0),"")</f>
        <v/>
      </c>
      <c r="D38" s="303" t="str">
        <f>IFERROR(VLOOKUP($B38,PAGOS!$B$5:$Y$79,5,0),"")</f>
        <v/>
      </c>
      <c r="E38" s="303" t="str">
        <f>IFERROR(VLOOKUP($B38,PAGOS!$B$5:$Y$79,24,0),"")</f>
        <v/>
      </c>
    </row>
    <row r="39" spans="2:5" ht="24.95" customHeight="1" x14ac:dyDescent="0.2">
      <c r="B39" s="122">
        <v>27</v>
      </c>
      <c r="C39" s="302" t="str">
        <f>IFERROR(VLOOKUP($B39,PAGOS!$B$5:$Y$79,4,0),"")</f>
        <v/>
      </c>
      <c r="D39" s="303" t="str">
        <f>IFERROR(VLOOKUP($B39,PAGOS!$B$5:$Y$79,5,0),"")</f>
        <v/>
      </c>
      <c r="E39" s="303" t="str">
        <f>IFERROR(VLOOKUP($B39,PAGOS!$B$5:$Y$79,24,0),"")</f>
        <v/>
      </c>
    </row>
    <row r="40" spans="2:5" ht="24.95" customHeight="1" x14ac:dyDescent="0.2">
      <c r="B40" s="122">
        <v>28</v>
      </c>
      <c r="C40" s="302" t="str">
        <f>IFERROR(VLOOKUP($B40,PAGOS!$B$5:$Y$79,4,0),"")</f>
        <v/>
      </c>
      <c r="D40" s="303" t="str">
        <f>IFERROR(VLOOKUP($B40,PAGOS!$B$5:$Y$79,5,0),"")</f>
        <v/>
      </c>
      <c r="E40" s="303" t="str">
        <f>IFERROR(VLOOKUP($B40,PAGOS!$B$5:$Y$79,24,0),"")</f>
        <v/>
      </c>
    </row>
    <row r="41" spans="2:5" ht="24.95" customHeight="1" x14ac:dyDescent="0.2">
      <c r="B41" s="122">
        <v>29</v>
      </c>
      <c r="C41" s="302" t="str">
        <f>IFERROR(VLOOKUP($B41,PAGOS!$B$5:$Y$79,4,0),"")</f>
        <v/>
      </c>
      <c r="D41" s="303" t="str">
        <f>IFERROR(VLOOKUP($B41,PAGOS!$B$5:$Y$79,5,0),"")</f>
        <v/>
      </c>
      <c r="E41" s="303" t="str">
        <f>IFERROR(VLOOKUP($B41,PAGOS!$B$5:$Y$79,24,0),"")</f>
        <v/>
      </c>
    </row>
    <row r="42" spans="2:5" ht="24.95" customHeight="1" x14ac:dyDescent="0.2">
      <c r="B42" s="122">
        <v>30</v>
      </c>
      <c r="C42" s="302" t="str">
        <f>IFERROR(VLOOKUP($B42,PAGOS!$B$5:$Y$79,4,0),"")</f>
        <v/>
      </c>
      <c r="D42" s="303" t="str">
        <f>IFERROR(VLOOKUP($B42,PAGOS!$B$5:$Y$79,5,0),"")</f>
        <v/>
      </c>
      <c r="E42" s="303" t="str">
        <f>IFERROR(VLOOKUP($B42,PAGOS!$B$5:$Y$79,24,0),"")</f>
        <v/>
      </c>
    </row>
    <row r="43" spans="2:5" ht="24.95" customHeight="1" x14ac:dyDescent="0.2">
      <c r="B43" s="122">
        <v>31</v>
      </c>
      <c r="C43" s="302" t="str">
        <f>IFERROR(VLOOKUP($B43,PAGOS!$B$5:$Y$79,4,0),"")</f>
        <v/>
      </c>
      <c r="D43" s="303" t="str">
        <f>IFERROR(VLOOKUP($B43,PAGOS!$B$5:$Y$79,5,0),"")</f>
        <v/>
      </c>
      <c r="E43" s="303" t="str">
        <f>IFERROR(VLOOKUP($B43,PAGOS!$B$5:$Y$79,24,0),"")</f>
        <v/>
      </c>
    </row>
    <row r="44" spans="2:5" ht="24.95" customHeight="1" x14ac:dyDescent="0.2">
      <c r="B44" s="122">
        <v>32</v>
      </c>
      <c r="C44" s="302" t="str">
        <f>IFERROR(VLOOKUP($B44,PAGOS!$B$5:$Y$79,4,0),"")</f>
        <v/>
      </c>
      <c r="D44" s="303" t="str">
        <f>IFERROR(VLOOKUP($B44,PAGOS!$B$5:$Y$79,5,0),"")</f>
        <v/>
      </c>
      <c r="E44" s="303" t="str">
        <f>IFERROR(VLOOKUP($B44,PAGOS!$B$5:$Y$79,24,0),"")</f>
        <v/>
      </c>
    </row>
    <row r="45" spans="2:5" ht="24.95" customHeight="1" x14ac:dyDescent="0.2">
      <c r="B45" s="122">
        <v>33</v>
      </c>
      <c r="C45" s="302" t="str">
        <f>IFERROR(VLOOKUP($B45,PAGOS!$B$5:$Y$79,4,0),"")</f>
        <v/>
      </c>
      <c r="D45" s="303" t="str">
        <f>IFERROR(VLOOKUP($B45,PAGOS!$B$5:$Y$79,5,0),"")</f>
        <v/>
      </c>
      <c r="E45" s="303" t="str">
        <f>IFERROR(VLOOKUP($B45,PAGOS!$B$5:$Y$79,24,0),"")</f>
        <v/>
      </c>
    </row>
    <row r="46" spans="2:5" ht="24.95" customHeight="1" x14ac:dyDescent="0.2">
      <c r="B46" s="122">
        <v>34</v>
      </c>
      <c r="C46" s="302" t="str">
        <f>IFERROR(VLOOKUP($B46,PAGOS!$B$5:$Y$79,4,0),"")</f>
        <v/>
      </c>
      <c r="D46" s="303" t="str">
        <f>IFERROR(VLOOKUP($B46,PAGOS!$B$5:$Y$79,5,0),"")</f>
        <v/>
      </c>
      <c r="E46" s="303" t="str">
        <f>IFERROR(VLOOKUP($B46,PAGOS!$B$5:$Y$79,24,0),"")</f>
        <v/>
      </c>
    </row>
    <row r="47" spans="2:5" ht="24.95" customHeight="1" x14ac:dyDescent="0.2">
      <c r="B47" s="122">
        <v>35</v>
      </c>
      <c r="C47" s="302" t="str">
        <f>IFERROR(VLOOKUP($B47,PAGOS!$B$5:$Y$79,4,0),"")</f>
        <v/>
      </c>
      <c r="D47" s="303" t="str">
        <f>IFERROR(VLOOKUP($B47,PAGOS!$B$5:$Y$79,5,0),"")</f>
        <v/>
      </c>
      <c r="E47" s="303" t="str">
        <f>IFERROR(VLOOKUP($B47,PAGOS!$B$5:$Y$79,24,0),"")</f>
        <v/>
      </c>
    </row>
    <row r="48" spans="2:5" ht="24.95" customHeight="1" x14ac:dyDescent="0.2">
      <c r="B48" s="122">
        <v>36</v>
      </c>
      <c r="C48" s="302" t="str">
        <f>IFERROR(VLOOKUP($B48,PAGOS!$B$5:$Y$79,4,0),"")</f>
        <v/>
      </c>
      <c r="D48" s="303" t="str">
        <f>IFERROR(VLOOKUP($B48,PAGOS!$B$5:$Y$79,5,0),"")</f>
        <v/>
      </c>
      <c r="E48" s="303" t="str">
        <f>IFERROR(VLOOKUP($B48,PAGOS!$B$5:$Y$79,24,0),"")</f>
        <v/>
      </c>
    </row>
    <row r="49" spans="2:5" ht="24.95" customHeight="1" x14ac:dyDescent="0.2">
      <c r="B49" s="122">
        <v>37</v>
      </c>
      <c r="C49" s="302" t="str">
        <f>IFERROR(VLOOKUP($B49,PAGOS!$B$5:$Y$79,4,0),"")</f>
        <v/>
      </c>
      <c r="D49" s="303" t="str">
        <f>IFERROR(VLOOKUP($B49,PAGOS!$B$5:$Y$79,5,0),"")</f>
        <v/>
      </c>
      <c r="E49" s="303" t="str">
        <f>IFERROR(VLOOKUP($B49,PAGOS!$B$5:$Y$79,24,0),"")</f>
        <v/>
      </c>
    </row>
    <row r="50" spans="2:5" ht="24.95" customHeight="1" x14ac:dyDescent="0.2">
      <c r="B50" s="122">
        <v>38</v>
      </c>
      <c r="C50" s="302" t="str">
        <f>IFERROR(VLOOKUP($B50,PAGOS!$B$5:$Y$79,4,0),"")</f>
        <v/>
      </c>
      <c r="D50" s="303" t="str">
        <f>IFERROR(VLOOKUP($B50,PAGOS!$B$5:$Y$79,5,0),"")</f>
        <v/>
      </c>
      <c r="E50" s="303" t="str">
        <f>IFERROR(VLOOKUP($B50,PAGOS!$B$5:$Y$79,24,0),"")</f>
        <v/>
      </c>
    </row>
    <row r="51" spans="2:5" ht="24.95" customHeight="1" x14ac:dyDescent="0.2">
      <c r="B51" s="122">
        <v>39</v>
      </c>
      <c r="C51" s="302" t="str">
        <f>IFERROR(VLOOKUP($B51,PAGOS!$B$5:$Y$79,4,0),"")</f>
        <v/>
      </c>
      <c r="D51" s="303" t="str">
        <f>IFERROR(VLOOKUP($B51,PAGOS!$B$5:$Y$79,5,0),"")</f>
        <v/>
      </c>
      <c r="E51" s="303" t="str">
        <f>IFERROR(VLOOKUP($B51,PAGOS!$B$5:$Y$79,24,0),"")</f>
        <v/>
      </c>
    </row>
    <row r="52" spans="2:5" ht="24.95" customHeight="1" x14ac:dyDescent="0.2">
      <c r="B52" s="122">
        <v>40</v>
      </c>
      <c r="C52" s="302" t="str">
        <f>IFERROR(VLOOKUP($B52,PAGOS!$B$5:$Y$79,4,0),"")</f>
        <v/>
      </c>
      <c r="D52" s="303" t="str">
        <f>IFERROR(VLOOKUP($B52,PAGOS!$B$5:$Y$79,5,0),"")</f>
        <v/>
      </c>
      <c r="E52" s="303" t="str">
        <f>IFERROR(VLOOKUP($B52,PAGOS!$B$5:$Y$79,24,0),"")</f>
        <v/>
      </c>
    </row>
    <row r="53" spans="2:5" ht="24.95" customHeight="1" x14ac:dyDescent="0.2">
      <c r="B53" s="122">
        <v>41</v>
      </c>
      <c r="C53" s="302" t="str">
        <f>IFERROR(VLOOKUP($B53,PAGOS!$B$5:$Y$79,4,0),"")</f>
        <v/>
      </c>
      <c r="D53" s="303" t="str">
        <f>IFERROR(VLOOKUP($B53,PAGOS!$B$5:$Y$79,5,0),"")</f>
        <v/>
      </c>
      <c r="E53" s="303" t="str">
        <f>IFERROR(VLOOKUP($B53,PAGOS!$B$5:$Y$79,24,0),"")</f>
        <v/>
      </c>
    </row>
    <row r="54" spans="2:5" ht="24.95" customHeight="1" x14ac:dyDescent="0.2">
      <c r="B54" s="122">
        <v>42</v>
      </c>
      <c r="C54" s="302" t="str">
        <f>IFERROR(VLOOKUP($B54,PAGOS!$B$5:$Y$79,4,0),"")</f>
        <v/>
      </c>
      <c r="D54" s="303" t="str">
        <f>IFERROR(VLOOKUP($B54,PAGOS!$B$5:$Y$79,5,0),"")</f>
        <v/>
      </c>
      <c r="E54" s="303" t="str">
        <f>IFERROR(VLOOKUP($B54,PAGOS!$B$5:$Y$79,24,0),"")</f>
        <v/>
      </c>
    </row>
    <row r="55" spans="2:5" ht="24.95" customHeight="1" x14ac:dyDescent="0.2">
      <c r="B55" s="122">
        <v>43</v>
      </c>
      <c r="C55" s="302" t="str">
        <f>IFERROR(VLOOKUP($B55,PAGOS!$B$5:$Y$79,4,0),"")</f>
        <v/>
      </c>
      <c r="D55" s="303" t="str">
        <f>IFERROR(VLOOKUP($B55,PAGOS!$B$5:$Y$79,5,0),"")</f>
        <v/>
      </c>
      <c r="E55" s="303" t="str">
        <f>IFERROR(VLOOKUP($B55,PAGOS!$B$5:$Y$79,24,0),"")</f>
        <v/>
      </c>
    </row>
    <row r="56" spans="2:5" ht="24.95" customHeight="1" x14ac:dyDescent="0.2">
      <c r="B56" s="122">
        <v>44</v>
      </c>
      <c r="C56" s="302" t="str">
        <f>IFERROR(VLOOKUP($B56,PAGOS!$B$5:$Y$79,4,0),"")</f>
        <v/>
      </c>
      <c r="D56" s="303" t="str">
        <f>IFERROR(VLOOKUP($B56,PAGOS!$B$5:$Y$79,5,0),"")</f>
        <v/>
      </c>
      <c r="E56" s="303" t="str">
        <f>IFERROR(VLOOKUP($B56,PAGOS!$B$5:$Y$79,24,0),"")</f>
        <v/>
      </c>
    </row>
    <row r="57" spans="2:5" ht="24.95" customHeight="1" x14ac:dyDescent="0.2">
      <c r="B57" s="122">
        <v>45</v>
      </c>
      <c r="C57" s="302" t="str">
        <f>IFERROR(VLOOKUP($B57,PAGOS!$B$5:$Y$79,4,0),"")</f>
        <v/>
      </c>
      <c r="D57" s="303" t="str">
        <f>IFERROR(VLOOKUP($B57,PAGOS!$B$5:$Y$79,5,0),"")</f>
        <v/>
      </c>
      <c r="E57" s="303" t="str">
        <f>IFERROR(VLOOKUP($B57,PAGOS!$B$5:$Y$79,24,0),"")</f>
        <v/>
      </c>
    </row>
    <row r="58" spans="2:5" ht="24.95" customHeight="1" x14ac:dyDescent="0.2">
      <c r="B58" s="122">
        <v>46</v>
      </c>
      <c r="C58" s="302" t="str">
        <f>IFERROR(VLOOKUP($B58,PAGOS!$B$5:$Y$79,4,0),"")</f>
        <v/>
      </c>
      <c r="D58" s="303" t="str">
        <f>IFERROR(VLOOKUP($B58,PAGOS!$B$5:$Y$79,5,0),"")</f>
        <v/>
      </c>
      <c r="E58" s="303" t="str">
        <f>IFERROR(VLOOKUP($B58,PAGOS!$B$5:$Y$79,24,0),"")</f>
        <v/>
      </c>
    </row>
    <row r="59" spans="2:5" ht="24.95" customHeight="1" x14ac:dyDescent="0.2">
      <c r="B59" s="122">
        <v>47</v>
      </c>
      <c r="C59" s="302" t="str">
        <f>IFERROR(VLOOKUP($B59,PAGOS!$B$5:$Y$79,4,0),"")</f>
        <v/>
      </c>
      <c r="D59" s="303" t="str">
        <f>IFERROR(VLOOKUP($B59,PAGOS!$B$5:$Y$79,5,0),"")</f>
        <v/>
      </c>
      <c r="E59" s="303" t="str">
        <f>IFERROR(VLOOKUP($B59,PAGOS!$B$5:$Y$79,24,0),"")</f>
        <v/>
      </c>
    </row>
    <row r="60" spans="2:5" ht="24.95" customHeight="1" x14ac:dyDescent="0.2">
      <c r="B60" s="122">
        <v>48</v>
      </c>
      <c r="C60" s="302" t="str">
        <f>IFERROR(VLOOKUP($B60,PAGOS!$B$5:$Y$79,4,0),"")</f>
        <v/>
      </c>
      <c r="D60" s="303" t="str">
        <f>IFERROR(VLOOKUP($B60,PAGOS!$B$5:$Y$79,5,0),"")</f>
        <v/>
      </c>
      <c r="E60" s="303" t="str">
        <f>IFERROR(VLOOKUP($B60,PAGOS!$B$5:$Y$79,24,0),"")</f>
        <v/>
      </c>
    </row>
    <row r="61" spans="2:5" ht="24.95" customHeight="1" x14ac:dyDescent="0.2">
      <c r="B61" s="122">
        <v>49</v>
      </c>
      <c r="C61" s="302" t="str">
        <f>IFERROR(VLOOKUP($B61,PAGOS!$B$5:$Y$79,4,0),"")</f>
        <v/>
      </c>
      <c r="D61" s="303" t="str">
        <f>IFERROR(VLOOKUP($B61,PAGOS!$B$5:$Y$79,5,0),"")</f>
        <v/>
      </c>
      <c r="E61" s="303" t="str">
        <f>IFERROR(VLOOKUP($B61,PAGOS!$B$5:$Y$79,24,0),"")</f>
        <v/>
      </c>
    </row>
    <row r="62" spans="2:5" ht="24.95" customHeight="1" x14ac:dyDescent="0.2">
      <c r="B62" s="122">
        <v>50</v>
      </c>
      <c r="C62" s="302" t="str">
        <f>IFERROR(VLOOKUP($B62,PAGOS!$B$5:$Y$79,4,0),"")</f>
        <v/>
      </c>
      <c r="D62" s="303" t="str">
        <f>IFERROR(VLOOKUP($B62,PAGOS!$B$5:$Y$79,5,0),"")</f>
        <v/>
      </c>
      <c r="E62" s="303" t="str">
        <f>IFERROR(VLOOKUP($B62,PAGOS!$B$5:$Y$79,24,0),"")</f>
        <v/>
      </c>
    </row>
    <row r="63" spans="2:5" ht="24.95" customHeight="1" x14ac:dyDescent="0.2">
      <c r="B63" s="122">
        <v>51</v>
      </c>
      <c r="C63" s="302" t="str">
        <f>IFERROR(VLOOKUP($B63,PAGOS!$B$5:$Y$79,4,0),"")</f>
        <v/>
      </c>
      <c r="D63" s="303" t="str">
        <f>IFERROR(VLOOKUP($B63,PAGOS!$B$5:$Y$79,5,0),"")</f>
        <v/>
      </c>
      <c r="E63" s="303" t="str">
        <f>IFERROR(VLOOKUP($B63,PAGOS!$B$5:$Y$79,24,0),"")</f>
        <v/>
      </c>
    </row>
    <row r="64" spans="2:5" ht="24.95" customHeight="1" x14ac:dyDescent="0.2">
      <c r="B64" s="122">
        <v>52</v>
      </c>
      <c r="C64" s="302" t="str">
        <f>IFERROR(VLOOKUP($B64,PAGOS!$B$5:$Y$79,4,0),"")</f>
        <v/>
      </c>
      <c r="D64" s="303" t="str">
        <f>IFERROR(VLOOKUP($B64,PAGOS!$B$5:$Y$79,5,0),"")</f>
        <v/>
      </c>
      <c r="E64" s="303" t="str">
        <f>IFERROR(VLOOKUP($B64,PAGOS!$B$5:$Y$79,24,0),"")</f>
        <v/>
      </c>
    </row>
    <row r="65" spans="2:5" ht="24.95" customHeight="1" x14ac:dyDescent="0.2">
      <c r="B65" s="122">
        <v>53</v>
      </c>
      <c r="C65" s="302" t="str">
        <f>IFERROR(VLOOKUP($B65,PAGOS!$B$5:$Y$79,4,0),"")</f>
        <v/>
      </c>
      <c r="D65" s="303" t="str">
        <f>IFERROR(VLOOKUP($B65,PAGOS!$B$5:$Y$79,5,0),"")</f>
        <v/>
      </c>
      <c r="E65" s="303" t="str">
        <f>IFERROR(VLOOKUP($B65,PAGOS!$B$5:$Y$79,24,0),"")</f>
        <v/>
      </c>
    </row>
    <row r="66" spans="2:5" ht="24.95" customHeight="1" x14ac:dyDescent="0.2">
      <c r="B66" s="122">
        <v>54</v>
      </c>
      <c r="C66" s="302" t="str">
        <f>IFERROR(VLOOKUP($B66,PAGOS!$B$5:$Y$79,4,0),"")</f>
        <v/>
      </c>
      <c r="D66" s="303" t="str">
        <f>IFERROR(VLOOKUP($B66,PAGOS!$B$5:$Y$79,5,0),"")</f>
        <v/>
      </c>
      <c r="E66" s="303" t="str">
        <f>IFERROR(VLOOKUP($B66,PAGOS!$B$5:$Y$79,24,0),"")</f>
        <v/>
      </c>
    </row>
    <row r="67" spans="2:5" ht="24.95" customHeight="1" x14ac:dyDescent="0.2">
      <c r="B67" s="122">
        <v>55</v>
      </c>
      <c r="C67" s="302" t="str">
        <f>IFERROR(VLOOKUP($B67,PAGOS!$B$5:$Y$79,4,0),"")</f>
        <v/>
      </c>
      <c r="D67" s="303" t="str">
        <f>IFERROR(VLOOKUP($B67,PAGOS!$B$5:$Y$79,5,0),"")</f>
        <v/>
      </c>
      <c r="E67" s="303" t="str">
        <f>IFERROR(VLOOKUP($B67,PAGOS!$B$5:$Y$79,24,0),"")</f>
        <v/>
      </c>
    </row>
    <row r="68" spans="2:5" ht="24.95" customHeight="1" x14ac:dyDescent="0.2">
      <c r="B68" s="122">
        <v>56</v>
      </c>
      <c r="C68" s="302" t="str">
        <f>IFERROR(VLOOKUP($B68,PAGOS!$B$5:$Y$79,4,0),"")</f>
        <v/>
      </c>
      <c r="D68" s="303" t="str">
        <f>IFERROR(VLOOKUP($B68,PAGOS!$B$5:$Y$79,5,0),"")</f>
        <v/>
      </c>
      <c r="E68" s="303" t="str">
        <f>IFERROR(VLOOKUP($B68,PAGOS!$B$5:$Y$79,24,0),"")</f>
        <v/>
      </c>
    </row>
    <row r="69" spans="2:5" ht="24.95" customHeight="1" x14ac:dyDescent="0.2">
      <c r="B69" s="122">
        <v>57</v>
      </c>
      <c r="C69" s="302" t="str">
        <f>IFERROR(VLOOKUP($B69,PAGOS!$B$5:$Y$79,4,0),"")</f>
        <v/>
      </c>
      <c r="D69" s="303" t="str">
        <f>IFERROR(VLOOKUP($B69,PAGOS!$B$5:$Y$79,5,0),"")</f>
        <v/>
      </c>
      <c r="E69" s="303" t="str">
        <f>IFERROR(VLOOKUP($B69,PAGOS!$B$5:$Y$79,24,0),"")</f>
        <v/>
      </c>
    </row>
    <row r="70" spans="2:5" ht="24.95" customHeight="1" x14ac:dyDescent="0.2">
      <c r="B70" s="122">
        <v>58</v>
      </c>
      <c r="C70" s="302" t="str">
        <f>IFERROR(VLOOKUP($B70,PAGOS!$B$5:$Y$79,4,0),"")</f>
        <v/>
      </c>
      <c r="D70" s="303" t="str">
        <f>IFERROR(VLOOKUP($B70,PAGOS!$B$5:$Y$79,5,0),"")</f>
        <v/>
      </c>
      <c r="E70" s="303" t="str">
        <f>IFERROR(VLOOKUP($B70,PAGOS!$B$5:$Y$79,24,0),"")</f>
        <v/>
      </c>
    </row>
    <row r="71" spans="2:5" ht="24.95" customHeight="1" x14ac:dyDescent="0.2">
      <c r="B71" s="122">
        <v>59</v>
      </c>
      <c r="C71" s="302" t="str">
        <f>IFERROR(VLOOKUP($B71,PAGOS!$B$5:$Y$79,4,0),"")</f>
        <v/>
      </c>
      <c r="D71" s="303" t="str">
        <f>IFERROR(VLOOKUP($B71,PAGOS!$B$5:$Y$79,5,0),"")</f>
        <v/>
      </c>
      <c r="E71" s="303" t="str">
        <f>IFERROR(VLOOKUP($B71,PAGOS!$B$5:$Y$79,24,0),"")</f>
        <v/>
      </c>
    </row>
    <row r="72" spans="2:5" ht="24.95" customHeight="1" x14ac:dyDescent="0.2">
      <c r="B72" s="122">
        <v>60</v>
      </c>
      <c r="C72" s="302" t="str">
        <f>IFERROR(VLOOKUP($B72,PAGOS!$B$5:$Y$79,4,0),"")</f>
        <v/>
      </c>
      <c r="D72" s="303" t="str">
        <f>IFERROR(VLOOKUP($B72,PAGOS!$B$5:$Y$79,5,0),"")</f>
        <v/>
      </c>
      <c r="E72" s="303" t="str">
        <f>IFERROR(VLOOKUP($B72,PAGOS!$B$5:$Y$79,24,0),"")</f>
        <v/>
      </c>
    </row>
    <row r="73" spans="2:5" ht="24.95" customHeight="1" x14ac:dyDescent="0.2">
      <c r="B73" s="122">
        <v>61</v>
      </c>
      <c r="C73" s="302" t="str">
        <f>IFERROR(VLOOKUP($B73,PAGOS!$B$5:$Y$79,4,0),"")</f>
        <v/>
      </c>
      <c r="D73" s="303" t="str">
        <f>IFERROR(VLOOKUP($B73,PAGOS!$B$5:$Y$79,5,0),"")</f>
        <v/>
      </c>
      <c r="E73" s="303" t="str">
        <f>IFERROR(VLOOKUP($B73,PAGOS!$B$5:$Y$79,24,0),"")</f>
        <v/>
      </c>
    </row>
    <row r="74" spans="2:5" ht="24.95" customHeight="1" x14ac:dyDescent="0.2">
      <c r="B74" s="122">
        <v>62</v>
      </c>
      <c r="C74" s="302" t="str">
        <f>IFERROR(VLOOKUP($B74,PAGOS!$B$5:$Y$79,4,0),"")</f>
        <v/>
      </c>
      <c r="D74" s="303" t="str">
        <f>IFERROR(VLOOKUP($B74,PAGOS!$B$5:$Y$79,5,0),"")</f>
        <v/>
      </c>
      <c r="E74" s="303" t="str">
        <f>IFERROR(VLOOKUP($B74,PAGOS!$B$5:$Y$79,24,0),"")</f>
        <v/>
      </c>
    </row>
    <row r="75" spans="2:5" ht="24.95" customHeight="1" x14ac:dyDescent="0.2">
      <c r="B75" s="122">
        <v>63</v>
      </c>
      <c r="C75" s="302" t="str">
        <f>IFERROR(VLOOKUP($B75,PAGOS!$B$5:$Y$79,4,0),"")</f>
        <v/>
      </c>
      <c r="D75" s="303" t="str">
        <f>IFERROR(VLOOKUP($B75,PAGOS!$B$5:$Y$79,5,0),"")</f>
        <v/>
      </c>
      <c r="E75" s="303" t="str">
        <f>IFERROR(VLOOKUP($B75,PAGOS!$B$5:$Y$79,24,0),"")</f>
        <v/>
      </c>
    </row>
    <row r="76" spans="2:5" ht="24.95" customHeight="1" x14ac:dyDescent="0.2">
      <c r="B76" s="122">
        <v>64</v>
      </c>
      <c r="C76" s="302" t="str">
        <f>IFERROR(VLOOKUP($B76,PAGOS!$B$5:$Y$79,4,0),"")</f>
        <v/>
      </c>
      <c r="D76" s="303" t="str">
        <f>IFERROR(VLOOKUP($B76,PAGOS!$B$5:$Y$79,5,0),"")</f>
        <v/>
      </c>
      <c r="E76" s="303" t="str">
        <f>IFERROR(VLOOKUP($B76,PAGOS!$B$5:$Y$79,24,0),"")</f>
        <v/>
      </c>
    </row>
    <row r="77" spans="2:5" ht="24.95" customHeight="1" x14ac:dyDescent="0.2">
      <c r="B77" s="122">
        <v>65</v>
      </c>
      <c r="C77" s="302" t="str">
        <f>IFERROR(VLOOKUP($B77,PAGOS!$B$5:$Y$79,4,0),"")</f>
        <v/>
      </c>
      <c r="D77" s="303" t="str">
        <f>IFERROR(VLOOKUP($B77,PAGOS!$B$5:$Y$79,5,0),"")</f>
        <v/>
      </c>
      <c r="E77" s="303" t="str">
        <f>IFERROR(VLOOKUP($B77,PAGOS!$B$5:$Y$79,24,0),"")</f>
        <v/>
      </c>
    </row>
    <row r="78" spans="2:5" ht="24.95" customHeight="1" x14ac:dyDescent="0.2">
      <c r="B78" s="122">
        <v>66</v>
      </c>
      <c r="C78" s="302" t="str">
        <f>IFERROR(VLOOKUP($B78,PAGOS!$B$5:$Y$79,4,0),"")</f>
        <v/>
      </c>
      <c r="D78" s="303" t="str">
        <f>IFERROR(VLOOKUP($B78,PAGOS!$B$5:$Y$79,5,0),"")</f>
        <v/>
      </c>
      <c r="E78" s="303" t="str">
        <f>IFERROR(VLOOKUP($B78,PAGOS!$B$5:$Y$79,24,0),"")</f>
        <v/>
      </c>
    </row>
    <row r="79" spans="2:5" ht="24.95" customHeight="1" x14ac:dyDescent="0.2">
      <c r="B79" s="122">
        <v>67</v>
      </c>
      <c r="C79" s="302" t="str">
        <f>IFERROR(VLOOKUP($B79,PAGOS!$B$5:$Y$79,4,0),"")</f>
        <v/>
      </c>
      <c r="D79" s="303" t="str">
        <f>IFERROR(VLOOKUP($B79,PAGOS!$B$5:$Y$79,5,0),"")</f>
        <v/>
      </c>
      <c r="E79" s="303" t="str">
        <f>IFERROR(VLOOKUP($B79,PAGOS!$B$5:$Y$79,24,0),"")</f>
        <v/>
      </c>
    </row>
    <row r="80" spans="2:5" ht="24.95" customHeight="1" x14ac:dyDescent="0.2">
      <c r="B80" s="122">
        <v>68</v>
      </c>
      <c r="C80" s="302" t="str">
        <f>IFERROR(VLOOKUP($B80,PAGOS!$B$5:$Y$79,4,0),"")</f>
        <v/>
      </c>
      <c r="D80" s="303" t="str">
        <f>IFERROR(VLOOKUP($B80,PAGOS!$B$5:$Y$79,5,0),"")</f>
        <v/>
      </c>
      <c r="E80" s="303" t="str">
        <f>IFERROR(VLOOKUP($B80,PAGOS!$B$5:$Y$79,24,0),"")</f>
        <v/>
      </c>
    </row>
    <row r="81" spans="2:5" ht="24.95" customHeight="1" x14ac:dyDescent="0.2">
      <c r="B81" s="122">
        <v>69</v>
      </c>
      <c r="C81" s="302" t="str">
        <f>IFERROR(VLOOKUP($B81,PAGOS!$B$5:$Y$79,4,0),"")</f>
        <v/>
      </c>
      <c r="D81" s="303" t="str">
        <f>IFERROR(VLOOKUP($B81,PAGOS!$B$5:$Y$79,5,0),"")</f>
        <v/>
      </c>
      <c r="E81" s="303" t="str">
        <f>IFERROR(VLOOKUP($B81,PAGOS!$B$5:$Y$79,24,0),"")</f>
        <v/>
      </c>
    </row>
    <row r="82" spans="2:5" ht="24.95" customHeight="1" x14ac:dyDescent="0.2">
      <c r="B82" s="122">
        <v>70</v>
      </c>
      <c r="C82" s="302" t="str">
        <f>IFERROR(VLOOKUP($B82,PAGOS!$B$5:$Y$79,4,0),"")</f>
        <v/>
      </c>
      <c r="D82" s="303" t="str">
        <f>IFERROR(VLOOKUP($B82,PAGOS!$B$5:$Y$79,5,0),"")</f>
        <v/>
      </c>
      <c r="E82" s="303" t="str">
        <f>IFERROR(VLOOKUP($B82,PAGOS!$B$5:$Y$79,24,0),"")</f>
        <v/>
      </c>
    </row>
    <row r="83" spans="2:5" ht="24.95" customHeight="1" x14ac:dyDescent="0.2">
      <c r="B83" s="122">
        <v>71</v>
      </c>
      <c r="C83" s="302" t="str">
        <f>IFERROR(VLOOKUP($B83,PAGOS!$B$5:$Y$79,4,0),"")</f>
        <v/>
      </c>
      <c r="D83" s="303" t="str">
        <f>IFERROR(VLOOKUP($B83,PAGOS!$B$5:$Y$79,5,0),"")</f>
        <v/>
      </c>
      <c r="E83" s="303" t="str">
        <f>IFERROR(VLOOKUP($B83,PAGOS!$B$5:$Y$79,24,0),"")</f>
        <v/>
      </c>
    </row>
    <row r="84" spans="2:5" ht="24.95" customHeight="1" x14ac:dyDescent="0.2">
      <c r="B84" s="122">
        <v>72</v>
      </c>
      <c r="C84" s="302" t="str">
        <f>IFERROR(VLOOKUP($B84,PAGOS!$B$5:$Y$79,4,0),"")</f>
        <v/>
      </c>
      <c r="D84" s="303" t="str">
        <f>IFERROR(VLOOKUP($B84,PAGOS!$B$5:$Y$79,5,0),"")</f>
        <v/>
      </c>
      <c r="E84" s="303" t="str">
        <f>IFERROR(VLOOKUP($B84,PAGOS!$B$5:$Y$79,24,0),"")</f>
        <v/>
      </c>
    </row>
    <row r="85" spans="2:5" ht="24.95" customHeight="1" x14ac:dyDescent="0.2">
      <c r="B85" s="122">
        <v>73</v>
      </c>
      <c r="C85" s="302" t="str">
        <f>IFERROR(VLOOKUP($B85,PAGOS!$B$5:$Y$79,4,0),"")</f>
        <v/>
      </c>
      <c r="D85" s="303" t="str">
        <f>IFERROR(VLOOKUP($B85,PAGOS!$B$5:$Y$79,5,0),"")</f>
        <v/>
      </c>
      <c r="E85" s="303" t="str">
        <f>IFERROR(VLOOKUP($B85,PAGOS!$B$5:$Y$79,24,0),"")</f>
        <v/>
      </c>
    </row>
    <row r="86" spans="2:5" ht="24.95" customHeight="1" x14ac:dyDescent="0.2">
      <c r="B86" s="122">
        <v>74</v>
      </c>
      <c r="C86" s="302" t="str">
        <f>IFERROR(VLOOKUP($B86,PAGOS!$B$5:$Y$79,4,0),"")</f>
        <v/>
      </c>
      <c r="D86" s="303" t="str">
        <f>IFERROR(VLOOKUP($B86,PAGOS!$B$5:$Y$79,5,0),"")</f>
        <v/>
      </c>
      <c r="E86" s="303" t="str">
        <f>IFERROR(VLOOKUP($B86,PAGOS!$B$5:$Y$79,24,0),"")</f>
        <v/>
      </c>
    </row>
    <row r="87" spans="2:5" ht="24.95" customHeight="1" x14ac:dyDescent="0.2">
      <c r="B87" s="122">
        <v>75</v>
      </c>
      <c r="C87" s="302" t="str">
        <f>IFERROR(VLOOKUP($B87,PAGOS!$B$5:$Y$79,4,0),"")</f>
        <v/>
      </c>
      <c r="D87" s="303" t="str">
        <f>IFERROR(VLOOKUP($B87,PAGOS!$B$5:$Y$79,5,0),"")</f>
        <v/>
      </c>
      <c r="E87" s="30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5.7109375" style="2" hidden="1" customWidth="1"/>
    <col min="22" max="22" width="30.7109375" style="2" hidden="1" customWidth="1"/>
    <col min="23" max="23" width="5.7109375" style="2" hidden="1" customWidth="1"/>
    <col min="24" max="24" width="5.28515625" style="2" hidden="1" customWidth="1"/>
    <col min="25" max="26" width="40.7109375" style="2" hidden="1" customWidth="1"/>
    <col min="27" max="27" width="5.7109375" style="2" hidden="1" customWidth="1"/>
    <col min="28" max="28" width="40.7109375" style="2" hidden="1" customWidth="1"/>
    <col min="29" max="29" width="5.7109375" style="2" hidden="1" customWidth="1"/>
    <col min="30" max="30" width="5.7109375" style="3" hidden="1" customWidth="1"/>
    <col min="31" max="31" width="50.28515625" style="2" hidden="1" customWidth="1"/>
    <col min="32" max="32" width="5.7109375" style="2" hidden="1" customWidth="1"/>
    <col min="33" max="33" width="25.7109375" style="2" hidden="1" customWidth="1"/>
    <col min="34" max="34" width="15.7109375" style="3" hidden="1" customWidth="1"/>
    <col min="35" max="16384" width="11.42578125" style="2"/>
  </cols>
  <sheetData>
    <row r="1" spans="1:34" x14ac:dyDescent="0.2">
      <c r="A1" s="306"/>
    </row>
    <row r="3" spans="1:34" x14ac:dyDescent="0.2">
      <c r="B3" s="438" t="s">
        <v>175</v>
      </c>
      <c r="C3" s="438"/>
      <c r="D3" s="438"/>
      <c r="E3" s="438"/>
      <c r="F3" s="438"/>
      <c r="G3" s="438"/>
      <c r="H3" s="438"/>
      <c r="I3" s="438"/>
      <c r="J3" s="438"/>
      <c r="K3" s="438"/>
      <c r="L3" s="438"/>
      <c r="M3" s="438"/>
      <c r="O3" s="438" t="s">
        <v>176</v>
      </c>
      <c r="P3" s="438"/>
      <c r="R3" s="438" t="s">
        <v>177</v>
      </c>
      <c r="S3" s="438"/>
      <c r="V3" s="83" t="s">
        <v>181</v>
      </c>
      <c r="X3" s="438" t="s">
        <v>23</v>
      </c>
      <c r="Y3" s="438"/>
      <c r="Z3" s="438"/>
      <c r="AA3" s="438"/>
      <c r="AB3" s="438"/>
      <c r="AD3" s="438" t="s">
        <v>42</v>
      </c>
      <c r="AE3" s="438"/>
      <c r="AG3" s="438" t="s">
        <v>186</v>
      </c>
      <c r="AH3" s="438"/>
    </row>
    <row r="4" spans="1:34" ht="15.75" thickBot="1" x14ac:dyDescent="0.25"/>
    <row r="5" spans="1:34" ht="15.75" thickBot="1" x14ac:dyDescent="0.25">
      <c r="D5" s="441" t="s">
        <v>168</v>
      </c>
      <c r="E5" s="441" t="s">
        <v>171</v>
      </c>
      <c r="F5" s="441" t="s">
        <v>169</v>
      </c>
      <c r="G5" s="441" t="s">
        <v>170</v>
      </c>
      <c r="H5" s="441"/>
      <c r="I5" s="441"/>
      <c r="J5" s="441" t="s">
        <v>164</v>
      </c>
      <c r="K5" s="441"/>
      <c r="L5" s="441"/>
      <c r="M5" s="441"/>
      <c r="O5" s="439" t="s">
        <v>183</v>
      </c>
      <c r="P5" s="4" t="str">
        <f>VLOOKUP(AUXILIAR!$B$7,AUXILIAR!$D$7:$I$81,4,FALSE)</f>
        <v>nº 295, 23 de diciembre de 2021</v>
      </c>
      <c r="R5" s="2" t="s">
        <v>178</v>
      </c>
      <c r="S5" s="5" t="s">
        <v>231</v>
      </c>
      <c r="V5" s="4" t="s">
        <v>40</v>
      </c>
      <c r="X5" s="2" t="str">
        <f>M7</f>
        <v>PAPE</v>
      </c>
      <c r="AG5" s="99" t="s">
        <v>215</v>
      </c>
      <c r="AH5" s="100" t="s">
        <v>217</v>
      </c>
    </row>
    <row r="6" spans="1:34" x14ac:dyDescent="0.25">
      <c r="D6" s="441"/>
      <c r="E6" s="441"/>
      <c r="F6" s="441"/>
      <c r="G6" s="77" t="s">
        <v>172</v>
      </c>
      <c r="H6" s="77" t="s">
        <v>174</v>
      </c>
      <c r="I6" s="77" t="s">
        <v>173</v>
      </c>
      <c r="J6" s="442" t="str">
        <f>IF(COUNTIF($J$7:$J$81,"SÍ")=0,"",IF(COUNTIF($J$7:$J$81,"SÍ")=1,"SÍ",IF(COUNTIF($J$7:$J$81,"SÍ")&gt;1,"NO")))</f>
        <v>SÍ</v>
      </c>
      <c r="K6" s="442"/>
      <c r="L6" s="442"/>
      <c r="M6" s="442"/>
      <c r="O6" s="440"/>
      <c r="P6" s="4" t="str">
        <f>VLOOKUP(AUXILIAR!$B$7,AUXILIAR!$D$7:$I$81,5,FALSE)</f>
        <v>nº 283, 9 de diciembre de 2022</v>
      </c>
      <c r="S6" s="101" t="str">
        <f>IF($S$5="SÍ","Bloquear celda F25 de EXPEDIENTE","")</f>
        <v/>
      </c>
      <c r="V6" s="4" t="s">
        <v>67</v>
      </c>
      <c r="X6" s="4">
        <v>1</v>
      </c>
      <c r="Y6" s="66" t="s">
        <v>235</v>
      </c>
      <c r="Z6" s="4" t="str">
        <f t="shared" ref="Z6:Z15" si="0">IF(Y6="",11,Y6)</f>
        <v>Obras</v>
      </c>
      <c r="AA6" s="4">
        <f t="shared" ref="AA6:AA15" si="1">IF(Z6&lt;&gt;11,X6,11)</f>
        <v>1</v>
      </c>
      <c r="AB6" s="4" t="str">
        <f t="shared" ref="AB6:AB15" si="2">IFERROR(VLOOKUP(SMALL($AA$6:$AA$15,X6),$X$6:$Y$15,2,FALSE),"X")</f>
        <v>Obras</v>
      </c>
      <c r="AD6" s="6">
        <v>0</v>
      </c>
      <c r="AE6" s="4" t="s">
        <v>95</v>
      </c>
      <c r="AG6" s="97" t="s">
        <v>218</v>
      </c>
      <c r="AH6" s="63">
        <v>2130</v>
      </c>
    </row>
    <row r="7" spans="1:34" ht="15.75" thickBot="1" x14ac:dyDescent="0.3">
      <c r="B7" s="6" t="str">
        <f>M7</f>
        <v>PAPE</v>
      </c>
      <c r="C7" s="3">
        <v>1</v>
      </c>
      <c r="D7" s="5" t="s">
        <v>166</v>
      </c>
      <c r="E7" s="11">
        <v>8</v>
      </c>
      <c r="F7" s="8" t="s">
        <v>216</v>
      </c>
      <c r="G7" s="9" t="s">
        <v>211</v>
      </c>
      <c r="H7" s="9"/>
      <c r="I7" s="9"/>
      <c r="J7" s="5"/>
      <c r="K7" s="6">
        <f>IF(J7="",76,C7)</f>
        <v>76</v>
      </c>
      <c r="L7" s="6">
        <f>IF(K7&lt;&gt;76,C7,76)</f>
        <v>76</v>
      </c>
      <c r="M7" s="6" t="str">
        <f>IFERROR(VLOOKUP(SMALL($L$7:$L$81,C7),$C$7:$D$81,2,FALSE),"X")</f>
        <v>PAPE</v>
      </c>
      <c r="O7" s="440"/>
      <c r="P7" s="4">
        <f>VLOOKUP(AUXILIAR!$B$7,AUXILIAR!$D$7:$I$81,6,FALSE)</f>
        <v>0</v>
      </c>
      <c r="X7" s="4">
        <v>2</v>
      </c>
      <c r="Y7" s="66" t="s">
        <v>236</v>
      </c>
      <c r="Z7" s="4" t="str">
        <f t="shared" si="0"/>
        <v>Suministros</v>
      </c>
      <c r="AA7" s="4">
        <f t="shared" si="1"/>
        <v>2</v>
      </c>
      <c r="AB7" s="4" t="str">
        <f t="shared" si="2"/>
        <v>Suministros</v>
      </c>
      <c r="AD7" s="6">
        <v>1</v>
      </c>
      <c r="AE7" s="4" t="s">
        <v>163</v>
      </c>
      <c r="AG7" s="98" t="s">
        <v>227</v>
      </c>
      <c r="AH7" s="65">
        <v>2130</v>
      </c>
    </row>
    <row r="8" spans="1:34" x14ac:dyDescent="0.25">
      <c r="C8" s="3">
        <v>2</v>
      </c>
      <c r="D8" s="5" t="s">
        <v>167</v>
      </c>
      <c r="E8" s="11">
        <v>8</v>
      </c>
      <c r="F8" s="8" t="s">
        <v>216</v>
      </c>
      <c r="G8" s="9" t="s">
        <v>211</v>
      </c>
      <c r="H8" s="9"/>
      <c r="I8" s="9"/>
      <c r="J8" s="5"/>
      <c r="K8" s="6">
        <f t="shared" ref="K8:K12" si="3">IF(J8="",76,C8)</f>
        <v>76</v>
      </c>
      <c r="L8" s="6">
        <f t="shared" ref="L8:L12" si="4">IF(K8&lt;&gt;76,C8,76)</f>
        <v>76</v>
      </c>
      <c r="M8" s="6" t="str">
        <f t="shared" ref="M8:M71" si="5">IFERROR(VLOOKUP(SMALL($L$7:$L$81,C8),$C$7:$D$81,2,FALSE),"X")</f>
        <v>X</v>
      </c>
      <c r="R8" s="2" t="s">
        <v>179</v>
      </c>
      <c r="S8" s="10"/>
      <c r="X8" s="4">
        <v>3</v>
      </c>
      <c r="Y8" s="66" t="s">
        <v>237</v>
      </c>
      <c r="Z8" s="4" t="str">
        <f t="shared" si="0"/>
        <v>Proyectos técnicos</v>
      </c>
      <c r="AA8" s="4">
        <f t="shared" si="1"/>
        <v>3</v>
      </c>
      <c r="AB8" s="4" t="str">
        <f t="shared" si="2"/>
        <v>Proyectos técnicos</v>
      </c>
      <c r="AD8" s="6">
        <v>2</v>
      </c>
      <c r="AE8" s="4" t="s">
        <v>46</v>
      </c>
      <c r="AG8" s="437" t="s">
        <v>219</v>
      </c>
      <c r="AH8" s="96" t="s">
        <v>217</v>
      </c>
    </row>
    <row r="9" spans="1:34" x14ac:dyDescent="0.25">
      <c r="C9" s="3">
        <v>3</v>
      </c>
      <c r="D9" s="5" t="s">
        <v>229</v>
      </c>
      <c r="E9" s="11">
        <v>9</v>
      </c>
      <c r="F9" s="8" t="s">
        <v>230</v>
      </c>
      <c r="G9" s="9" t="s">
        <v>232</v>
      </c>
      <c r="H9" s="9" t="s">
        <v>233</v>
      </c>
      <c r="I9" s="9"/>
      <c r="J9" s="5" t="s">
        <v>165</v>
      </c>
      <c r="K9" s="6">
        <f t="shared" si="3"/>
        <v>3</v>
      </c>
      <c r="L9" s="6">
        <f t="shared" si="4"/>
        <v>3</v>
      </c>
      <c r="M9" s="6" t="str">
        <f t="shared" si="5"/>
        <v>X</v>
      </c>
      <c r="O9" s="12" t="s">
        <v>29</v>
      </c>
      <c r="P9" s="9">
        <v>2023</v>
      </c>
      <c r="X9" s="4">
        <v>4</v>
      </c>
      <c r="Y9" s="66" t="s">
        <v>238</v>
      </c>
      <c r="Z9" s="4" t="str">
        <f t="shared" si="0"/>
        <v>Dirección de obras</v>
      </c>
      <c r="AA9" s="4">
        <f t="shared" si="1"/>
        <v>4</v>
      </c>
      <c r="AB9" s="4" t="str">
        <f t="shared" si="2"/>
        <v>Dirección de obras</v>
      </c>
      <c r="AD9" s="6">
        <v>3</v>
      </c>
      <c r="AE9" s="4" t="s">
        <v>43</v>
      </c>
      <c r="AG9" s="435"/>
      <c r="AH9" s="64" t="s">
        <v>189</v>
      </c>
    </row>
    <row r="10" spans="1:34" x14ac:dyDescent="0.2">
      <c r="C10" s="3">
        <v>4</v>
      </c>
      <c r="D10" s="5"/>
      <c r="E10" s="11"/>
      <c r="F10" s="8"/>
      <c r="G10" s="9"/>
      <c r="H10" s="9"/>
      <c r="I10" s="9"/>
      <c r="J10" s="5"/>
      <c r="K10" s="6">
        <f t="shared" si="3"/>
        <v>76</v>
      </c>
      <c r="L10" s="6">
        <f t="shared" si="4"/>
        <v>76</v>
      </c>
      <c r="M10" s="6" t="str">
        <f t="shared" si="5"/>
        <v>X</v>
      </c>
      <c r="R10" s="2" t="s">
        <v>180</v>
      </c>
      <c r="S10" s="13">
        <v>3</v>
      </c>
      <c r="T10" s="2" t="s">
        <v>33</v>
      </c>
      <c r="X10" s="4">
        <v>5</v>
      </c>
      <c r="Y10" s="7"/>
      <c r="Z10" s="4">
        <f t="shared" si="0"/>
        <v>11</v>
      </c>
      <c r="AA10" s="4">
        <f t="shared" si="1"/>
        <v>11</v>
      </c>
      <c r="AB10" s="4" t="str">
        <f t="shared" si="2"/>
        <v>X</v>
      </c>
      <c r="AD10" s="6">
        <v>4</v>
      </c>
      <c r="AE10" s="4" t="s">
        <v>74</v>
      </c>
      <c r="AG10" s="435"/>
      <c r="AH10" s="64" t="s">
        <v>190</v>
      </c>
    </row>
    <row r="11" spans="1:34" x14ac:dyDescent="0.2">
      <c r="C11" s="3">
        <v>5</v>
      </c>
      <c r="D11" s="5"/>
      <c r="E11" s="11"/>
      <c r="F11" s="8"/>
      <c r="G11" s="9"/>
      <c r="H11" s="9"/>
      <c r="I11" s="9"/>
      <c r="J11" s="5"/>
      <c r="K11" s="6">
        <f t="shared" si="3"/>
        <v>76</v>
      </c>
      <c r="L11" s="6">
        <f t="shared" si="4"/>
        <v>76</v>
      </c>
      <c r="M11" s="6" t="str">
        <f t="shared" si="5"/>
        <v>X</v>
      </c>
      <c r="O11" s="439" t="s">
        <v>184</v>
      </c>
      <c r="P11" s="9" t="s">
        <v>234</v>
      </c>
      <c r="R11" s="3"/>
      <c r="X11" s="4">
        <v>6</v>
      </c>
      <c r="Y11" s="7"/>
      <c r="Z11" s="4">
        <f t="shared" si="0"/>
        <v>11</v>
      </c>
      <c r="AA11" s="4">
        <f t="shared" si="1"/>
        <v>11</v>
      </c>
      <c r="AB11" s="4" t="str">
        <f t="shared" si="2"/>
        <v>X</v>
      </c>
      <c r="AD11" s="6">
        <v>5</v>
      </c>
      <c r="AE11" s="4" t="s">
        <v>78</v>
      </c>
      <c r="AG11" s="435"/>
      <c r="AH11" s="64" t="s">
        <v>191</v>
      </c>
    </row>
    <row r="12" spans="1:34" x14ac:dyDescent="0.2">
      <c r="C12" s="3">
        <v>6</v>
      </c>
      <c r="D12" s="5"/>
      <c r="E12" s="11"/>
      <c r="F12" s="8"/>
      <c r="G12" s="9"/>
      <c r="H12" s="9"/>
      <c r="I12" s="9"/>
      <c r="J12" s="5"/>
      <c r="K12" s="6">
        <f t="shared" si="3"/>
        <v>76</v>
      </c>
      <c r="L12" s="6">
        <f t="shared" si="4"/>
        <v>76</v>
      </c>
      <c r="M12" s="6" t="str">
        <f t="shared" si="5"/>
        <v>X</v>
      </c>
      <c r="O12" s="440"/>
      <c r="P12" s="9"/>
      <c r="R12" s="14" t="s">
        <v>37</v>
      </c>
      <c r="S12" s="15">
        <f>EXPEDIENTE!F27</f>
        <v>0</v>
      </c>
      <c r="X12" s="4">
        <v>7</v>
      </c>
      <c r="Y12" s="7"/>
      <c r="Z12" s="4">
        <f t="shared" si="0"/>
        <v>11</v>
      </c>
      <c r="AA12" s="4">
        <f t="shared" si="1"/>
        <v>11</v>
      </c>
      <c r="AB12" s="4" t="str">
        <f t="shared" si="2"/>
        <v>X</v>
      </c>
      <c r="AD12" s="6">
        <v>6</v>
      </c>
      <c r="AE12" s="4" t="s">
        <v>45</v>
      </c>
      <c r="AG12" s="435"/>
      <c r="AH12" s="64" t="s">
        <v>192</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40"/>
      <c r="P13" s="9"/>
      <c r="R13" s="14" t="s">
        <v>34</v>
      </c>
      <c r="S13" s="4">
        <f>DAY(S12)</f>
        <v>0</v>
      </c>
      <c r="X13" s="4">
        <v>8</v>
      </c>
      <c r="Y13" s="7"/>
      <c r="Z13" s="4">
        <f t="shared" si="0"/>
        <v>11</v>
      </c>
      <c r="AA13" s="4">
        <f t="shared" si="1"/>
        <v>11</v>
      </c>
      <c r="AB13" s="4" t="str">
        <f t="shared" si="2"/>
        <v>X</v>
      </c>
      <c r="AD13" s="6">
        <v>7</v>
      </c>
      <c r="AE13" s="4"/>
      <c r="AG13" s="435"/>
      <c r="AH13" s="64" t="s">
        <v>193</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35"/>
      <c r="AH14" s="64" t="s">
        <v>194</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35"/>
      <c r="AH15" s="64" t="s">
        <v>195</v>
      </c>
    </row>
    <row r="16" spans="1:34" x14ac:dyDescent="0.2">
      <c r="C16" s="3">
        <v>10</v>
      </c>
      <c r="D16" s="5"/>
      <c r="E16" s="11"/>
      <c r="F16" s="8"/>
      <c r="G16" s="9"/>
      <c r="H16" s="9"/>
      <c r="I16" s="9"/>
      <c r="J16" s="5"/>
      <c r="K16" s="6">
        <f t="shared" si="6"/>
        <v>76</v>
      </c>
      <c r="L16" s="6">
        <f t="shared" si="7"/>
        <v>76</v>
      </c>
      <c r="M16" s="6" t="str">
        <f t="shared" si="5"/>
        <v>X</v>
      </c>
      <c r="R16" s="3"/>
      <c r="AG16" s="435"/>
      <c r="AH16" s="64" t="s">
        <v>185</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91</v>
      </c>
      <c r="X17" s="4" t="str">
        <f>IF(M8="X","",M8)</f>
        <v/>
      </c>
      <c r="AG17" s="435"/>
      <c r="AH17" s="64" t="s">
        <v>187</v>
      </c>
    </row>
    <row r="18" spans="3:34" x14ac:dyDescent="0.25">
      <c r="C18" s="3">
        <v>12</v>
      </c>
      <c r="D18" s="5"/>
      <c r="E18" s="11"/>
      <c r="F18" s="8"/>
      <c r="G18" s="9"/>
      <c r="H18" s="9"/>
      <c r="I18" s="9"/>
      <c r="J18" s="5"/>
      <c r="K18" s="6">
        <f t="shared" si="6"/>
        <v>76</v>
      </c>
      <c r="L18" s="6">
        <f t="shared" si="7"/>
        <v>76</v>
      </c>
      <c r="M18" s="6" t="str">
        <f t="shared" si="5"/>
        <v>X</v>
      </c>
      <c r="R18" s="14" t="s">
        <v>39</v>
      </c>
      <c r="S18" s="15">
        <f>IF(DAY(S12)=DAY(S17),S17,DATE(YEAR(S17),MONTH(S17),1)-1)</f>
        <v>60</v>
      </c>
      <c r="X18" s="4">
        <v>1</v>
      </c>
      <c r="Y18" s="66"/>
      <c r="Z18" s="4">
        <f>IF(Y18="",11,Y18)</f>
        <v>11</v>
      </c>
      <c r="AA18" s="4">
        <f t="shared" ref="AA18:AA27" si="8">IF(Z18&lt;&gt;11,X18,11)</f>
        <v>11</v>
      </c>
      <c r="AB18" s="4" t="str">
        <f>IFERROR(VLOOKUP(SMALL($AA$18:$AA$27,X18),$X$18:$Y$27,2,FALSE),"X")</f>
        <v>X</v>
      </c>
      <c r="AG18" s="435"/>
      <c r="AH18" s="64"/>
    </row>
    <row r="19" spans="3:34" x14ac:dyDescent="0.25">
      <c r="C19" s="3">
        <v>13</v>
      </c>
      <c r="D19" s="5"/>
      <c r="E19" s="11"/>
      <c r="F19" s="8"/>
      <c r="G19" s="9"/>
      <c r="H19" s="9"/>
      <c r="I19" s="9"/>
      <c r="J19" s="5"/>
      <c r="K19" s="6">
        <f t="shared" si="6"/>
        <v>76</v>
      </c>
      <c r="L19" s="6">
        <f t="shared" si="7"/>
        <v>76</v>
      </c>
      <c r="M19" s="6" t="str">
        <f t="shared" si="5"/>
        <v>X</v>
      </c>
      <c r="X19" s="4">
        <v>2</v>
      </c>
      <c r="Y19" s="66"/>
      <c r="Z19" s="4">
        <f t="shared" ref="Z19:Z27" si="9">IF(Y19="",11,Y19)</f>
        <v>11</v>
      </c>
      <c r="AA19" s="4">
        <f t="shared" si="8"/>
        <v>11</v>
      </c>
      <c r="AB19" s="4" t="str">
        <f t="shared" ref="AB19:AB27" si="10">IFERROR(VLOOKUP(SMALL($AA$18:$AA$27,X19),$X$18:$Y$27,2,FALSE),"X")</f>
        <v>X</v>
      </c>
      <c r="AG19" s="435"/>
      <c r="AH19" s="64"/>
    </row>
    <row r="20" spans="3:34" x14ac:dyDescent="0.25">
      <c r="C20" s="3">
        <v>14</v>
      </c>
      <c r="D20" s="5"/>
      <c r="E20" s="11"/>
      <c r="F20" s="8"/>
      <c r="G20" s="9"/>
      <c r="H20" s="9"/>
      <c r="I20" s="9"/>
      <c r="J20" s="5"/>
      <c r="K20" s="6">
        <f t="shared" si="6"/>
        <v>76</v>
      </c>
      <c r="L20" s="6">
        <f t="shared" si="7"/>
        <v>76</v>
      </c>
      <c r="M20" s="6" t="str">
        <f t="shared" si="5"/>
        <v>X</v>
      </c>
      <c r="R20" s="2" t="s">
        <v>157</v>
      </c>
      <c r="X20" s="4">
        <v>3</v>
      </c>
      <c r="Y20" s="66"/>
      <c r="Z20" s="4">
        <f t="shared" si="9"/>
        <v>11</v>
      </c>
      <c r="AA20" s="4">
        <f t="shared" si="8"/>
        <v>11</v>
      </c>
      <c r="AB20" s="4" t="str">
        <f t="shared" si="10"/>
        <v>X</v>
      </c>
      <c r="AG20" s="435"/>
      <c r="AH20" s="64"/>
    </row>
    <row r="21" spans="3:34" x14ac:dyDescent="0.2">
      <c r="C21" s="3">
        <v>15</v>
      </c>
      <c r="D21" s="5"/>
      <c r="E21" s="11"/>
      <c r="F21" s="8"/>
      <c r="G21" s="9"/>
      <c r="H21" s="9"/>
      <c r="I21" s="9"/>
      <c r="J21" s="5"/>
      <c r="K21" s="6">
        <f t="shared" si="6"/>
        <v>76</v>
      </c>
      <c r="L21" s="6">
        <f t="shared" si="7"/>
        <v>76</v>
      </c>
      <c r="M21" s="6" t="str">
        <f t="shared" si="5"/>
        <v>X</v>
      </c>
      <c r="X21" s="4">
        <v>4</v>
      </c>
      <c r="Y21" s="7"/>
      <c r="Z21" s="4">
        <f t="shared" si="9"/>
        <v>11</v>
      </c>
      <c r="AA21" s="4">
        <f t="shared" si="8"/>
        <v>11</v>
      </c>
      <c r="AB21" s="4" t="str">
        <f t="shared" si="10"/>
        <v>X</v>
      </c>
      <c r="AG21" s="435"/>
      <c r="AH21" s="64"/>
    </row>
    <row r="22" spans="3:34" x14ac:dyDescent="0.2">
      <c r="C22" s="3">
        <v>16</v>
      </c>
      <c r="D22" s="5"/>
      <c r="E22" s="11"/>
      <c r="F22" s="8"/>
      <c r="G22" s="9"/>
      <c r="H22" s="9"/>
      <c r="I22" s="9"/>
      <c r="J22" s="5"/>
      <c r="K22" s="6">
        <f t="shared" si="6"/>
        <v>76</v>
      </c>
      <c r="L22" s="6">
        <f t="shared" si="7"/>
        <v>76</v>
      </c>
      <c r="M22" s="6" t="str">
        <f t="shared" si="5"/>
        <v>X</v>
      </c>
      <c r="R22" s="2" t="s">
        <v>112</v>
      </c>
      <c r="X22" s="4">
        <v>5</v>
      </c>
      <c r="Y22" s="7"/>
      <c r="Z22" s="4">
        <f t="shared" si="9"/>
        <v>11</v>
      </c>
      <c r="AA22" s="4">
        <f t="shared" si="8"/>
        <v>11</v>
      </c>
      <c r="AB22" s="4" t="str">
        <f t="shared" si="10"/>
        <v>X</v>
      </c>
      <c r="AG22" s="435"/>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35"/>
      <c r="AH23" s="64"/>
    </row>
    <row r="24" spans="3:34" x14ac:dyDescent="0.2">
      <c r="C24" s="3">
        <v>18</v>
      </c>
      <c r="D24" s="5"/>
      <c r="E24" s="11"/>
      <c r="F24" s="8"/>
      <c r="G24" s="9"/>
      <c r="H24" s="9"/>
      <c r="I24" s="9"/>
      <c r="J24" s="5"/>
      <c r="K24" s="6">
        <f t="shared" si="6"/>
        <v>76</v>
      </c>
      <c r="L24" s="6">
        <f t="shared" si="7"/>
        <v>76</v>
      </c>
      <c r="M24" s="6" t="str">
        <f t="shared" si="5"/>
        <v>X</v>
      </c>
      <c r="X24" s="4">
        <v>7</v>
      </c>
      <c r="Y24" s="7"/>
      <c r="Z24" s="4">
        <f t="shared" si="9"/>
        <v>11</v>
      </c>
      <c r="AA24" s="4">
        <f t="shared" si="8"/>
        <v>11</v>
      </c>
      <c r="AB24" s="4" t="str">
        <f t="shared" si="10"/>
        <v>X</v>
      </c>
      <c r="AG24" s="435"/>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35"/>
      <c r="AH25" s="64"/>
    </row>
    <row r="26" spans="3:34" x14ac:dyDescent="0.2">
      <c r="C26" s="3">
        <v>20</v>
      </c>
      <c r="D26" s="5"/>
      <c r="E26" s="11"/>
      <c r="F26" s="8"/>
      <c r="G26" s="9"/>
      <c r="H26" s="9"/>
      <c r="I26" s="9"/>
      <c r="J26" s="5"/>
      <c r="K26" s="6">
        <f t="shared" si="6"/>
        <v>76</v>
      </c>
      <c r="L26" s="6">
        <f t="shared" si="7"/>
        <v>76</v>
      </c>
      <c r="M26" s="6" t="str">
        <f t="shared" si="5"/>
        <v>X</v>
      </c>
      <c r="X26" s="4">
        <v>9</v>
      </c>
      <c r="Y26" s="7"/>
      <c r="Z26" s="4">
        <f t="shared" si="9"/>
        <v>11</v>
      </c>
      <c r="AA26" s="4">
        <f t="shared" si="8"/>
        <v>11</v>
      </c>
      <c r="AB26" s="4" t="str">
        <f t="shared" si="10"/>
        <v>X</v>
      </c>
      <c r="AG26" s="435"/>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36"/>
      <c r="AH27" s="65" t="s">
        <v>226</v>
      </c>
    </row>
    <row r="28" spans="3:34" x14ac:dyDescent="0.2">
      <c r="C28" s="3">
        <v>22</v>
      </c>
      <c r="D28" s="5"/>
      <c r="E28" s="11"/>
      <c r="F28" s="8"/>
      <c r="G28" s="9"/>
      <c r="H28" s="9"/>
      <c r="I28" s="9"/>
      <c r="J28" s="5"/>
      <c r="K28" s="6">
        <f t="shared" si="6"/>
        <v>76</v>
      </c>
      <c r="L28" s="6">
        <f t="shared" si="7"/>
        <v>76</v>
      </c>
      <c r="M28" s="6" t="str">
        <f t="shared" si="5"/>
        <v>X</v>
      </c>
      <c r="Y28" s="17"/>
      <c r="AG28" s="435" t="s">
        <v>220</v>
      </c>
      <c r="AH28" s="63" t="s">
        <v>221</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Obras</v>
      </c>
      <c r="AG29" s="435"/>
      <c r="AH29" s="64" t="s">
        <v>222</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Suministros</v>
      </c>
      <c r="AG30" s="435"/>
      <c r="AH30" s="64" t="s">
        <v>223</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Proyectos técnicos</v>
      </c>
      <c r="AG31" s="435"/>
      <c r="AH31" s="64" t="s">
        <v>224</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4</v>
      </c>
      <c r="AB32" s="4" t="str">
        <f>IF(EXPEDIENTE!$C$20=$X$5,$AB9,IF(EXPEDIENTE!$C$20=$X$17,$AB21,""))</f>
        <v>Dirección de obras</v>
      </c>
      <c r="AG32" s="436"/>
      <c r="AH32" s="65" t="s">
        <v>225</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on3Q8pE9YmkxlxrKIyusD7M3qhPM3u5q0ykLFeKEKG31Iv5048diaJqbJsKm2KcNYlz5AD7xtK8IxD3SKIIurg==" saltValue="TKsxU1cuB7l4dPtIfIx1rg==" spinCount="100000" sheet="1" objects="1" scenarios="1" selectLockedCells="1"/>
  <mergeCells count="16">
    <mergeCell ref="O11:O13"/>
    <mergeCell ref="X3:AB3"/>
    <mergeCell ref="J5:M5"/>
    <mergeCell ref="J6:M6"/>
    <mergeCell ref="O3:P3"/>
    <mergeCell ref="B3:M3"/>
    <mergeCell ref="O5:O7"/>
    <mergeCell ref="G5:I5"/>
    <mergeCell ref="D5:D6"/>
    <mergeCell ref="E5:E6"/>
    <mergeCell ref="F5:F6"/>
    <mergeCell ref="AG28:AG32"/>
    <mergeCell ref="AG8:AG27"/>
    <mergeCell ref="AD3:AE3"/>
    <mergeCell ref="AG3:AH3"/>
    <mergeCell ref="R3:S3"/>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6" customWidth="1"/>
    <col min="2" max="2" width="10.7109375" style="116" customWidth="1"/>
    <col min="3" max="3" width="10.7109375" style="304" customWidth="1"/>
    <col min="4" max="16384" width="11.42578125" style="116"/>
  </cols>
  <sheetData>
    <row r="2" spans="2:3" x14ac:dyDescent="0.3">
      <c r="B2" s="115" t="s">
        <v>188</v>
      </c>
      <c r="C2" s="305"/>
    </row>
  </sheetData>
  <sheetProtection algorithmName="SHA-512" hashValue="J5owm3jL9VJH2eCB0Jl+55UsZ2+aib0WR/O8u6sdRmTeW99sowx/GLENJpDq3uuDO1ArUb/5TKZVJvDqtObpsQ==" saltValue="kAtGTM3/s4NksrX64qB5u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f1999e-fb46-4be1-aa14-5c6f3ecfb515">
      <Terms xmlns="http://schemas.microsoft.com/office/infopath/2007/PartnerControls"/>
    </lcf76f155ced4ddcb4097134ff3c332f>
    <TaxCatchAll xmlns="ba600c26-20e0-433c-877d-adf8e18366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2.xml><?xml version="1.0" encoding="utf-8"?>
<ds:datastoreItem xmlns:ds="http://schemas.openxmlformats.org/officeDocument/2006/customXml" ds:itemID="{5196F30A-2FC2-426E-AEAC-E4200822BC2B}"/>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2024-09-12T09:22:50Z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0x0101003DBE3ED14E6AEF47BD1CD5F05F930B31</vt:lpwstr>
  </property>
  <property fmtid="{D5CDD505-2E9C-101B-9397-08002B2CF9AE}" pid="10" name="MediaServiceImageTags">
    <vt:lpwstr/>
  </property>
</Properties>
</file>