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PRIV/24.PRIV-4-COBRO-Formularios/"/>
    </mc:Choice>
  </mc:AlternateContent>
  <xr:revisionPtr revIDLastSave="658" documentId="6_{AD136552-072E-4E57-90C0-4333F07DE957}" xr6:coauthVersionLast="47" xr6:coauthVersionMax="47" xr10:uidLastSave="{FE19DF22-91D3-43E5-99ED-CBA111E714B6}"/>
  <bookViews>
    <workbookView xWindow="-120" yWindow="-120" windowWidth="29040" windowHeight="15720" tabRatio="804" activeTab="3" xr2:uid="{011CC5B4-78A3-49C7-B223-B56C5D4F27C3}"/>
  </bookViews>
  <sheets>
    <sheet name="INSTRUCCIONES" sheetId="2" r:id="rId1"/>
    <sheet name="EXPEDIENTE" sheetId="1" r:id="rId2"/>
    <sheet name="IDENTIFICACIÓN TRABAJADOR" sheetId="13" r:id="rId3"/>
    <sheet name="% DEDICACIÓN" sheetId="4" r:id="rId4"/>
    <sheet name="GASTOS EJER. 1" sheetId="6" r:id="rId5"/>
    <sheet name="GASTOS EJER. 2" sheetId="14" r:id="rId6"/>
    <sheet name="GASTOS EJER, 3" sheetId="15" r:id="rId7"/>
    <sheet name="GASTOS EJER,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DEDICACIÓN'!$A$1:$S$48</definedName>
    <definedName name="_xlnm.Print_Area" localSheetId="9">'DATOS A INCORPORAR AL MOD-61'!$A$1:$F$15</definedName>
    <definedName name="_xlnm.Print_Area" localSheetId="1">EXPEDIENTE!$B$1:$I$35</definedName>
    <definedName name="_xlnm.Print_Area" localSheetId="7">'GASTOS EJER, 4'!$A$1:$CY$62</definedName>
    <definedName name="_xlnm.Print_Area" localSheetId="4">'GASTOS EJER. 1'!$A$1:$CY$61</definedName>
    <definedName name="_xlnm.Print_Area" localSheetId="5">'GASTOS EJER. 2'!$A$1:$CY$61</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60" i="14" l="1"/>
  <c r="BD59" i="14"/>
  <c r="BD58" i="14"/>
  <c r="BD57" i="14"/>
  <c r="BD56" i="14"/>
  <c r="BD55" i="14"/>
  <c r="BD54" i="14"/>
  <c r="BD53" i="14"/>
  <c r="BD52" i="14"/>
  <c r="BD51" i="14"/>
  <c r="BD50" i="14"/>
  <c r="BD49" i="14"/>
  <c r="AX60" i="14"/>
  <c r="AX59" i="14"/>
  <c r="AX58" i="14"/>
  <c r="AX57" i="14"/>
  <c r="AX56" i="14"/>
  <c r="AX55" i="14"/>
  <c r="AX54" i="14"/>
  <c r="AX53" i="14"/>
  <c r="AX52" i="14"/>
  <c r="AX51" i="14"/>
  <c r="AX50" i="14"/>
  <c r="AX49" i="14"/>
  <c r="AU60" i="14"/>
  <c r="AU59" i="14"/>
  <c r="AU58" i="14"/>
  <c r="AU57" i="14"/>
  <c r="AU56" i="14"/>
  <c r="AU55" i="14"/>
  <c r="AU54" i="14"/>
  <c r="AU53" i="14"/>
  <c r="AU52" i="14"/>
  <c r="AU51" i="14"/>
  <c r="AU50" i="14"/>
  <c r="AU49" i="14"/>
  <c r="AO60" i="14"/>
  <c r="AO59" i="14"/>
  <c r="AO58" i="14"/>
  <c r="AO57" i="14"/>
  <c r="AO56" i="14"/>
  <c r="AO55" i="14"/>
  <c r="AO54" i="14"/>
  <c r="AO53" i="14"/>
  <c r="AO52" i="14"/>
  <c r="AO51" i="14"/>
  <c r="AO50" i="14"/>
  <c r="AO49" i="14"/>
  <c r="F25" i="1"/>
  <c r="B45" i="13"/>
  <c r="H19"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AG94" i="7" l="1"/>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B9" i="7"/>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C46" i="15"/>
  <c r="C46"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W20" i="15"/>
  <c r="AU20" i="15"/>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C46" i="14"/>
  <c r="AN46" i="6"/>
  <c r="C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F60" i="14"/>
  <c r="AZ60" i="14"/>
  <c r="AW60" i="14"/>
  <c r="AQ60" i="14"/>
  <c r="DW59" i="14"/>
  <c r="DX59" i="14" s="1"/>
  <c r="DH59" i="14"/>
  <c r="DG59" i="14"/>
  <c r="DF59" i="14"/>
  <c r="DE59" i="14"/>
  <c r="BF59" i="14"/>
  <c r="AZ59" i="14"/>
  <c r="AW59" i="14"/>
  <c r="AQ59" i="14"/>
  <c r="DW58" i="14"/>
  <c r="DX58" i="14" s="1"/>
  <c r="DH58" i="14"/>
  <c r="DG58" i="14"/>
  <c r="DF58" i="14"/>
  <c r="DE58" i="14"/>
  <c r="BF58" i="14"/>
  <c r="AZ58" i="14"/>
  <c r="AW58" i="14"/>
  <c r="AQ58" i="14"/>
  <c r="DW57" i="14"/>
  <c r="DX57" i="14" s="1"/>
  <c r="DH57" i="14"/>
  <c r="DG57" i="14"/>
  <c r="DF57" i="14"/>
  <c r="DE57" i="14"/>
  <c r="BF57" i="14"/>
  <c r="AZ57" i="14"/>
  <c r="AW57" i="14"/>
  <c r="AQ57" i="14"/>
  <c r="DW56" i="14"/>
  <c r="DX56" i="14" s="1"/>
  <c r="DH56" i="14"/>
  <c r="DG56" i="14"/>
  <c r="DF56" i="14"/>
  <c r="DE56" i="14"/>
  <c r="DD56" i="14" s="1"/>
  <c r="BG56" i="14" s="1"/>
  <c r="BF56" i="14"/>
  <c r="AZ56" i="14"/>
  <c r="AW56" i="14"/>
  <c r="AQ56" i="14"/>
  <c r="DW55" i="14"/>
  <c r="DX55" i="14" s="1"/>
  <c r="DH55" i="14"/>
  <c r="DG55" i="14"/>
  <c r="DF55" i="14"/>
  <c r="DE55" i="14"/>
  <c r="BF55" i="14"/>
  <c r="AZ55" i="14"/>
  <c r="AW55" i="14"/>
  <c r="AQ55" i="14"/>
  <c r="DH54" i="14"/>
  <c r="DG54" i="14"/>
  <c r="DF54" i="14"/>
  <c r="DE54" i="14"/>
  <c r="BF54" i="14"/>
  <c r="AZ54" i="14"/>
  <c r="AW54" i="14"/>
  <c r="AQ54" i="14"/>
  <c r="DW53" i="14"/>
  <c r="DX53" i="14" s="1"/>
  <c r="DH53" i="14"/>
  <c r="DG53" i="14"/>
  <c r="DF53" i="14"/>
  <c r="DD53" i="14" s="1"/>
  <c r="BG53" i="14" s="1"/>
  <c r="DE53" i="14"/>
  <c r="BF53" i="14"/>
  <c r="AZ53" i="14"/>
  <c r="AW53" i="14"/>
  <c r="AQ53" i="14"/>
  <c r="DW52" i="14"/>
  <c r="DX52" i="14" s="1"/>
  <c r="DH52" i="14"/>
  <c r="DG52" i="14"/>
  <c r="DF52" i="14"/>
  <c r="DE52" i="14"/>
  <c r="BF52" i="14"/>
  <c r="AZ52" i="14"/>
  <c r="AW52" i="14"/>
  <c r="AQ52" i="14"/>
  <c r="DW51" i="14"/>
  <c r="DX51" i="14" s="1"/>
  <c r="DH51" i="14"/>
  <c r="DG51" i="14"/>
  <c r="DF51" i="14"/>
  <c r="DE51" i="14"/>
  <c r="BF51" i="14"/>
  <c r="AZ51" i="14"/>
  <c r="AW51" i="14"/>
  <c r="AQ51" i="14"/>
  <c r="DW50" i="14"/>
  <c r="DX50" i="14" s="1"/>
  <c r="DH50" i="14"/>
  <c r="DG50" i="14"/>
  <c r="DF50" i="14"/>
  <c r="DD50" i="14" s="1"/>
  <c r="BG50" i="14" s="1"/>
  <c r="DE50" i="14"/>
  <c r="BF50" i="14"/>
  <c r="AZ50" i="14"/>
  <c r="AW50" i="14"/>
  <c r="AQ50" i="14"/>
  <c r="DH49" i="14"/>
  <c r="DG49" i="14"/>
  <c r="DF49" i="14"/>
  <c r="DE49" i="14"/>
  <c r="BF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AG42" i="7" l="1"/>
  <c r="HQ46" i="3"/>
  <c r="HQ50" i="3"/>
  <c r="AG46" i="7"/>
  <c r="AG38" i="7"/>
  <c r="HQ42" i="3"/>
  <c r="AG41" i="7"/>
  <c r="HQ45" i="3"/>
  <c r="AG45" i="7"/>
  <c r="HQ49" i="3"/>
  <c r="AG44" i="7"/>
  <c r="HQ48" i="3"/>
  <c r="AG40" i="7"/>
  <c r="HQ44" i="3"/>
  <c r="HQ41" i="3"/>
  <c r="AG37" i="7"/>
  <c r="HQ47" i="3"/>
  <c r="AG43" i="7"/>
  <c r="HQ43" i="3"/>
  <c r="AG39" i="7"/>
  <c r="FW45" i="3"/>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C16" i="6"/>
  <c r="C8" i="6"/>
  <c r="I27" i="1"/>
  <c r="E23" i="13" s="1"/>
  <c r="I25" i="1"/>
  <c r="E22" i="13" s="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40" i="13" l="1"/>
  <c r="C36" i="13"/>
  <c r="C32" i="13"/>
  <c r="C28" i="13"/>
  <c r="H18" i="13"/>
  <c r="E24" i="13"/>
  <c r="C33" i="13"/>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J52" i="16"/>
  <c r="AJ58" i="16"/>
  <c r="AK58" i="16" s="1"/>
  <c r="AJ51" i="16"/>
  <c r="AJ57" i="16"/>
  <c r="AJ50" i="16"/>
  <c r="AJ56" i="16"/>
  <c r="AJ55" i="16"/>
  <c r="AK55" i="16" s="1"/>
  <c r="AJ49" i="16"/>
  <c r="AJ56" i="15"/>
  <c r="AK56" i="15" s="1"/>
  <c r="AJ50" i="15"/>
  <c r="AK50" i="15" s="1"/>
  <c r="AJ54" i="15"/>
  <c r="AJ53" i="15"/>
  <c r="AJ57" i="15"/>
  <c r="AK57" i="15" s="1"/>
  <c r="AJ60" i="15"/>
  <c r="AJ59" i="15"/>
  <c r="AJ52" i="15"/>
  <c r="AJ51" i="15"/>
  <c r="AJ55" i="15"/>
  <c r="AJ49" i="15"/>
  <c r="AJ58" i="15"/>
  <c r="AI60" i="14"/>
  <c r="AI59" i="14"/>
  <c r="AI58" i="14"/>
  <c r="AI56" i="14"/>
  <c r="AI54" i="14"/>
  <c r="AI49" i="14"/>
  <c r="AI57" i="14"/>
  <c r="AI53" i="14"/>
  <c r="AI52" i="14"/>
  <c r="AI51" i="14"/>
  <c r="AI50" i="14"/>
  <c r="AI55" i="14"/>
  <c r="AJ54" i="14"/>
  <c r="AK54" i="14" s="1"/>
  <c r="AJ59" i="14"/>
  <c r="AJ53" i="14"/>
  <c r="AJ58" i="14"/>
  <c r="AJ52" i="14"/>
  <c r="AJ50" i="14"/>
  <c r="AJ60" i="14"/>
  <c r="AJ57" i="14"/>
  <c r="AJ51" i="14"/>
  <c r="AJ49" i="14"/>
  <c r="AJ56" i="14"/>
  <c r="AK56" i="14" s="1"/>
  <c r="AJ55" i="14"/>
  <c r="AI52" i="6"/>
  <c r="AI58" i="6"/>
  <c r="AI49" i="6"/>
  <c r="AI57" i="6"/>
  <c r="AI53" i="6"/>
  <c r="AI59" i="6"/>
  <c r="AI54" i="6"/>
  <c r="AI60" i="6"/>
  <c r="AI56" i="6"/>
  <c r="AI55" i="6"/>
  <c r="AI50" i="6"/>
  <c r="AI51" i="6"/>
  <c r="T46" i="13"/>
  <c r="N46" i="13"/>
  <c r="H46" i="13"/>
  <c r="E6" i="13"/>
  <c r="B46" i="13"/>
  <c r="BW23" i="3"/>
  <c r="HO22" i="3" s="1"/>
  <c r="N2" i="20"/>
  <c r="H2" i="20"/>
  <c r="Q2" i="20"/>
  <c r="K2" i="20"/>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AK49" i="15" l="1"/>
  <c r="AK59" i="15"/>
  <c r="AK60" i="15"/>
  <c r="AK53" i="15"/>
  <c r="AK53" i="16"/>
  <c r="F33" i="13"/>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E30"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0" i="3"/>
  <c r="HT34" i="3"/>
  <c r="HT24" i="3"/>
  <c r="HL22" i="3"/>
  <c r="HT25" i="3" s="1"/>
  <c r="HT39" i="3"/>
  <c r="HL23" i="3"/>
  <c r="HT40" i="3"/>
  <c r="HT31" i="3"/>
  <c r="HT32" i="3"/>
  <c r="HL24" i="3"/>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26" i="3" l="1"/>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T45" i="13" l="1"/>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C8" i="16"/>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BP24" i="3" s="1"/>
  <c r="AZ32" i="3"/>
  <c r="BP32" i="3" s="1"/>
  <c r="AZ25" i="3"/>
  <c r="BN25" i="3" s="1"/>
  <c r="AZ33" i="3"/>
  <c r="BP33" i="3" s="1"/>
  <c r="AZ26" i="3"/>
  <c r="BO26" i="3" s="1"/>
  <c r="AZ34" i="3"/>
  <c r="BP34" i="3" s="1"/>
  <c r="AZ27" i="3"/>
  <c r="BO27" i="3" s="1"/>
  <c r="AZ23" i="3"/>
  <c r="BP23" i="3" s="1"/>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BO24" i="3"/>
  <c r="BO23" i="3"/>
  <c r="BN24" i="3"/>
  <c r="BN23"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O25" i="3" s="1"/>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7" i="3" l="1"/>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C16" i="1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3" i="3"/>
  <c r="BM24" i="3"/>
  <c r="BM25" i="3"/>
  <c r="BC43" i="3"/>
  <c r="BL34" i="3"/>
  <c r="BL24" i="3"/>
  <c r="BL26" i="3"/>
  <c r="BL27" i="3"/>
  <c r="BL28" i="3"/>
  <c r="BL29" i="3"/>
  <c r="BL30" i="3"/>
  <c r="BL31" i="3"/>
  <c r="BL32" i="3"/>
  <c r="BL33" i="3"/>
  <c r="BL23" i="3"/>
  <c r="BL25" i="3"/>
  <c r="BK27" i="3"/>
  <c r="BK28" i="3"/>
  <c r="BK29" i="3"/>
  <c r="BK30" i="3"/>
  <c r="BK25" i="3"/>
  <c r="BK31" i="3"/>
  <c r="BK32" i="3"/>
  <c r="BK33" i="3"/>
  <c r="BK34" i="3"/>
  <c r="BK23" i="3"/>
  <c r="BK24" i="3"/>
  <c r="BK26" i="3"/>
  <c r="BR27" i="3"/>
  <c r="BR28" i="3"/>
  <c r="BR29" i="3"/>
  <c r="BR30" i="3"/>
  <c r="BR31" i="3"/>
  <c r="BR23" i="3"/>
  <c r="BR24" i="3"/>
  <c r="BR25" i="3"/>
  <c r="BR26" i="3"/>
  <c r="BQ23" i="3"/>
  <c r="BQ24"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C16" i="15"/>
  <c r="C8" i="15"/>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W20"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C16" i="14"/>
  <c r="C8" i="14"/>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B33" i="7"/>
  <c r="N24" i="7"/>
  <c r="B81" i="7"/>
  <c r="B57"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B8" i="6"/>
  <c r="IN6" i="3"/>
  <c r="IN7" i="3"/>
  <c r="IV7" i="3" s="1"/>
  <c r="IN8" i="3"/>
  <c r="IV8" i="3" s="1"/>
  <c r="IN9" i="3"/>
  <c r="IV9" i="3" s="1"/>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IG6" i="3" s="1"/>
  <c r="HY7" i="3"/>
  <c r="IG7" i="3" s="1"/>
  <c r="HY9" i="3"/>
  <c r="IG9" i="3" s="1"/>
  <c r="HY8" i="3"/>
  <c r="IG8" i="3" s="1"/>
  <c r="B8" i="16"/>
  <c r="AA15" i="3"/>
  <c r="AC15" i="3"/>
  <c r="AB15" i="3"/>
  <c r="AD15" i="3"/>
  <c r="Z16" i="3"/>
  <c r="B8" i="15"/>
  <c r="B8" i="14"/>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F49"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F42" i="3"/>
  <c r="BF47" i="3"/>
  <c r="BF40" i="3"/>
  <c r="BF44" i="3"/>
  <c r="BF39" i="3"/>
  <c r="BF43" i="3"/>
  <c r="BF46" i="3"/>
  <c r="BF41" i="3"/>
  <c r="BF45" i="3"/>
  <c r="BF50" i="3"/>
  <c r="BF48"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24" i="3"/>
  <c r="BS33" i="3"/>
  <c r="BS32" i="3"/>
  <c r="BS23"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2" i="7"/>
  <c r="O92" i="7" s="1"/>
  <c r="AK92" i="7" s="1"/>
  <c r="N93" i="7"/>
  <c r="N91" i="7"/>
  <c r="O91" i="7" s="1"/>
  <c r="AK91" i="7" s="1"/>
  <c r="N90" i="7"/>
  <c r="O90" i="7" s="1"/>
  <c r="AK90" i="7" s="1"/>
  <c r="N89" i="7"/>
  <c r="O89" i="7" s="1"/>
  <c r="AK89" i="7" s="1"/>
  <c r="N88" i="7"/>
  <c r="O88" i="7" s="1"/>
  <c r="AK88" i="7" s="1"/>
  <c r="N84" i="7"/>
  <c r="O84" i="7" s="1"/>
  <c r="AK84" i="7" s="1"/>
  <c r="N83" i="7"/>
  <c r="O83" i="7" s="1"/>
  <c r="AK83" i="7" s="1"/>
  <c r="N87" i="7"/>
  <c r="O87" i="7" s="1"/>
  <c r="AK87" i="7" s="1"/>
  <c r="N86" i="7"/>
  <c r="O86" i="7" s="1"/>
  <c r="AK86" i="7" s="1"/>
  <c r="N85" i="7"/>
  <c r="O85" i="7" s="1"/>
  <c r="AK85"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AI70" i="7" l="1"/>
  <c r="AI69" i="7"/>
  <c r="AI68" i="7"/>
  <c r="AI67" i="7"/>
  <c r="AI66" i="7"/>
  <c r="AI65" i="7"/>
  <c r="AJ65" i="7" s="1"/>
  <c r="AI64" i="7"/>
  <c r="AJ64" i="7" s="1"/>
  <c r="AI63" i="7"/>
  <c r="AJ63" i="7" s="1"/>
  <c r="AI62" i="7"/>
  <c r="AJ62" i="7" s="1"/>
  <c r="AI60" i="7"/>
  <c r="AJ60" i="7" s="1"/>
  <c r="AI59" i="7"/>
  <c r="AJ59" i="7" s="1"/>
  <c r="AI61" i="7"/>
  <c r="AJ61" i="7" s="1"/>
  <c r="AI46" i="7"/>
  <c r="AI44" i="7"/>
  <c r="AI45" i="7"/>
  <c r="AJ45" i="7" s="1"/>
  <c r="AI43" i="7"/>
  <c r="AJ43" i="7" s="1"/>
  <c r="AI42" i="7"/>
  <c r="AJ42" i="7" s="1"/>
  <c r="AI41" i="7"/>
  <c r="AJ41" i="7" s="1"/>
  <c r="AI40" i="7"/>
  <c r="AJ40" i="7" s="1"/>
  <c r="AI39" i="7"/>
  <c r="AJ39" i="7" s="1"/>
  <c r="AI36" i="7"/>
  <c r="AJ36" i="7" s="1"/>
  <c r="AI38" i="7"/>
  <c r="AJ38" i="7" s="1"/>
  <c r="AI37" i="7"/>
  <c r="AJ37" i="7" s="1"/>
  <c r="AI35" i="7"/>
  <c r="AJ35" i="7" s="1"/>
  <c r="N70" i="7"/>
  <c r="N68" i="7"/>
  <c r="N69" i="7"/>
  <c r="N66" i="7"/>
  <c r="O66" i="7" s="1"/>
  <c r="AK66" i="7" s="1"/>
  <c r="N67" i="7"/>
  <c r="O67" i="7" s="1"/>
  <c r="AK67" i="7" s="1"/>
  <c r="N65" i="7"/>
  <c r="N64" i="7"/>
  <c r="O64" i="7" s="1"/>
  <c r="AK64" i="7" s="1"/>
  <c r="N63" i="7"/>
  <c r="O63" i="7" s="1"/>
  <c r="AK63" i="7" s="1"/>
  <c r="N60" i="7"/>
  <c r="O60" i="7" s="1"/>
  <c r="AK60" i="7" s="1"/>
  <c r="N59" i="7"/>
  <c r="O59" i="7" s="1"/>
  <c r="AK59" i="7" s="1"/>
  <c r="N62" i="7"/>
  <c r="O62" i="7" s="1"/>
  <c r="AK62" i="7" s="1"/>
  <c r="N61" i="7"/>
  <c r="O61" i="7" s="1"/>
  <c r="AK61" i="7" s="1"/>
  <c r="AI94" i="7"/>
  <c r="AI93" i="7"/>
  <c r="AI92" i="7"/>
  <c r="AI91" i="7"/>
  <c r="AJ91" i="7" s="1"/>
  <c r="AI90" i="7"/>
  <c r="AJ90" i="7" s="1"/>
  <c r="AI89" i="7"/>
  <c r="AJ89" i="7" s="1"/>
  <c r="AI88" i="7"/>
  <c r="AJ88" i="7" s="1"/>
  <c r="AI87" i="7"/>
  <c r="AJ87" i="7" s="1"/>
  <c r="AI83" i="7"/>
  <c r="AJ83" i="7" s="1"/>
  <c r="AI86" i="7"/>
  <c r="AJ86" i="7" s="1"/>
  <c r="AI85" i="7"/>
  <c r="AJ85" i="7" s="1"/>
  <c r="AI84" i="7"/>
  <c r="AJ84" i="7" s="1"/>
  <c r="N46" i="7"/>
  <c r="N44" i="7"/>
  <c r="N45" i="7"/>
  <c r="N43" i="7"/>
  <c r="N42" i="7"/>
  <c r="N41" i="7"/>
  <c r="O41" i="7" s="1"/>
  <c r="AK41" i="7" s="1"/>
  <c r="N40" i="7"/>
  <c r="O40" i="7" s="1"/>
  <c r="AK40" i="7" s="1"/>
  <c r="N36" i="7"/>
  <c r="O36" i="7" s="1"/>
  <c r="AK36" i="7" s="1"/>
  <c r="N39" i="7"/>
  <c r="O39" i="7" s="1"/>
  <c r="AK39" i="7" s="1"/>
  <c r="N38" i="7"/>
  <c r="O38" i="7" s="1"/>
  <c r="AK38" i="7" s="1"/>
  <c r="N37" i="7"/>
  <c r="O37" i="7" s="1"/>
  <c r="AK37" i="7" s="1"/>
  <c r="N35" i="7"/>
  <c r="O35" i="7" s="1"/>
  <c r="AK35" i="7" s="1"/>
  <c r="AI19" i="7"/>
  <c r="AI18" i="7"/>
  <c r="AI17" i="7"/>
  <c r="AJ17" i="7" s="1"/>
  <c r="AI16" i="7"/>
  <c r="AJ16" i="7" s="1"/>
  <c r="AI22" i="7"/>
  <c r="AJ22" i="7" s="1"/>
  <c r="AI15" i="7"/>
  <c r="AJ15" i="7" s="1"/>
  <c r="AI14" i="7"/>
  <c r="AJ14" i="7" s="1"/>
  <c r="AI21" i="7"/>
  <c r="AJ21" i="7" s="1"/>
  <c r="AI13" i="7"/>
  <c r="AJ13" i="7" s="1"/>
  <c r="AI20" i="7"/>
  <c r="AJ20" i="7" s="1"/>
  <c r="AI12" i="7"/>
  <c r="AJ12" i="7" s="1"/>
  <c r="AI11" i="7"/>
  <c r="AJ11" i="7" s="1"/>
  <c r="N19" i="7"/>
  <c r="N18" i="7"/>
  <c r="O18" i="7" s="1"/>
  <c r="AK18" i="7" s="1"/>
  <c r="N17" i="7"/>
  <c r="O17" i="7" s="1"/>
  <c r="AK17" i="7" s="1"/>
  <c r="N16" i="7"/>
  <c r="O16" i="7" s="1"/>
  <c r="AK16" i="7" s="1"/>
  <c r="N15" i="7"/>
  <c r="O15" i="7" s="1"/>
  <c r="AK15" i="7" s="1"/>
  <c r="N14" i="7"/>
  <c r="O14" i="7" s="1"/>
  <c r="AK14" i="7" s="1"/>
  <c r="N22" i="7"/>
  <c r="O22" i="7" s="1"/>
  <c r="AK22" i="7" s="1"/>
  <c r="N13" i="7"/>
  <c r="O13" i="7" s="1"/>
  <c r="AK13" i="7" s="1"/>
  <c r="N12" i="7"/>
  <c r="O12" i="7" s="1"/>
  <c r="AK12" i="7" s="1"/>
  <c r="N20" i="7"/>
  <c r="O20" i="7" s="1"/>
  <c r="AK20" i="7" s="1"/>
  <c r="N11" i="7"/>
  <c r="O11" i="7" s="1"/>
  <c r="AK11" i="7" s="1"/>
  <c r="N21" i="7"/>
  <c r="O21" i="7" s="1"/>
  <c r="AK21" i="7" s="1"/>
  <c r="O43" i="7"/>
  <c r="AK43" i="7" s="1"/>
  <c r="O42" i="7"/>
  <c r="AK42" i="7" s="1"/>
  <c r="AQ22" i="7"/>
  <c r="AQ46" i="7"/>
  <c r="AQ70" i="7"/>
  <c r="AJ46" i="7"/>
  <c r="AJ44" i="7"/>
  <c r="AJ94" i="7"/>
  <c r="AJ92" i="7"/>
  <c r="AJ93" i="7"/>
  <c r="AQ94" i="7"/>
  <c r="AJ19" i="7"/>
  <c r="AJ18" i="7"/>
  <c r="AJ70" i="7"/>
  <c r="AJ69" i="7"/>
  <c r="AJ68" i="7"/>
  <c r="AJ67" i="7"/>
  <c r="AJ66" i="7"/>
  <c r="O68" i="7"/>
  <c r="AK68" i="7" s="1"/>
  <c r="O69" i="7"/>
  <c r="AK69" i="7" s="1"/>
  <c r="AK96" i="7"/>
  <c r="O96" i="7"/>
  <c r="IA9" i="3" s="1"/>
  <c r="IE9" i="3" s="1"/>
  <c r="O65" i="7"/>
  <c r="AK65" i="7" s="1"/>
  <c r="U46" i="7"/>
  <c r="U70" i="7"/>
  <c r="O70" i="7"/>
  <c r="AK70" i="7" s="1"/>
  <c r="O46" i="7"/>
  <c r="AK46" i="7" s="1"/>
  <c r="O45" i="7"/>
  <c r="AK45" i="7" s="1"/>
  <c r="O44" i="7"/>
  <c r="AK44" i="7" s="1"/>
  <c r="O19" i="7"/>
  <c r="AK19"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U8" i="3"/>
  <c r="IU7" i="3"/>
  <c r="IU6" i="3"/>
  <c r="IA6" i="3"/>
  <c r="IE6" i="3" s="1"/>
  <c r="AB37" i="3"/>
  <c r="AA37" i="3"/>
  <c r="AC37" i="3"/>
  <c r="AD37" i="3"/>
  <c r="Z38" i="3"/>
  <c r="IY6" i="3" l="1"/>
  <c r="M11" i="8" s="1"/>
  <c r="IX6" i="3"/>
  <c r="L11" i="8" s="1"/>
  <c r="D8" i="20" s="1"/>
  <c r="IW6" i="3"/>
  <c r="K11" i="8" s="1"/>
  <c r="C8" i="20" s="1"/>
  <c r="IY7" i="3"/>
  <c r="M12" i="8" s="1"/>
  <c r="E9" i="20" s="1"/>
  <c r="IX7" i="3"/>
  <c r="L12" i="8" s="1"/>
  <c r="D9" i="20" s="1"/>
  <c r="IW7" i="3"/>
  <c r="K12" i="8" s="1"/>
  <c r="C9" i="20" s="1"/>
  <c r="IX8" i="3"/>
  <c r="L13" i="8" s="1"/>
  <c r="D10" i="20" s="1"/>
  <c r="IY8" i="3"/>
  <c r="M13" i="8" s="1"/>
  <c r="E10" i="20" s="1"/>
  <c r="IW8" i="3"/>
  <c r="K13" i="8" s="1"/>
  <c r="C10" i="20" s="1"/>
  <c r="IW9" i="3"/>
  <c r="K14" i="8" s="1"/>
  <c r="C11" i="20" s="1"/>
  <c r="IY9" i="3"/>
  <c r="M14" i="8" s="1"/>
  <c r="E11" i="20" s="1"/>
  <c r="IX9" i="3"/>
  <c r="L14" i="8" s="1"/>
  <c r="D11" i="20" s="1"/>
  <c r="IF9" i="3"/>
  <c r="IF8" i="3"/>
  <c r="IF7" i="3"/>
  <c r="IF6" i="3"/>
  <c r="AB38" i="3"/>
  <c r="AA38" i="3"/>
  <c r="AC38" i="3"/>
  <c r="AD38" i="3"/>
  <c r="Z39" i="3"/>
  <c r="M8" i="8" l="1"/>
  <c r="E5" i="20" s="1"/>
  <c r="E8" i="20"/>
  <c r="J14" i="8"/>
  <c r="B11" i="20" s="1"/>
  <c r="IV6" i="3"/>
  <c r="J11" i="8" s="1"/>
  <c r="B8" i="20"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<sst xmlns="http://schemas.openxmlformats.org/spreadsheetml/2006/main" count="2434" uniqueCount="444">
  <si>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</si>
  <si>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</si>
  <si>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</si>
  <si>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</si>
  <si>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</si>
  <si>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</si>
  <si>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</si>
  <si>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</si>
  <si>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</si>
  <si>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</si>
  <si>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</si>
  <si>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</si>
  <si>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</si>
  <si>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</si>
  <si>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</si>
  <si>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</si>
  <si>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</si>
  <si>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</si>
  <si>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</si>
  <si>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</si>
  <si>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</si>
  <si>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</si>
  <si>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</si>
  <si>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</si>
  <si>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</si>
  <si>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</si>
  <si>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</si>
  <si>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</si>
  <si>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</si>
  <si>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</si>
  <si>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</si>
  <si>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</si>
  <si>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</si>
  <si>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</si>
  <si>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</si>
  <si>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</si>
  <si>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</si>
  <si>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</si>
  <si>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</si>
  <si>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</si>
  <si>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</si>
  <si>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</si>
  <si>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</si>
  <si>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</si>
  <si>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</si>
  <si>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</si>
  <si>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</si>
  <si>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</si>
  <si>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</si>
  <si>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</si>
  <si>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</si>
  <si>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</si>
  <si>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</si>
  <si>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</si>
  <si>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</si>
  <si>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</si>
  <si>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</si>
  <si>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</si>
  <si>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</si>
  <si>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</si>
  <si>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</si>
  <si>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</si>
  <si>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</si>
  <si>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</si>
  <si>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</si>
  <si>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</si>
  <si>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</si>
  <si>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</si>
  <si>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</si>
  <si>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</si>
  <si>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</si>
  <si>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</si>
  <si>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</si>
  <si>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</si>
  <si>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</si>
  <si>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</si>
  <si>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</si>
  <si>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</si>
  <si>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</si>
  <si>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</si>
  <si>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</si>
  <si>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</si>
  <si>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</si>
  <si>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</si>
  <si>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</si>
  <si>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</si>
  <si>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</si>
  <si>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</si>
  <si>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</si>
  <si>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</si>
  <si>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</si>
  <si>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</si>
  <si>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nº 82, de 11 de abril de 2023</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</si>
  <si>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</si>
  <si>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</si>
  <si>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</si>
  <si>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</si>
  <si>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</si>
  <si>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</si>
  <si>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</si>
  <si>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</si>
  <si>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</si>
  <si>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</si>
  <si>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</si>
  <si>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</si>
  <si>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</si>
  <si>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</si>
  <si>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</si>
  <si>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</si>
  <si>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</si>
  <si>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</si>
  <si>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</si>
  <si>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</si>
  <si>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</si>
  <si>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</si>
  <si>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</si>
  <si>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</si>
  <si>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</si>
  <si>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</si>
  <si>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</si>
  <si>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</si>
  <si>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</si>
  <si>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</si>
  <si>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</si>
  <si>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</si>
  <si>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</si>
  <si>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</si>
  <si>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</si>
  <si>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</si>
  <si>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</si>
  <si>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</si>
  <si>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</si>
  <si>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</si>
  <si>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</si>
  <si>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</si>
  <si>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</si>
  <si>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</si>
  <si>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</si>
  <si>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</si>
  <si>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</si>
  <si>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</si>
  <si>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</si>
  <si>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</si>
  <si>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</si>
  <si>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</si>
  <si>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</si>
  <si>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</si>
  <si>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</si>
  <si>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</si>
  <si>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</si>
  <si>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</si>
  <si>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</si>
  <si>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</si>
  <si>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</si>
  <si>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</si>
  <si>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</si>
  <si>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</si>
  <si>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</si>
  <si>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</si>
  <si>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</si>
  <si>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</si>
  <si>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</si>
  <si>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</si>
  <si>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</si>
  <si>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</si>
  <si>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CT01</t>
  </si>
  <si>
    <t>CT02</t>
  </si>
  <si>
    <t>PORCENTAJE DEDICACIÓN POR EJERCICIO</t>
  </si>
  <si>
    <t>PORCENTAJE DE DEDICACIÓN MENSUAL AL PROYECTO POR EJERCICIO</t>
  </si>
  <si>
    <t>c) Celda D22: número del expediente.</t>
  </si>
  <si>
    <t>EXISTE ALGÚN % SUPERIOR A 100%</t>
  </si>
  <si>
    <t>EJERCICIO</t>
  </si>
  <si>
    <t>ACRÓNIMO</t>
  </si>
  <si>
    <t>INSTRUCCIONES PARA LA CORRECTA CUMPLIMENTACIÓN DEL MOD60.
 GASTO PERSONAL (CCTT)</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</si>
  <si>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</si>
  <si>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</si>
  <si>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</si>
  <si>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</si>
  <si>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</si>
  <si>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</si>
  <si>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</si>
  <si>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</si>
  <si>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</si>
  <si>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</si>
  <si>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</si>
  <si>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</si>
  <si>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</si>
  <si>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</si>
  <si>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</si>
  <si>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</si>
  <si>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</si>
  <si>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</si>
  <si>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</si>
  <si>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</si>
  <si>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</si>
  <si>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</si>
  <si>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</si>
  <si>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</si>
  <si>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</si>
  <si>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</si>
  <si>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</si>
  <si>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</si>
  <si>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</si>
  <si>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</si>
  <si>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</si>
  <si>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</si>
  <si>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</si>
  <si>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</si>
  <si>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</si>
  <si>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PROGRAMA DE AYUDAS DIRIGIDAS A LOS CCTT DE LA REGIÓN DE MURCIA DESTINADAS A LA REALIZACIÓN DE ACTIVIDADES DE I+D DE CARÁCTER NO ECONÓMICO.</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</si>
  <si>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</si>
  <si>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</si>
  <si>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</si>
  <si>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</si>
  <si>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</si>
  <si>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</si>
  <si>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</si>
  <si>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</si>
  <si>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</si>
  <si>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</si>
  <si>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</si>
  <si>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</si>
  <si>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</si>
  <si>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</si>
  <si>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</si>
  <si>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</si>
  <si>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</si>
  <si>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</si>
  <si>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</si>
  <si>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</si>
  <si>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</si>
  <si>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</si>
  <si>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</si>
  <si>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</si>
  <si>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</si>
  <si>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</si>
  <si>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</si>
  <si>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</si>
  <si>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</si>
  <si>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</si>
  <si>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</si>
  <si>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</si>
  <si>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</si>
  <si>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</si>
  <si>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</si>
  <si>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</si>
  <si>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</si>
  <si>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</si>
  <si>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</si>
  <si>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</si>
  <si>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</si>
  <si>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</si>
  <si>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</si>
  <si>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</si>
  <si>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</si>
  <si>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</si>
  <si>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</si>
  <si>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</si>
  <si>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</si>
  <si>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</si>
  <si>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</si>
  <si>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</si>
  <si>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</si>
  <si>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</si>
  <si>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</si>
  <si>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</si>
  <si>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</si>
  <si>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</si>
  <si>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</si>
  <si>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</si>
  <si>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</si>
  <si>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</si>
  <si>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</si>
  <si>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</si>
  <si>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</si>
  <si>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</si>
  <si>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</si>
  <si>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</si>
  <si>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</si>
  <si>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</si>
  <si>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</si>
  <si>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</si>
  <si>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</si>
  <si>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</si>
  <si>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</si>
  <si>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</si>
  <si>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</si>
  <si>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</si>
  <si>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</si>
  <si>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</si>
  <si>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</si>
  <si>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</si>
  <si>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</si>
  <si>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</si>
  <si>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</si>
  <si>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</si>
  <si>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</si>
  <si>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</si>
  <si>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</si>
  <si>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</si>
  <si>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</si>
  <si>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</si>
  <si>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</si>
  <si>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</si>
  <si>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</si>
  <si>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</si>
  <si>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</si>
  <si>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</si>
  <si>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</si>
  <si>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</si>
  <si>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</si>
  <si>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</si>
  <si>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</si>
  <si>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</si>
  <si>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</si>
  <si>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</si>
  <si>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</si>
  <si>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</si>
  <si>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</si>
  <si>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</si>
  <si>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</si>
  <si>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</si>
  <si>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</si>
  <si>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</si>
  <si>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</si>
  <si>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</si>
  <si>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</si>
  <si>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</si>
  <si>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</si>
  <si>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</si>
  <si>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</si>
  <si>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</si>
  <si>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</si>
  <si>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</si>
  <si>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</si>
  <si>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</si>
  <si>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</si>
  <si>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</si>
  <si>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</si>
  <si>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</si>
  <si>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</si>
  <si>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</si>
  <si>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</si>
  <si>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</si>
  <si>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</si>
  <si>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</si>
  <si>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</si>
  <si>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</si>
  <si>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</si>
  <si>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</si>
  <si>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</si>
  <si>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</si>
  <si>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</si>
  <si>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</si>
  <si>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</si>
  <si>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</si>
  <si>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</si>
  <si>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</si>
  <si>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</si>
  <si>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</si>
  <si>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</si>
  <si>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</si>
  <si>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</si>
  <si>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</si>
  <si>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</si>
  <si>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</si>
  <si>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</si>
  <si>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</si>
  <si>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</si>
  <si>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</si>
  <si>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</si>
  <si>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</si>
  <si>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</si>
  <si>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</si>
  <si>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</si>
  <si>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</si>
  <si>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</si>
  <si>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</si>
  <si>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</si>
  <si>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</si>
  <si>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</si>
  <si>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</si>
  <si>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</si>
  <si>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</si>
  <si>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</si>
  <si>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</si>
  <si>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</si>
  <si>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</si>
  <si>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</si>
  <si>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</si>
  <si>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</si>
  <si>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</si>
  <si>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</si>
  <si>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</si>
  <si>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</si>
  <si>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</si>
  <si>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</si>
  <si>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</si>
  <si>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</si>
  <si>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</si>
  <si>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</si>
  <si>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</si>
  <si>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</si>
  <si>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</si>
  <si>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</si>
  <si>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</si>
  <si>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</si>
  <si>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</si>
  <si>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</si>
  <si>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</si>
  <si>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</si>
  <si>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</si>
  <si>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</si>
  <si>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</si>
  <si>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</si>
  <si>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</si>
  <si>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</si>
  <si>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</si>
  <si>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</si>
  <si>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</si>
  <si>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</si>
  <si>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</si>
  <si>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</si>
  <si>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</si>
  <si>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</si>
  <si>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</si>
  <si>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</si>
  <si>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</si>
  <si>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</si>
  <si>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EJERCICIO 2023:</t>
  </si>
  <si>
    <t>FIN:</t>
  </si>
  <si>
    <t>DÍAS:</t>
  </si>
  <si>
    <t>EJERCICIO 2024:</t>
  </si>
  <si>
    <t>EJERCICIO 2025:</t>
  </si>
  <si>
    <t>EJERCICIO 2026:</t>
  </si>
  <si>
    <t>Máx. mensual tiempo completo</t>
  </si>
  <si>
    <t>CONVOCATORIA: COSTE MENSUAL MÁXIMO</t>
  </si>
  <si>
    <t>IPRO</t>
  </si>
  <si>
    <t>PROGRAMA DE APOYO A INVERSIONES PRODUCTIVAS Y TECNOLÓGICAS, COFINANCIADAS POR EL FEDER</t>
  </si>
  <si>
    <t>APRO</t>
  </si>
  <si>
    <t>PRIV</t>
  </si>
  <si>
    <t>PROGRAMA DE AYUDAS DIRIGIDAS A LA ENTRADA DE INVERSORES PRIVADOS EN EMPRESAS INNOVADORAS CON ALTO POTENCIAL DE CRECIMIENTO (FEDER)</t>
  </si>
  <si>
    <t>nº 105, de 8 de mayo de 2024</t>
  </si>
  <si>
    <t>nº 128, de 4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</si>
</sst>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4">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6" fillId="4" borderId="1" xfId="2" applyFont="1" applyFill="1" applyBorder="1" applyAlignment="1" applyProtection="1">
      <alignment horizontal="left" vertical="center" indent="1"/>
      <protection locked="0"/>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0" fontId="30" fillId="0" borderId="0" xfId="2" applyFont="1" applyProtection="1">
      <protection hidden="1"/>
    </xf>
    <xf numFmtId="0" fontId="29" fillId="4" borderId="1" xfId="2" applyFont="1" applyFill="1" applyBorder="1" applyAlignment="1" applyProtection="1">
      <alignment horizontal="center"/>
      <protection locked="0"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7" fillId="0" borderId="0" xfId="0" applyFont="1" applyAlignment="1">
      <alignment horizontal="left" wrapText="1"/>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0" fillId="0" borderId="0" xfId="0" applyAlignment="1">
      <alignment horizontal="center" vertical="center"/>
    </xf>
    <xf numFmtId="0" fontId="0" fillId="0" borderId="6" xfId="0" applyBorder="1" applyAlignment="1">
      <alignment horizontal="center" vertical="center"/>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0" fillId="0" borderId="33" xfId="0" applyBorder="1" applyAlignment="1">
      <alignment horizontal="center" vertical="center"/>
    </xf>
    <xf numFmtId="0" fontId="0" fillId="0" borderId="12" xfId="0" applyBorder="1" applyAlignment="1">
      <alignment horizontal="center" vertical="center"/>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21" xfId="0" applyFont="1" applyFill="1" applyBorder="1" applyAlignment="1">
      <alignment horizontal="center" vertical="center"/>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54"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13" fillId="7" borderId="20"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11" fillId="9" borderId="58" xfId="0" applyFont="1" applyFill="1" applyBorder="1" applyAlignment="1" applyProtection="1">
      <alignment horizontal="center" vertical="center"/>
      <protection hidden="1"/>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2" fillId="6" borderId="107"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13" fillId="0" borderId="93" xfId="0" applyFont="1" applyBorder="1" applyAlignment="1" applyProtection="1">
      <alignment horizontal="center" vertical="center" wrapTex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13" fillId="7" borderId="22" xfId="0" applyFont="1" applyFill="1" applyBorder="1" applyAlignment="1">
      <alignment horizontal="center" vertical="center"/>
    </xf>
    <xf numFmtId="0" fontId="26" fillId="0" borderId="103"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62" xfId="0" applyFont="1" applyFill="1" applyBorder="1" applyAlignment="1" applyProtection="1">
      <alignment horizontal="center" vertical="center"/>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33" fillId="7" borderId="13" xfId="0" applyFont="1" applyFill="1" applyBorder="1" applyAlignment="1" applyProtection="1">
      <alignment horizontal="center" vertical="center" wrapText="1"/>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18"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6" fillId="9" borderId="0" xfId="0" applyFont="1" applyFill="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6" fillId="14" borderId="0" xfId="0" applyFont="1" applyFill="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11" borderId="0" xfId="0" applyFont="1" applyFill="1" applyAlignment="1" applyProtection="1">
      <alignment horizontal="center"/>
      <protection hidden="1"/>
    </xf>
    <xf numFmtId="0" fontId="6" fillId="2" borderId="20" xfId="0" quotePrefix="1"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13" borderId="0" xfId="0" applyFont="1" applyFill="1" applyAlignment="1" applyProtection="1">
      <alignment horizontal="center"/>
      <protection hidden="1"/>
    </xf>
    <xf numFmtId="0" fontId="4" fillId="17" borderId="0" xfId="0" applyFont="1" applyFill="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zoomScaleNormal="100" workbookViewId="0">
      <selection activeCell="B9" sqref="B9"/>
    </sheetView>
  </sheetViews>
  <sheetFormatPr baseColWidth="10" defaultColWidth="9.140625" defaultRowHeight="13.5" x14ac:dyDescent="0.25"/>
  <cols>
    <col min="1" max="1" width="5.5703125" style="397" customWidth="1"/>
    <col min="2" max="2" width="85.5703125" style="397" customWidth="1"/>
    <col min="3" max="1001" width="10.5703125" style="397" customWidth="1"/>
    <col min="1002" max="16384" width="9.140625" style="397"/>
  </cols>
  <sheetData>
    <row r="2" spans="2:2" ht="39.950000000000003" customHeight="1" x14ac:dyDescent="0.25">
      <c r="B2" s="591" t="s">
        <v>173</v>
      </c>
    </row>
    <row r="4" spans="2:2" ht="27" x14ac:dyDescent="0.25">
      <c r="B4" s="592" t="s">
        <v>0</v>
      </c>
    </row>
    <row r="5" spans="2:2" x14ac:dyDescent="0.25">
      <c r="B5" s="592"/>
    </row>
    <row r="6" spans="2:2" ht="40.5" x14ac:dyDescent="0.25">
      <c r="B6" s="593" t="s">
        <v>120</v>
      </c>
    </row>
    <row r="7" spans="2:2" ht="9.9499999999999993" customHeight="1" x14ac:dyDescent="0.25">
      <c r="B7" s="593"/>
    </row>
    <row r="8" spans="2:2" ht="15" customHeight="1" x14ac:dyDescent="0.25">
      <c r="B8" s="594" t="s">
        <v>122</v>
      </c>
    </row>
    <row r="9" spans="2:2" ht="15" customHeight="1" x14ac:dyDescent="0.25">
      <c r="B9" s="595" t="s">
        <v>3</v>
      </c>
    </row>
    <row r="10" spans="2:2" ht="15" customHeight="1" x14ac:dyDescent="0.25">
      <c r="B10" s="595" t="s">
        <v>4</v>
      </c>
    </row>
    <row r="11" spans="2:2" ht="27" x14ac:dyDescent="0.25">
      <c r="B11" s="595" t="s">
        <v>5</v>
      </c>
    </row>
    <row r="12" spans="2:2" ht="30" customHeight="1" x14ac:dyDescent="0.25">
      <c r="B12" s="595" t="s">
        <v>6</v>
      </c>
    </row>
    <row r="13" spans="2:2" ht="40.5" x14ac:dyDescent="0.25">
      <c r="B13" s="595" t="s">
        <v>7</v>
      </c>
    </row>
    <row r="14" spans="2:2" ht="40.5" x14ac:dyDescent="0.25">
      <c r="B14" s="595" t="s">
        <v>391</v>
      </c>
    </row>
    <row r="15" spans="2:2" ht="27" x14ac:dyDescent="0.25">
      <c r="B15" s="595" t="s">
        <v>8</v>
      </c>
    </row>
    <row r="16" spans="2:2" ht="15" customHeight="1" x14ac:dyDescent="0.25">
      <c r="B16" s="596"/>
    </row>
    <row r="17" spans="2:2" ht="15" customHeight="1" x14ac:dyDescent="0.25">
      <c r="B17" s="597" t="s">
        <v>1</v>
      </c>
    </row>
    <row r="18" spans="2:2" ht="9.9499999999999993" customHeight="1" x14ac:dyDescent="0.25"/>
    <row r="19" spans="2:2" ht="15" customHeight="1" x14ac:dyDescent="0.25">
      <c r="B19" s="598" t="s">
        <v>2</v>
      </c>
    </row>
    <row r="20" spans="2:2" ht="15" customHeight="1" x14ac:dyDescent="0.25">
      <c r="B20" s="599" t="s">
        <v>145</v>
      </c>
    </row>
    <row r="21" spans="2:2" ht="15" customHeight="1" x14ac:dyDescent="0.25">
      <c r="B21" s="599" t="s">
        <v>392</v>
      </c>
    </row>
    <row r="22" spans="2:2" ht="15" customHeight="1" x14ac:dyDescent="0.25">
      <c r="B22" s="599" t="s">
        <v>169</v>
      </c>
    </row>
    <row r="23" spans="2:2" ht="27" x14ac:dyDescent="0.25">
      <c r="B23" s="595" t="s">
        <v>217</v>
      </c>
    </row>
    <row r="24" spans="2:2" ht="15" customHeight="1" x14ac:dyDescent="0.25">
      <c r="B24" s="592"/>
    </row>
    <row r="25" spans="2:2" ht="15" customHeight="1" x14ac:dyDescent="0.25">
      <c r="B25" s="597" t="s">
        <v>137</v>
      </c>
    </row>
    <row r="26" spans="2:2" ht="9.9499999999999993" customHeight="1" x14ac:dyDescent="0.25"/>
    <row r="27" spans="2:2" ht="27" x14ac:dyDescent="0.25">
      <c r="B27" s="592" t="s">
        <v>138</v>
      </c>
    </row>
    <row r="28" spans="2:2" ht="27" customHeight="1" x14ac:dyDescent="0.25">
      <c r="B28" s="593" t="s">
        <v>393</v>
      </c>
    </row>
    <row r="29" spans="2:2" ht="27" customHeight="1" x14ac:dyDescent="0.25">
      <c r="B29" s="600" t="s">
        <v>413</v>
      </c>
    </row>
    <row r="30" spans="2:2" ht="27" x14ac:dyDescent="0.25">
      <c r="B30" s="600" t="s">
        <v>394</v>
      </c>
    </row>
    <row r="31" spans="2:2" ht="27" x14ac:dyDescent="0.25">
      <c r="B31" s="600" t="s">
        <v>164</v>
      </c>
    </row>
    <row r="32" spans="2:2" ht="15" customHeight="1" x14ac:dyDescent="0.25">
      <c r="B32" s="592"/>
    </row>
    <row r="33" spans="2:2" ht="15" customHeight="1" x14ac:dyDescent="0.25">
      <c r="B33" s="597" t="s">
        <v>121</v>
      </c>
    </row>
    <row r="34" spans="2:2" ht="9.9499999999999993" customHeight="1" x14ac:dyDescent="0.25"/>
    <row r="35" spans="2:2" ht="27" x14ac:dyDescent="0.25">
      <c r="B35" s="601" t="s">
        <v>414</v>
      </c>
    </row>
    <row r="36" spans="2:2" ht="50.1" customHeight="1" x14ac:dyDescent="0.25">
      <c r="B36" s="602" t="s">
        <v>148</v>
      </c>
    </row>
    <row r="37" spans="2:2" ht="27" x14ac:dyDescent="0.25">
      <c r="B37" s="594" t="s">
        <v>395</v>
      </c>
    </row>
    <row r="38" spans="2:2" ht="60" customHeight="1" x14ac:dyDescent="0.25">
      <c r="B38" s="603" t="s">
        <v>149</v>
      </c>
    </row>
    <row r="39" spans="2:2" ht="15" customHeight="1" x14ac:dyDescent="0.25">
      <c r="B39" s="604" t="s">
        <v>150</v>
      </c>
    </row>
    <row r="40" spans="2:2" ht="13.5" customHeight="1" x14ac:dyDescent="0.25">
      <c r="B40" s="594" t="s">
        <v>396</v>
      </c>
    </row>
    <row r="41" spans="2:2" ht="27" x14ac:dyDescent="0.25">
      <c r="B41" s="602" t="s">
        <v>397</v>
      </c>
    </row>
    <row r="42" spans="2:2" ht="13.5" customHeight="1" x14ac:dyDescent="0.25">
      <c r="B42" s="602" t="s">
        <v>398</v>
      </c>
    </row>
    <row r="43" spans="2:2" ht="27" x14ac:dyDescent="0.25">
      <c r="B43" s="601" t="s">
        <v>399</v>
      </c>
    </row>
    <row r="44" spans="2:2" ht="15" customHeight="1" x14ac:dyDescent="0.25"/>
    <row r="45" spans="2:2" ht="15" customHeight="1" x14ac:dyDescent="0.25">
      <c r="B45" s="597" t="s">
        <v>218</v>
      </c>
    </row>
    <row r="46" spans="2:2" ht="9.9499999999999993" customHeight="1" x14ac:dyDescent="0.25"/>
    <row r="47" spans="2:2" ht="15" customHeight="1" x14ac:dyDescent="0.25">
      <c r="B47" s="605" t="s">
        <v>400</v>
      </c>
    </row>
    <row r="48" spans="2:2" ht="15" customHeight="1" x14ac:dyDescent="0.25">
      <c r="B48" s="606" t="s">
        <v>123</v>
      </c>
    </row>
    <row r="49" spans="2:2" ht="15" customHeight="1" x14ac:dyDescent="0.25">
      <c r="B49" s="606" t="s">
        <v>124</v>
      </c>
    </row>
    <row r="50" spans="2:2" ht="15" customHeight="1" x14ac:dyDescent="0.25">
      <c r="B50" s="606" t="s">
        <v>125</v>
      </c>
    </row>
    <row r="51" spans="2:2" ht="15" customHeight="1" x14ac:dyDescent="0.25">
      <c r="B51" s="606" t="s">
        <v>126</v>
      </c>
    </row>
    <row r="52" spans="2:2" ht="9.9499999999999993" customHeight="1" x14ac:dyDescent="0.25"/>
    <row r="53" spans="2:2" ht="15" customHeight="1" x14ac:dyDescent="0.25">
      <c r="B53" s="607" t="s">
        <v>127</v>
      </c>
    </row>
    <row r="54" spans="2:2" ht="15" customHeight="1" x14ac:dyDescent="0.25">
      <c r="B54" s="619" t="s">
        <v>415</v>
      </c>
    </row>
    <row r="55" spans="2:2" ht="15" customHeight="1" x14ac:dyDescent="0.25">
      <c r="B55" s="619"/>
    </row>
    <row r="56" spans="2:2" ht="9.9499999999999993" customHeight="1" x14ac:dyDescent="0.25"/>
    <row r="57" spans="2:2" ht="15" customHeight="1" x14ac:dyDescent="0.25">
      <c r="B57" s="607" t="s">
        <v>128</v>
      </c>
    </row>
    <row r="58" spans="2:2" ht="30" customHeight="1" x14ac:dyDescent="0.25">
      <c r="B58" s="602" t="s">
        <v>401</v>
      </c>
    </row>
    <row r="59" spans="2:2" ht="30" customHeight="1" x14ac:dyDescent="0.25">
      <c r="B59" s="608" t="s">
        <v>151</v>
      </c>
    </row>
    <row r="60" spans="2:2" ht="50.1" customHeight="1" x14ac:dyDescent="0.25">
      <c r="B60" s="602" t="s">
        <v>152</v>
      </c>
    </row>
    <row r="61" spans="2:2" ht="60" customHeight="1" x14ac:dyDescent="0.25">
      <c r="B61" s="602" t="s">
        <v>402</v>
      </c>
    </row>
    <row r="62" spans="2:2" ht="30" customHeight="1" x14ac:dyDescent="0.25">
      <c r="B62" s="602" t="s">
        <v>155</v>
      </c>
    </row>
    <row r="63" spans="2:2" ht="30" customHeight="1" x14ac:dyDescent="0.25">
      <c r="B63" s="602" t="s">
        <v>416</v>
      </c>
    </row>
    <row r="64" spans="2:2" ht="9.9499999999999993" customHeight="1" x14ac:dyDescent="0.25"/>
    <row r="65" spans="2:2" ht="15" customHeight="1" x14ac:dyDescent="0.25">
      <c r="B65" s="607" t="s">
        <v>403</v>
      </c>
    </row>
    <row r="66" spans="2:2" ht="50.1" customHeight="1" x14ac:dyDescent="0.25">
      <c r="B66" s="602" t="s">
        <v>156</v>
      </c>
    </row>
    <row r="67" spans="2:2" ht="27" customHeight="1" x14ac:dyDescent="0.25">
      <c r="B67" s="609" t="s">
        <v>113</v>
      </c>
    </row>
    <row r="68" spans="2:2" ht="27" x14ac:dyDescent="0.25">
      <c r="B68" s="609" t="s">
        <v>157</v>
      </c>
    </row>
    <row r="69" spans="2:2" ht="40.5" x14ac:dyDescent="0.25">
      <c r="B69" s="602" t="s">
        <v>158</v>
      </c>
    </row>
    <row r="70" spans="2:2" ht="9.9499999999999993" customHeight="1" x14ac:dyDescent="0.25"/>
    <row r="71" spans="2:2" ht="15" customHeight="1" x14ac:dyDescent="0.25">
      <c r="B71" s="607" t="s">
        <v>159</v>
      </c>
    </row>
    <row r="72" spans="2:2" ht="27" customHeight="1" x14ac:dyDescent="0.25">
      <c r="B72" s="602" t="s">
        <v>417</v>
      </c>
    </row>
    <row r="73" spans="2:2" ht="15" customHeight="1" x14ac:dyDescent="0.25">
      <c r="B73" s="610" t="s">
        <v>404</v>
      </c>
    </row>
    <row r="74" spans="2:2" ht="27" customHeight="1" x14ac:dyDescent="0.25">
      <c r="B74" s="609" t="s">
        <v>405</v>
      </c>
    </row>
    <row r="75" spans="2:2" ht="27" customHeight="1" x14ac:dyDescent="0.25">
      <c r="B75" s="609" t="s">
        <v>406</v>
      </c>
    </row>
    <row r="76" spans="2:2" ht="27" x14ac:dyDescent="0.25">
      <c r="B76" s="609" t="s">
        <v>418</v>
      </c>
    </row>
    <row r="77" spans="2:2" ht="9.9499999999999993" customHeight="1" x14ac:dyDescent="0.25"/>
  </sheetData>
  <sheetProtection algorithmName="SHA-512" hashValue="hn2uBvCjD5+25nJUJWW2kgmNGa+7AjWDQvK7/89FRfyngPhYpp29VHnzU+HjeNWs20h7st9jhGJ3s5eFCJYm1Q==" saltValue="EwyW4pIj+B9hTXw1HAVB5Q=="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zoomScaleNormal="100" workbookViewId="0">
      <selection activeCell="M19" sqref="M19"/>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21" t="s">
        <v>9</v>
      </c>
      <c r="C9" s="622"/>
      <c r="D9" s="623"/>
      <c r="E9" s="623"/>
      <c r="F9" s="623"/>
      <c r="G9" s="623"/>
      <c r="H9" s="623"/>
      <c r="I9" s="624"/>
    </row>
    <row r="10" spans="2:9" ht="15" customHeight="1" x14ac:dyDescent="0.25">
      <c r="B10" s="621"/>
      <c r="C10" s="625"/>
      <c r="D10" s="626"/>
      <c r="E10" s="626"/>
      <c r="F10" s="626"/>
      <c r="G10" s="626"/>
      <c r="H10" s="626"/>
      <c r="I10" s="627"/>
    </row>
    <row r="11" spans="2:9" ht="15" customHeight="1" x14ac:dyDescent="0.25">
      <c r="B11" s="111"/>
    </row>
    <row r="12" spans="2:9" ht="15" customHeight="1" x14ac:dyDescent="0.25">
      <c r="B12" s="628" t="s">
        <v>10</v>
      </c>
      <c r="C12" s="629" t="str">
        <f>VLOOKUP(AUXILIAR!$B$7,AUXILIAR!$D$7:$F$81,3,FALSE)</f>
        <v>PROGRAMA DE AYUDAS DIRIGIDAS A LA ENTRADA DE INVERSORES PRIVADOS EN EMPRESAS INNOVADORAS CON ALTO POTENCIAL DE CRECIMIENTO (FEDER)</v>
      </c>
      <c r="D12" s="630"/>
      <c r="E12" s="630"/>
      <c r="F12" s="630"/>
      <c r="G12" s="630"/>
      <c r="H12" s="630"/>
      <c r="I12" s="631"/>
    </row>
    <row r="13" spans="2:9" ht="15" customHeight="1" x14ac:dyDescent="0.25">
      <c r="B13" s="628"/>
      <c r="C13" s="632"/>
      <c r="D13" s="633"/>
      <c r="E13" s="633"/>
      <c r="F13" s="633"/>
      <c r="G13" s="633"/>
      <c r="H13" s="633"/>
      <c r="I13" s="634"/>
    </row>
    <row r="14" spans="2:9" ht="15" customHeight="1" x14ac:dyDescent="0.25">
      <c r="B14" s="628"/>
      <c r="C14" s="635"/>
      <c r="D14" s="636"/>
      <c r="E14" s="636"/>
      <c r="F14" s="636"/>
      <c r="G14" s="636"/>
      <c r="H14" s="636"/>
      <c r="I14" s="637"/>
    </row>
    <row r="15" spans="2:9" ht="15" customHeight="1" x14ac:dyDescent="0.25">
      <c r="B15" s="111"/>
    </row>
    <row r="16" spans="2:9" ht="15" customHeight="1" x14ac:dyDescent="0.25">
      <c r="B16" s="111" t="s">
        <v>11</v>
      </c>
      <c r="C16" s="137">
        <f>AUXILIAR!$P$9</f>
        <v>2024</v>
      </c>
      <c r="D16" s="112"/>
      <c r="F16" s="638" t="s">
        <v>244</v>
      </c>
      <c r="G16" s="638"/>
      <c r="H16" s="638"/>
      <c r="I16" s="639"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105, de 8 de mayo de 2024</v>
      </c>
    </row>
    <row r="17" spans="2:9" ht="15" customHeight="1" x14ac:dyDescent="0.25">
      <c r="B17" s="111"/>
      <c r="F17" s="638"/>
      <c r="G17" s="638"/>
      <c r="H17" s="638"/>
      <c r="I17" s="639"/>
    </row>
    <row r="18" spans="2:9" ht="15" customHeight="1" x14ac:dyDescent="0.25">
      <c r="B18" s="111" t="s">
        <v>12</v>
      </c>
      <c r="C18" s="138">
        <f>VLOOKUP(AUXILIAR!$B$7,AUXILIAR!$D$7:$F$81,2,FALSE)</f>
        <v>7</v>
      </c>
      <c r="D18" s="113"/>
      <c r="F18" s="638"/>
      <c r="G18" s="638"/>
      <c r="H18" s="638"/>
      <c r="I18" s="639"/>
    </row>
    <row r="19" spans="2:9" ht="15" customHeight="1" x14ac:dyDescent="0.25">
      <c r="B19" s="111"/>
      <c r="F19" s="136"/>
      <c r="G19" s="136"/>
      <c r="H19" s="136"/>
      <c r="I19" s="136"/>
    </row>
    <row r="20" spans="2:9" ht="15" customHeight="1" x14ac:dyDescent="0.25">
      <c r="B20" s="111" t="s">
        <v>13</v>
      </c>
      <c r="C20" s="119" t="s">
        <v>440</v>
      </c>
      <c r="D20" s="112"/>
      <c r="E20" s="112"/>
      <c r="F20" s="638" t="s">
        <v>245</v>
      </c>
      <c r="G20" s="638"/>
      <c r="H20" s="638"/>
      <c r="I20" s="640" t="str">
        <f>IF(AND(AUXILIAR!$P$11="",AUXILIAR!$P$12="",AUXILIAR!$P$13=""),"",IF(AND(AUXILIAR!$P$12="",AUXILIAR!$P$13=""),AUXILIAR!$P$11,IF(AND(AUXILIAR!$P$12&lt;&gt;"",AUXILIAR!$P$13=""),CONCATENATE(AUXILIAR!$P$11,"
",AUXILIAR!$P$12),CONCATENATE(AUXILIAR!$P$11,"
",AUXILIAR!$P$12,"
",AUXILIAR!$P$13))))</f>
        <v>nº 128, de 4 de junio de 2024</v>
      </c>
    </row>
    <row r="21" spans="2:9" ht="15" customHeight="1" x14ac:dyDescent="0.25">
      <c r="B21" s="111"/>
      <c r="F21" s="638"/>
      <c r="G21" s="638"/>
      <c r="H21" s="638"/>
      <c r="I21" s="640"/>
    </row>
    <row r="22" spans="2:9" ht="15" customHeight="1" x14ac:dyDescent="0.25">
      <c r="B22" s="111" t="s">
        <v>14</v>
      </c>
      <c r="C22" s="139" t="str">
        <f>CONCATENATE(C16,".",TEXT(C18,"00"),".",C20,".")</f>
        <v>2024.07.PRIV.</v>
      </c>
      <c r="D22" s="2"/>
      <c r="F22" s="638"/>
      <c r="G22" s="638"/>
      <c r="H22" s="638"/>
      <c r="I22" s="640"/>
    </row>
    <row r="23" spans="2:9" ht="15" customHeight="1" x14ac:dyDescent="0.25">
      <c r="B23" s="111"/>
      <c r="C23" s="111"/>
      <c r="D23" s="111"/>
      <c r="E23" s="111"/>
      <c r="F23" s="111"/>
      <c r="H23" s="114"/>
    </row>
    <row r="24" spans="2:9" ht="15" customHeight="1" x14ac:dyDescent="0.25">
      <c r="F24" s="115" t="s">
        <v>15</v>
      </c>
      <c r="H24" s="140" t="s">
        <v>246</v>
      </c>
      <c r="I24" s="140" t="s">
        <v>247</v>
      </c>
    </row>
    <row r="25" spans="2:9" ht="15" customHeight="1" x14ac:dyDescent="0.25">
      <c r="B25" s="117" t="s">
        <v>146</v>
      </c>
      <c r="C25" s="3"/>
      <c r="D25" s="3"/>
      <c r="F25" s="143">
        <f>AUXILIAR!S8</f>
        <v>45292</v>
      </c>
      <c r="H25" s="118"/>
      <c r="I25" s="118">
        <f>IF(AND(F25="",H25=""),"",IF(AND(F25&lt;&gt;"",H25=""),F25,IF(AND(F25&lt;&gt;"",H25&lt;&gt;""),H25,H25)))</f>
        <v>45292</v>
      </c>
    </row>
    <row r="26" spans="2:9" ht="15" customHeight="1" x14ac:dyDescent="0.25">
      <c r="B26" s="3"/>
      <c r="C26" s="3"/>
      <c r="D26" s="3"/>
      <c r="F26" s="213"/>
      <c r="H26" s="116"/>
      <c r="I26" s="116"/>
    </row>
    <row r="27" spans="2:9" ht="15" customHeight="1" x14ac:dyDescent="0.25">
      <c r="B27" s="117" t="s">
        <v>147</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16</v>
      </c>
      <c r="C29" s="3"/>
      <c r="D29" s="3"/>
      <c r="F29" s="142" t="str">
        <f>IF(F27="","",AUXILIAR!S18)</f>
        <v/>
      </c>
      <c r="H29" s="118" t="str">
        <f>IF(E29="","",E29)</f>
        <v/>
      </c>
      <c r="I29" s="118" t="str">
        <f>IF(AND(F29="",H29=""),"",IF(AND(F29&lt;&gt;"",H29=""),F29,IF(AND(F29&lt;&gt;"",H29&lt;&gt;""),H29,H29)))</f>
        <v/>
      </c>
    </row>
    <row r="33" spans="2:9" ht="75" customHeight="1" x14ac:dyDescent="0.25">
      <c r="B33" s="620"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620"/>
      <c r="D33" s="620"/>
      <c r="E33" s="620"/>
      <c r="F33" s="620"/>
      <c r="G33" s="620"/>
      <c r="H33" s="620"/>
      <c r="I33" s="620"/>
    </row>
    <row r="34" spans="2:9" ht="15" customHeight="1" x14ac:dyDescent="0.25">
      <c r="B34" s="141"/>
      <c r="C34" s="141"/>
      <c r="D34" s="141"/>
      <c r="E34" s="141"/>
      <c r="F34" s="141"/>
      <c r="G34" s="141"/>
      <c r="H34" s="141"/>
      <c r="I34" s="141"/>
    </row>
    <row r="35" spans="2:9" ht="15" customHeight="1" x14ac:dyDescent="0.25">
      <c r="B35" s="141"/>
      <c r="C35" s="141"/>
      <c r="D35" s="141"/>
      <c r="E35" s="141"/>
      <c r="F35" s="141"/>
      <c r="G35" s="141"/>
      <c r="H35" s="141"/>
      <c r="I35" s="141"/>
    </row>
  </sheetData>
  <sheetProtection algorithmName="SHA-512" hashValue="tl5Gvey4R2cKk6YxKMazwuUfsmF83OKRklc0WJLa8jXFWtrjQVf2co+1p8ZAvkqD47YrAdfqfFrQ/0sy+zGiyg==" saltValue="LdHZGFIoPDe8U6aC3kQ5eg=="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F17" sqref="F17"/>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2024.07.PRIV.0000</v>
      </c>
    </row>
    <row r="6" spans="2:20" x14ac:dyDescent="0.25">
      <c r="E6" s="644" t="str">
        <f>IF(EXPEDIENTE!$I$25="","ERROR: no se ha cumplimentado la fecha de inicio en la pestaña EXPEDIENTE",IF(EXPEDIENTE!$I$27="","ERROR: no se ha cumplimentado la fecha de final en la pestaña EXPEDIENTE",""))</f>
        <v>ERROR: no se ha cumplimentado la fecha de final en la pestaña EXPEDIENTE</v>
      </c>
      <c r="F6" s="644"/>
    </row>
    <row r="7" spans="2:20" x14ac:dyDescent="0.25">
      <c r="E7" s="644"/>
      <c r="F7" s="644"/>
    </row>
    <row r="9" spans="2:20" ht="13.9" customHeight="1" thickBot="1" x14ac:dyDescent="0.3"/>
    <row r="10" spans="2:20" ht="20.100000000000001" customHeight="1" thickBot="1" x14ac:dyDescent="0.3">
      <c r="B10" s="648" t="s">
        <v>65</v>
      </c>
      <c r="C10" s="649"/>
      <c r="D10" s="649"/>
      <c r="E10" s="649"/>
      <c r="F10" s="650"/>
    </row>
    <row r="11" spans="2:20" ht="20.100000000000001" customHeight="1" x14ac:dyDescent="0.25">
      <c r="B11" s="651" t="s">
        <v>24</v>
      </c>
      <c r="C11" s="652"/>
      <c r="D11" s="655"/>
      <c r="E11" s="655"/>
      <c r="F11" s="655"/>
    </row>
    <row r="12" spans="2:20" ht="20.100000000000001" customHeight="1" x14ac:dyDescent="0.25">
      <c r="B12" s="653" t="s">
        <v>25</v>
      </c>
      <c r="C12" s="654"/>
      <c r="D12" s="643"/>
      <c r="E12" s="643"/>
      <c r="F12" s="643"/>
    </row>
    <row r="13" spans="2:20" ht="20.100000000000001" customHeight="1" x14ac:dyDescent="0.25">
      <c r="B13" s="653" t="s">
        <v>26</v>
      </c>
      <c r="C13" s="654"/>
      <c r="D13" s="643"/>
      <c r="E13" s="643"/>
      <c r="F13" s="643"/>
    </row>
    <row r="14" spans="2:20" ht="20.100000000000001" customHeight="1" x14ac:dyDescent="0.25">
      <c r="B14" s="653" t="s">
        <v>27</v>
      </c>
      <c r="C14" s="654"/>
      <c r="D14" s="148" t="str">
        <f>SUBSTITUTE( SUBSTITUTE( SUBSTITUTE( SUBSTITUTE( SUBSTITUTE(E14, "Á", "A"), "É", "E"), "Í", "I"), "Ó", "O"), "Ú", "U")</f>
        <v/>
      </c>
      <c r="E14" s="149" t="str">
        <f>UPPER(CONCATENATE(LEFT(D12,2),LEFT(D13,2),LEFT(D11,1)))</f>
        <v/>
      </c>
    </row>
    <row r="15" spans="2:20" ht="15" customHeight="1" thickBot="1" x14ac:dyDescent="0.3"/>
    <row r="16" spans="2:20" ht="20.100000000000001" customHeight="1" thickBot="1" x14ac:dyDescent="0.3">
      <c r="B16" s="648" t="s">
        <v>419</v>
      </c>
      <c r="C16" s="649"/>
      <c r="D16" s="649"/>
      <c r="E16" s="649"/>
      <c r="F16" s="650"/>
    </row>
    <row r="17" spans="2:24" ht="39.950000000000003" customHeight="1" x14ac:dyDescent="0.25">
      <c r="B17" s="656" t="s">
        <v>420</v>
      </c>
      <c r="C17" s="656"/>
      <c r="D17" s="656"/>
      <c r="E17" s="656"/>
      <c r="F17" s="393"/>
      <c r="H17" s="102"/>
      <c r="I17" s="102"/>
      <c r="J17" s="102"/>
      <c r="L17" s="102"/>
      <c r="N17" s="102"/>
      <c r="O17" s="102"/>
      <c r="P17" s="102"/>
      <c r="R17" s="102"/>
      <c r="T17" s="102"/>
      <c r="U17" s="102"/>
      <c r="V17" s="102"/>
      <c r="X17" s="102"/>
    </row>
    <row r="18" spans="2:24" ht="20.100000000000001" customHeight="1" x14ac:dyDescent="0.25">
      <c r="B18" s="656" t="s">
        <v>422</v>
      </c>
      <c r="C18" s="656"/>
      <c r="D18" s="656"/>
      <c r="E18" s="656"/>
      <c r="F18" s="64"/>
      <c r="H18" s="641" t="str">
        <f>IF(AND($F$17="SÍ",$F$18&gt;$E$22),"ERROR: LA FECHA DE INICIO DE CONTRATO ES POSTERIOR AL INICIO DEL PLAZO DE EJECUCIÓN.","")</f>
        <v/>
      </c>
      <c r="I18" s="641"/>
      <c r="J18" s="641"/>
      <c r="K18" s="641"/>
      <c r="L18" s="641"/>
      <c r="M18" s="4"/>
      <c r="N18" s="4"/>
      <c r="O18" s="102"/>
      <c r="P18" s="102"/>
      <c r="R18" s="102"/>
      <c r="T18" s="102"/>
      <c r="U18" s="102"/>
      <c r="V18" s="102"/>
      <c r="X18" s="102"/>
    </row>
    <row r="19" spans="2:24" ht="39.950000000000003" customHeight="1" x14ac:dyDescent="0.25">
      <c r="B19" s="657" t="s">
        <v>423</v>
      </c>
      <c r="C19" s="658"/>
      <c r="D19" s="658"/>
      <c r="E19" s="659"/>
      <c r="F19" s="64"/>
      <c r="H19" s="642" t="str">
        <f>IF(AND($F$17="NO",$F$18&lt;&gt;"",$F$19=""),"INDICAR SI EL TRABAJADOR SEGUÍA CONTRATADO EN EL MOMENTO DE FINALIZAR EL PLAZO DE EJECUCIÓN.","")</f>
        <v/>
      </c>
      <c r="I19" s="642"/>
      <c r="J19" s="642"/>
      <c r="K19" s="642"/>
      <c r="L19" s="642"/>
      <c r="M19" s="4"/>
      <c r="N19" s="4"/>
      <c r="O19" s="102"/>
      <c r="P19" s="102"/>
      <c r="R19" s="102"/>
      <c r="T19" s="102"/>
      <c r="U19" s="102"/>
      <c r="V19" s="102"/>
      <c r="X19" s="102"/>
    </row>
    <row r="20" spans="2:24" ht="15" customHeight="1" x14ac:dyDescent="0.25">
      <c r="B20" s="660" t="s">
        <v>424</v>
      </c>
      <c r="C20" s="660"/>
      <c r="D20" s="660"/>
      <c r="E20" s="660"/>
      <c r="F20" s="64"/>
      <c r="H20" s="641" t="str">
        <f>IF(AND($F$19="NO",$F$20=""),"CUMPLIMENTAR FECHA FINALIZACIÓN DEL CONTRATO.",IF(AND($E$25&lt;&gt;"",$F$20&lt;&gt;"",$E$25&lt;$F$18),"ERROR: LA FECHA DE FIN DE CONTRATO ES ANTERIOR A LA DE SU FIRMA.",IF(AND($F$17="NO",$F$19="NO",$F$20&gt;$E$23),"ERROR: A LA FINALIZACIÓN DEL PLAZO DE EJECUCIÓN EL TRABAJADOR SÍ SEGUÍA CONTRATADO.","")))</f>
        <v/>
      </c>
      <c r="I20" s="641"/>
      <c r="J20" s="641"/>
      <c r="K20" s="641"/>
      <c r="L20" s="641"/>
      <c r="M20" s="4"/>
      <c r="N20" s="4"/>
      <c r="O20" s="102"/>
      <c r="P20" s="102"/>
      <c r="R20" s="102"/>
      <c r="T20" s="102"/>
      <c r="U20" s="102"/>
      <c r="V20" s="102"/>
      <c r="X20" s="102"/>
    </row>
    <row r="21" spans="2:24" ht="15" customHeight="1" thickBot="1" x14ac:dyDescent="0.3">
      <c r="B21" s="102"/>
      <c r="C21" s="102"/>
      <c r="D21" s="102"/>
      <c r="F21" s="102"/>
      <c r="H21" s="102"/>
      <c r="I21" s="102"/>
      <c r="J21" s="102"/>
      <c r="L21" s="102"/>
      <c r="N21" s="102"/>
      <c r="O21" s="102"/>
      <c r="P21" s="102"/>
      <c r="R21" s="102"/>
      <c r="T21" s="102"/>
      <c r="U21" s="102"/>
      <c r="V21" s="102"/>
      <c r="X21" s="102"/>
    </row>
    <row r="22" spans="2:24" ht="15" hidden="1" customHeight="1" x14ac:dyDescent="0.25">
      <c r="B22" s="611" t="s">
        <v>425</v>
      </c>
      <c r="C22" s="9"/>
      <c r="D22" s="10"/>
      <c r="E22" s="612">
        <f>EXPEDIENTE!$I$25</f>
        <v>45292</v>
      </c>
      <c r="F22" s="102"/>
      <c r="H22" s="102"/>
      <c r="I22" s="102"/>
      <c r="J22" s="102"/>
      <c r="L22" s="102"/>
      <c r="N22" s="102"/>
      <c r="O22" s="102"/>
      <c r="P22" s="102"/>
      <c r="R22" s="102"/>
      <c r="T22" s="102"/>
      <c r="U22" s="102"/>
      <c r="V22" s="102"/>
      <c r="X22" s="102"/>
    </row>
    <row r="23" spans="2:24" ht="15" hidden="1" customHeight="1" x14ac:dyDescent="0.25">
      <c r="B23" s="611" t="s">
        <v>426</v>
      </c>
      <c r="C23" s="9"/>
      <c r="D23" s="10"/>
      <c r="E23" s="612" t="str">
        <f>EXPEDIENTE!$I$27</f>
        <v/>
      </c>
      <c r="F23" s="102"/>
      <c r="H23" s="102"/>
      <c r="I23" s="102"/>
      <c r="J23" s="102"/>
      <c r="L23" s="102"/>
      <c r="N23" s="102"/>
      <c r="O23" s="102"/>
      <c r="P23" s="102"/>
      <c r="R23" s="102"/>
      <c r="T23" s="102"/>
      <c r="U23" s="102"/>
      <c r="V23" s="102"/>
      <c r="X23" s="102"/>
    </row>
    <row r="24" spans="2:24" ht="15" hidden="1" customHeight="1" x14ac:dyDescent="0.25">
      <c r="B24" s="611" t="s">
        <v>427</v>
      </c>
      <c r="C24" s="9"/>
      <c r="D24" s="10"/>
      <c r="E24" s="612">
        <f>IF($F$17="SÍ",$E$22,IF(AND($F$17="NO",$F$18=""),"",MAX($E$22,$F$18)))</f>
        <v>45292</v>
      </c>
      <c r="F24" s="102"/>
      <c r="H24" s="102"/>
      <c r="I24" s="102"/>
      <c r="J24" s="102"/>
      <c r="L24" s="102"/>
      <c r="N24" s="102"/>
      <c r="O24" s="102"/>
      <c r="P24" s="102"/>
      <c r="R24" s="102"/>
      <c r="T24" s="102"/>
      <c r="U24" s="102"/>
      <c r="V24" s="102"/>
      <c r="X24" s="102"/>
    </row>
    <row r="25" spans="2:24" ht="15" hidden="1" customHeight="1" x14ac:dyDescent="0.25">
      <c r="B25" s="611" t="s">
        <v>428</v>
      </c>
      <c r="C25" s="9"/>
      <c r="D25" s="10"/>
      <c r="E25" s="612"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
        <v>429</v>
      </c>
      <c r="C27" s="4"/>
      <c r="D27" s="4"/>
      <c r="E27" s="6" t="s">
        <v>235</v>
      </c>
      <c r="F27" s="6" t="s">
        <v>421</v>
      </c>
      <c r="H27" s="102"/>
      <c r="I27" s="102"/>
      <c r="J27" s="102"/>
      <c r="L27" s="102"/>
      <c r="N27" s="102"/>
      <c r="O27" s="102"/>
      <c r="P27" s="102"/>
      <c r="R27" s="102"/>
      <c r="T27" s="102"/>
      <c r="U27" s="102"/>
      <c r="V27" s="102"/>
      <c r="X27" s="102"/>
    </row>
    <row r="28" spans="2:24" ht="15" hidden="1" customHeight="1" x14ac:dyDescent="0.25">
      <c r="B28" s="4"/>
      <c r="C28" s="613">
        <f>IF($E$22="","",DATE(YEAR($E$22),1,1))</f>
        <v>45292</v>
      </c>
      <c r="D28" s="88" t="s">
        <v>183</v>
      </c>
      <c r="E28" s="612" t="str">
        <f>IF(OR($F$18="",$F$17="",$E$22="",$E$23=""),"",IF($F$17="NO","",IF($E$23&lt;C28,"",IF(AND($F$17="SÍ",$E$22&lt;C28),C28,IF(AND($F$17="SÍ",YEAR($E$22)=YEAR(C28)),C28,IF(AND($F$17="SÍ",$E$22&gt;C29),"Error"))))))</f>
        <v/>
      </c>
      <c r="F28" s="612"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3" t="str">
        <f>IF($E$23="","",DATE(YEAR($E$22),12,31))</f>
        <v/>
      </c>
      <c r="D29" s="88" t="s">
        <v>430</v>
      </c>
      <c r="E29" s="612" t="str">
        <f>IF(OR($F$18="",$F$17="",$E$22="",$E$23=""),"",IF($F$17="NO","",IF($E$23&lt;C28,"",IF($F$17="SÍ",MIN(DATE(YEAR(EXPEDIENTE!$I$25),12,31),$E$23),"Error"))))</f>
        <v/>
      </c>
      <c r="F29" s="612"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431</v>
      </c>
      <c r="E30" s="614" t="str">
        <f>IF(OR($E$22="",$E$23="",$F$18="",$F$17=""),"",IF(AND($F$17="SÍ",E28&lt;&gt;"",E29&lt;&gt;""),DAYS360(E28,E29),IF(AND($F$17="NO",F28&lt;&gt;"",F29&lt;&gt;""),DAYS360(F28,F29),"")))</f>
        <v/>
      </c>
      <c r="F30" s="615"/>
      <c r="H30" s="102"/>
      <c r="I30" s="102"/>
      <c r="J30" s="102"/>
      <c r="L30" s="102"/>
      <c r="N30" s="102"/>
      <c r="O30" s="102"/>
      <c r="P30" s="102"/>
      <c r="R30" s="102"/>
      <c r="T30" s="102"/>
      <c r="U30" s="102"/>
      <c r="V30" s="102"/>
      <c r="X30" s="102"/>
    </row>
    <row r="31" spans="2:24" ht="15" hidden="1" customHeight="1" x14ac:dyDescent="0.25">
      <c r="B31" s="7" t="s">
        <v>432</v>
      </c>
      <c r="C31" s="4"/>
      <c r="D31" s="616"/>
      <c r="E31" s="615"/>
      <c r="F31" s="615"/>
      <c r="H31" s="102"/>
      <c r="I31" s="102"/>
      <c r="J31" s="102"/>
      <c r="L31" s="102"/>
      <c r="N31" s="102"/>
      <c r="O31" s="102"/>
      <c r="P31" s="102"/>
      <c r="R31" s="102"/>
      <c r="T31" s="102"/>
      <c r="U31" s="102"/>
      <c r="V31" s="102"/>
      <c r="X31" s="102"/>
    </row>
    <row r="32" spans="2:24" ht="15" hidden="1" customHeight="1" x14ac:dyDescent="0.25">
      <c r="B32" s="4"/>
      <c r="C32" s="613">
        <f>IF($E$22="","",DATE(YEAR($E$22)+1,1,1))</f>
        <v>45658</v>
      </c>
      <c r="D32" s="88" t="s">
        <v>183</v>
      </c>
      <c r="E32" s="612" t="str">
        <f>IF(OR($F$18="",$F$17="",$E$22="",$E$23=""),"",IF($F$17="NO","",IF($E$23&lt;C32,"",IF(AND($F$17="SÍ",$E$22&lt;C32),C32,IF(AND($F$17="SÍ",YEAR($E$22)=YEAR(C32)),C32,IF(AND($F$17="SÍ",$E$22&gt;C33),"Error"))))))</f>
        <v/>
      </c>
      <c r="F32" s="612"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3" t="str">
        <f>IF($E$23="","",DATE(YEAR($E$22)+1,12,31))</f>
        <v/>
      </c>
      <c r="D33" s="88" t="s">
        <v>430</v>
      </c>
      <c r="E33" s="612" t="str">
        <f>IF(OR($F$18="",$F$17="",$E$22="",$E$23=""),"",IF($F$17="NO","",IF($E$23&lt;C32,"",IF($F$17="SÍ",MIN(DATE(YEAR(EXPEDIENTE!$I$25)+1,12,31),$E$23),"Error"))))</f>
        <v/>
      </c>
      <c r="F33" s="612"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431</v>
      </c>
      <c r="E34" s="614" t="str">
        <f>IF(OR($E$22="",$E$23="",$F$18="",$F$17=""),"",IF(AND($F$17="SÍ",E32&lt;&gt;"",E33&lt;&gt;""),DAYS360(E32,E33),IF(AND($F$17="NO",F32&lt;&gt;"",F33&lt;&gt;""),DAYS360(F32,F33),"")))</f>
        <v/>
      </c>
      <c r="F34" s="615"/>
      <c r="H34" s="102"/>
      <c r="I34" s="102"/>
      <c r="J34" s="102"/>
      <c r="L34" s="102"/>
      <c r="N34" s="102"/>
      <c r="O34" s="102"/>
      <c r="P34" s="102"/>
      <c r="R34" s="102"/>
      <c r="T34" s="102"/>
      <c r="U34" s="102"/>
      <c r="V34" s="102"/>
      <c r="X34" s="102"/>
    </row>
    <row r="35" spans="2:24" ht="15" hidden="1" customHeight="1" x14ac:dyDescent="0.25">
      <c r="B35" s="7" t="s">
        <v>433</v>
      </c>
      <c r="C35" s="4"/>
      <c r="D35" s="616"/>
      <c r="E35" s="615"/>
      <c r="F35" s="615"/>
      <c r="H35" s="102"/>
      <c r="I35" s="102"/>
      <c r="J35" s="102"/>
      <c r="L35" s="102"/>
      <c r="N35" s="102"/>
      <c r="O35" s="102"/>
      <c r="P35" s="102"/>
      <c r="R35" s="102"/>
      <c r="T35" s="102"/>
      <c r="U35" s="102"/>
      <c r="V35" s="102"/>
      <c r="X35" s="102"/>
    </row>
    <row r="36" spans="2:24" ht="15" hidden="1" customHeight="1" x14ac:dyDescent="0.25">
      <c r="B36" s="4"/>
      <c r="C36" s="613">
        <f>IF($E$22="","",DATE(YEAR($E$22)+2,1,1))</f>
        <v>46023</v>
      </c>
      <c r="D36" s="88" t="s">
        <v>183</v>
      </c>
      <c r="E36" s="612" t="str">
        <f>IF(OR($F$18="",$F$17="",$E$22="",$E$23=""),"",IF($F$17="NO","",IF($E$23&lt;C36,"",IF(AND($F$17="SÍ",$E$22&lt;C36),C36,IF(AND($F$17="SÍ",YEAR($E$22)=YEAR(C36)),C36,IF(AND($F$17="SÍ",$E$22&gt;C37),"Error"))))))</f>
        <v/>
      </c>
      <c r="F36" s="612"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3" t="str">
        <f>IF($E$23="","",DATE(YEAR($E$22)+2,12,31))</f>
        <v/>
      </c>
      <c r="D37" s="88" t="s">
        <v>430</v>
      </c>
      <c r="E37" s="612" t="str">
        <f>IF(OR($F$18="",$F$17="",$E$22="",$E$23=""),"",IF($F$17="NO","",IF($E$23&lt;C36,"",IF($F$17="SÍ",MIN(DATE(YEAR(EXPEDIENTE!$I$25)+2,12,31),$E$23),"Error"))))</f>
        <v/>
      </c>
      <c r="F37" s="612"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431</v>
      </c>
      <c r="E38" s="614" t="str">
        <f>IF(OR($E$22="",$E$23="",$F$18="",$F$17=""),"",IF(AND($F$17="SÍ",E36&lt;&gt;"",E37&lt;&gt;""),DAYS360(E36,E37),IF(AND($F$17="NO",F36&lt;&gt;"",F37&lt;&gt;""),DAYS360(F36,F37),"")))</f>
        <v/>
      </c>
      <c r="F38" s="615"/>
      <c r="H38" s="102"/>
      <c r="I38" s="102"/>
      <c r="J38" s="102"/>
      <c r="L38" s="102"/>
      <c r="N38" s="102"/>
      <c r="O38" s="102"/>
      <c r="P38" s="102"/>
      <c r="R38" s="102"/>
      <c r="T38" s="102"/>
      <c r="U38" s="102"/>
      <c r="V38" s="102"/>
      <c r="X38" s="102"/>
    </row>
    <row r="39" spans="2:24" ht="15" hidden="1" customHeight="1" x14ac:dyDescent="0.25">
      <c r="B39" s="7" t="s">
        <v>434</v>
      </c>
      <c r="C39" s="4"/>
      <c r="D39" s="616"/>
      <c r="E39" s="615"/>
      <c r="F39" s="615"/>
      <c r="H39" s="102"/>
      <c r="I39" s="102"/>
      <c r="J39" s="102"/>
      <c r="L39" s="102"/>
      <c r="N39" s="102"/>
      <c r="O39" s="102"/>
      <c r="P39" s="102"/>
      <c r="R39" s="102"/>
      <c r="T39" s="102"/>
      <c r="U39" s="102"/>
      <c r="V39" s="102"/>
      <c r="X39" s="102"/>
    </row>
    <row r="40" spans="2:24" ht="15" hidden="1" customHeight="1" x14ac:dyDescent="0.25">
      <c r="B40" s="4"/>
      <c r="C40" s="613">
        <f>IF($E$22="","",DATE(YEAR($E$22)+3,1,1))</f>
        <v>46388</v>
      </c>
      <c r="D40" s="88" t="s">
        <v>183</v>
      </c>
      <c r="E40" s="612" t="str">
        <f>IF(OR($F$18="",$F$17="",$E$22="",$E$23=""),"",IF($F$17="NO","",IF($E$23&lt;C40,"",IF(AND($F$17="SÍ",$E$22&lt;C40),C40,IF(AND($F$17="SÍ",YEAR($E$22)=YEAR(C40)),C40,IF(AND($F$17="SÍ",$E$22&gt;C41),"Error"))))))</f>
        <v/>
      </c>
      <c r="F40" s="612"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3">
        <v>46387</v>
      </c>
      <c r="D41" s="88" t="s">
        <v>430</v>
      </c>
      <c r="E41" s="612" t="str">
        <f>IF(OR($F$18="",$F$17="",$E$22="",$E$23=""),"",IF($F$17="NO","",IF($E$23&lt;C40,"",IF($F$17="SÍ",MIN(DATE(YEAR(EXPEDIENTE!$I$25)+3,12,31),$E$23),"Error"))))</f>
        <v/>
      </c>
      <c r="F41" s="612"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431</v>
      </c>
      <c r="E42" s="614" t="str">
        <f>IF(OR($E$22="",$E$23="",$F$18="",$F$17=""),"",IF(AND($F$17="SÍ",E40&lt;&gt;"",E41&lt;&gt;""),DAYS360(E40,E41),IF(AND($F$17="NO",F40&lt;&gt;"",F41&lt;&gt;""),DAYS360(F40,F41),"")))</f>
        <v/>
      </c>
      <c r="F42" s="615"/>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20">
        <f>SUM(C45:D45)</f>
        <v>0</v>
      </c>
      <c r="C45" s="120">
        <f>SUM(C50:C61)</f>
        <v>0</v>
      </c>
      <c r="D45" s="120">
        <f>SUM(D50:D61)</f>
        <v>0</v>
      </c>
      <c r="F45" s="120">
        <f>VLOOKUP(B45,AUXILIAR!$JC$4:$JD$104,2,FALSE)</f>
        <v>0</v>
      </c>
      <c r="H45" s="120">
        <f>SUM(I45:J45)</f>
        <v>0</v>
      </c>
      <c r="I45" s="120">
        <f>SUM(I50:I61)</f>
        <v>0</v>
      </c>
      <c r="J45" s="120">
        <f>SUM(J50:J61)</f>
        <v>0</v>
      </c>
      <c r="L45" s="120">
        <f>VLOOKUP(H45,AUXILIAR!$JC$4:$JD$104,2,FALSE)</f>
        <v>0</v>
      </c>
      <c r="N45" s="120">
        <f>SUM(O45:P45)</f>
        <v>0</v>
      </c>
      <c r="O45" s="120">
        <f>SUM(O50:O61)</f>
        <v>0</v>
      </c>
      <c r="P45" s="120">
        <f>SUM(P50:P61)</f>
        <v>0</v>
      </c>
      <c r="R45" s="120">
        <f>VLOOKUP(N45,AUXILIAR!$JC$4:$JD$104,2,FALSE)</f>
        <v>0</v>
      </c>
      <c r="T45" s="120">
        <f>SUM(U45:V45)</f>
        <v>0</v>
      </c>
      <c r="U45" s="120">
        <f>SUM(U50:U61)</f>
        <v>0</v>
      </c>
      <c r="V45" s="120">
        <f>SUM(V50:V61)</f>
        <v>0</v>
      </c>
      <c r="X45" s="120">
        <f>VLOOKUP(T45,AUXILIAR!$JC$4:$JD$104,2,FALSE)</f>
        <v>0</v>
      </c>
    </row>
    <row r="46" spans="2:24" ht="20.100000000000001" customHeight="1" thickBot="1" x14ac:dyDescent="0.3">
      <c r="B46" s="648" t="str">
        <f>IF(EXPEDIENTE!$I$25="","",CONCATENATE("EJERCICIO ",YEAR(EXPEDIENTE!F25)))</f>
        <v>EJERCICIO 2024</v>
      </c>
      <c r="C46" s="649"/>
      <c r="D46" s="649"/>
      <c r="E46" s="649"/>
      <c r="F46" s="650"/>
      <c r="H46" s="648" t="str">
        <f>IF(EXPEDIENTE!$I$25="","",CONCATENATE("EJERCICIO ",YEAR(EXPEDIENTE!F25)+1))</f>
        <v>EJERCICIO 2025</v>
      </c>
      <c r="I46" s="649"/>
      <c r="J46" s="649"/>
      <c r="K46" s="649"/>
      <c r="L46" s="650"/>
      <c r="N46" s="648" t="str">
        <f>IF(EXPEDIENTE!$I$25="","",CONCATENATE("EJERCICIO ",YEAR(EXPEDIENTE!F25)+2))</f>
        <v>EJERCICIO 2026</v>
      </c>
      <c r="O46" s="649"/>
      <c r="P46" s="649"/>
      <c r="Q46" s="649"/>
      <c r="R46" s="650"/>
      <c r="T46" s="648" t="str">
        <f>IF(EXPEDIENTE!$I$25="","",CONCATENATE("EJERCICIO ",YEAR(EXPEDIENTE!F25)+3))</f>
        <v>EJERCICIO 2027</v>
      </c>
      <c r="U46" s="649"/>
      <c r="V46" s="649"/>
      <c r="W46" s="649"/>
      <c r="X46" s="650"/>
    </row>
    <row r="47" spans="2:24" ht="39.950000000000003" customHeight="1" thickBot="1" x14ac:dyDescent="0.3">
      <c r="B47" s="645" t="s">
        <v>215</v>
      </c>
      <c r="C47" s="646"/>
      <c r="D47" s="646"/>
      <c r="E47" s="646"/>
      <c r="F47" s="647"/>
      <c r="H47" s="645" t="s">
        <v>215</v>
      </c>
      <c r="I47" s="646"/>
      <c r="J47" s="646"/>
      <c r="K47" s="646"/>
      <c r="L47" s="647"/>
      <c r="N47" s="645" t="s">
        <v>215</v>
      </c>
      <c r="O47" s="646"/>
      <c r="P47" s="646"/>
      <c r="Q47" s="646"/>
      <c r="R47" s="647"/>
      <c r="T47" s="645" t="s">
        <v>215</v>
      </c>
      <c r="U47" s="646"/>
      <c r="V47" s="646"/>
      <c r="W47" s="646"/>
      <c r="X47" s="647"/>
    </row>
    <row r="48" spans="2:24" s="102" customFormat="1" ht="80.099999999999994" customHeight="1" thickBot="1" x14ac:dyDescent="0.3">
      <c r="B48" s="150" t="s">
        <v>76</v>
      </c>
      <c r="C48" s="151" t="s">
        <v>220</v>
      </c>
      <c r="D48" s="151" t="s">
        <v>219</v>
      </c>
      <c r="E48" s="152" t="s">
        <v>162</v>
      </c>
      <c r="F48" s="153" t="s">
        <v>179</v>
      </c>
      <c r="H48" s="150" t="s">
        <v>76</v>
      </c>
      <c r="I48" s="151" t="s">
        <v>220</v>
      </c>
      <c r="J48" s="151" t="s">
        <v>219</v>
      </c>
      <c r="K48" s="152" t="s">
        <v>162</v>
      </c>
      <c r="L48" s="153" t="s">
        <v>179</v>
      </c>
      <c r="N48" s="150" t="s">
        <v>76</v>
      </c>
      <c r="O48" s="151" t="s">
        <v>220</v>
      </c>
      <c r="P48" s="151" t="s">
        <v>219</v>
      </c>
      <c r="Q48" s="152" t="s">
        <v>162</v>
      </c>
      <c r="R48" s="153" t="s">
        <v>179</v>
      </c>
      <c r="T48" s="150" t="s">
        <v>76</v>
      </c>
      <c r="U48" s="151" t="s">
        <v>220</v>
      </c>
      <c r="V48" s="151" t="s">
        <v>219</v>
      </c>
      <c r="W48" s="152" t="s">
        <v>162</v>
      </c>
      <c r="X48" s="153" t="s">
        <v>179</v>
      </c>
    </row>
    <row r="49" spans="2:24" s="102" customFormat="1" ht="5.0999999999999996" customHeight="1" x14ac:dyDescent="0.25"/>
    <row r="50" spans="2:24" ht="35.1" customHeight="1" x14ac:dyDescent="0.25">
      <c r="B50" s="392"/>
      <c r="C50" s="393"/>
      <c r="D50" s="393"/>
      <c r="E50" s="394"/>
      <c r="F50" s="394"/>
      <c r="H50" s="392"/>
      <c r="I50" s="393"/>
      <c r="J50" s="393"/>
      <c r="K50" s="394"/>
      <c r="L50" s="394"/>
      <c r="N50" s="392"/>
      <c r="O50" s="393"/>
      <c r="P50" s="393"/>
      <c r="Q50" s="394"/>
      <c r="R50" s="394"/>
      <c r="T50" s="392"/>
      <c r="U50" s="393"/>
      <c r="V50" s="393"/>
      <c r="W50" s="394"/>
      <c r="X50" s="394"/>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163</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ui50kjaNpPOFPiDEioMSLJFEAwyN5fILlhLYGB0hakEeUpGcD5Kau3TGWPaaabg5DuQZamA8E+kXbGcDMuiMqg==" saltValue="56BOryZN0w4zF48pMYn7vQ==" spinCount="100000" sheet="1" selectLockedCells="1"/>
  <mergeCells count="25">
    <mergeCell ref="T46:X46"/>
    <mergeCell ref="T47:X47"/>
    <mergeCell ref="H46:L46"/>
    <mergeCell ref="H47:L47"/>
    <mergeCell ref="N46:R46"/>
    <mergeCell ref="N47:R47"/>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H18:L18"/>
    <mergeCell ref="H19:L19"/>
    <mergeCell ref="H20:L20"/>
    <mergeCell ref="D12:F12"/>
    <mergeCell ref="D13:F13"/>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tabSelected="1" zoomScaleNormal="100" workbookViewId="0">
      <selection activeCell="F9" sqref="F9"/>
    </sheetView>
  </sheetViews>
  <sheetFormatPr baseColWidth="10" defaultColWidth="10.85546875" defaultRowHeight="13.5" x14ac:dyDescent="0.25"/>
  <cols>
    <col min="1" max="1" width="5.5703125" style="127" customWidth="1"/>
    <col min="2" max="2" width="7.42578125" style="124" hidden="1" customWidth="1"/>
    <col min="3" max="4" width="10.7109375" style="124" hidden="1" customWidth="1"/>
    <col min="5" max="6" width="30.5703125" style="127" customWidth="1"/>
    <col min="7" max="18" width="7.42578125" style="127" customWidth="1"/>
    <col min="19" max="19" width="5.5703125" style="124" customWidth="1"/>
    <col min="20" max="20" width="89.5703125" style="127" bestFit="1" customWidth="1"/>
    <col min="21" max="21" width="12.42578125" style="553" bestFit="1" customWidth="1"/>
    <col min="22" max="22" width="10.85546875" style="553"/>
    <col min="23" max="16384" width="10.85546875" style="127"/>
  </cols>
  <sheetData>
    <row r="1" spans="2:18" ht="15" customHeight="1" x14ac:dyDescent="0.25"/>
    <row r="2" spans="2:18" ht="15" customHeight="1" x14ac:dyDescent="0.25"/>
    <row r="3" spans="2:18" ht="15" customHeight="1" x14ac:dyDescent="0.25">
      <c r="G3" s="554"/>
    </row>
    <row r="4" spans="2:18" ht="15" customHeight="1" x14ac:dyDescent="0.25">
      <c r="F4" s="554" t="str">
        <f>'IDENTIFICACIÓN TRABAJADOR'!F4</f>
        <v>Nº DE EXPEDIENTE: 2024.07.PRIV.0000</v>
      </c>
    </row>
    <row r="5" spans="2:18" ht="20.100000000000001" customHeight="1" x14ac:dyDescent="0.25"/>
    <row r="6" spans="2:18" ht="20.100000000000001" customHeight="1" x14ac:dyDescent="0.25">
      <c r="F6" s="219"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9" t="str" cm="1">
        <f t="array" ref="F7">IF(AND('IDENTIFICACIÓN TRABAJADOR'!D11:E11="",'IDENTIFICACIÓN TRABAJADOR'!D12:E12="",'IDENTIFICACIÓN TRABAJADOR'!D13:E13=""),"ACRÓNIMO:",CONCATENATE("ACRÓNIMO: ",'IDENTIFICACIÓN TRABAJADOR'!D14))</f>
        <v>ACRÓNIMO:</v>
      </c>
    </row>
    <row r="8" spans="2:18" ht="20.25" customHeight="1" thickBot="1" x14ac:dyDescent="0.3">
      <c r="B8" s="211"/>
    </row>
    <row r="9" spans="2:18" ht="20.25" customHeight="1" thickBot="1" x14ac:dyDescent="0.3">
      <c r="B9" s="121" t="str">
        <f>IF(F9="","",IF(EXPEDIENTE!F27="",1,IF(F9&gt;F27,2,IF(F30&lt;F31,3,0))))</f>
        <v/>
      </c>
      <c r="E9" s="555" t="s">
        <v>142</v>
      </c>
      <c r="F9" s="556"/>
      <c r="H9" s="677" t="str">
        <f>IF(B9=1,"ERROR: FALTA INDICAR FECHA DE FINALIZACIÓN DEL PROYECTO (PESTAÑA EXPEDIENTE)",IF(B9=2,"ERROR: LA FECHA DE EMISIÓN ES POSTERIOR A LA FINALIZACIÓN DEL PLAZO DE EJECUCIÓN",IF(B9=3,"ERROR: EXISTE DEDICACIÓN AL PROYECTO ANTERIOR A LA FECHA DE EMISIÓN DEL FORMULARIO","")))</f>
        <v/>
      </c>
      <c r="I9" s="677"/>
      <c r="J9" s="677"/>
      <c r="K9" s="677"/>
      <c r="L9" s="677"/>
      <c r="M9" s="677"/>
      <c r="N9" s="677"/>
      <c r="O9" s="677"/>
      <c r="P9" s="677"/>
      <c r="Q9" s="677"/>
      <c r="R9" s="677"/>
    </row>
    <row r="10" spans="2:18" ht="9.9499999999999993" customHeight="1" thickBot="1" x14ac:dyDescent="0.3">
      <c r="B10" s="127"/>
    </row>
    <row r="11" spans="2:18" ht="15" customHeight="1" x14ac:dyDescent="0.25">
      <c r="E11" s="557" t="s">
        <v>132</v>
      </c>
      <c r="F11" s="678" t="s">
        <v>129</v>
      </c>
      <c r="G11" s="678"/>
      <c r="H11" s="678"/>
      <c r="I11" s="678"/>
      <c r="J11" s="678"/>
      <c r="K11" s="678"/>
      <c r="L11" s="678"/>
      <c r="M11" s="678"/>
      <c r="N11" s="678"/>
      <c r="O11" s="678"/>
      <c r="P11" s="678"/>
      <c r="Q11" s="678"/>
      <c r="R11" s="679"/>
    </row>
    <row r="12" spans="2:18" ht="14.25" thickBot="1" x14ac:dyDescent="0.3">
      <c r="E12" s="558"/>
      <c r="F12" s="682"/>
      <c r="G12" s="682"/>
      <c r="H12" s="682"/>
      <c r="I12" s="682"/>
      <c r="J12" s="682"/>
      <c r="K12" s="682"/>
      <c r="L12" s="682"/>
      <c r="M12" s="682"/>
      <c r="N12" s="682"/>
      <c r="O12" s="682"/>
      <c r="P12" s="682"/>
      <c r="Q12" s="682"/>
      <c r="R12" s="683"/>
    </row>
    <row r="13" spans="2:18" ht="9.9499999999999993" customHeight="1" thickBot="1" x14ac:dyDescent="0.3"/>
    <row r="14" spans="2:18" s="135" customFormat="1" ht="30" customHeight="1" thickBot="1" x14ac:dyDescent="0.3">
      <c r="E14" s="559" t="s">
        <v>140</v>
      </c>
      <c r="F14" s="559" t="s">
        <v>141</v>
      </c>
      <c r="G14" s="684" t="s">
        <v>153</v>
      </c>
      <c r="H14" s="685"/>
      <c r="I14" s="685"/>
      <c r="J14" s="686"/>
      <c r="K14" s="684" t="s">
        <v>143</v>
      </c>
      <c r="L14" s="685"/>
      <c r="M14" s="685"/>
      <c r="N14" s="686"/>
      <c r="O14" s="671" t="s">
        <v>154</v>
      </c>
      <c r="P14" s="687"/>
      <c r="Q14" s="687"/>
      <c r="R14" s="672"/>
    </row>
    <row r="15" spans="2:18" ht="75" customHeight="1" thickBot="1" x14ac:dyDescent="0.3">
      <c r="E15" s="560"/>
      <c r="F15" s="560"/>
      <c r="G15" s="688"/>
      <c r="H15" s="689"/>
      <c r="I15" s="689"/>
      <c r="J15" s="690"/>
      <c r="K15" s="688"/>
      <c r="L15" s="689"/>
      <c r="M15" s="689"/>
      <c r="N15" s="690"/>
      <c r="O15" s="688"/>
      <c r="P15" s="689"/>
      <c r="Q15" s="689"/>
      <c r="R15" s="690"/>
    </row>
    <row r="16" spans="2:18" ht="9.9499999999999993" customHeight="1" thickBot="1" x14ac:dyDescent="0.3"/>
    <row r="17" spans="2:20" ht="15" customHeight="1" x14ac:dyDescent="0.25">
      <c r="E17" s="557" t="s">
        <v>93</v>
      </c>
      <c r="F17" s="678" t="s">
        <v>131</v>
      </c>
      <c r="G17" s="678"/>
      <c r="H17" s="678"/>
      <c r="I17" s="678"/>
      <c r="J17" s="678"/>
      <c r="K17" s="678"/>
      <c r="L17" s="678"/>
      <c r="M17" s="678"/>
      <c r="N17" s="678"/>
      <c r="O17" s="678"/>
      <c r="P17" s="678"/>
      <c r="Q17" s="678"/>
      <c r="R17" s="679"/>
    </row>
    <row r="18" spans="2:20" ht="15" customHeight="1" x14ac:dyDescent="0.25">
      <c r="E18" s="561"/>
      <c r="F18" s="680"/>
      <c r="G18" s="680"/>
      <c r="H18" s="680"/>
      <c r="I18" s="680"/>
      <c r="J18" s="680"/>
      <c r="K18" s="680"/>
      <c r="L18" s="680"/>
      <c r="M18" s="680"/>
      <c r="N18" s="680"/>
      <c r="O18" s="680"/>
      <c r="P18" s="680"/>
      <c r="Q18" s="680"/>
      <c r="R18" s="681"/>
      <c r="T18" s="562"/>
    </row>
    <row r="19" spans="2:20" ht="15" customHeight="1" x14ac:dyDescent="0.25">
      <c r="E19" s="561"/>
      <c r="F19" s="680"/>
      <c r="G19" s="680"/>
      <c r="H19" s="680"/>
      <c r="I19" s="680"/>
      <c r="J19" s="680"/>
      <c r="K19" s="680"/>
      <c r="L19" s="680"/>
      <c r="M19" s="680"/>
      <c r="N19" s="680"/>
      <c r="O19" s="680"/>
      <c r="P19" s="680"/>
      <c r="Q19" s="680"/>
      <c r="R19" s="681"/>
    </row>
    <row r="20" spans="2:20" ht="15" customHeight="1" thickBot="1" x14ac:dyDescent="0.3">
      <c r="E20" s="563"/>
      <c r="F20" s="669" t="s">
        <v>160</v>
      </c>
      <c r="G20" s="669"/>
      <c r="H20" s="669"/>
      <c r="I20" s="669"/>
      <c r="J20" s="669"/>
      <c r="K20" s="669"/>
      <c r="L20" s="669"/>
      <c r="M20" s="669"/>
      <c r="N20" s="669"/>
      <c r="O20" s="669"/>
      <c r="P20" s="669"/>
      <c r="Q20" s="669"/>
      <c r="R20" s="670"/>
    </row>
    <row r="21" spans="2:20" ht="15" customHeight="1" thickBot="1" x14ac:dyDescent="0.3">
      <c r="E21" s="564" t="s">
        <v>94</v>
      </c>
      <c r="F21" s="565" t="s">
        <v>95</v>
      </c>
      <c r="G21" s="565"/>
      <c r="H21" s="566"/>
      <c r="I21" s="566"/>
      <c r="J21" s="566"/>
      <c r="K21" s="566"/>
      <c r="L21" s="566"/>
      <c r="M21" s="566"/>
      <c r="N21" s="566"/>
      <c r="O21" s="566"/>
      <c r="P21" s="566"/>
      <c r="Q21" s="566"/>
      <c r="R21" s="567"/>
    </row>
    <row r="22" spans="2:20" ht="15" customHeight="1" x14ac:dyDescent="0.25">
      <c r="E22" s="557" t="s">
        <v>133</v>
      </c>
      <c r="F22" s="678" t="s">
        <v>144</v>
      </c>
      <c r="G22" s="678"/>
      <c r="H22" s="678"/>
      <c r="I22" s="678"/>
      <c r="J22" s="678"/>
      <c r="K22" s="678"/>
      <c r="L22" s="678"/>
      <c r="M22" s="678"/>
      <c r="N22" s="678"/>
      <c r="O22" s="678"/>
      <c r="P22" s="678"/>
      <c r="Q22" s="678"/>
      <c r="R22" s="679"/>
    </row>
    <row r="23" spans="2:20" ht="15" customHeight="1" thickBot="1" x14ac:dyDescent="0.3">
      <c r="E23" s="558"/>
      <c r="F23" s="682"/>
      <c r="G23" s="682"/>
      <c r="H23" s="682"/>
      <c r="I23" s="682"/>
      <c r="J23" s="682"/>
      <c r="K23" s="682"/>
      <c r="L23" s="682"/>
      <c r="M23" s="682"/>
      <c r="N23" s="682"/>
      <c r="O23" s="682"/>
      <c r="P23" s="682"/>
      <c r="Q23" s="682"/>
      <c r="R23" s="683"/>
    </row>
    <row r="24" spans="2:20" ht="15" customHeight="1" thickBot="1" x14ac:dyDescent="0.3">
      <c r="B24" s="127"/>
      <c r="C24" s="568"/>
      <c r="D24" s="568"/>
      <c r="F24" s="569"/>
      <c r="G24" s="569"/>
      <c r="H24" s="569"/>
      <c r="I24" s="569"/>
      <c r="J24" s="569"/>
      <c r="K24" s="569"/>
      <c r="L24" s="569"/>
      <c r="M24" s="569"/>
      <c r="N24" s="569"/>
      <c r="O24" s="569"/>
      <c r="P24" s="569"/>
      <c r="Q24" s="569"/>
    </row>
    <row r="25" spans="2:20" ht="15" hidden="1" customHeight="1" x14ac:dyDescent="0.25">
      <c r="B25" s="127"/>
      <c r="C25" s="568"/>
      <c r="D25" s="568"/>
      <c r="F25" s="569"/>
      <c r="G25" s="569"/>
      <c r="H25" s="569"/>
      <c r="I25" s="569"/>
      <c r="J25" s="569"/>
      <c r="K25" s="569"/>
      <c r="L25" s="569"/>
      <c r="M25" s="569"/>
      <c r="N25" s="569"/>
      <c r="O25" s="569"/>
      <c r="P25" s="569"/>
      <c r="Q25" s="569"/>
    </row>
    <row r="26" spans="2:20" ht="15" hidden="1" customHeight="1" x14ac:dyDescent="0.25">
      <c r="C26" s="568"/>
      <c r="D26" s="568"/>
      <c r="E26" s="127" t="s">
        <v>183</v>
      </c>
      <c r="F26" s="570">
        <f>EXPEDIENTE!F25</f>
        <v>45292</v>
      </c>
      <c r="G26" s="571"/>
      <c r="H26" s="571"/>
      <c r="I26" s="571"/>
      <c r="J26" s="571"/>
      <c r="K26" s="571"/>
      <c r="L26" s="571"/>
      <c r="M26" s="571"/>
      <c r="N26" s="571"/>
      <c r="O26" s="571"/>
      <c r="P26" s="571"/>
      <c r="Q26" s="571"/>
      <c r="R26" s="571"/>
    </row>
    <row r="27" spans="2:20" ht="15" hidden="1" customHeight="1" x14ac:dyDescent="0.25">
      <c r="C27" s="568"/>
      <c r="D27" s="568"/>
      <c r="E27" s="127" t="s">
        <v>182</v>
      </c>
      <c r="F27" s="570">
        <f>EXPEDIENTE!F27</f>
        <v>0</v>
      </c>
      <c r="G27" s="571"/>
      <c r="H27" s="571"/>
      <c r="I27" s="571"/>
      <c r="J27" s="571"/>
      <c r="K27" s="571"/>
      <c r="L27" s="571"/>
      <c r="M27" s="571"/>
      <c r="N27" s="571"/>
      <c r="O27" s="571"/>
      <c r="P27" s="571"/>
      <c r="Q27" s="571"/>
      <c r="R27" s="571"/>
    </row>
    <row r="28" spans="2:20" ht="15" hidden="1" customHeight="1" x14ac:dyDescent="0.25">
      <c r="C28" s="568"/>
      <c r="D28" s="568"/>
      <c r="E28" s="127" t="s">
        <v>184</v>
      </c>
      <c r="F28" s="570">
        <f>DATE(YEAR($F$26),MONTH($F$26),1)</f>
        <v>45292</v>
      </c>
      <c r="G28" s="571"/>
      <c r="H28" s="571"/>
      <c r="I28" s="571"/>
      <c r="J28" s="571"/>
      <c r="K28" s="571"/>
      <c r="L28" s="571"/>
      <c r="M28" s="571"/>
      <c r="N28" s="571"/>
      <c r="O28" s="571"/>
      <c r="P28" s="571"/>
      <c r="Q28" s="571"/>
      <c r="R28" s="571"/>
    </row>
    <row r="29" spans="2:20" ht="15" hidden="1" customHeight="1" x14ac:dyDescent="0.25">
      <c r="C29" s="568"/>
      <c r="D29" s="568"/>
      <c r="E29" s="127" t="s">
        <v>185</v>
      </c>
      <c r="F29" s="570">
        <f>DATE(YEAR($F$27),MONTH($F$27)+1,1)-1</f>
        <v>31</v>
      </c>
      <c r="G29" s="571"/>
      <c r="H29" s="571"/>
      <c r="I29" s="571"/>
      <c r="J29" s="571"/>
      <c r="K29" s="571"/>
      <c r="L29" s="571"/>
      <c r="M29" s="571"/>
      <c r="N29" s="571"/>
      <c r="O29" s="571"/>
      <c r="P29" s="571"/>
      <c r="Q29" s="571"/>
      <c r="R29" s="571"/>
    </row>
    <row r="30" spans="2:20" ht="15" hidden="1" customHeight="1" x14ac:dyDescent="0.25">
      <c r="C30" s="568"/>
      <c r="D30" s="568"/>
      <c r="E30" s="127" t="s">
        <v>199</v>
      </c>
      <c r="F30" s="572" t="str">
        <f>IF(AND(C44="",C45="",C46="",C47=""),"SIN DEDICACIÓN",MIN(G33:R33,G35:R35,G37:R37,G39:R39))</f>
        <v>SIN DEDICACIÓN</v>
      </c>
      <c r="G30" s="571"/>
      <c r="H30" s="571"/>
      <c r="I30" s="571"/>
      <c r="J30" s="571"/>
      <c r="K30" s="571"/>
      <c r="L30" s="571"/>
      <c r="M30" s="571"/>
      <c r="N30" s="571"/>
      <c r="O30" s="571"/>
      <c r="P30" s="571"/>
      <c r="Q30" s="571"/>
      <c r="R30" s="571"/>
    </row>
    <row r="31" spans="2:20" ht="15" hidden="1" customHeight="1" x14ac:dyDescent="0.25">
      <c r="C31" s="568"/>
      <c r="D31" s="568"/>
      <c r="E31" s="127" t="s">
        <v>200</v>
      </c>
      <c r="F31" s="570">
        <f>DATE(YEAR($F$9),MONTH($F$9),1)</f>
        <v>1</v>
      </c>
      <c r="G31" s="571"/>
      <c r="H31" s="571"/>
      <c r="I31" s="571"/>
      <c r="J31" s="571"/>
      <c r="K31" s="571"/>
      <c r="L31" s="571"/>
      <c r="M31" s="571"/>
      <c r="N31" s="571"/>
      <c r="O31" s="571"/>
      <c r="P31" s="571"/>
      <c r="Q31" s="571"/>
      <c r="R31" s="571"/>
    </row>
    <row r="32" spans="2:20" ht="15" hidden="1" customHeight="1" x14ac:dyDescent="0.25">
      <c r="C32" s="568"/>
      <c r="D32" s="568"/>
      <c r="E32" s="573" t="s">
        <v>181</v>
      </c>
      <c r="F32" s="574">
        <f>YEAR(F26)</f>
        <v>2024</v>
      </c>
      <c r="G32" s="575" t="str">
        <f>IF(G$44&gt;0,G40,"")</f>
        <v/>
      </c>
      <c r="H32" s="575" t="str">
        <f t="shared" ref="H32:R32" si="0">IF(H$44&gt;0,H40,"")</f>
        <v/>
      </c>
      <c r="I32" s="575" t="str">
        <f t="shared" si="0"/>
        <v/>
      </c>
      <c r="J32" s="575" t="str">
        <f t="shared" si="0"/>
        <v/>
      </c>
      <c r="K32" s="575" t="str">
        <f t="shared" si="0"/>
        <v/>
      </c>
      <c r="L32" s="575" t="str">
        <f t="shared" si="0"/>
        <v/>
      </c>
      <c r="M32" s="575" t="str">
        <f t="shared" si="0"/>
        <v/>
      </c>
      <c r="N32" s="575" t="str">
        <f t="shared" si="0"/>
        <v/>
      </c>
      <c r="O32" s="575" t="str">
        <f t="shared" si="0"/>
        <v/>
      </c>
      <c r="P32" s="575" t="str">
        <f t="shared" si="0"/>
        <v/>
      </c>
      <c r="Q32" s="575" t="str">
        <f t="shared" si="0"/>
        <v/>
      </c>
      <c r="R32" s="576" t="str">
        <f t="shared" si="0"/>
        <v/>
      </c>
    </row>
    <row r="33" spans="2:22" ht="15" hidden="1" customHeight="1" x14ac:dyDescent="0.25">
      <c r="C33" s="568"/>
      <c r="D33" s="568"/>
      <c r="E33" s="577"/>
      <c r="F33" s="578" t="s">
        <v>180</v>
      </c>
      <c r="G33" s="579" t="str">
        <f>IF(G32="","",DATE($F$32,G32,1))</f>
        <v/>
      </c>
      <c r="H33" s="579" t="str">
        <f t="shared" ref="H33:R33" si="1">IF(H32="","",DATE($F$32,H32,1))</f>
        <v/>
      </c>
      <c r="I33" s="579" t="str">
        <f t="shared" si="1"/>
        <v/>
      </c>
      <c r="J33" s="579" t="str">
        <f t="shared" si="1"/>
        <v/>
      </c>
      <c r="K33" s="579" t="str">
        <f t="shared" si="1"/>
        <v/>
      </c>
      <c r="L33" s="579" t="str">
        <f t="shared" si="1"/>
        <v/>
      </c>
      <c r="M33" s="579" t="str">
        <f t="shared" si="1"/>
        <v/>
      </c>
      <c r="N33" s="579" t="str">
        <f t="shared" si="1"/>
        <v/>
      </c>
      <c r="O33" s="579" t="str">
        <f t="shared" si="1"/>
        <v/>
      </c>
      <c r="P33" s="579" t="str">
        <f t="shared" si="1"/>
        <v/>
      </c>
      <c r="Q33" s="579" t="str">
        <f t="shared" si="1"/>
        <v/>
      </c>
      <c r="R33" s="580" t="str">
        <f t="shared" si="1"/>
        <v/>
      </c>
    </row>
    <row r="34" spans="2:22" ht="15" hidden="1" customHeight="1" x14ac:dyDescent="0.25">
      <c r="C34" s="568"/>
      <c r="D34" s="568"/>
      <c r="E34" s="573" t="s">
        <v>181</v>
      </c>
      <c r="F34" s="574" t="str">
        <f>IF(YEAR(EXPEDIENTE!$F$27)&gt;=YEAR(EXPEDIENTE!$F$25)+1,YEAR(EXPEDIENTE!$F$25)+1,"")</f>
        <v/>
      </c>
      <c r="G34" s="575" t="str">
        <f>IF(G$45&gt;0,G40,"")</f>
        <v/>
      </c>
      <c r="H34" s="575" t="str">
        <f t="shared" ref="H34:R34" si="2">IF(H$45&gt;0,H40,"")</f>
        <v/>
      </c>
      <c r="I34" s="575" t="str">
        <f t="shared" si="2"/>
        <v/>
      </c>
      <c r="J34" s="575" t="str">
        <f t="shared" si="2"/>
        <v/>
      </c>
      <c r="K34" s="575" t="str">
        <f t="shared" si="2"/>
        <v/>
      </c>
      <c r="L34" s="575" t="str">
        <f t="shared" si="2"/>
        <v/>
      </c>
      <c r="M34" s="575" t="str">
        <f t="shared" si="2"/>
        <v/>
      </c>
      <c r="N34" s="575" t="str">
        <f t="shared" si="2"/>
        <v/>
      </c>
      <c r="O34" s="575" t="str">
        <f t="shared" si="2"/>
        <v/>
      </c>
      <c r="P34" s="575" t="str">
        <f t="shared" si="2"/>
        <v/>
      </c>
      <c r="Q34" s="575" t="str">
        <f t="shared" si="2"/>
        <v/>
      </c>
      <c r="R34" s="576" t="str">
        <f t="shared" si="2"/>
        <v/>
      </c>
    </row>
    <row r="35" spans="2:22" ht="15" hidden="1" customHeight="1" x14ac:dyDescent="0.25">
      <c r="C35" s="568"/>
      <c r="D35" s="568"/>
      <c r="E35" s="577"/>
      <c r="F35" s="578" t="s">
        <v>180</v>
      </c>
      <c r="G35" s="579" t="str">
        <f>IF($F$34="","",IF(G34="","",DATE($F$34,G34,1)))</f>
        <v/>
      </c>
      <c r="H35" s="579" t="str">
        <f t="shared" ref="H35:R35" si="3">IF($F$34="","",IF(H34="","",DATE($F$34,H34,1)))</f>
        <v/>
      </c>
      <c r="I35" s="579" t="str">
        <f t="shared" si="3"/>
        <v/>
      </c>
      <c r="J35" s="579" t="str">
        <f t="shared" si="3"/>
        <v/>
      </c>
      <c r="K35" s="579" t="str">
        <f t="shared" si="3"/>
        <v/>
      </c>
      <c r="L35" s="579" t="str">
        <f t="shared" si="3"/>
        <v/>
      </c>
      <c r="M35" s="579" t="str">
        <f t="shared" si="3"/>
        <v/>
      </c>
      <c r="N35" s="579" t="str">
        <f t="shared" si="3"/>
        <v/>
      </c>
      <c r="O35" s="579" t="str">
        <f t="shared" si="3"/>
        <v/>
      </c>
      <c r="P35" s="579" t="str">
        <f t="shared" si="3"/>
        <v/>
      </c>
      <c r="Q35" s="579" t="str">
        <f t="shared" si="3"/>
        <v/>
      </c>
      <c r="R35" s="580" t="str">
        <f t="shared" si="3"/>
        <v/>
      </c>
    </row>
    <row r="36" spans="2:22" ht="15" hidden="1" customHeight="1" x14ac:dyDescent="0.25">
      <c r="C36" s="568"/>
      <c r="D36" s="568"/>
      <c r="E36" s="573" t="s">
        <v>181</v>
      </c>
      <c r="F36" s="574" t="str">
        <f>IF(YEAR(EXPEDIENTE!$F$27)&gt;=YEAR(EXPEDIENTE!$F$25)+2,YEAR(EXPEDIENTE!$F$25)+2,"")</f>
        <v/>
      </c>
      <c r="G36" s="575" t="str">
        <f>IF(G$46&gt;0,G40,"")</f>
        <v/>
      </c>
      <c r="H36" s="575" t="str">
        <f t="shared" ref="H36:R36" si="4">IF(H$46&gt;0,H40,"")</f>
        <v/>
      </c>
      <c r="I36" s="575" t="str">
        <f t="shared" si="4"/>
        <v/>
      </c>
      <c r="J36" s="575" t="str">
        <f t="shared" si="4"/>
        <v/>
      </c>
      <c r="K36" s="575" t="str">
        <f t="shared" si="4"/>
        <v/>
      </c>
      <c r="L36" s="575" t="str">
        <f t="shared" si="4"/>
        <v/>
      </c>
      <c r="M36" s="575" t="str">
        <f t="shared" si="4"/>
        <v/>
      </c>
      <c r="N36" s="575" t="str">
        <f t="shared" si="4"/>
        <v/>
      </c>
      <c r="O36" s="575" t="str">
        <f t="shared" si="4"/>
        <v/>
      </c>
      <c r="P36" s="575" t="str">
        <f t="shared" si="4"/>
        <v/>
      </c>
      <c r="Q36" s="575" t="str">
        <f t="shared" si="4"/>
        <v/>
      </c>
      <c r="R36" s="576" t="str">
        <f t="shared" si="4"/>
        <v/>
      </c>
    </row>
    <row r="37" spans="2:22" ht="15" hidden="1" customHeight="1" x14ac:dyDescent="0.25">
      <c r="C37" s="568"/>
      <c r="D37" s="568"/>
      <c r="E37" s="577"/>
      <c r="F37" s="578" t="s">
        <v>180</v>
      </c>
      <c r="G37" s="579" t="str">
        <f>IF($F$36="","",IF(G36="","",DATE($F$36,G36,1)))</f>
        <v/>
      </c>
      <c r="H37" s="579" t="str">
        <f t="shared" ref="H37:R37" si="5">IF($F$36="","",IF(H36="","",DATE($F$36,H36,1)))</f>
        <v/>
      </c>
      <c r="I37" s="579" t="str">
        <f t="shared" si="5"/>
        <v/>
      </c>
      <c r="J37" s="579" t="str">
        <f t="shared" si="5"/>
        <v/>
      </c>
      <c r="K37" s="579" t="str">
        <f t="shared" si="5"/>
        <v/>
      </c>
      <c r="L37" s="579" t="str">
        <f t="shared" si="5"/>
        <v/>
      </c>
      <c r="M37" s="579" t="str">
        <f t="shared" si="5"/>
        <v/>
      </c>
      <c r="N37" s="579" t="str">
        <f t="shared" si="5"/>
        <v/>
      </c>
      <c r="O37" s="579" t="str">
        <f t="shared" si="5"/>
        <v/>
      </c>
      <c r="P37" s="579" t="str">
        <f t="shared" si="5"/>
        <v/>
      </c>
      <c r="Q37" s="579" t="str">
        <f t="shared" si="5"/>
        <v/>
      </c>
      <c r="R37" s="580" t="str">
        <f t="shared" si="5"/>
        <v/>
      </c>
    </row>
    <row r="38" spans="2:22" ht="15" hidden="1" customHeight="1" x14ac:dyDescent="0.25">
      <c r="C38" s="568"/>
      <c r="D38" s="568"/>
      <c r="E38" s="573" t="s">
        <v>181</v>
      </c>
      <c r="F38" s="574" t="str">
        <f>IF(YEAR(EXPEDIENTE!$F$27)&gt;=YEAR(EXPEDIENTE!$F$25)+3,YEAR(EXPEDIENTE!$F$25)+3,"")</f>
        <v/>
      </c>
      <c r="G38" s="575" t="str">
        <f>IF(G$47&gt;0,G40,"")</f>
        <v/>
      </c>
      <c r="H38" s="575" t="str">
        <f t="shared" ref="H38:R38" si="6">IF(H$47&gt;0,H40,"")</f>
        <v/>
      </c>
      <c r="I38" s="575" t="str">
        <f t="shared" si="6"/>
        <v/>
      </c>
      <c r="J38" s="575" t="str">
        <f t="shared" si="6"/>
        <v/>
      </c>
      <c r="K38" s="575" t="str">
        <f t="shared" si="6"/>
        <v/>
      </c>
      <c r="L38" s="575" t="str">
        <f t="shared" si="6"/>
        <v/>
      </c>
      <c r="M38" s="575" t="str">
        <f t="shared" si="6"/>
        <v/>
      </c>
      <c r="N38" s="575" t="str">
        <f t="shared" si="6"/>
        <v/>
      </c>
      <c r="O38" s="575" t="str">
        <f t="shared" si="6"/>
        <v/>
      </c>
      <c r="P38" s="575" t="str">
        <f t="shared" si="6"/>
        <v/>
      </c>
      <c r="Q38" s="575" t="str">
        <f t="shared" si="6"/>
        <v/>
      </c>
      <c r="R38" s="576" t="str">
        <f t="shared" si="6"/>
        <v/>
      </c>
    </row>
    <row r="39" spans="2:22" ht="15" hidden="1" customHeight="1" x14ac:dyDescent="0.25">
      <c r="C39" s="568"/>
      <c r="D39" s="568"/>
      <c r="E39" s="577"/>
      <c r="F39" s="578" t="s">
        <v>180</v>
      </c>
      <c r="G39" s="579" t="str">
        <f>IF($F$38="","",IF(G38="","",DATE($F$38,G38,1)))</f>
        <v/>
      </c>
      <c r="H39" s="579" t="str">
        <f t="shared" ref="H39:R39" si="7">IF($F$38="","",IF(H38="","",DATE($F$38,H38,1)))</f>
        <v/>
      </c>
      <c r="I39" s="579" t="str">
        <f t="shared" si="7"/>
        <v/>
      </c>
      <c r="J39" s="579" t="str">
        <f t="shared" si="7"/>
        <v/>
      </c>
      <c r="K39" s="579" t="str">
        <f t="shared" si="7"/>
        <v/>
      </c>
      <c r="L39" s="579" t="str">
        <f t="shared" si="7"/>
        <v/>
      </c>
      <c r="M39" s="579" t="str">
        <f t="shared" si="7"/>
        <v/>
      </c>
      <c r="N39" s="579" t="str">
        <f t="shared" si="7"/>
        <v/>
      </c>
      <c r="O39" s="579" t="str">
        <f t="shared" si="7"/>
        <v/>
      </c>
      <c r="P39" s="579" t="str">
        <f t="shared" si="7"/>
        <v/>
      </c>
      <c r="Q39" s="579" t="str">
        <f t="shared" si="7"/>
        <v/>
      </c>
      <c r="R39" s="580" t="str">
        <f t="shared" si="7"/>
        <v/>
      </c>
    </row>
    <row r="40" spans="2:22" ht="15" hidden="1" customHeight="1" thickBot="1" x14ac:dyDescent="0.3">
      <c r="C40" s="568"/>
      <c r="D40" s="568"/>
      <c r="E40" s="573" t="s">
        <v>76</v>
      </c>
      <c r="F40" s="581"/>
      <c r="G40" s="575">
        <v>1</v>
      </c>
      <c r="H40" s="575">
        <v>2</v>
      </c>
      <c r="I40" s="575">
        <v>3</v>
      </c>
      <c r="J40" s="575">
        <v>4</v>
      </c>
      <c r="K40" s="575">
        <v>5</v>
      </c>
      <c r="L40" s="575">
        <v>6</v>
      </c>
      <c r="M40" s="575">
        <v>7</v>
      </c>
      <c r="N40" s="575">
        <v>8</v>
      </c>
      <c r="O40" s="575">
        <v>9</v>
      </c>
      <c r="P40" s="575">
        <v>10</v>
      </c>
      <c r="Q40" s="575">
        <v>11</v>
      </c>
      <c r="R40" s="576">
        <v>12</v>
      </c>
    </row>
    <row r="41" spans="2:22" s="562" customFormat="1" ht="20.100000000000001" customHeight="1" thickBot="1" x14ac:dyDescent="0.35">
      <c r="B41" s="124"/>
      <c r="C41" s="568"/>
      <c r="D41" s="568"/>
      <c r="E41" s="662" t="s">
        <v>167</v>
      </c>
      <c r="F41" s="663"/>
      <c r="G41" s="663"/>
      <c r="H41" s="663"/>
      <c r="I41" s="663"/>
      <c r="J41" s="663"/>
      <c r="K41" s="663"/>
      <c r="L41" s="663"/>
      <c r="M41" s="663"/>
      <c r="N41" s="663"/>
      <c r="O41" s="663"/>
      <c r="P41" s="663"/>
      <c r="Q41" s="663"/>
      <c r="R41" s="664"/>
      <c r="S41" s="582"/>
      <c r="T41" s="583"/>
      <c r="U41" s="584"/>
      <c r="V41" s="584"/>
    </row>
    <row r="42" spans="2:22" ht="15" customHeight="1" thickBot="1" x14ac:dyDescent="0.3">
      <c r="B42" s="124" t="s">
        <v>135</v>
      </c>
      <c r="C42" s="675" t="s">
        <v>201</v>
      </c>
      <c r="D42" s="675" t="s">
        <v>202</v>
      </c>
      <c r="E42" s="671" t="s">
        <v>171</v>
      </c>
      <c r="F42" s="672"/>
      <c r="G42" s="585" t="s">
        <v>28</v>
      </c>
      <c r="H42" s="586" t="s">
        <v>29</v>
      </c>
      <c r="I42" s="586" t="s">
        <v>30</v>
      </c>
      <c r="J42" s="586" t="s">
        <v>31</v>
      </c>
      <c r="K42" s="586" t="s">
        <v>32</v>
      </c>
      <c r="L42" s="586" t="s">
        <v>33</v>
      </c>
      <c r="M42" s="586" t="s">
        <v>34</v>
      </c>
      <c r="N42" s="586" t="s">
        <v>35</v>
      </c>
      <c r="O42" s="586" t="s">
        <v>36</v>
      </c>
      <c r="P42" s="586" t="s">
        <v>37</v>
      </c>
      <c r="Q42" s="586" t="s">
        <v>38</v>
      </c>
      <c r="R42" s="587" t="s">
        <v>39</v>
      </c>
      <c r="T42" s="583"/>
    </row>
    <row r="43" spans="2:22" ht="20.100000000000001" customHeight="1" thickBot="1" x14ac:dyDescent="0.3">
      <c r="C43" s="676"/>
      <c r="D43" s="676"/>
      <c r="E43" s="673"/>
      <c r="F43" s="674"/>
      <c r="G43" s="665" t="s">
        <v>168</v>
      </c>
      <c r="H43" s="666"/>
      <c r="I43" s="666"/>
      <c r="J43" s="666"/>
      <c r="K43" s="666"/>
      <c r="L43" s="666"/>
      <c r="M43" s="666"/>
      <c r="N43" s="666"/>
      <c r="O43" s="666"/>
      <c r="P43" s="666"/>
      <c r="Q43" s="666"/>
      <c r="R43" s="667"/>
    </row>
    <row r="44" spans="2:22" ht="35.1" customHeight="1" x14ac:dyDescent="0.25">
      <c r="B44" s="124">
        <f>COUNTIF(G44:R44,"&gt;100%")</f>
        <v>0</v>
      </c>
      <c r="C44" s="588" t="str">
        <f>IF(SUM(G44:R44)=0,"",IF(SUM($G$32:$R$32)=0,$F$26,MIN($G$33:$R$33)))</f>
        <v/>
      </c>
      <c r="D44" s="588" t="str">
        <f>IF(SUM(G44:R44)=0,"",IF(SUM($G$32:$R$32)=0,$F$27,DATE($F$32,MAX($G$32:$R$32)+1,1)-1))</f>
        <v/>
      </c>
      <c r="E44" s="668" t="str">
        <f>CONCATENATE("DEDICACIÓN EJERCICIO ",YEAR(EXPEDIENTE!F25))</f>
        <v>DEDICACIÓN EJERCICIO 2024</v>
      </c>
      <c r="F44" s="668"/>
      <c r="G44" s="589"/>
      <c r="H44" s="589"/>
      <c r="I44" s="589"/>
      <c r="J44" s="589"/>
      <c r="K44" s="589"/>
      <c r="L44" s="589"/>
      <c r="M44" s="589"/>
      <c r="N44" s="589"/>
      <c r="O44" s="589"/>
      <c r="P44" s="589"/>
      <c r="Q44" s="589"/>
      <c r="R44" s="589"/>
      <c r="T44" s="127"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4">
        <f>COUNTIF(G45:R45,"&gt;100%")</f>
        <v>0</v>
      </c>
      <c r="C45" s="588" t="str">
        <f>IF(SUM(G45:R45)=0,"",IF(SUM($G$34:$R$34)=0,$F$26,MIN($G$35:$R$35)))</f>
        <v/>
      </c>
      <c r="D45" s="588" t="str">
        <f>IF(F34="","",IF(SUM(G45:R45)=0,"",IF(SUM($G$34:$R$34)=0,$F$27,DATE($F$34,MAX($G$34:$R$34)+1,1)-1)))</f>
        <v/>
      </c>
      <c r="E45" s="661" t="str">
        <f>IF(YEAR(EXPEDIENTE!F27)&gt;=YEAR(EXPEDIENTE!F25)+1,CONCATENATE("DEDICACIÓN EJERCICIO ",YEAR(EXPEDIENTE!F25)+1),"")</f>
        <v/>
      </c>
      <c r="F45" s="661"/>
      <c r="G45" s="590"/>
      <c r="H45" s="590"/>
      <c r="I45" s="590"/>
      <c r="J45" s="590"/>
      <c r="K45" s="590"/>
      <c r="L45" s="590"/>
      <c r="M45" s="590"/>
      <c r="N45" s="590"/>
      <c r="O45" s="590"/>
      <c r="P45" s="590"/>
      <c r="Q45" s="590"/>
      <c r="R45" s="590"/>
      <c r="T45" s="127"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4">
        <f>COUNTIF(G46:R46,"&gt;100%")</f>
        <v>0</v>
      </c>
      <c r="C46" s="588" t="str">
        <f>IF(SUM(G46:R46)=0,"",IF(SUM($G$36:$R$36)=0,$F$26,MIN($G$37:$R$37)))</f>
        <v/>
      </c>
      <c r="D46" s="588" t="str">
        <f>IF(F36="","",IF(SUM(G46:R46)=0,"",IF(SUM($G$36:$R$36)=0,$F$27,DATE($F$36,MAX($G$36:$R$36)+1,1)-1)))</f>
        <v/>
      </c>
      <c r="E46" s="661" t="str">
        <f>IF(YEAR(EXPEDIENTE!F27)&gt;=YEAR(EXPEDIENTE!F25)+2,CONCATENATE("DEDICACIÓN EJERCICIO ",YEAR(EXPEDIENTE!F25)+2),"")</f>
        <v/>
      </c>
      <c r="F46" s="661"/>
      <c r="G46" s="590"/>
      <c r="H46" s="590"/>
      <c r="I46" s="590"/>
      <c r="J46" s="590"/>
      <c r="K46" s="590"/>
      <c r="L46" s="590"/>
      <c r="M46" s="590"/>
      <c r="N46" s="590"/>
      <c r="O46" s="590"/>
      <c r="P46" s="590"/>
      <c r="Q46" s="590"/>
      <c r="R46" s="590"/>
      <c r="T46" s="127" t="str">
        <f t="shared" si="8"/>
        <v/>
      </c>
    </row>
    <row r="47" spans="2:22" ht="35.1" customHeight="1" x14ac:dyDescent="0.25">
      <c r="B47" s="124">
        <f>COUNTIF(G47:R47,"&gt;100%")</f>
        <v>0</v>
      </c>
      <c r="C47" s="588" t="str">
        <f>IF(SUM(G47:R47)=0,"",IF(SUM($G$38:$R$38)=0,$F$26,MIN($G$39:$R$39)))</f>
        <v/>
      </c>
      <c r="D47" s="588" t="str">
        <f>IF(F38="","",IF(SUM(G47:R47)=0,"",IF(SUM($G$38:$R$38)=0,$F$27,DATE($F$38,MAX($G$38:$R$38)+1,1)-1)))</f>
        <v/>
      </c>
      <c r="E47" s="661" t="str">
        <f>IF(YEAR(EXPEDIENTE!F27)&gt;=YEAR(EXPEDIENTE!F25)+3,CONCATENATE("DEDICACIÓN EJERCICIO ",YEAR(EXPEDIENTE!F25)+3),"")</f>
        <v/>
      </c>
      <c r="F47" s="661"/>
      <c r="G47" s="590"/>
      <c r="H47" s="590"/>
      <c r="I47" s="590"/>
      <c r="J47" s="590"/>
      <c r="K47" s="590"/>
      <c r="L47" s="590"/>
      <c r="M47" s="590"/>
      <c r="N47" s="590"/>
      <c r="O47" s="590"/>
      <c r="P47" s="590"/>
      <c r="Q47" s="590"/>
      <c r="R47" s="590"/>
      <c r="T47" s="127" t="str">
        <f t="shared" si="8"/>
        <v/>
      </c>
    </row>
  </sheetData>
  <sheetProtection algorithmName="SHA-512" hashValue="gecqjgY6gcmM75J7SXwtTlmPUHarLg55hnN1fP0WkUGYLMCFXlyJctiIsCnxrTdjKUZ0RtKkwBJvjHtMwURcGQ==" saltValue="gNdjUcovwlgpSX4fnDEzfg==" spinCount="100000" sheet="1" selectLockedCells="1"/>
  <mergeCells count="20">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 ref="E46:F46"/>
    <mergeCell ref="E47:F47"/>
    <mergeCell ref="E41:R41"/>
    <mergeCell ref="G43:R43"/>
    <mergeCell ref="E44:F44"/>
    <mergeCell ref="E45:F4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zoomScaleNormal="100" zoomScaleSheetLayoutView="55" workbookViewId="0">
      <selection activeCell="F10" sqref="F1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127"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8"/>
      <c r="AV2" s="128"/>
      <c r="AW2" s="128"/>
      <c r="AX2" s="217"/>
      <c r="AY2" s="217"/>
      <c r="AZ2" s="217"/>
      <c r="BD2" s="261"/>
      <c r="BE2" s="261"/>
      <c r="BF2" s="261"/>
    </row>
    <row r="3" spans="2:128" ht="20.100000000000001" customHeight="1" x14ac:dyDescent="0.25">
      <c r="E3" s="90" t="str">
        <f>'IDENTIFICACIÓN TRABAJADOR'!$F$4</f>
        <v>Nº DE EXPEDIENTE: 2024.07.PRIV.0000</v>
      </c>
      <c r="AR3" s="217" t="str">
        <f>'IDENTIFICACIÓN TRABAJADOR'!$F$4</f>
        <v>Nº DE EXPEDIENTE: 2024.07.PRIV.0000</v>
      </c>
      <c r="AS3" s="217"/>
      <c r="AT3" s="217"/>
    </row>
    <row r="4" spans="2:128" ht="20.100000000000001" customHeight="1" x14ac:dyDescent="0.25">
      <c r="E4" s="850"/>
      <c r="F4" s="850"/>
      <c r="G4" s="87"/>
      <c r="AR4" s="764"/>
      <c r="AS4" s="764"/>
      <c r="AT4" s="764"/>
      <c r="AU4" s="764"/>
      <c r="AV4" s="132"/>
      <c r="AW4" s="132"/>
      <c r="AX4" s="211"/>
      <c r="AY4" s="211"/>
      <c r="AZ4" s="211"/>
    </row>
    <row r="5" spans="2:128" ht="20.100000000000001" customHeight="1" x14ac:dyDescent="0.25">
      <c r="E5" s="91" t="str">
        <f>'% DEDICACIÓN'!$F$6</f>
        <v>TRABAJADOR:</v>
      </c>
      <c r="F5" s="7"/>
      <c r="G5" s="7"/>
      <c r="H5" s="7"/>
      <c r="I5" s="7"/>
      <c r="J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2: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2: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692" t="s">
        <v>343</v>
      </c>
      <c r="DE7" s="692"/>
      <c r="DF7" s="692"/>
      <c r="DG7" s="692"/>
      <c r="DH7" s="692"/>
      <c r="DI7" s="692"/>
      <c r="DJ7" s="692"/>
      <c r="DK7" s="692"/>
      <c r="DL7" s="692"/>
      <c r="DM7" s="692"/>
      <c r="DN7" s="692"/>
      <c r="DO7" s="692"/>
      <c r="DP7" s="692"/>
      <c r="DQ7" s="692"/>
      <c r="DR7" s="692"/>
      <c r="DS7" s="692"/>
      <c r="DT7" s="692"/>
      <c r="DU7" s="692"/>
      <c r="DW7" s="691" t="s">
        <v>342</v>
      </c>
      <c r="DX7" s="691"/>
    </row>
    <row r="8" spans="2:128" ht="30" customHeight="1" thickTop="1" thickBot="1" x14ac:dyDescent="0.3">
      <c r="B8" s="875" t="str">
        <f>CONCATENATE("GASTO DEL TRABAJADOR ",'IDENTIFICACIÓN TRABAJADOR'!$D$14," EJERCICIO ",YEAR(EXPEDIENTE!$F$25))</f>
        <v>GASTO DEL TRABAJADOR  EJERCICIO 2024</v>
      </c>
      <c r="C8" s="851" t="str">
        <f>CONCATENATE("TABLA DE COTIZACIONES ",YEAR(EXPEDIENTE!$F$25))</f>
        <v>TABLA DE COTIZACIONES 2024</v>
      </c>
      <c r="D8" s="851"/>
      <c r="E8" s="851"/>
      <c r="F8" s="852"/>
      <c r="H8" s="89" t="s">
        <v>112</v>
      </c>
      <c r="I8" s="870" t="s">
        <v>115</v>
      </c>
      <c r="J8" s="870"/>
      <c r="K8" s="870"/>
      <c r="L8" s="870"/>
      <c r="M8" s="870"/>
      <c r="N8" s="870"/>
      <c r="O8" s="870"/>
      <c r="P8" s="870"/>
      <c r="Q8" s="870"/>
      <c r="R8" s="870"/>
      <c r="S8" s="870"/>
      <c r="T8" s="871"/>
      <c r="AM8" s="728" t="str">
        <f>CONCATENATE("GASTO DEL TRABAJADOR ",'IDENTIFICACIÓN TRABAJADOR'!$D$14," EJERCICIO ",YEAR(EXPEDIENTE!$F$25))</f>
        <v>GASTO DEL TRABAJADOR  EJERCICIO 2024</v>
      </c>
      <c r="AN8" s="809" t="str">
        <f>CONCATENATE("COTIZACIONES ",YEAR(EXPEDIENTE!$F$25))</f>
        <v>COTIZACIONES 2024</v>
      </c>
      <c r="AO8" s="809"/>
      <c r="AP8" s="809"/>
      <c r="AQ8" s="262"/>
      <c r="AR8" s="263" t="s">
        <v>271</v>
      </c>
      <c r="AS8" s="264" t="s">
        <v>246</v>
      </c>
      <c r="AT8" s="265" t="s">
        <v>272</v>
      </c>
      <c r="AU8" s="775" t="s">
        <v>270</v>
      </c>
      <c r="AV8" s="775"/>
      <c r="AW8" s="775"/>
      <c r="AX8" s="775"/>
      <c r="AY8" s="775"/>
      <c r="AZ8" s="775"/>
      <c r="BA8" s="775"/>
      <c r="BB8" s="775"/>
      <c r="BC8" s="775"/>
      <c r="BD8" s="775"/>
      <c r="BE8" s="775"/>
      <c r="BF8" s="775"/>
      <c r="BG8" s="776"/>
      <c r="BJ8" s="219"/>
      <c r="BK8" s="219"/>
      <c r="BL8" s="219"/>
      <c r="BM8" s="219"/>
      <c r="BN8" s="219"/>
      <c r="BO8" s="219"/>
      <c r="BP8" s="219"/>
      <c r="BQ8" s="219"/>
      <c r="BR8" s="219"/>
      <c r="BS8" s="219"/>
      <c r="BT8" s="219"/>
      <c r="BU8" s="219"/>
      <c r="BV8" s="219"/>
      <c r="BW8" s="219"/>
      <c r="BX8" s="219"/>
      <c r="BY8" s="219"/>
      <c r="BZ8" s="219"/>
      <c r="CA8" s="219"/>
      <c r="CB8" s="219"/>
      <c r="CY8" s="124"/>
      <c r="CZ8" s="124"/>
      <c r="DD8" s="88" t="s">
        <v>323</v>
      </c>
      <c r="DE8" s="88" t="s">
        <v>324</v>
      </c>
      <c r="DF8" s="88" t="s">
        <v>325</v>
      </c>
      <c r="DG8" s="88" t="s">
        <v>326</v>
      </c>
      <c r="DH8" s="88" t="s">
        <v>327</v>
      </c>
      <c r="DI8" s="88" t="s">
        <v>328</v>
      </c>
      <c r="DJ8" s="88" t="s">
        <v>329</v>
      </c>
      <c r="DK8" s="88" t="s">
        <v>330</v>
      </c>
      <c r="DL8" s="88" t="s">
        <v>331</v>
      </c>
      <c r="DM8" s="88" t="s">
        <v>332</v>
      </c>
      <c r="DN8" s="88" t="s">
        <v>333</v>
      </c>
      <c r="DO8" s="88" t="s">
        <v>334</v>
      </c>
      <c r="DP8" s="88" t="s">
        <v>335</v>
      </c>
      <c r="DQ8" s="88" t="s">
        <v>336</v>
      </c>
      <c r="DR8" s="88" t="s">
        <v>337</v>
      </c>
      <c r="DS8" s="88" t="s">
        <v>338</v>
      </c>
      <c r="DT8" s="88" t="s">
        <v>339</v>
      </c>
      <c r="DU8" s="88" t="s">
        <v>340</v>
      </c>
    </row>
    <row r="9" spans="2:128" ht="15" customHeight="1" thickTop="1" x14ac:dyDescent="0.25">
      <c r="B9" s="876"/>
      <c r="C9" s="92" t="s">
        <v>40</v>
      </c>
      <c r="D9" s="8"/>
      <c r="E9" s="8"/>
      <c r="F9" s="47"/>
      <c r="H9" s="94" t="s">
        <v>130</v>
      </c>
      <c r="I9" s="758" t="s">
        <v>114</v>
      </c>
      <c r="J9" s="758"/>
      <c r="K9" s="758"/>
      <c r="L9" s="758"/>
      <c r="M9" s="758"/>
      <c r="N9" s="758"/>
      <c r="O9" s="758"/>
      <c r="P9" s="758"/>
      <c r="Q9" s="758"/>
      <c r="R9" s="758"/>
      <c r="S9" s="758"/>
      <c r="T9" s="759"/>
      <c r="AM9" s="729"/>
      <c r="AN9" s="810" t="s">
        <v>40</v>
      </c>
      <c r="AO9" s="811"/>
      <c r="AP9" s="812"/>
      <c r="AQ9" s="266"/>
      <c r="AR9" s="267">
        <f>IF(F9="",0,F9)</f>
        <v>0</v>
      </c>
      <c r="AS9" s="268"/>
      <c r="AT9" s="269">
        <f>IF(AS9="",AR9,AS9)</f>
        <v>0</v>
      </c>
      <c r="AU9" s="814"/>
      <c r="AV9" s="814"/>
      <c r="AW9" s="814"/>
      <c r="AX9" s="814"/>
      <c r="AY9" s="814"/>
      <c r="AZ9" s="814"/>
      <c r="BA9" s="814"/>
      <c r="BB9" s="814"/>
      <c r="BC9" s="814"/>
      <c r="BD9" s="814"/>
      <c r="BE9" s="814"/>
      <c r="BF9" s="814"/>
      <c r="BG9" s="815"/>
      <c r="BJ9" s="219"/>
      <c r="BK9" s="219"/>
      <c r="BL9" s="219"/>
      <c r="BM9" s="219"/>
      <c r="BN9" s="219"/>
      <c r="BO9" s="219"/>
      <c r="BP9" s="219"/>
      <c r="BQ9" s="219"/>
      <c r="BR9" s="219"/>
      <c r="BS9" s="219"/>
      <c r="BT9" s="219"/>
      <c r="BU9" s="219"/>
      <c r="BV9" s="219"/>
      <c r="BW9" s="219"/>
      <c r="BX9" s="219"/>
      <c r="BY9" s="219"/>
      <c r="BZ9" s="219"/>
      <c r="CA9" s="219"/>
      <c r="CB9" s="219"/>
      <c r="CY9" s="124"/>
      <c r="CZ9" s="124"/>
      <c r="DD9" s="163">
        <f>SUM(DE9:DU9)</f>
        <v>0</v>
      </c>
      <c r="DE9" s="163">
        <f>IF(AS9="",0,1)</f>
        <v>0</v>
      </c>
      <c r="DW9" s="88">
        <f>IF(AU9&lt;&gt;"",1,0)</f>
        <v>0</v>
      </c>
      <c r="DX9" s="185" t="str">
        <f>IF(DW9=0,"",AU9)</f>
        <v/>
      </c>
    </row>
    <row r="10" spans="2:128" ht="15" customHeight="1" x14ac:dyDescent="0.25">
      <c r="B10" s="876"/>
      <c r="C10" s="93" t="s">
        <v>61</v>
      </c>
      <c r="D10" s="9"/>
      <c r="E10" s="10"/>
      <c r="F10" s="48"/>
      <c r="H10" s="95"/>
      <c r="I10" s="868" t="s">
        <v>113</v>
      </c>
      <c r="J10" s="868"/>
      <c r="K10" s="868"/>
      <c r="L10" s="868"/>
      <c r="M10" s="868"/>
      <c r="N10" s="868"/>
      <c r="O10" s="868"/>
      <c r="P10" s="868"/>
      <c r="Q10" s="868"/>
      <c r="R10" s="868"/>
      <c r="S10" s="868"/>
      <c r="T10" s="869"/>
      <c r="AM10" s="729"/>
      <c r="AN10" s="784" t="s">
        <v>61</v>
      </c>
      <c r="AO10" s="785"/>
      <c r="AP10" s="786"/>
      <c r="AQ10" s="270"/>
      <c r="AR10" s="271">
        <f>IF(F10="",0,F10)</f>
        <v>0</v>
      </c>
      <c r="AS10" s="272"/>
      <c r="AT10" s="273">
        <f t="shared" ref="AT10:AT13" si="0">IF(AS10="",AR10,AS10)</f>
        <v>0</v>
      </c>
      <c r="AU10" s="787"/>
      <c r="AV10" s="787"/>
      <c r="AW10" s="787"/>
      <c r="AX10" s="787"/>
      <c r="AY10" s="787"/>
      <c r="AZ10" s="787"/>
      <c r="BA10" s="787"/>
      <c r="BB10" s="787"/>
      <c r="BC10" s="787"/>
      <c r="BD10" s="787"/>
      <c r="BE10" s="787"/>
      <c r="BF10" s="787"/>
      <c r="BG10" s="788"/>
      <c r="BJ10" s="219"/>
      <c r="BK10" s="219"/>
      <c r="BL10" s="219"/>
      <c r="BM10" s="219"/>
      <c r="BN10" s="219"/>
      <c r="BO10" s="219"/>
      <c r="BP10" s="219"/>
      <c r="BQ10" s="219"/>
      <c r="BR10" s="219"/>
      <c r="BS10" s="219"/>
      <c r="BT10" s="219"/>
      <c r="BU10" s="219"/>
      <c r="BV10" s="219"/>
      <c r="BW10" s="219"/>
      <c r="BX10" s="219"/>
      <c r="BY10" s="219"/>
      <c r="BZ10" s="219"/>
      <c r="CA10" s="219"/>
      <c r="CB10" s="219"/>
      <c r="CY10" s="124"/>
      <c r="CZ10" s="124"/>
      <c r="DD10" s="88">
        <f t="shared" ref="DD10:DD13" si="1">SUM(DE10:DU10)</f>
        <v>0</v>
      </c>
      <c r="DE10" s="88">
        <f t="shared" ref="DE10:DE13" si="2">IF(AS10="",0,1)</f>
        <v>0</v>
      </c>
      <c r="DW10" s="88">
        <f>IF(AU10&lt;&gt;"",MAX($DW$9:DW9)+1,0)</f>
        <v>0</v>
      </c>
      <c r="DX10" s="185" t="str">
        <f t="shared" ref="DX10:DX14" si="3">IF(DW10=0,"",AU10)</f>
        <v/>
      </c>
    </row>
    <row r="11" spans="2:128" ht="15" customHeight="1" thickBot="1" x14ac:dyDescent="0.3">
      <c r="B11" s="876"/>
      <c r="C11" s="93" t="s">
        <v>41</v>
      </c>
      <c r="D11" s="9"/>
      <c r="E11" s="10"/>
      <c r="F11" s="48"/>
      <c r="H11" s="96"/>
      <c r="I11" s="85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7"/>
      <c r="K11" s="857"/>
      <c r="L11" s="857"/>
      <c r="M11" s="857"/>
      <c r="N11" s="857"/>
      <c r="O11" s="857"/>
      <c r="P11" s="857"/>
      <c r="Q11" s="857"/>
      <c r="R11" s="857"/>
      <c r="S11" s="857"/>
      <c r="T11" s="858"/>
      <c r="AM11" s="729"/>
      <c r="AN11" s="784" t="s">
        <v>41</v>
      </c>
      <c r="AO11" s="785"/>
      <c r="AP11" s="786"/>
      <c r="AQ11" s="270"/>
      <c r="AR11" s="271">
        <f>IF(F11="",0,F11)</f>
        <v>0</v>
      </c>
      <c r="AS11" s="272"/>
      <c r="AT11" s="273">
        <f t="shared" si="0"/>
        <v>0</v>
      </c>
      <c r="AU11" s="787"/>
      <c r="AV11" s="787"/>
      <c r="AW11" s="787"/>
      <c r="AX11" s="787"/>
      <c r="AY11" s="787"/>
      <c r="AZ11" s="787"/>
      <c r="BA11" s="787"/>
      <c r="BB11" s="787"/>
      <c r="BC11" s="787"/>
      <c r="BD11" s="787"/>
      <c r="BE11" s="787"/>
      <c r="BF11" s="787"/>
      <c r="BG11" s="788"/>
      <c r="BJ11" s="219"/>
      <c r="BK11" s="219"/>
      <c r="BL11" s="219"/>
      <c r="BM11" s="219"/>
      <c r="BN11" s="219"/>
      <c r="BO11" s="219"/>
      <c r="BP11" s="219"/>
      <c r="BQ11" s="219"/>
      <c r="BR11" s="219"/>
      <c r="BS11" s="219"/>
      <c r="BT11" s="219"/>
      <c r="BU11" s="219"/>
      <c r="BV11" s="219"/>
      <c r="BW11" s="219"/>
      <c r="BX11" s="219"/>
      <c r="BY11" s="219"/>
      <c r="BZ11" s="219"/>
      <c r="CA11" s="219"/>
      <c r="CB11" s="219"/>
      <c r="CY11" s="124"/>
      <c r="CZ11" s="124"/>
      <c r="DD11" s="88">
        <f t="shared" si="1"/>
        <v>0</v>
      </c>
      <c r="DE11" s="88">
        <f t="shared" si="2"/>
        <v>0</v>
      </c>
      <c r="DW11" s="88">
        <f>IF(AU11&lt;&gt;"",MAX($DW$9:DW10)+1,0)</f>
        <v>0</v>
      </c>
      <c r="DX11" s="185" t="str">
        <f t="shared" si="3"/>
        <v/>
      </c>
    </row>
    <row r="12" spans="2:128" ht="15" customHeight="1" x14ac:dyDescent="0.25">
      <c r="B12" s="876"/>
      <c r="C12" s="93" t="s">
        <v>42</v>
      </c>
      <c r="D12" s="9"/>
      <c r="E12" s="10"/>
      <c r="F12" s="48"/>
      <c r="H12" s="756" t="s">
        <v>211</v>
      </c>
      <c r="I12" s="758" t="s">
        <v>291</v>
      </c>
      <c r="J12" s="758"/>
      <c r="K12" s="758"/>
      <c r="L12" s="758"/>
      <c r="M12" s="758"/>
      <c r="N12" s="758"/>
      <c r="O12" s="758"/>
      <c r="P12" s="758"/>
      <c r="Q12" s="758"/>
      <c r="R12" s="758"/>
      <c r="S12" s="758"/>
      <c r="T12" s="759"/>
      <c r="AM12" s="729"/>
      <c r="AN12" s="784" t="s">
        <v>42</v>
      </c>
      <c r="AO12" s="785"/>
      <c r="AP12" s="786"/>
      <c r="AQ12" s="270"/>
      <c r="AR12" s="271">
        <f>IF(F12="",0,F12)</f>
        <v>0</v>
      </c>
      <c r="AS12" s="272"/>
      <c r="AT12" s="273">
        <f t="shared" si="0"/>
        <v>0</v>
      </c>
      <c r="AU12" s="787"/>
      <c r="AV12" s="787"/>
      <c r="AW12" s="787"/>
      <c r="AX12" s="787"/>
      <c r="AY12" s="787"/>
      <c r="AZ12" s="787"/>
      <c r="BA12" s="787"/>
      <c r="BB12" s="787"/>
      <c r="BC12" s="787"/>
      <c r="BD12" s="787"/>
      <c r="BE12" s="787"/>
      <c r="BF12" s="787"/>
      <c r="BG12" s="788"/>
      <c r="BJ12" s="219"/>
      <c r="BK12" s="219"/>
      <c r="BL12" s="219"/>
      <c r="BM12" s="219"/>
      <c r="BN12" s="219"/>
      <c r="BO12" s="219"/>
      <c r="BP12" s="219"/>
      <c r="BQ12" s="219"/>
      <c r="BR12" s="219"/>
      <c r="BS12" s="219"/>
      <c r="BT12" s="219"/>
      <c r="BU12" s="219"/>
      <c r="BV12" s="219"/>
      <c r="BW12" s="219"/>
      <c r="BX12" s="219"/>
      <c r="BY12" s="219"/>
      <c r="BZ12" s="219"/>
      <c r="CA12" s="219"/>
      <c r="CB12" s="219"/>
      <c r="CY12" s="124"/>
      <c r="CZ12" s="124"/>
      <c r="DD12" s="88">
        <f t="shared" si="1"/>
        <v>0</v>
      </c>
      <c r="DE12" s="88">
        <f t="shared" si="2"/>
        <v>0</v>
      </c>
      <c r="DW12" s="88">
        <f>IF(AU12&lt;&gt;"",MAX($DW$9:DW11)+1,0)</f>
        <v>0</v>
      </c>
      <c r="DX12" s="185" t="str">
        <f t="shared" si="3"/>
        <v/>
      </c>
    </row>
    <row r="13" spans="2:128" ht="15" customHeight="1" thickBot="1" x14ac:dyDescent="0.3">
      <c r="B13" s="876"/>
      <c r="C13" s="93" t="s">
        <v>62</v>
      </c>
      <c r="D13" s="9"/>
      <c r="E13" s="10"/>
      <c r="F13" s="48"/>
      <c r="H13" s="757"/>
      <c r="I13" s="760"/>
      <c r="J13" s="760"/>
      <c r="K13" s="760"/>
      <c r="L13" s="760"/>
      <c r="M13" s="760"/>
      <c r="N13" s="760"/>
      <c r="O13" s="760"/>
      <c r="P13" s="760"/>
      <c r="Q13" s="760"/>
      <c r="R13" s="760"/>
      <c r="S13" s="760"/>
      <c r="T13" s="761"/>
      <c r="AM13" s="729"/>
      <c r="AN13" s="784" t="s">
        <v>62</v>
      </c>
      <c r="AO13" s="785"/>
      <c r="AP13" s="786"/>
      <c r="AQ13" s="270"/>
      <c r="AR13" s="271">
        <f>IF(F13="",0,F13)</f>
        <v>0</v>
      </c>
      <c r="AS13" s="272"/>
      <c r="AT13" s="273">
        <f t="shared" si="0"/>
        <v>0</v>
      </c>
      <c r="AU13" s="793"/>
      <c r="AV13" s="793"/>
      <c r="AW13" s="793"/>
      <c r="AX13" s="793"/>
      <c r="AY13" s="793"/>
      <c r="AZ13" s="793"/>
      <c r="BA13" s="793"/>
      <c r="BB13" s="793"/>
      <c r="BC13" s="793"/>
      <c r="BD13" s="793"/>
      <c r="BE13" s="793"/>
      <c r="BF13" s="793"/>
      <c r="BG13" s="794"/>
      <c r="BJ13" s="219"/>
      <c r="BK13" s="219"/>
      <c r="BL13" s="219"/>
      <c r="BM13" s="219"/>
      <c r="BN13" s="219"/>
      <c r="BO13" s="219"/>
      <c r="BP13" s="219"/>
      <c r="BQ13" s="219"/>
      <c r="BR13" s="219"/>
      <c r="BS13" s="219"/>
      <c r="BT13" s="219"/>
      <c r="BU13" s="219"/>
      <c r="BV13" s="219"/>
      <c r="BW13" s="219"/>
      <c r="BX13" s="219"/>
      <c r="BY13" s="219"/>
      <c r="BZ13" s="219"/>
      <c r="CA13" s="219"/>
      <c r="CB13" s="219"/>
      <c r="CY13" s="124"/>
      <c r="CZ13" s="124"/>
      <c r="DD13" s="88">
        <f t="shared" si="1"/>
        <v>0</v>
      </c>
      <c r="DE13" s="88">
        <f t="shared" si="2"/>
        <v>0</v>
      </c>
      <c r="DW13" s="88">
        <f>IF(AU13&lt;&gt;"",MAX($DW$9:DW12)+1,0)</f>
        <v>0</v>
      </c>
      <c r="DX13" s="185" t="str">
        <f t="shared" si="3"/>
        <v/>
      </c>
    </row>
    <row r="14" spans="2:128" ht="15" customHeight="1" thickBot="1" x14ac:dyDescent="0.3">
      <c r="B14" s="876"/>
      <c r="C14" s="93" t="s">
        <v>43</v>
      </c>
      <c r="D14" s="9"/>
      <c r="E14" s="10"/>
      <c r="F14" s="11">
        <f>SUM(F9:F13)</f>
        <v>0</v>
      </c>
      <c r="AM14" s="729"/>
      <c r="AN14" s="797" t="s">
        <v>43</v>
      </c>
      <c r="AO14" s="798"/>
      <c r="AP14" s="799"/>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124"/>
      <c r="DW14" s="88">
        <f>IF(AU14&lt;&gt;"",MAX($DW$9:DW13)+1,0)</f>
        <v>0</v>
      </c>
      <c r="DX14" s="185" t="str">
        <f t="shared" si="3"/>
        <v/>
      </c>
    </row>
    <row r="15" spans="2:128" ht="9.9499999999999993" customHeight="1" thickBot="1" x14ac:dyDescent="0.3">
      <c r="B15" s="87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2" t="s">
        <v>212</v>
      </c>
      <c r="AH15" s="762"/>
      <c r="AI15" s="762" t="s">
        <v>213</v>
      </c>
      <c r="AJ15" s="762" t="s">
        <v>214</v>
      </c>
      <c r="AK15" s="762" t="s">
        <v>216</v>
      </c>
      <c r="AL15" s="124"/>
      <c r="AM15" s="729"/>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2" t="s">
        <v>212</v>
      </c>
      <c r="DB15" s="762"/>
    </row>
    <row r="16" spans="2:128" ht="30" customHeight="1" thickTop="1" thickBot="1" x14ac:dyDescent="0.3">
      <c r="B16" s="876"/>
      <c r="C16" s="851" t="str">
        <f>CONCATENATE("NÓMINAS MENSUALES EJERCICIO ",YEAR(EXPEDIENTE!$F$25))</f>
        <v>NÓMINAS MENSUALES EJERCICIO 2024</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2"/>
      <c r="AG16" s="762"/>
      <c r="AH16" s="762"/>
      <c r="AI16" s="691"/>
      <c r="AJ16" s="691"/>
      <c r="AK16" s="691"/>
      <c r="AM16" s="729"/>
      <c r="AN16" s="795" t="str">
        <f>CONCATENATE("NÓMINAS MENSUALES EJERCICIO ",YEAR(EXPEDIENTE!$F$25))</f>
        <v>NÓMINAS MENSUALES EJERCICIO 2024</v>
      </c>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5"/>
      <c r="CU16" s="795"/>
      <c r="CV16" s="795"/>
      <c r="CW16" s="795"/>
      <c r="CX16" s="795"/>
      <c r="CY16" s="796"/>
      <c r="DA16" s="813"/>
      <c r="DB16" s="813"/>
    </row>
    <row r="17" spans="2:128" ht="20.100000000000001" customHeight="1" thickTop="1" thickBot="1" x14ac:dyDescent="0.3">
      <c r="B17" s="876"/>
      <c r="C17" s="859" t="s">
        <v>87</v>
      </c>
      <c r="D17" s="860"/>
      <c r="E17" s="861"/>
      <c r="F17" s="862" t="s">
        <v>85</v>
      </c>
      <c r="G17" s="863"/>
      <c r="H17" s="863"/>
      <c r="I17" s="863"/>
      <c r="J17" s="863"/>
      <c r="K17" s="863"/>
      <c r="L17" s="863"/>
      <c r="M17" s="864"/>
      <c r="N17" s="741" t="s">
        <v>88</v>
      </c>
      <c r="O17" s="742"/>
      <c r="P17" s="742"/>
      <c r="Q17" s="742"/>
      <c r="R17" s="742"/>
      <c r="S17" s="742"/>
      <c r="T17" s="742"/>
      <c r="U17" s="742"/>
      <c r="V17" s="743"/>
      <c r="W17" s="865" t="s">
        <v>79</v>
      </c>
      <c r="X17" s="747" t="s">
        <v>66</v>
      </c>
      <c r="Y17" s="744" t="s">
        <v>59</v>
      </c>
      <c r="Z17" s="744" t="s">
        <v>60</v>
      </c>
      <c r="AA17" s="744" t="s">
        <v>64</v>
      </c>
      <c r="AB17" s="790" t="s">
        <v>84</v>
      </c>
      <c r="AC17" s="747" t="s">
        <v>91</v>
      </c>
      <c r="AD17" s="790" t="s">
        <v>90</v>
      </c>
      <c r="AE17" s="872" t="s">
        <v>67</v>
      </c>
      <c r="AG17" s="763" t="s">
        <v>407</v>
      </c>
      <c r="AH17" s="705" t="s">
        <v>71</v>
      </c>
      <c r="AM17" s="729"/>
      <c r="AN17" s="733" t="s">
        <v>87</v>
      </c>
      <c r="AO17" s="734"/>
      <c r="AP17" s="734"/>
      <c r="AQ17" s="734"/>
      <c r="AR17" s="826" t="s">
        <v>313</v>
      </c>
      <c r="AS17" s="734"/>
      <c r="AT17" s="735"/>
      <c r="AU17" s="765" t="s">
        <v>85</v>
      </c>
      <c r="AV17" s="766"/>
      <c r="AW17" s="766"/>
      <c r="AX17" s="766"/>
      <c r="AY17" s="766"/>
      <c r="AZ17" s="766"/>
      <c r="BA17" s="766"/>
      <c r="BB17" s="766"/>
      <c r="BC17" s="766"/>
      <c r="BD17" s="766"/>
      <c r="BE17" s="766"/>
      <c r="BF17" s="766"/>
      <c r="BG17" s="766"/>
      <c r="BH17" s="766"/>
      <c r="BI17" s="766"/>
      <c r="BJ17" s="766"/>
      <c r="BK17" s="766"/>
      <c r="BL17" s="766"/>
      <c r="BM17" s="766"/>
      <c r="BN17" s="767"/>
      <c r="BO17" s="768" t="s">
        <v>408</v>
      </c>
      <c r="BP17" s="769"/>
      <c r="BQ17" s="769"/>
      <c r="BR17" s="769"/>
      <c r="BS17" s="769"/>
      <c r="BT17" s="769"/>
      <c r="BU17" s="769"/>
      <c r="BV17" s="769"/>
      <c r="BW17" s="769"/>
      <c r="BX17" s="769"/>
      <c r="BY17" s="769"/>
      <c r="BZ17" s="769"/>
      <c r="CA17" s="769"/>
      <c r="CB17" s="769"/>
      <c r="CC17" s="769"/>
      <c r="CD17" s="769"/>
      <c r="CE17" s="769"/>
      <c r="CF17" s="770"/>
      <c r="CG17" s="770"/>
      <c r="CH17" s="770"/>
      <c r="CI17" s="771"/>
      <c r="CJ17" s="828" t="s">
        <v>79</v>
      </c>
      <c r="CK17" s="696" t="s">
        <v>317</v>
      </c>
      <c r="CL17" s="697"/>
      <c r="CM17" s="698"/>
      <c r="CN17" s="715" t="s">
        <v>318</v>
      </c>
      <c r="CO17" s="716"/>
      <c r="CP17" s="717"/>
      <c r="CQ17" s="829" t="s">
        <v>60</v>
      </c>
      <c r="CR17" s="707" t="s">
        <v>320</v>
      </c>
      <c r="CS17" s="708"/>
      <c r="CT17" s="709"/>
      <c r="CU17" s="710" t="s">
        <v>319</v>
      </c>
      <c r="CV17" s="711"/>
      <c r="CW17" s="712"/>
      <c r="CX17" s="283"/>
      <c r="CY17" s="713" t="s">
        <v>321</v>
      </c>
      <c r="DA17" s="763" t="s">
        <v>407</v>
      </c>
      <c r="DB17" s="705" t="s">
        <v>71</v>
      </c>
    </row>
    <row r="18" spans="2:128" ht="15" customHeight="1" x14ac:dyDescent="0.25">
      <c r="B18" s="876"/>
      <c r="C18" s="880" t="s">
        <v>44</v>
      </c>
      <c r="D18" s="881"/>
      <c r="E18" s="853" t="s">
        <v>86</v>
      </c>
      <c r="F18" s="855" t="s">
        <v>57</v>
      </c>
      <c r="G18" s="754" t="s">
        <v>72</v>
      </c>
      <c r="H18" s="754"/>
      <c r="I18" s="754"/>
      <c r="J18" s="754"/>
      <c r="K18" s="754"/>
      <c r="L18" s="754"/>
      <c r="M18" s="750" t="s">
        <v>96</v>
      </c>
      <c r="N18" s="16"/>
      <c r="O18" s="789" t="s">
        <v>73</v>
      </c>
      <c r="P18" s="754"/>
      <c r="Q18" s="754"/>
      <c r="R18" s="754"/>
      <c r="S18" s="754"/>
      <c r="T18" s="754"/>
      <c r="U18" s="750" t="s">
        <v>89</v>
      </c>
      <c r="V18" s="17"/>
      <c r="W18" s="866"/>
      <c r="X18" s="748"/>
      <c r="Y18" s="745"/>
      <c r="Z18" s="745"/>
      <c r="AA18" s="745"/>
      <c r="AB18" s="791"/>
      <c r="AC18" s="748"/>
      <c r="AD18" s="791"/>
      <c r="AE18" s="873"/>
      <c r="AG18" s="706"/>
      <c r="AH18" s="706"/>
      <c r="AM18" s="729"/>
      <c r="AN18" s="816" t="s">
        <v>44</v>
      </c>
      <c r="AO18" s="817"/>
      <c r="AP18" s="777"/>
      <c r="AQ18" s="778"/>
      <c r="AR18" s="820" t="s">
        <v>271</v>
      </c>
      <c r="AS18" s="827" t="s">
        <v>246</v>
      </c>
      <c r="AT18" s="774" t="s">
        <v>272</v>
      </c>
      <c r="AU18" s="779" t="s">
        <v>273</v>
      </c>
      <c r="AV18" s="780"/>
      <c r="AW18" s="781"/>
      <c r="AX18" s="821" t="s">
        <v>72</v>
      </c>
      <c r="AY18" s="822"/>
      <c r="AZ18" s="822"/>
      <c r="BA18" s="822"/>
      <c r="BB18" s="822"/>
      <c r="BC18" s="822"/>
      <c r="BD18" s="822"/>
      <c r="BE18" s="822"/>
      <c r="BF18" s="822"/>
      <c r="BG18" s="822"/>
      <c r="BH18" s="822"/>
      <c r="BI18" s="822"/>
      <c r="BJ18" s="822"/>
      <c r="BK18" s="822"/>
      <c r="BL18" s="822"/>
      <c r="BM18" s="823"/>
      <c r="BN18" s="824" t="s">
        <v>274</v>
      </c>
      <c r="BO18" s="284"/>
      <c r="BP18" s="800" t="s">
        <v>412</v>
      </c>
      <c r="BQ18" s="801"/>
      <c r="BR18" s="801"/>
      <c r="BS18" s="802"/>
      <c r="BT18" s="802"/>
      <c r="BU18" s="802"/>
      <c r="BV18" s="802"/>
      <c r="BW18" s="802"/>
      <c r="BX18" s="802"/>
      <c r="BY18" s="802"/>
      <c r="BZ18" s="802"/>
      <c r="CA18" s="802"/>
      <c r="CB18" s="802"/>
      <c r="CC18" s="802"/>
      <c r="CD18" s="802"/>
      <c r="CE18" s="803"/>
      <c r="CF18" s="693" t="s">
        <v>410</v>
      </c>
      <c r="CG18" s="694"/>
      <c r="CH18" s="695"/>
      <c r="CI18" s="285"/>
      <c r="CJ18" s="739"/>
      <c r="CK18" s="699" t="s">
        <v>271</v>
      </c>
      <c r="CL18" s="701" t="s">
        <v>246</v>
      </c>
      <c r="CM18" s="703" t="s">
        <v>272</v>
      </c>
      <c r="CN18" s="699" t="s">
        <v>271</v>
      </c>
      <c r="CO18" s="701" t="s">
        <v>246</v>
      </c>
      <c r="CP18" s="703" t="s">
        <v>272</v>
      </c>
      <c r="CQ18" s="830"/>
      <c r="CR18" s="699" t="s">
        <v>271</v>
      </c>
      <c r="CS18" s="701" t="s">
        <v>246</v>
      </c>
      <c r="CT18" s="703" t="s">
        <v>272</v>
      </c>
      <c r="CU18" s="699" t="s">
        <v>271</v>
      </c>
      <c r="CV18" s="701" t="s">
        <v>246</v>
      </c>
      <c r="CW18" s="703" t="s">
        <v>272</v>
      </c>
      <c r="CX18" s="286"/>
      <c r="CY18" s="714"/>
      <c r="DA18" s="706"/>
      <c r="DB18" s="706"/>
    </row>
    <row r="19" spans="2:128" ht="45" customHeight="1" thickBot="1" x14ac:dyDescent="0.3">
      <c r="B19" s="876"/>
      <c r="C19" s="882"/>
      <c r="D19" s="883"/>
      <c r="E19" s="854"/>
      <c r="F19" s="856"/>
      <c r="G19" s="18" t="s">
        <v>97</v>
      </c>
      <c r="H19" s="18" t="s">
        <v>98</v>
      </c>
      <c r="I19" s="18" t="s">
        <v>99</v>
      </c>
      <c r="J19" s="18" t="s">
        <v>100</v>
      </c>
      <c r="K19" s="18" t="s">
        <v>101</v>
      </c>
      <c r="L19" s="19" t="s">
        <v>108</v>
      </c>
      <c r="M19" s="751"/>
      <c r="N19" s="20"/>
      <c r="O19" s="21" t="s">
        <v>102</v>
      </c>
      <c r="P19" s="18" t="s">
        <v>103</v>
      </c>
      <c r="Q19" s="18" t="s">
        <v>104</v>
      </c>
      <c r="R19" s="18" t="s">
        <v>105</v>
      </c>
      <c r="S19" s="18" t="s">
        <v>106</v>
      </c>
      <c r="T19" s="18" t="s">
        <v>107</v>
      </c>
      <c r="U19" s="751"/>
      <c r="V19" s="22"/>
      <c r="W19" s="867"/>
      <c r="X19" s="749"/>
      <c r="Y19" s="746"/>
      <c r="Z19" s="746"/>
      <c r="AA19" s="746"/>
      <c r="AB19" s="792"/>
      <c r="AC19" s="749"/>
      <c r="AD19" s="792"/>
      <c r="AE19" s="874"/>
      <c r="AG19" s="88">
        <f>SUM(AG20:AG31,AG37:AG44,AG49:AG60)</f>
        <v>0</v>
      </c>
      <c r="AH19" s="88">
        <f>SUM(AH20:AH31,AH37:AH44)</f>
        <v>0</v>
      </c>
      <c r="AM19" s="729"/>
      <c r="AN19" s="818"/>
      <c r="AO19" s="819"/>
      <c r="AP19" s="720"/>
      <c r="AQ19" s="721"/>
      <c r="AR19" s="700"/>
      <c r="AS19" s="702"/>
      <c r="AT19" s="704"/>
      <c r="AU19" s="287" t="s">
        <v>271</v>
      </c>
      <c r="AV19" s="288" t="s">
        <v>246</v>
      </c>
      <c r="AW19" s="289" t="s">
        <v>272</v>
      </c>
      <c r="AX19" s="290" t="s">
        <v>275</v>
      </c>
      <c r="AY19" s="291" t="s">
        <v>276</v>
      </c>
      <c r="AZ19" s="292" t="s">
        <v>277</v>
      </c>
      <c r="BA19" s="292" t="s">
        <v>278</v>
      </c>
      <c r="BB19" s="291" t="s">
        <v>279</v>
      </c>
      <c r="BC19" s="292" t="s">
        <v>280</v>
      </c>
      <c r="BD19" s="292" t="s">
        <v>281</v>
      </c>
      <c r="BE19" s="291" t="s">
        <v>282</v>
      </c>
      <c r="BF19" s="292" t="s">
        <v>283</v>
      </c>
      <c r="BG19" s="292" t="s">
        <v>284</v>
      </c>
      <c r="BH19" s="291" t="s">
        <v>285</v>
      </c>
      <c r="BI19" s="292" t="s">
        <v>286</v>
      </c>
      <c r="BJ19" s="292" t="s">
        <v>287</v>
      </c>
      <c r="BK19" s="291" t="s">
        <v>288</v>
      </c>
      <c r="BL19" s="292" t="s">
        <v>289</v>
      </c>
      <c r="BM19" s="293" t="s">
        <v>290</v>
      </c>
      <c r="BN19" s="825"/>
      <c r="BO19" s="294"/>
      <c r="BP19" s="290" t="s">
        <v>292</v>
      </c>
      <c r="BQ19" s="291" t="s">
        <v>293</v>
      </c>
      <c r="BR19" s="292" t="s">
        <v>294</v>
      </c>
      <c r="BS19" s="292" t="s">
        <v>295</v>
      </c>
      <c r="BT19" s="291" t="s">
        <v>296</v>
      </c>
      <c r="BU19" s="292" t="s">
        <v>297</v>
      </c>
      <c r="BV19" s="292" t="s">
        <v>298</v>
      </c>
      <c r="BW19" s="291" t="s">
        <v>299</v>
      </c>
      <c r="BX19" s="292" t="s">
        <v>300</v>
      </c>
      <c r="BY19" s="292" t="s">
        <v>301</v>
      </c>
      <c r="BZ19" s="291" t="s">
        <v>302</v>
      </c>
      <c r="CA19" s="292" t="s">
        <v>303</v>
      </c>
      <c r="CB19" s="292" t="s">
        <v>304</v>
      </c>
      <c r="CC19" s="291" t="s">
        <v>305</v>
      </c>
      <c r="CD19" s="292" t="s">
        <v>306</v>
      </c>
      <c r="CE19" s="293" t="s">
        <v>307</v>
      </c>
      <c r="CF19" s="295" t="s">
        <v>271</v>
      </c>
      <c r="CG19" s="296" t="s">
        <v>246</v>
      </c>
      <c r="CH19" s="297" t="s">
        <v>272</v>
      </c>
      <c r="CI19" s="298"/>
      <c r="CJ19" s="740"/>
      <c r="CK19" s="700"/>
      <c r="CL19" s="702"/>
      <c r="CM19" s="704"/>
      <c r="CN19" s="700"/>
      <c r="CO19" s="702"/>
      <c r="CP19" s="704"/>
      <c r="CQ19" s="831"/>
      <c r="CR19" s="700"/>
      <c r="CS19" s="702"/>
      <c r="CT19" s="704"/>
      <c r="CU19" s="700"/>
      <c r="CV19" s="702"/>
      <c r="CW19" s="704"/>
      <c r="CX19" s="299" t="s">
        <v>322</v>
      </c>
      <c r="CY19" s="300" t="s">
        <v>246</v>
      </c>
      <c r="DA19" s="88">
        <f>SUM(DA20:DA31,DA37:DA44,DA49:DA60)</f>
        <v>0</v>
      </c>
      <c r="DB19" s="88">
        <f>SUM(DB20:DB31,DB37:DB44)</f>
        <v>0</v>
      </c>
      <c r="DD19" s="88" t="s">
        <v>323</v>
      </c>
      <c r="DE19" s="88" t="s">
        <v>324</v>
      </c>
      <c r="DF19" s="88" t="s">
        <v>325</v>
      </c>
      <c r="DG19" s="88" t="s">
        <v>326</v>
      </c>
      <c r="DH19" s="88" t="s">
        <v>327</v>
      </c>
      <c r="DI19" s="88" t="s">
        <v>328</v>
      </c>
      <c r="DJ19" s="88" t="s">
        <v>329</v>
      </c>
      <c r="DK19" s="88" t="s">
        <v>330</v>
      </c>
      <c r="DL19" s="88" t="s">
        <v>331</v>
      </c>
      <c r="DM19" s="88" t="s">
        <v>332</v>
      </c>
      <c r="DN19" s="88" t="s">
        <v>333</v>
      </c>
      <c r="DO19" s="88" t="s">
        <v>334</v>
      </c>
      <c r="DP19" s="88" t="s">
        <v>335</v>
      </c>
      <c r="DQ19" s="88" t="s">
        <v>336</v>
      </c>
      <c r="DR19" s="88" t="s">
        <v>337</v>
      </c>
      <c r="DS19" s="88" t="s">
        <v>338</v>
      </c>
      <c r="DT19" s="88" t="s">
        <v>339</v>
      </c>
      <c r="DU19" s="88" t="s">
        <v>340</v>
      </c>
    </row>
    <row r="20" spans="2:128" ht="30" customHeight="1" x14ac:dyDescent="0.25">
      <c r="B20" s="876"/>
      <c r="C20" s="884" t="s">
        <v>45</v>
      </c>
      <c r="D20" s="88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IF(DATE(YEAR(EXPEDIENTE!$I$25),MONTH(DATEVALUE($C20&amp;"1")),1)&gt;=DATE(YEAR(EXPEDIENTE!$I$25),MONTH(EXPEDIENTE!$I$25),1),0,1)</f>
        <v>0</v>
      </c>
      <c r="AJ20" s="6" t="e">
        <f>IF(DATE(YEAR(EXPEDIENTE!$I$25),MONTH(DATEVALUE($C20&amp;"1")),1)&lt;=DATE(YEAR(EXPEDIENTE!$I$29),MONTH(EXPEDIENTE!$I$29),1),0,1)</f>
        <v>#VALUE!</v>
      </c>
      <c r="AK20" s="6" t="e">
        <f>SUM(AI20:AJ20)</f>
        <v>#VALUE!</v>
      </c>
      <c r="AM20" s="729"/>
      <c r="AN20" s="772" t="s">
        <v>45</v>
      </c>
      <c r="AO20" s="773"/>
      <c r="AP20" s="720"/>
      <c r="AQ20" s="721"/>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876"/>
      <c r="C21" s="886" t="s">
        <v>46</v>
      </c>
      <c r="D21" s="88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IF(DATE(YEAR(EXPEDIENTE!$I$25),MONTH(DATEVALUE($C21&amp;"1")),1)&gt;=DATE(YEAR(EXPEDIENTE!$I$25),MONTH(EXPEDIENTE!$I$25),1),0,1)</f>
        <v>0</v>
      </c>
      <c r="AJ21" s="6" t="e">
        <f>IF(DATE(YEAR(EXPEDIENTE!$I$25),MONTH(DATEVALUE($C21&amp;"1")),1)&lt;=DATE(YEAR(EXPEDIENTE!$I$29),MONTH(EXPEDIENTE!$I$29),1),0,1)</f>
        <v>#VALUE!</v>
      </c>
      <c r="AK21" s="6" t="e">
        <f t="shared" ref="AK21:AK31" si="27">SUM(AI21:AJ21)</f>
        <v>#VALUE!</v>
      </c>
      <c r="AM21" s="729"/>
      <c r="AN21" s="724" t="s">
        <v>46</v>
      </c>
      <c r="AO21" s="725"/>
      <c r="AP21" s="720"/>
      <c r="AQ21" s="721"/>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5" t="str">
        <f t="shared" ref="DX21:DX31" si="69">IF(DW21=0,"",CY21)</f>
        <v/>
      </c>
    </row>
    <row r="22" spans="2:128" ht="30" customHeight="1" x14ac:dyDescent="0.25">
      <c r="B22" s="876"/>
      <c r="C22" s="886" t="s">
        <v>47</v>
      </c>
      <c r="D22" s="887"/>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IF(DATE(YEAR(EXPEDIENTE!$I$25),MONTH(DATEVALUE($C22&amp;"1")),1)&gt;=DATE(YEAR(EXPEDIENTE!$I$25),MONTH(EXPEDIENTE!$I$25),1),0,1)</f>
        <v>0</v>
      </c>
      <c r="AJ22" s="6" t="e">
        <f>IF(DATE(YEAR(EXPEDIENTE!$I$25),MONTH(DATEVALUE($C22&amp;"1")),1)&lt;=DATE(YEAR(EXPEDIENTE!$I$29),MONTH(EXPEDIENTE!$I$29),1),0,1)</f>
        <v>#VALUE!</v>
      </c>
      <c r="AK22" s="6" t="e">
        <f t="shared" si="27"/>
        <v>#VALUE!</v>
      </c>
      <c r="AM22" s="729"/>
      <c r="AN22" s="724" t="s">
        <v>47</v>
      </c>
      <c r="AO22" s="725"/>
      <c r="AP22" s="720"/>
      <c r="AQ22" s="721"/>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5" t="str">
        <f t="shared" si="69"/>
        <v/>
      </c>
    </row>
    <row r="23" spans="2:128" ht="30" customHeight="1" x14ac:dyDescent="0.25">
      <c r="B23" s="876"/>
      <c r="C23" s="886" t="s">
        <v>48</v>
      </c>
      <c r="D23" s="887"/>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IF(DATE(YEAR(EXPEDIENTE!$I$25),MONTH(DATEVALUE($C23&amp;"1")),1)&gt;=DATE(YEAR(EXPEDIENTE!$I$25),MONTH(EXPEDIENTE!$I$25),1),0,1)</f>
        <v>0</v>
      </c>
      <c r="AJ23" s="6" t="e">
        <f>IF(DATE(YEAR(EXPEDIENTE!$I$25),MONTH(DATEVALUE($C23&amp;"1")),1)&lt;=DATE(YEAR(EXPEDIENTE!$I$29),MONTH(EXPEDIENTE!$I$29),1),0,1)</f>
        <v>#VALUE!</v>
      </c>
      <c r="AK23" s="6" t="e">
        <f t="shared" si="27"/>
        <v>#VALUE!</v>
      </c>
      <c r="AM23" s="729"/>
      <c r="AN23" s="724" t="s">
        <v>48</v>
      </c>
      <c r="AO23" s="725"/>
      <c r="AP23" s="720"/>
      <c r="AQ23" s="721"/>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5" t="str">
        <f t="shared" si="69"/>
        <v/>
      </c>
    </row>
    <row r="24" spans="2:128" ht="30" customHeight="1" x14ac:dyDescent="0.25">
      <c r="B24" s="876"/>
      <c r="C24" s="886" t="s">
        <v>49</v>
      </c>
      <c r="D24" s="887"/>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IF(DATE(YEAR(EXPEDIENTE!$I$25),MONTH(DATEVALUE($C24&amp;"1")),1)&gt;=DATE(YEAR(EXPEDIENTE!$I$25),MONTH(EXPEDIENTE!$I$25),1),0,1)</f>
        <v>0</v>
      </c>
      <c r="AJ24" s="6" t="e">
        <f>IF(DATE(YEAR(EXPEDIENTE!$I$25),MONTH(DATEVALUE($C24&amp;"1")),1)&lt;=DATE(YEAR(EXPEDIENTE!$I$29),MONTH(EXPEDIENTE!$I$29),1),0,1)</f>
        <v>#VALUE!</v>
      </c>
      <c r="AK24" s="6" t="e">
        <f t="shared" si="27"/>
        <v>#VALUE!</v>
      </c>
      <c r="AM24" s="729"/>
      <c r="AN24" s="724" t="s">
        <v>49</v>
      </c>
      <c r="AO24" s="725"/>
      <c r="AP24" s="720"/>
      <c r="AQ24" s="721"/>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5" t="str">
        <f t="shared" si="69"/>
        <v/>
      </c>
    </row>
    <row r="25" spans="2:128" ht="30" customHeight="1" x14ac:dyDescent="0.25">
      <c r="B25" s="876"/>
      <c r="C25" s="886" t="s">
        <v>50</v>
      </c>
      <c r="D25" s="887"/>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IF(DATE(YEAR(EXPEDIENTE!$I$25),MONTH(DATEVALUE($C25&amp;"1")),1)&gt;=DATE(YEAR(EXPEDIENTE!$I$25),MONTH(EXPEDIENTE!$I$25),1),0,1)</f>
        <v>0</v>
      </c>
      <c r="AJ25" s="6" t="e">
        <f>IF(DATE(YEAR(EXPEDIENTE!$I$25),MONTH(DATEVALUE($C25&amp;"1")),1)&lt;=DATE(YEAR(EXPEDIENTE!$I$29),MONTH(EXPEDIENTE!$I$29),1),0,1)</f>
        <v>#VALUE!</v>
      </c>
      <c r="AK25" s="6" t="e">
        <f t="shared" si="27"/>
        <v>#VALUE!</v>
      </c>
      <c r="AM25" s="729"/>
      <c r="AN25" s="724" t="s">
        <v>50</v>
      </c>
      <c r="AO25" s="725"/>
      <c r="AP25" s="720"/>
      <c r="AQ25" s="721"/>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5" t="str">
        <f t="shared" si="69"/>
        <v/>
      </c>
    </row>
    <row r="26" spans="2:128" ht="30" customHeight="1" x14ac:dyDescent="0.25">
      <c r="B26" s="876"/>
      <c r="C26" s="886" t="s">
        <v>51</v>
      </c>
      <c r="D26" s="887"/>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IF(DATE(YEAR(EXPEDIENTE!$I$25),MONTH(DATEVALUE($C26&amp;"1")),1)&gt;=DATE(YEAR(EXPEDIENTE!$I$25),MONTH(EXPEDIENTE!$I$25),1),0,1)</f>
        <v>0</v>
      </c>
      <c r="AJ26" s="6" t="e">
        <f>IF(DATE(YEAR(EXPEDIENTE!$I$25),MONTH(DATEVALUE($C26&amp;"1")),1)&lt;=DATE(YEAR(EXPEDIENTE!$I$29),MONTH(EXPEDIENTE!$I$29),1),0,1)</f>
        <v>#VALUE!</v>
      </c>
      <c r="AK26" s="6" t="e">
        <f t="shared" si="27"/>
        <v>#VALUE!</v>
      </c>
      <c r="AM26" s="729"/>
      <c r="AN26" s="724" t="s">
        <v>51</v>
      </c>
      <c r="AO26" s="725"/>
      <c r="AP26" s="720"/>
      <c r="AQ26" s="721"/>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5" t="str">
        <f t="shared" si="69"/>
        <v/>
      </c>
    </row>
    <row r="27" spans="2:128" ht="30" customHeight="1" x14ac:dyDescent="0.25">
      <c r="B27" s="876"/>
      <c r="C27" s="886" t="s">
        <v>52</v>
      </c>
      <c r="D27" s="887"/>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IF(DATE(YEAR(EXPEDIENTE!$I$25),MONTH(DATEVALUE($C27&amp;"1")),1)&gt;=DATE(YEAR(EXPEDIENTE!$I$25),MONTH(EXPEDIENTE!$I$25),1),0,1)</f>
        <v>0</v>
      </c>
      <c r="AJ27" s="6" t="e">
        <f>IF(DATE(YEAR(EXPEDIENTE!$I$25),MONTH(DATEVALUE($C27&amp;"1")),1)&lt;=DATE(YEAR(EXPEDIENTE!$I$29),MONTH(EXPEDIENTE!$I$29),1),0,1)</f>
        <v>#VALUE!</v>
      </c>
      <c r="AK27" s="6" t="e">
        <f t="shared" si="27"/>
        <v>#VALUE!</v>
      </c>
      <c r="AM27" s="729"/>
      <c r="AN27" s="724" t="s">
        <v>52</v>
      </c>
      <c r="AO27" s="725"/>
      <c r="AP27" s="720"/>
      <c r="AQ27" s="721"/>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5" t="str">
        <f t="shared" si="69"/>
        <v/>
      </c>
    </row>
    <row r="28" spans="2:128" ht="30" customHeight="1" x14ac:dyDescent="0.25">
      <c r="B28" s="876"/>
      <c r="C28" s="886" t="s">
        <v>53</v>
      </c>
      <c r="D28" s="887"/>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IF(DATE(YEAR(EXPEDIENTE!$I$25),MONTH(DATEVALUE($C28&amp;"1")),1)&gt;=DATE(YEAR(EXPEDIENTE!$I$25),MONTH(EXPEDIENTE!$I$25),1),0,1)</f>
        <v>0</v>
      </c>
      <c r="AJ28" s="6" t="e">
        <f>IF(DATE(YEAR(EXPEDIENTE!$I$25),MONTH(DATEVALUE($C28&amp;"1")),1)&lt;=DATE(YEAR(EXPEDIENTE!$I$29),MONTH(EXPEDIENTE!$I$29),1),0,1)</f>
        <v>#VALUE!</v>
      </c>
      <c r="AK28" s="6" t="e">
        <f t="shared" si="27"/>
        <v>#VALUE!</v>
      </c>
      <c r="AM28" s="729"/>
      <c r="AN28" s="724" t="s">
        <v>53</v>
      </c>
      <c r="AO28" s="725"/>
      <c r="AP28" s="720"/>
      <c r="AQ28" s="721"/>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5" t="str">
        <f t="shared" si="69"/>
        <v/>
      </c>
    </row>
    <row r="29" spans="2:128" ht="30" customHeight="1" x14ac:dyDescent="0.25">
      <c r="B29" s="876"/>
      <c r="C29" s="886" t="s">
        <v>54</v>
      </c>
      <c r="D29" s="887"/>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IF(DATE(YEAR(EXPEDIENTE!$I$25),MONTH(DATEVALUE($C29&amp;"1")),1)&gt;=DATE(YEAR(EXPEDIENTE!$I$25),MONTH(EXPEDIENTE!$I$25),1),0,1)</f>
        <v>0</v>
      </c>
      <c r="AJ29" s="6" t="e">
        <f>IF(DATE(YEAR(EXPEDIENTE!$I$25),MONTH(DATEVALUE($C29&amp;"1")),1)&lt;=DATE(YEAR(EXPEDIENTE!$I$29),MONTH(EXPEDIENTE!$I$29),1),0,1)</f>
        <v>#VALUE!</v>
      </c>
      <c r="AK29" s="6" t="e">
        <f t="shared" si="27"/>
        <v>#VALUE!</v>
      </c>
      <c r="AM29" s="729"/>
      <c r="AN29" s="724" t="s">
        <v>54</v>
      </c>
      <c r="AO29" s="725"/>
      <c r="AP29" s="720"/>
      <c r="AQ29" s="721"/>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5" t="str">
        <f t="shared" si="69"/>
        <v/>
      </c>
    </row>
    <row r="30" spans="2:128" ht="30" customHeight="1" x14ac:dyDescent="0.25">
      <c r="B30" s="876"/>
      <c r="C30" s="886" t="s">
        <v>55</v>
      </c>
      <c r="D30" s="887"/>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IF(DATE(YEAR(EXPEDIENTE!$I$25),MONTH(DATEVALUE($C30&amp;"1")),1)&gt;=DATE(YEAR(EXPEDIENTE!$I$25),MONTH(EXPEDIENTE!$I$25),1),0,1)</f>
        <v>0</v>
      </c>
      <c r="AJ30" s="6" t="e">
        <f>IF(DATE(YEAR(EXPEDIENTE!$I$25),MONTH(DATEVALUE($C30&amp;"1")),1)&lt;=DATE(YEAR(EXPEDIENTE!$I$29),MONTH(EXPEDIENTE!$I$29),1),0,1)</f>
        <v>#VALUE!</v>
      </c>
      <c r="AK30" s="6" t="e">
        <f t="shared" si="27"/>
        <v>#VALUE!</v>
      </c>
      <c r="AM30" s="729"/>
      <c r="AN30" s="724" t="s">
        <v>55</v>
      </c>
      <c r="AO30" s="725"/>
      <c r="AP30" s="720"/>
      <c r="AQ30" s="721"/>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5" t="str">
        <f t="shared" si="69"/>
        <v/>
      </c>
    </row>
    <row r="31" spans="2:128" ht="30" customHeight="1" thickBot="1" x14ac:dyDescent="0.3">
      <c r="B31" s="876"/>
      <c r="C31" s="890" t="s">
        <v>56</v>
      </c>
      <c r="D31" s="891"/>
      <c r="E31" s="179"/>
      <c r="F31" s="55"/>
      <c r="G31" s="56"/>
      <c r="H31" s="56"/>
      <c r="I31" s="56"/>
      <c r="J31" s="56"/>
      <c r="K31" s="56"/>
      <c r="L31" s="30">
        <f t="shared" si="24"/>
        <v>0</v>
      </c>
      <c r="M31" s="177">
        <f t="shared" si="70"/>
        <v>0</v>
      </c>
      <c r="N31" s="25"/>
      <c r="O31" s="57"/>
      <c r="P31" s="58"/>
      <c r="Q31" s="58"/>
      <c r="R31" s="58"/>
      <c r="S31" s="58"/>
      <c r="T31" s="29">
        <f t="shared" si="25"/>
        <v>0</v>
      </c>
      <c r="U31" s="61"/>
      <c r="V31" s="27"/>
      <c r="W31" s="177">
        <f t="shared" si="71"/>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IF(DATE(YEAR(EXPEDIENTE!$I$25),MONTH(DATEVALUE($C31&amp;"1")),1)&gt;=DATE(YEAR(EXPEDIENTE!$I$25),MONTH(EXPEDIENTE!$I$25),1),0,1)</f>
        <v>0</v>
      </c>
      <c r="AJ31" s="6" t="e">
        <f>IF(DATE(YEAR(EXPEDIENTE!$I$25),MONTH(DATEVALUE($C31&amp;"1")),1)&lt;=DATE(YEAR(EXPEDIENTE!$I$29),MONTH(EXPEDIENTE!$I$29),1),0,1)</f>
        <v>#VALUE!</v>
      </c>
      <c r="AK31" s="6" t="e">
        <f t="shared" si="27"/>
        <v>#VALUE!</v>
      </c>
      <c r="AM31" s="729"/>
      <c r="AN31" s="782" t="s">
        <v>56</v>
      </c>
      <c r="AO31" s="783"/>
      <c r="AP31" s="722"/>
      <c r="AQ31" s="723"/>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5" t="str">
        <f t="shared" si="69"/>
        <v/>
      </c>
    </row>
    <row r="32" spans="2:128" ht="9.9499999999999993" customHeight="1" thickBot="1" x14ac:dyDescent="0.3">
      <c r="B32" s="876"/>
      <c r="C32" s="180"/>
      <c r="D32" s="164"/>
      <c r="E32" s="164"/>
      <c r="F32" s="164"/>
      <c r="G32" s="164"/>
      <c r="H32" s="164"/>
      <c r="I32" s="164"/>
      <c r="J32" s="164"/>
      <c r="K32" s="164"/>
      <c r="L32" s="164"/>
      <c r="M32" s="181"/>
      <c r="N32" s="32"/>
      <c r="O32" s="33"/>
      <c r="P32" s="33"/>
      <c r="Q32" s="33"/>
      <c r="R32" s="33"/>
      <c r="S32" s="33"/>
      <c r="T32" s="33"/>
      <c r="U32" s="33"/>
      <c r="V32" s="33"/>
      <c r="W32" s="162"/>
      <c r="X32" s="164"/>
      <c r="Y32" s="164"/>
      <c r="Z32" s="164"/>
      <c r="AA32" s="164"/>
      <c r="AB32" s="164"/>
      <c r="AC32" s="164"/>
      <c r="AD32" s="164"/>
      <c r="AE32" s="167"/>
      <c r="AM32" s="729"/>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876"/>
      <c r="C33" s="888" t="s">
        <v>186</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9"/>
      <c r="AG33" s="6"/>
      <c r="AH33" s="6"/>
      <c r="AI33" s="109"/>
      <c r="AJ33" s="109"/>
      <c r="AK33" s="109"/>
      <c r="AL33" s="353"/>
      <c r="AM33" s="729"/>
      <c r="AN33" s="752" t="s">
        <v>186</v>
      </c>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2"/>
      <c r="CN33" s="752"/>
      <c r="CO33" s="752"/>
      <c r="CP33" s="752"/>
      <c r="CQ33" s="752"/>
      <c r="CR33" s="752"/>
      <c r="CS33" s="752"/>
      <c r="CT33" s="752"/>
      <c r="CU33" s="752"/>
      <c r="CV33" s="752"/>
      <c r="CW33" s="752"/>
      <c r="CX33" s="752"/>
      <c r="CY33" s="753"/>
      <c r="CZ33" s="3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6"/>
      <c r="C34" s="859" t="s">
        <v>87</v>
      </c>
      <c r="D34" s="860"/>
      <c r="E34" s="861"/>
      <c r="F34" s="862" t="s">
        <v>85</v>
      </c>
      <c r="G34" s="863"/>
      <c r="H34" s="863"/>
      <c r="I34" s="863"/>
      <c r="J34" s="863"/>
      <c r="K34" s="863"/>
      <c r="L34" s="863"/>
      <c r="M34" s="864"/>
      <c r="N34" s="741" t="s">
        <v>88</v>
      </c>
      <c r="O34" s="742"/>
      <c r="P34" s="742"/>
      <c r="Q34" s="742"/>
      <c r="R34" s="742"/>
      <c r="S34" s="742"/>
      <c r="T34" s="742"/>
      <c r="U34" s="742"/>
      <c r="V34" s="743"/>
      <c r="W34" s="865" t="s">
        <v>79</v>
      </c>
      <c r="X34" s="747" t="s">
        <v>66</v>
      </c>
      <c r="Y34" s="744" t="s">
        <v>59</v>
      </c>
      <c r="Z34" s="744" t="s">
        <v>60</v>
      </c>
      <c r="AA34" s="744" t="s">
        <v>64</v>
      </c>
      <c r="AB34" s="790" t="s">
        <v>84</v>
      </c>
      <c r="AC34" s="747" t="s">
        <v>91</v>
      </c>
      <c r="AD34" s="790" t="s">
        <v>90</v>
      </c>
      <c r="AE34" s="872" t="s">
        <v>67</v>
      </c>
      <c r="AM34" s="729"/>
      <c r="AN34" s="733" t="s">
        <v>87</v>
      </c>
      <c r="AO34" s="734"/>
      <c r="AP34" s="734"/>
      <c r="AQ34" s="734"/>
      <c r="AR34" s="734"/>
      <c r="AS34" s="734"/>
      <c r="AT34" s="735"/>
      <c r="AU34" s="911" t="s">
        <v>85</v>
      </c>
      <c r="AV34" s="912"/>
      <c r="AW34" s="912"/>
      <c r="AX34" s="912"/>
      <c r="AY34" s="912"/>
      <c r="AZ34" s="912"/>
      <c r="BA34" s="912"/>
      <c r="BB34" s="912"/>
      <c r="BC34" s="912"/>
      <c r="BD34" s="912"/>
      <c r="BE34" s="912"/>
      <c r="BF34" s="912"/>
      <c r="BG34" s="912"/>
      <c r="BH34" s="912"/>
      <c r="BI34" s="912"/>
      <c r="BJ34" s="912"/>
      <c r="BK34" s="912"/>
      <c r="BL34" s="912"/>
      <c r="BM34" s="912"/>
      <c r="BN34" s="913"/>
      <c r="BO34" s="768" t="s">
        <v>408</v>
      </c>
      <c r="BP34" s="769"/>
      <c r="BQ34" s="769"/>
      <c r="BR34" s="769"/>
      <c r="BS34" s="769"/>
      <c r="BT34" s="769"/>
      <c r="BU34" s="769"/>
      <c r="BV34" s="769"/>
      <c r="BW34" s="769"/>
      <c r="BX34" s="769"/>
      <c r="BY34" s="769"/>
      <c r="BZ34" s="769"/>
      <c r="CA34" s="769"/>
      <c r="CB34" s="769"/>
      <c r="CC34" s="769"/>
      <c r="CD34" s="769"/>
      <c r="CE34" s="769"/>
      <c r="CF34" s="769"/>
      <c r="CG34" s="770"/>
      <c r="CH34" s="770"/>
      <c r="CI34" s="771"/>
      <c r="CJ34" s="828" t="s">
        <v>79</v>
      </c>
      <c r="CK34" s="696" t="s">
        <v>317</v>
      </c>
      <c r="CL34" s="697"/>
      <c r="CM34" s="698"/>
      <c r="CN34" s="715" t="s">
        <v>318</v>
      </c>
      <c r="CO34" s="716"/>
      <c r="CP34" s="717"/>
      <c r="CQ34" s="829" t="s">
        <v>60</v>
      </c>
      <c r="CR34" s="707" t="s">
        <v>320</v>
      </c>
      <c r="CS34" s="708"/>
      <c r="CT34" s="709"/>
      <c r="CU34" s="710" t="s">
        <v>319</v>
      </c>
      <c r="CV34" s="711"/>
      <c r="CW34" s="712"/>
      <c r="CX34" s="283"/>
      <c r="CY34" s="713" t="s">
        <v>321</v>
      </c>
    </row>
    <row r="35" spans="2:128" ht="15" customHeight="1" x14ac:dyDescent="0.25">
      <c r="B35" s="876"/>
      <c r="C35" s="878" t="s">
        <v>70</v>
      </c>
      <c r="D35" s="754" t="s">
        <v>63</v>
      </c>
      <c r="E35" s="892"/>
      <c r="F35" s="855" t="s">
        <v>57</v>
      </c>
      <c r="G35" s="754" t="s">
        <v>72</v>
      </c>
      <c r="H35" s="754"/>
      <c r="I35" s="754"/>
      <c r="J35" s="754"/>
      <c r="K35" s="754"/>
      <c r="L35" s="755"/>
      <c r="M35" s="750" t="s">
        <v>96</v>
      </c>
      <c r="N35" s="16"/>
      <c r="O35" s="789" t="s">
        <v>73</v>
      </c>
      <c r="P35" s="754"/>
      <c r="Q35" s="754"/>
      <c r="R35" s="754"/>
      <c r="S35" s="754"/>
      <c r="T35" s="754"/>
      <c r="U35" s="750" t="s">
        <v>89</v>
      </c>
      <c r="V35" s="17"/>
      <c r="W35" s="866"/>
      <c r="X35" s="748"/>
      <c r="Y35" s="745"/>
      <c r="Z35" s="745"/>
      <c r="AA35" s="745"/>
      <c r="AB35" s="791"/>
      <c r="AC35" s="748"/>
      <c r="AD35" s="791"/>
      <c r="AE35" s="873"/>
      <c r="AM35" s="729"/>
      <c r="AN35" s="807" t="s">
        <v>70</v>
      </c>
      <c r="AO35" s="804" t="s">
        <v>63</v>
      </c>
      <c r="AP35" s="805"/>
      <c r="AQ35" s="806"/>
      <c r="AR35" s="804" t="s">
        <v>63</v>
      </c>
      <c r="AS35" s="805"/>
      <c r="AT35" s="806"/>
      <c r="AU35" s="779" t="s">
        <v>273</v>
      </c>
      <c r="AV35" s="780"/>
      <c r="AW35" s="781"/>
      <c r="AX35" s="821" t="s">
        <v>72</v>
      </c>
      <c r="AY35" s="822"/>
      <c r="AZ35" s="822"/>
      <c r="BA35" s="822"/>
      <c r="BB35" s="822"/>
      <c r="BC35" s="822"/>
      <c r="BD35" s="822"/>
      <c r="BE35" s="822"/>
      <c r="BF35" s="822"/>
      <c r="BG35" s="822"/>
      <c r="BH35" s="822"/>
      <c r="BI35" s="822"/>
      <c r="BJ35" s="822"/>
      <c r="BK35" s="822"/>
      <c r="BL35" s="822"/>
      <c r="BM35" s="823"/>
      <c r="BN35" s="824" t="s">
        <v>274</v>
      </c>
      <c r="BO35" s="284"/>
      <c r="BP35" s="800" t="s">
        <v>412</v>
      </c>
      <c r="BQ35" s="801"/>
      <c r="BR35" s="801"/>
      <c r="BS35" s="802"/>
      <c r="BT35" s="802"/>
      <c r="BU35" s="802"/>
      <c r="BV35" s="802"/>
      <c r="BW35" s="802"/>
      <c r="BX35" s="802"/>
      <c r="BY35" s="802"/>
      <c r="BZ35" s="802"/>
      <c r="CA35" s="802"/>
      <c r="CB35" s="802"/>
      <c r="CC35" s="802"/>
      <c r="CD35" s="802"/>
      <c r="CE35" s="803"/>
      <c r="CF35" s="693" t="s">
        <v>410</v>
      </c>
      <c r="CG35" s="694"/>
      <c r="CH35" s="695"/>
      <c r="CI35" s="285"/>
      <c r="CJ35" s="739"/>
      <c r="CK35" s="699" t="s">
        <v>271</v>
      </c>
      <c r="CL35" s="701" t="s">
        <v>246</v>
      </c>
      <c r="CM35" s="703" t="s">
        <v>272</v>
      </c>
      <c r="CN35" s="699" t="s">
        <v>271</v>
      </c>
      <c r="CO35" s="701" t="s">
        <v>246</v>
      </c>
      <c r="CP35" s="703" t="s">
        <v>272</v>
      </c>
      <c r="CQ35" s="830"/>
      <c r="CR35" s="699" t="s">
        <v>271</v>
      </c>
      <c r="CS35" s="701" t="s">
        <v>246</v>
      </c>
      <c r="CT35" s="703" t="s">
        <v>272</v>
      </c>
      <c r="CU35" s="699" t="s">
        <v>271</v>
      </c>
      <c r="CV35" s="701" t="s">
        <v>246</v>
      </c>
      <c r="CW35" s="703" t="s">
        <v>272</v>
      </c>
      <c r="CX35" s="286"/>
      <c r="CY35" s="714"/>
    </row>
    <row r="36" spans="2:128" ht="45" customHeight="1" thickBot="1" x14ac:dyDescent="0.3">
      <c r="B36" s="876"/>
      <c r="C36" s="879"/>
      <c r="D36" s="36" t="s">
        <v>68</v>
      </c>
      <c r="E36" s="37" t="s">
        <v>69</v>
      </c>
      <c r="F36" s="856"/>
      <c r="G36" s="18" t="s">
        <v>97</v>
      </c>
      <c r="H36" s="18" t="s">
        <v>98</v>
      </c>
      <c r="I36" s="18" t="s">
        <v>99</v>
      </c>
      <c r="J36" s="18" t="s">
        <v>100</v>
      </c>
      <c r="K36" s="18" t="s">
        <v>101</v>
      </c>
      <c r="L36" s="19" t="s">
        <v>108</v>
      </c>
      <c r="M36" s="751"/>
      <c r="N36" s="20"/>
      <c r="O36" s="21" t="s">
        <v>102</v>
      </c>
      <c r="P36" s="18" t="s">
        <v>103</v>
      </c>
      <c r="Q36" s="18" t="s">
        <v>104</v>
      </c>
      <c r="R36" s="18" t="s">
        <v>105</v>
      </c>
      <c r="S36" s="18" t="s">
        <v>106</v>
      </c>
      <c r="T36" s="18" t="s">
        <v>107</v>
      </c>
      <c r="U36" s="751"/>
      <c r="V36" s="22"/>
      <c r="W36" s="867"/>
      <c r="X36" s="749"/>
      <c r="Y36" s="746"/>
      <c r="Z36" s="746"/>
      <c r="AA36" s="746"/>
      <c r="AB36" s="792"/>
      <c r="AC36" s="749"/>
      <c r="AD36" s="792"/>
      <c r="AE36" s="874"/>
      <c r="AM36" s="729"/>
      <c r="AN36" s="808"/>
      <c r="AO36" s="287" t="s">
        <v>308</v>
      </c>
      <c r="AP36" s="354" t="s">
        <v>309</v>
      </c>
      <c r="AQ36" s="289" t="s">
        <v>272</v>
      </c>
      <c r="AR36" s="287" t="s">
        <v>311</v>
      </c>
      <c r="AS36" s="354" t="s">
        <v>312</v>
      </c>
      <c r="AT36" s="289" t="s">
        <v>272</v>
      </c>
      <c r="AU36" s="287" t="s">
        <v>271</v>
      </c>
      <c r="AV36" s="288" t="s">
        <v>246</v>
      </c>
      <c r="AW36" s="289" t="s">
        <v>272</v>
      </c>
      <c r="AX36" s="290" t="s">
        <v>275</v>
      </c>
      <c r="AY36" s="291" t="s">
        <v>276</v>
      </c>
      <c r="AZ36" s="292" t="s">
        <v>277</v>
      </c>
      <c r="BA36" s="292" t="s">
        <v>278</v>
      </c>
      <c r="BB36" s="291" t="s">
        <v>279</v>
      </c>
      <c r="BC36" s="292" t="s">
        <v>280</v>
      </c>
      <c r="BD36" s="292" t="s">
        <v>281</v>
      </c>
      <c r="BE36" s="291" t="s">
        <v>282</v>
      </c>
      <c r="BF36" s="292" t="s">
        <v>283</v>
      </c>
      <c r="BG36" s="292" t="s">
        <v>284</v>
      </c>
      <c r="BH36" s="291" t="s">
        <v>285</v>
      </c>
      <c r="BI36" s="292" t="s">
        <v>286</v>
      </c>
      <c r="BJ36" s="292" t="s">
        <v>287</v>
      </c>
      <c r="BK36" s="291" t="s">
        <v>288</v>
      </c>
      <c r="BL36" s="292" t="s">
        <v>289</v>
      </c>
      <c r="BM36" s="293" t="s">
        <v>290</v>
      </c>
      <c r="BN36" s="825"/>
      <c r="BO36" s="294"/>
      <c r="BP36" s="290" t="s">
        <v>292</v>
      </c>
      <c r="BQ36" s="291" t="s">
        <v>293</v>
      </c>
      <c r="BR36" s="292" t="s">
        <v>294</v>
      </c>
      <c r="BS36" s="292" t="s">
        <v>295</v>
      </c>
      <c r="BT36" s="291" t="s">
        <v>296</v>
      </c>
      <c r="BU36" s="292" t="s">
        <v>297</v>
      </c>
      <c r="BV36" s="292" t="s">
        <v>298</v>
      </c>
      <c r="BW36" s="291" t="s">
        <v>299</v>
      </c>
      <c r="BX36" s="292" t="s">
        <v>300</v>
      </c>
      <c r="BY36" s="292" t="s">
        <v>301</v>
      </c>
      <c r="BZ36" s="291" t="s">
        <v>302</v>
      </c>
      <c r="CA36" s="292" t="s">
        <v>303</v>
      </c>
      <c r="CB36" s="292" t="s">
        <v>304</v>
      </c>
      <c r="CC36" s="291" t="s">
        <v>305</v>
      </c>
      <c r="CD36" s="292" t="s">
        <v>306</v>
      </c>
      <c r="CE36" s="293" t="s">
        <v>307</v>
      </c>
      <c r="CF36" s="295" t="s">
        <v>271</v>
      </c>
      <c r="CG36" s="296" t="s">
        <v>246</v>
      </c>
      <c r="CH36" s="297" t="s">
        <v>272</v>
      </c>
      <c r="CI36" s="298"/>
      <c r="CJ36" s="740"/>
      <c r="CK36" s="700"/>
      <c r="CL36" s="702"/>
      <c r="CM36" s="704"/>
      <c r="CN36" s="700"/>
      <c r="CO36" s="702"/>
      <c r="CP36" s="704"/>
      <c r="CQ36" s="831"/>
      <c r="CR36" s="700"/>
      <c r="CS36" s="702"/>
      <c r="CT36" s="704"/>
      <c r="CU36" s="700"/>
      <c r="CV36" s="702"/>
      <c r="CW36" s="704"/>
      <c r="CX36" s="299" t="s">
        <v>322</v>
      </c>
      <c r="CY36" s="300" t="s">
        <v>246</v>
      </c>
      <c r="DD36" s="88" t="s">
        <v>323</v>
      </c>
      <c r="DE36" s="88" t="s">
        <v>324</v>
      </c>
      <c r="DF36" s="88" t="s">
        <v>325</v>
      </c>
      <c r="DG36" s="88" t="s">
        <v>326</v>
      </c>
      <c r="DH36" s="88" t="s">
        <v>327</v>
      </c>
      <c r="DI36" s="88" t="s">
        <v>328</v>
      </c>
      <c r="DJ36" s="88" t="s">
        <v>329</v>
      </c>
      <c r="DK36" s="88" t="s">
        <v>330</v>
      </c>
      <c r="DL36" s="88" t="s">
        <v>331</v>
      </c>
      <c r="DM36" s="88" t="s">
        <v>332</v>
      </c>
      <c r="DN36" s="88" t="s">
        <v>333</v>
      </c>
      <c r="DO36" s="88" t="s">
        <v>334</v>
      </c>
      <c r="DP36" s="88" t="s">
        <v>335</v>
      </c>
      <c r="DQ36" s="88" t="s">
        <v>336</v>
      </c>
      <c r="DR36" s="88" t="s">
        <v>337</v>
      </c>
      <c r="DS36" s="88" t="s">
        <v>338</v>
      </c>
      <c r="DT36" s="88" t="s">
        <v>339</v>
      </c>
      <c r="DU36" s="88" t="s">
        <v>340</v>
      </c>
    </row>
    <row r="37" spans="2:128" ht="30" customHeight="1" x14ac:dyDescent="0.25">
      <c r="B37" s="876"/>
      <c r="C37" s="75"/>
      <c r="D37" s="62"/>
      <c r="E37" s="63"/>
      <c r="F37" s="50"/>
      <c r="G37" s="51"/>
      <c r="H37" s="51"/>
      <c r="I37" s="51"/>
      <c r="J37" s="51"/>
      <c r="K37" s="51"/>
      <c r="L37" s="38">
        <f>SUM(G37:K37)</f>
        <v>0</v>
      </c>
      <c r="M37" s="39">
        <f>F37+L37</f>
        <v>0</v>
      </c>
      <c r="N37" s="40"/>
      <c r="O37" s="77"/>
      <c r="P37" s="78"/>
      <c r="Q37" s="78"/>
      <c r="R37" s="78"/>
      <c r="S37" s="78"/>
      <c r="T37" s="38">
        <f>SUM(O37:S37)</f>
        <v>0</v>
      </c>
      <c r="U37" s="160"/>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9"/>
      <c r="AN37" s="355" t="str">
        <f t="shared" ref="AN37:AN44" si="72">IF(C37="","",C37)</f>
        <v/>
      </c>
      <c r="AO37" s="356" t="str">
        <f>IF(D37="","",D37)</f>
        <v/>
      </c>
      <c r="AP37" s="539"/>
      <c r="AQ37" s="357" t="str">
        <f>IF(AP37="",AO37,AP37)</f>
        <v/>
      </c>
      <c r="AR37" s="356" t="str">
        <f t="shared" ref="AR37:AR44" si="73">IF(E37="","",E37)</f>
        <v/>
      </c>
      <c r="AS37" s="539"/>
      <c r="AT37" s="357" t="str">
        <f>IF(AS37="",AR37,AS37)</f>
        <v/>
      </c>
      <c r="AU37" s="304">
        <f t="shared" ref="AU37:AU44" si="74">IF(F37="",0,F37)</f>
        <v>0</v>
      </c>
      <c r="AV37" s="526"/>
      <c r="AW37" s="305">
        <f>IF(AV37="",AU37,AV37)</f>
        <v>0</v>
      </c>
      <c r="AX37" s="304">
        <f t="shared" ref="AX37:AX44" si="75">IF(G37="",0,G37)</f>
        <v>0</v>
      </c>
      <c r="AY37" s="527"/>
      <c r="AZ37" s="306">
        <f>IF(AY37="",AX37,AY37)</f>
        <v>0</v>
      </c>
      <c r="BA37" s="306">
        <f t="shared" ref="BA37:BA44" si="76">IF(H37="",0,H37)</f>
        <v>0</v>
      </c>
      <c r="BB37" s="527"/>
      <c r="BC37" s="306">
        <f>IF(BB37="",BA37,BB37)</f>
        <v>0</v>
      </c>
      <c r="BD37" s="306">
        <f t="shared" ref="BD37:BD44" si="77">IF(I37="",0,I37)</f>
        <v>0</v>
      </c>
      <c r="BE37" s="527"/>
      <c r="BF37" s="306">
        <f>IF(BE37="",BD37,BE37)</f>
        <v>0</v>
      </c>
      <c r="BG37" s="306">
        <f t="shared" ref="BG37:BG44" si="78">IF(J37="",0,J37)</f>
        <v>0</v>
      </c>
      <c r="BH37" s="527"/>
      <c r="BI37" s="306">
        <f>IF(BH37="",BG37,BH37)</f>
        <v>0</v>
      </c>
      <c r="BJ37" s="306">
        <f t="shared" ref="BJ37:BJ44" si="79">IF(K37="",0,K37)</f>
        <v>0</v>
      </c>
      <c r="BK37" s="527"/>
      <c r="BL37" s="306">
        <f>IF(BK37="",BJ37,BK37)</f>
        <v>0</v>
      </c>
      <c r="BM37" s="307">
        <f>AZ37+BC37+BF37+BI37+BL37</f>
        <v>0</v>
      </c>
      <c r="BN37" s="308">
        <f>AW37+BM37</f>
        <v>0</v>
      </c>
      <c r="BO37" s="358"/>
      <c r="BP37" s="304">
        <f t="shared" ref="BP37:BP44" si="80">IF(O37="",0,O37)</f>
        <v>0</v>
      </c>
      <c r="BQ37" s="540"/>
      <c r="BR37" s="310">
        <f>IF(BQ37="",BP37,BQ37)</f>
        <v>0</v>
      </c>
      <c r="BS37" s="306">
        <f t="shared" ref="BS37:BS44" si="81">IF(P37="",0,P37)</f>
        <v>0</v>
      </c>
      <c r="BT37" s="528"/>
      <c r="BU37" s="306">
        <f>IF(BT37="",BS37,BT37)</f>
        <v>0</v>
      </c>
      <c r="BV37" s="306">
        <f t="shared" ref="BV37:BV44" si="82">IF(Q37="",0,Q37)</f>
        <v>0</v>
      </c>
      <c r="BW37" s="528"/>
      <c r="BX37" s="306">
        <f>IF(BW37="",BV37,BW37)</f>
        <v>0</v>
      </c>
      <c r="BY37" s="306">
        <f t="shared" ref="BY37:BY44" si="83">IF(R37="",0,R37)</f>
        <v>0</v>
      </c>
      <c r="BZ37" s="528"/>
      <c r="CA37" s="306">
        <f>IF(BZ37="",BY37,BZ37)</f>
        <v>0</v>
      </c>
      <c r="CB37" s="306">
        <f t="shared" ref="CB37:CB44" si="84">IF(S37="",0,S37)</f>
        <v>0</v>
      </c>
      <c r="CC37" s="528"/>
      <c r="CD37" s="306">
        <f>IF(CC37="",CB37,CC37)</f>
        <v>0</v>
      </c>
      <c r="CE37" s="359">
        <f>BR37+BU37+BX37+CA37+CD37</f>
        <v>0</v>
      </c>
      <c r="CF37" s="311">
        <f t="shared" ref="CF37:CF44" si="85">IF(U37="",0,U37)</f>
        <v>0</v>
      </c>
      <c r="CG37" s="528"/>
      <c r="CH37" s="312">
        <f>IF(CG37="",CF37,CG37)</f>
        <v>0</v>
      </c>
      <c r="CI37" s="313"/>
      <c r="CJ37" s="314">
        <f>BN37+CE37+CH37</f>
        <v>0</v>
      </c>
      <c r="CK37" s="311">
        <f t="shared" ref="CK37:CK44" si="86">IF(X37="",0,X37)</f>
        <v>0</v>
      </c>
      <c r="CL37" s="540"/>
      <c r="CM37" s="360">
        <f>IF(CL37="",CK37,CL37)</f>
        <v>0</v>
      </c>
      <c r="CN37" s="311">
        <f t="shared" ref="CN37:CN44" si="87">IF(Y37="",0,Y37)</f>
        <v>0</v>
      </c>
      <c r="CO37" s="528"/>
      <c r="CP37" s="312">
        <f>IF(CO37="",CN37,CO37)</f>
        <v>0</v>
      </c>
      <c r="CQ37" s="314">
        <f>AW37+BM37+CE37+CH37-CM37-CP37</f>
        <v>0</v>
      </c>
      <c r="CR37" s="356" t="str">
        <f t="shared" ref="CR37:CR44" si="88">IF(AA37="","",AA37)</f>
        <v/>
      </c>
      <c r="CS37" s="230"/>
      <c r="CT37" s="357" t="str">
        <f>IF(CS37="",CR37,CS37)</f>
        <v/>
      </c>
      <c r="CU37" s="356" t="str">
        <f t="shared" ref="CU37:CU44" si="89">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 si="91">IF(DW37=0,"",CY37)</f>
        <v/>
      </c>
    </row>
    <row r="38" spans="2:128" ht="30" customHeight="1" x14ac:dyDescent="0.25">
      <c r="B38" s="876"/>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729"/>
      <c r="AN38" s="361" t="str">
        <f t="shared" si="72"/>
        <v/>
      </c>
      <c r="AO38" s="318" t="str">
        <f t="shared" ref="AO38:AO44" si="96">IF(D38="","",D38)</f>
        <v/>
      </c>
      <c r="AP38" s="239"/>
      <c r="AQ38" s="319" t="str">
        <f t="shared" ref="AQ38:AQ44" si="97">IF(AP38="",AO38,AP38)</f>
        <v/>
      </c>
      <c r="AR38" s="318" t="str">
        <f t="shared" si="73"/>
        <v/>
      </c>
      <c r="AS38" s="239"/>
      <c r="AT38" s="319" t="str">
        <f t="shared" ref="AT38:AT44" si="98">IF(AS38="",AR38,AS38)</f>
        <v/>
      </c>
      <c r="AU38" s="304">
        <f t="shared" si="74"/>
        <v>0</v>
      </c>
      <c r="AV38" s="531"/>
      <c r="AW38" s="325">
        <f t="shared" ref="AW38:AW44" si="99">IF(AV38="",AU38,AV38)</f>
        <v>0</v>
      </c>
      <c r="AX38" s="324">
        <f t="shared" si="75"/>
        <v>0</v>
      </c>
      <c r="AY38" s="532"/>
      <c r="AZ38" s="326">
        <f t="shared" ref="AZ38:AZ44" si="100">IF(AY38="",AX38,AY38)</f>
        <v>0</v>
      </c>
      <c r="BA38" s="326">
        <f t="shared" si="76"/>
        <v>0</v>
      </c>
      <c r="BB38" s="532"/>
      <c r="BC38" s="326">
        <f t="shared" ref="BC38:BC44" si="101">IF(BB38="",BA38,BB38)</f>
        <v>0</v>
      </c>
      <c r="BD38" s="326">
        <f t="shared" si="77"/>
        <v>0</v>
      </c>
      <c r="BE38" s="532"/>
      <c r="BF38" s="326">
        <f t="shared" ref="BF38:BF44" si="102">IF(BE38="",BD38,BE38)</f>
        <v>0</v>
      </c>
      <c r="BG38" s="326">
        <f t="shared" si="78"/>
        <v>0</v>
      </c>
      <c r="BH38" s="532"/>
      <c r="BI38" s="326">
        <f t="shared" ref="BI38:BI44" si="103">IF(BH38="",BG38,BH38)</f>
        <v>0</v>
      </c>
      <c r="BJ38" s="326">
        <f t="shared" si="79"/>
        <v>0</v>
      </c>
      <c r="BK38" s="532"/>
      <c r="BL38" s="326">
        <f t="shared" ref="BL38:BL44" si="104">IF(BK38="",BJ38,BK38)</f>
        <v>0</v>
      </c>
      <c r="BM38" s="307">
        <f t="shared" ref="BM38:BM44" si="105">AZ38+BC38+BF38+BI38+BL38</f>
        <v>0</v>
      </c>
      <c r="BN38" s="327">
        <f t="shared" ref="BN38:BN44" si="106">AW38+BM38</f>
        <v>0</v>
      </c>
      <c r="BO38" s="358"/>
      <c r="BP38" s="324">
        <f t="shared" si="80"/>
        <v>0</v>
      </c>
      <c r="BQ38" s="531"/>
      <c r="BR38" s="328">
        <f t="shared" ref="BR38:BR44" si="107">IF(BQ38="",BP38,BQ38)</f>
        <v>0</v>
      </c>
      <c r="BS38" s="326">
        <f t="shared" si="81"/>
        <v>0</v>
      </c>
      <c r="BT38" s="532"/>
      <c r="BU38" s="326">
        <f t="shared" ref="BU38:BU44" si="108">IF(BT38="",BS38,BT38)</f>
        <v>0</v>
      </c>
      <c r="BV38" s="326">
        <f t="shared" si="82"/>
        <v>0</v>
      </c>
      <c r="BW38" s="532"/>
      <c r="BX38" s="326">
        <f t="shared" ref="BX38:BX44" si="109">IF(BW38="",BV38,BW38)</f>
        <v>0</v>
      </c>
      <c r="BY38" s="326">
        <f t="shared" si="83"/>
        <v>0</v>
      </c>
      <c r="BZ38" s="532"/>
      <c r="CA38" s="326">
        <f t="shared" ref="CA38:CA44" si="110">IF(BZ38="",BY38,BZ38)</f>
        <v>0</v>
      </c>
      <c r="CB38" s="326">
        <f t="shared" si="84"/>
        <v>0</v>
      </c>
      <c r="CC38" s="532"/>
      <c r="CD38" s="326">
        <f t="shared" ref="CD38:CD44" si="111">IF(CC38="",CB38,CC38)</f>
        <v>0</v>
      </c>
      <c r="CE38" s="307">
        <f t="shared" ref="CE38:CE44" si="112">BR38+BU38+BX38+CA38+CD38</f>
        <v>0</v>
      </c>
      <c r="CF38" s="324">
        <f t="shared" si="85"/>
        <v>0</v>
      </c>
      <c r="CG38" s="532"/>
      <c r="CH38" s="329">
        <f t="shared" ref="CH38:CH44" si="113">IF(CG38="",CF38,CG38)</f>
        <v>0</v>
      </c>
      <c r="CI38" s="313"/>
      <c r="CJ38" s="330">
        <f t="shared" ref="CJ38:CJ44" si="114">BN38+CE38+CH38</f>
        <v>0</v>
      </c>
      <c r="CK38" s="324">
        <f t="shared" si="86"/>
        <v>0</v>
      </c>
      <c r="CL38" s="531"/>
      <c r="CM38" s="325">
        <f t="shared" ref="CM38:CM44" si="115">IF(CL38="",CK38,CL38)</f>
        <v>0</v>
      </c>
      <c r="CN38" s="324">
        <f t="shared" si="87"/>
        <v>0</v>
      </c>
      <c r="CO38" s="527"/>
      <c r="CP38" s="362">
        <f t="shared" ref="CP38:CP44" si="116">IF(CO38="",CN38,CO38)</f>
        <v>0</v>
      </c>
      <c r="CQ38" s="315">
        <f t="shared" ref="CQ38:CQ44" si="117">AW38+BM38+CE38+CH38-CM38-CP38</f>
        <v>0</v>
      </c>
      <c r="CR38" s="318" t="str">
        <f t="shared" si="88"/>
        <v/>
      </c>
      <c r="CS38" s="239"/>
      <c r="CT38" s="319" t="str">
        <f t="shared" ref="CT38:CT44" si="118">IF(CS38="",CR38,CS38)</f>
        <v/>
      </c>
      <c r="CU38" s="318" t="str">
        <f t="shared" si="89"/>
        <v/>
      </c>
      <c r="CV38" s="239"/>
      <c r="CW38" s="319" t="str">
        <f t="shared" ref="CW38:CW44" si="119">IF(CV38="",CU38,CV38)</f>
        <v/>
      </c>
      <c r="CX38" s="331" t="str">
        <f t="shared" ref="CX38:CX44" si="120">IF(DD38=0,"",DD38)</f>
        <v/>
      </c>
      <c r="CY38" s="533"/>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5" t="str">
        <f t="shared" ref="DX38:DX44" si="138">IF(DW38=0,"",CY38)</f>
        <v/>
      </c>
    </row>
    <row r="39" spans="2:128" ht="30" customHeight="1" x14ac:dyDescent="0.25">
      <c r="B39" s="876"/>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729"/>
      <c r="AN39" s="361" t="str">
        <f t="shared" si="72"/>
        <v/>
      </c>
      <c r="AO39" s="318" t="str">
        <f t="shared" si="96"/>
        <v/>
      </c>
      <c r="AP39" s="239"/>
      <c r="AQ39" s="319" t="str">
        <f t="shared" si="97"/>
        <v/>
      </c>
      <c r="AR39" s="318" t="str">
        <f t="shared" si="73"/>
        <v/>
      </c>
      <c r="AS39" s="239"/>
      <c r="AT39" s="319" t="str">
        <f t="shared" si="98"/>
        <v/>
      </c>
      <c r="AU39" s="304">
        <f t="shared" si="74"/>
        <v>0</v>
      </c>
      <c r="AV39" s="531"/>
      <c r="AW39" s="325">
        <f t="shared" si="99"/>
        <v>0</v>
      </c>
      <c r="AX39" s="324">
        <f t="shared" si="75"/>
        <v>0</v>
      </c>
      <c r="AY39" s="532"/>
      <c r="AZ39" s="326">
        <f t="shared" si="100"/>
        <v>0</v>
      </c>
      <c r="BA39" s="326">
        <f t="shared" si="76"/>
        <v>0</v>
      </c>
      <c r="BB39" s="532"/>
      <c r="BC39" s="326">
        <f t="shared" si="101"/>
        <v>0</v>
      </c>
      <c r="BD39" s="326">
        <f t="shared" si="77"/>
        <v>0</v>
      </c>
      <c r="BE39" s="532"/>
      <c r="BF39" s="326">
        <f t="shared" si="102"/>
        <v>0</v>
      </c>
      <c r="BG39" s="326">
        <f t="shared" si="78"/>
        <v>0</v>
      </c>
      <c r="BH39" s="532"/>
      <c r="BI39" s="326">
        <f t="shared" si="103"/>
        <v>0</v>
      </c>
      <c r="BJ39" s="326">
        <f t="shared" si="79"/>
        <v>0</v>
      </c>
      <c r="BK39" s="532"/>
      <c r="BL39" s="326">
        <f t="shared" si="104"/>
        <v>0</v>
      </c>
      <c r="BM39" s="307">
        <f t="shared" si="105"/>
        <v>0</v>
      </c>
      <c r="BN39" s="327">
        <f t="shared" si="106"/>
        <v>0</v>
      </c>
      <c r="BO39" s="358"/>
      <c r="BP39" s="324">
        <f t="shared" si="80"/>
        <v>0</v>
      </c>
      <c r="BQ39" s="531"/>
      <c r="BR39" s="328">
        <f t="shared" si="107"/>
        <v>0</v>
      </c>
      <c r="BS39" s="326">
        <f t="shared" si="81"/>
        <v>0</v>
      </c>
      <c r="BT39" s="532"/>
      <c r="BU39" s="326">
        <f t="shared" si="108"/>
        <v>0</v>
      </c>
      <c r="BV39" s="326">
        <f t="shared" si="82"/>
        <v>0</v>
      </c>
      <c r="BW39" s="532"/>
      <c r="BX39" s="326">
        <f t="shared" si="109"/>
        <v>0</v>
      </c>
      <c r="BY39" s="326">
        <f t="shared" si="83"/>
        <v>0</v>
      </c>
      <c r="BZ39" s="532"/>
      <c r="CA39" s="326">
        <f t="shared" si="110"/>
        <v>0</v>
      </c>
      <c r="CB39" s="326">
        <f t="shared" si="84"/>
        <v>0</v>
      </c>
      <c r="CC39" s="532"/>
      <c r="CD39" s="326">
        <f t="shared" si="111"/>
        <v>0</v>
      </c>
      <c r="CE39" s="307">
        <f t="shared" si="112"/>
        <v>0</v>
      </c>
      <c r="CF39" s="324">
        <f t="shared" si="85"/>
        <v>0</v>
      </c>
      <c r="CG39" s="532"/>
      <c r="CH39" s="329">
        <f t="shared" si="113"/>
        <v>0</v>
      </c>
      <c r="CI39" s="313"/>
      <c r="CJ39" s="330">
        <f t="shared" si="114"/>
        <v>0</v>
      </c>
      <c r="CK39" s="324">
        <f t="shared" si="86"/>
        <v>0</v>
      </c>
      <c r="CL39" s="531"/>
      <c r="CM39" s="325">
        <f t="shared" si="115"/>
        <v>0</v>
      </c>
      <c r="CN39" s="324">
        <f t="shared" si="87"/>
        <v>0</v>
      </c>
      <c r="CO39" s="527"/>
      <c r="CP39" s="362">
        <f t="shared" si="116"/>
        <v>0</v>
      </c>
      <c r="CQ39" s="315">
        <f t="shared" si="117"/>
        <v>0</v>
      </c>
      <c r="CR39" s="318" t="str">
        <f t="shared" si="88"/>
        <v/>
      </c>
      <c r="CS39" s="239"/>
      <c r="CT39" s="319" t="str">
        <f t="shared" si="118"/>
        <v/>
      </c>
      <c r="CU39" s="318" t="str">
        <f t="shared" si="89"/>
        <v/>
      </c>
      <c r="CV39" s="239"/>
      <c r="CW39" s="319" t="str">
        <f t="shared" si="119"/>
        <v/>
      </c>
      <c r="CX39" s="331" t="str">
        <f t="shared" si="120"/>
        <v/>
      </c>
      <c r="CY39" s="533"/>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5" t="str">
        <f t="shared" si="138"/>
        <v/>
      </c>
    </row>
    <row r="40" spans="2:128" ht="30" customHeight="1" x14ac:dyDescent="0.25">
      <c r="B40" s="876"/>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729"/>
      <c r="AN40" s="361" t="str">
        <f t="shared" si="72"/>
        <v/>
      </c>
      <c r="AO40" s="318" t="str">
        <f t="shared" si="96"/>
        <v/>
      </c>
      <c r="AP40" s="239"/>
      <c r="AQ40" s="319" t="str">
        <f t="shared" si="97"/>
        <v/>
      </c>
      <c r="AR40" s="318" t="str">
        <f t="shared" si="73"/>
        <v/>
      </c>
      <c r="AS40" s="239"/>
      <c r="AT40" s="319" t="str">
        <f t="shared" si="98"/>
        <v/>
      </c>
      <c r="AU40" s="304">
        <f t="shared" si="74"/>
        <v>0</v>
      </c>
      <c r="AV40" s="531"/>
      <c r="AW40" s="325">
        <f t="shared" si="99"/>
        <v>0</v>
      </c>
      <c r="AX40" s="324">
        <f t="shared" si="75"/>
        <v>0</v>
      </c>
      <c r="AY40" s="532"/>
      <c r="AZ40" s="326">
        <f t="shared" si="100"/>
        <v>0</v>
      </c>
      <c r="BA40" s="326">
        <f t="shared" si="76"/>
        <v>0</v>
      </c>
      <c r="BB40" s="532"/>
      <c r="BC40" s="326">
        <f t="shared" si="101"/>
        <v>0</v>
      </c>
      <c r="BD40" s="326">
        <f t="shared" si="77"/>
        <v>0</v>
      </c>
      <c r="BE40" s="532"/>
      <c r="BF40" s="326">
        <f t="shared" si="102"/>
        <v>0</v>
      </c>
      <c r="BG40" s="326">
        <f t="shared" si="78"/>
        <v>0</v>
      </c>
      <c r="BH40" s="532"/>
      <c r="BI40" s="326">
        <f t="shared" si="103"/>
        <v>0</v>
      </c>
      <c r="BJ40" s="326">
        <f t="shared" si="79"/>
        <v>0</v>
      </c>
      <c r="BK40" s="532"/>
      <c r="BL40" s="326">
        <f t="shared" si="104"/>
        <v>0</v>
      </c>
      <c r="BM40" s="307">
        <f t="shared" si="105"/>
        <v>0</v>
      </c>
      <c r="BN40" s="327">
        <f t="shared" si="106"/>
        <v>0</v>
      </c>
      <c r="BO40" s="358"/>
      <c r="BP40" s="324">
        <f t="shared" si="80"/>
        <v>0</v>
      </c>
      <c r="BQ40" s="531"/>
      <c r="BR40" s="328">
        <f t="shared" si="107"/>
        <v>0</v>
      </c>
      <c r="BS40" s="326">
        <f t="shared" si="81"/>
        <v>0</v>
      </c>
      <c r="BT40" s="532"/>
      <c r="BU40" s="326">
        <f t="shared" si="108"/>
        <v>0</v>
      </c>
      <c r="BV40" s="326">
        <f t="shared" si="82"/>
        <v>0</v>
      </c>
      <c r="BW40" s="532"/>
      <c r="BX40" s="326">
        <f t="shared" si="109"/>
        <v>0</v>
      </c>
      <c r="BY40" s="326">
        <f t="shared" si="83"/>
        <v>0</v>
      </c>
      <c r="BZ40" s="532"/>
      <c r="CA40" s="326">
        <f t="shared" si="110"/>
        <v>0</v>
      </c>
      <c r="CB40" s="326">
        <f t="shared" si="84"/>
        <v>0</v>
      </c>
      <c r="CC40" s="532"/>
      <c r="CD40" s="326">
        <f t="shared" si="111"/>
        <v>0</v>
      </c>
      <c r="CE40" s="307">
        <f t="shared" si="112"/>
        <v>0</v>
      </c>
      <c r="CF40" s="324">
        <f t="shared" si="85"/>
        <v>0</v>
      </c>
      <c r="CG40" s="532"/>
      <c r="CH40" s="329">
        <f t="shared" si="113"/>
        <v>0</v>
      </c>
      <c r="CI40" s="313"/>
      <c r="CJ40" s="330">
        <f t="shared" si="114"/>
        <v>0</v>
      </c>
      <c r="CK40" s="324">
        <f t="shared" si="86"/>
        <v>0</v>
      </c>
      <c r="CL40" s="531"/>
      <c r="CM40" s="325">
        <f t="shared" si="115"/>
        <v>0</v>
      </c>
      <c r="CN40" s="324">
        <f t="shared" si="87"/>
        <v>0</v>
      </c>
      <c r="CO40" s="527"/>
      <c r="CP40" s="362">
        <f t="shared" si="116"/>
        <v>0</v>
      </c>
      <c r="CQ40" s="315">
        <f t="shared" si="117"/>
        <v>0</v>
      </c>
      <c r="CR40" s="318" t="str">
        <f t="shared" si="88"/>
        <v/>
      </c>
      <c r="CS40" s="239"/>
      <c r="CT40" s="319" t="str">
        <f t="shared" si="118"/>
        <v/>
      </c>
      <c r="CU40" s="318" t="str">
        <f t="shared" si="89"/>
        <v/>
      </c>
      <c r="CV40" s="239"/>
      <c r="CW40" s="319" t="str">
        <f t="shared" si="119"/>
        <v/>
      </c>
      <c r="CX40" s="331" t="str">
        <f t="shared" si="120"/>
        <v/>
      </c>
      <c r="CY40" s="533"/>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5" t="str">
        <f t="shared" si="138"/>
        <v/>
      </c>
    </row>
    <row r="41" spans="2:128" ht="30" customHeight="1" x14ac:dyDescent="0.25">
      <c r="B41" s="876"/>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61"/>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729"/>
      <c r="AN41" s="361" t="str">
        <f t="shared" si="72"/>
        <v/>
      </c>
      <c r="AO41" s="318" t="str">
        <f t="shared" si="96"/>
        <v/>
      </c>
      <c r="AP41" s="239"/>
      <c r="AQ41" s="319" t="str">
        <f t="shared" si="97"/>
        <v/>
      </c>
      <c r="AR41" s="318" t="str">
        <f t="shared" si="73"/>
        <v/>
      </c>
      <c r="AS41" s="239"/>
      <c r="AT41" s="319" t="str">
        <f t="shared" si="98"/>
        <v/>
      </c>
      <c r="AU41" s="304">
        <f t="shared" si="74"/>
        <v>0</v>
      </c>
      <c r="AV41" s="531"/>
      <c r="AW41" s="325">
        <f t="shared" si="99"/>
        <v>0</v>
      </c>
      <c r="AX41" s="324">
        <f t="shared" si="75"/>
        <v>0</v>
      </c>
      <c r="AY41" s="532"/>
      <c r="AZ41" s="326">
        <f t="shared" si="100"/>
        <v>0</v>
      </c>
      <c r="BA41" s="326">
        <f t="shared" si="76"/>
        <v>0</v>
      </c>
      <c r="BB41" s="532"/>
      <c r="BC41" s="326">
        <f t="shared" si="101"/>
        <v>0</v>
      </c>
      <c r="BD41" s="326">
        <f t="shared" si="77"/>
        <v>0</v>
      </c>
      <c r="BE41" s="532"/>
      <c r="BF41" s="326">
        <f t="shared" si="102"/>
        <v>0</v>
      </c>
      <c r="BG41" s="326">
        <f t="shared" si="78"/>
        <v>0</v>
      </c>
      <c r="BH41" s="532"/>
      <c r="BI41" s="326">
        <f t="shared" si="103"/>
        <v>0</v>
      </c>
      <c r="BJ41" s="326">
        <f t="shared" si="79"/>
        <v>0</v>
      </c>
      <c r="BK41" s="532"/>
      <c r="BL41" s="326">
        <f t="shared" si="104"/>
        <v>0</v>
      </c>
      <c r="BM41" s="307">
        <f t="shared" si="105"/>
        <v>0</v>
      </c>
      <c r="BN41" s="327">
        <f t="shared" si="106"/>
        <v>0</v>
      </c>
      <c r="BO41" s="358"/>
      <c r="BP41" s="363">
        <f t="shared" si="80"/>
        <v>0</v>
      </c>
      <c r="BQ41" s="541"/>
      <c r="BR41" s="364">
        <f t="shared" si="107"/>
        <v>0</v>
      </c>
      <c r="BS41" s="365">
        <f t="shared" si="81"/>
        <v>0</v>
      </c>
      <c r="BT41" s="542"/>
      <c r="BU41" s="365">
        <f t="shared" si="108"/>
        <v>0</v>
      </c>
      <c r="BV41" s="365">
        <f t="shared" si="82"/>
        <v>0</v>
      </c>
      <c r="BW41" s="542"/>
      <c r="BX41" s="365">
        <f t="shared" si="109"/>
        <v>0</v>
      </c>
      <c r="BY41" s="365">
        <f t="shared" si="83"/>
        <v>0</v>
      </c>
      <c r="BZ41" s="542"/>
      <c r="CA41" s="365">
        <f t="shared" si="110"/>
        <v>0</v>
      </c>
      <c r="CB41" s="365">
        <f t="shared" si="84"/>
        <v>0</v>
      </c>
      <c r="CC41" s="542"/>
      <c r="CD41" s="365">
        <f t="shared" si="111"/>
        <v>0</v>
      </c>
      <c r="CE41" s="307">
        <f t="shared" si="112"/>
        <v>0</v>
      </c>
      <c r="CF41" s="324">
        <f t="shared" si="85"/>
        <v>0</v>
      </c>
      <c r="CG41" s="532"/>
      <c r="CH41" s="329">
        <f t="shared" si="113"/>
        <v>0</v>
      </c>
      <c r="CI41" s="313"/>
      <c r="CJ41" s="330">
        <f t="shared" si="114"/>
        <v>0</v>
      </c>
      <c r="CK41" s="324">
        <f t="shared" si="86"/>
        <v>0</v>
      </c>
      <c r="CL41" s="531"/>
      <c r="CM41" s="325">
        <f t="shared" si="115"/>
        <v>0</v>
      </c>
      <c r="CN41" s="324">
        <f t="shared" si="87"/>
        <v>0</v>
      </c>
      <c r="CO41" s="527"/>
      <c r="CP41" s="362">
        <f t="shared" si="116"/>
        <v>0</v>
      </c>
      <c r="CQ41" s="315">
        <f t="shared" si="117"/>
        <v>0</v>
      </c>
      <c r="CR41" s="318" t="str">
        <f t="shared" si="88"/>
        <v/>
      </c>
      <c r="CS41" s="239"/>
      <c r="CT41" s="319" t="str">
        <f t="shared" si="118"/>
        <v/>
      </c>
      <c r="CU41" s="318" t="str">
        <f t="shared" si="89"/>
        <v/>
      </c>
      <c r="CV41" s="239"/>
      <c r="CW41" s="319" t="str">
        <f t="shared" si="119"/>
        <v/>
      </c>
      <c r="CX41" s="331" t="str">
        <f t="shared" si="120"/>
        <v/>
      </c>
      <c r="CY41" s="533"/>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5" t="str">
        <f t="shared" si="138"/>
        <v/>
      </c>
    </row>
    <row r="42" spans="2:128" ht="30" customHeight="1" x14ac:dyDescent="0.25">
      <c r="B42" s="876"/>
      <c r="C42" s="76"/>
      <c r="D42" s="64"/>
      <c r="E42" s="65"/>
      <c r="F42" s="53"/>
      <c r="G42" s="54"/>
      <c r="H42" s="54"/>
      <c r="I42" s="54"/>
      <c r="J42" s="54"/>
      <c r="K42" s="54"/>
      <c r="L42" s="23">
        <f t="shared" si="140"/>
        <v>0</v>
      </c>
      <c r="M42" s="42">
        <f t="shared" si="141"/>
        <v>0</v>
      </c>
      <c r="N42" s="40"/>
      <c r="O42" s="55"/>
      <c r="P42" s="56"/>
      <c r="Q42" s="56"/>
      <c r="R42" s="56"/>
      <c r="S42" s="56"/>
      <c r="T42" s="23">
        <f t="shared" si="93"/>
        <v>0</v>
      </c>
      <c r="U42" s="161"/>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729"/>
      <c r="AN42" s="361" t="str">
        <f t="shared" si="72"/>
        <v/>
      </c>
      <c r="AO42" s="318" t="str">
        <f t="shared" si="96"/>
        <v/>
      </c>
      <c r="AP42" s="239"/>
      <c r="AQ42" s="319" t="str">
        <f t="shared" si="97"/>
        <v/>
      </c>
      <c r="AR42" s="318" t="str">
        <f t="shared" si="73"/>
        <v/>
      </c>
      <c r="AS42" s="239"/>
      <c r="AT42" s="319" t="str">
        <f t="shared" si="98"/>
        <v/>
      </c>
      <c r="AU42" s="304">
        <f t="shared" si="74"/>
        <v>0</v>
      </c>
      <c r="AV42" s="531"/>
      <c r="AW42" s="325">
        <f t="shared" si="99"/>
        <v>0</v>
      </c>
      <c r="AX42" s="324">
        <f t="shared" si="75"/>
        <v>0</v>
      </c>
      <c r="AY42" s="532"/>
      <c r="AZ42" s="326">
        <f t="shared" si="100"/>
        <v>0</v>
      </c>
      <c r="BA42" s="326">
        <f t="shared" si="76"/>
        <v>0</v>
      </c>
      <c r="BB42" s="532"/>
      <c r="BC42" s="326">
        <f t="shared" si="101"/>
        <v>0</v>
      </c>
      <c r="BD42" s="326">
        <f t="shared" si="77"/>
        <v>0</v>
      </c>
      <c r="BE42" s="532"/>
      <c r="BF42" s="326">
        <f t="shared" si="102"/>
        <v>0</v>
      </c>
      <c r="BG42" s="326">
        <f t="shared" si="78"/>
        <v>0</v>
      </c>
      <c r="BH42" s="532"/>
      <c r="BI42" s="326">
        <f t="shared" si="103"/>
        <v>0</v>
      </c>
      <c r="BJ42" s="326">
        <f t="shared" si="79"/>
        <v>0</v>
      </c>
      <c r="BK42" s="532"/>
      <c r="BL42" s="326">
        <f t="shared" si="104"/>
        <v>0</v>
      </c>
      <c r="BM42" s="307">
        <f t="shared" si="105"/>
        <v>0</v>
      </c>
      <c r="BN42" s="327">
        <f t="shared" si="106"/>
        <v>0</v>
      </c>
      <c r="BO42" s="358"/>
      <c r="BP42" s="363">
        <f t="shared" si="80"/>
        <v>0</v>
      </c>
      <c r="BQ42" s="541"/>
      <c r="BR42" s="364">
        <f t="shared" si="107"/>
        <v>0</v>
      </c>
      <c r="BS42" s="365">
        <f t="shared" si="81"/>
        <v>0</v>
      </c>
      <c r="BT42" s="542"/>
      <c r="BU42" s="365">
        <f t="shared" si="108"/>
        <v>0</v>
      </c>
      <c r="BV42" s="365">
        <f t="shared" si="82"/>
        <v>0</v>
      </c>
      <c r="BW42" s="542"/>
      <c r="BX42" s="365">
        <f t="shared" si="109"/>
        <v>0</v>
      </c>
      <c r="BY42" s="365">
        <f t="shared" si="83"/>
        <v>0</v>
      </c>
      <c r="BZ42" s="542"/>
      <c r="CA42" s="365">
        <f t="shared" si="110"/>
        <v>0</v>
      </c>
      <c r="CB42" s="365">
        <f t="shared" si="84"/>
        <v>0</v>
      </c>
      <c r="CC42" s="542"/>
      <c r="CD42" s="365">
        <f t="shared" si="111"/>
        <v>0</v>
      </c>
      <c r="CE42" s="307">
        <f t="shared" si="112"/>
        <v>0</v>
      </c>
      <c r="CF42" s="324">
        <f t="shared" si="85"/>
        <v>0</v>
      </c>
      <c r="CG42" s="532"/>
      <c r="CH42" s="329">
        <f t="shared" si="113"/>
        <v>0</v>
      </c>
      <c r="CI42" s="313"/>
      <c r="CJ42" s="330">
        <f t="shared" si="114"/>
        <v>0</v>
      </c>
      <c r="CK42" s="324">
        <f t="shared" si="86"/>
        <v>0</v>
      </c>
      <c r="CL42" s="531"/>
      <c r="CM42" s="325">
        <f t="shared" si="115"/>
        <v>0</v>
      </c>
      <c r="CN42" s="324">
        <f t="shared" si="87"/>
        <v>0</v>
      </c>
      <c r="CO42" s="527"/>
      <c r="CP42" s="362">
        <f t="shared" si="116"/>
        <v>0</v>
      </c>
      <c r="CQ42" s="315">
        <f t="shared" si="117"/>
        <v>0</v>
      </c>
      <c r="CR42" s="318" t="str">
        <f t="shared" si="88"/>
        <v/>
      </c>
      <c r="CS42" s="239"/>
      <c r="CT42" s="319" t="str">
        <f t="shared" si="118"/>
        <v/>
      </c>
      <c r="CU42" s="318" t="str">
        <f t="shared" si="89"/>
        <v/>
      </c>
      <c r="CV42" s="239"/>
      <c r="CW42" s="319" t="str">
        <f t="shared" si="119"/>
        <v/>
      </c>
      <c r="CX42" s="331" t="str">
        <f t="shared" si="120"/>
        <v/>
      </c>
      <c r="CY42" s="533"/>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5" t="str">
        <f t="shared" si="138"/>
        <v/>
      </c>
    </row>
    <row r="43" spans="2:128" ht="30" customHeight="1" x14ac:dyDescent="0.25">
      <c r="B43" s="876"/>
      <c r="C43" s="76"/>
      <c r="D43" s="64"/>
      <c r="E43" s="65"/>
      <c r="F43" s="53"/>
      <c r="G43" s="54"/>
      <c r="H43" s="54"/>
      <c r="I43" s="54"/>
      <c r="J43" s="54"/>
      <c r="K43" s="54"/>
      <c r="L43" s="23">
        <f t="shared" si="140"/>
        <v>0</v>
      </c>
      <c r="M43" s="42">
        <f t="shared" si="141"/>
        <v>0</v>
      </c>
      <c r="N43" s="40"/>
      <c r="O43" s="55"/>
      <c r="P43" s="56"/>
      <c r="Q43" s="56"/>
      <c r="R43" s="56"/>
      <c r="S43" s="56"/>
      <c r="T43" s="23">
        <f t="shared" si="93"/>
        <v>0</v>
      </c>
      <c r="U43" s="161"/>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729"/>
      <c r="AN43" s="361" t="str">
        <f t="shared" si="72"/>
        <v/>
      </c>
      <c r="AO43" s="318" t="str">
        <f t="shared" si="96"/>
        <v/>
      </c>
      <c r="AP43" s="239"/>
      <c r="AQ43" s="319" t="str">
        <f t="shared" si="97"/>
        <v/>
      </c>
      <c r="AR43" s="318" t="str">
        <f t="shared" si="73"/>
        <v/>
      </c>
      <c r="AS43" s="239"/>
      <c r="AT43" s="319" t="str">
        <f t="shared" si="98"/>
        <v/>
      </c>
      <c r="AU43" s="304">
        <f t="shared" si="74"/>
        <v>0</v>
      </c>
      <c r="AV43" s="531"/>
      <c r="AW43" s="325">
        <f t="shared" si="99"/>
        <v>0</v>
      </c>
      <c r="AX43" s="324">
        <f t="shared" si="75"/>
        <v>0</v>
      </c>
      <c r="AY43" s="532"/>
      <c r="AZ43" s="326">
        <f t="shared" si="100"/>
        <v>0</v>
      </c>
      <c r="BA43" s="326">
        <f t="shared" si="76"/>
        <v>0</v>
      </c>
      <c r="BB43" s="532"/>
      <c r="BC43" s="326">
        <f t="shared" si="101"/>
        <v>0</v>
      </c>
      <c r="BD43" s="326">
        <f t="shared" si="77"/>
        <v>0</v>
      </c>
      <c r="BE43" s="532"/>
      <c r="BF43" s="326">
        <f t="shared" si="102"/>
        <v>0</v>
      </c>
      <c r="BG43" s="326">
        <f t="shared" si="78"/>
        <v>0</v>
      </c>
      <c r="BH43" s="532"/>
      <c r="BI43" s="326">
        <f t="shared" si="103"/>
        <v>0</v>
      </c>
      <c r="BJ43" s="326">
        <f t="shared" si="79"/>
        <v>0</v>
      </c>
      <c r="BK43" s="532"/>
      <c r="BL43" s="326">
        <f t="shared" si="104"/>
        <v>0</v>
      </c>
      <c r="BM43" s="307">
        <f t="shared" si="105"/>
        <v>0</v>
      </c>
      <c r="BN43" s="327">
        <f t="shared" si="106"/>
        <v>0</v>
      </c>
      <c r="BO43" s="358"/>
      <c r="BP43" s="363">
        <f t="shared" si="80"/>
        <v>0</v>
      </c>
      <c r="BQ43" s="541"/>
      <c r="BR43" s="364">
        <f t="shared" si="107"/>
        <v>0</v>
      </c>
      <c r="BS43" s="365">
        <f t="shared" si="81"/>
        <v>0</v>
      </c>
      <c r="BT43" s="542"/>
      <c r="BU43" s="365">
        <f t="shared" si="108"/>
        <v>0</v>
      </c>
      <c r="BV43" s="365">
        <f t="shared" si="82"/>
        <v>0</v>
      </c>
      <c r="BW43" s="542"/>
      <c r="BX43" s="365">
        <f t="shared" si="109"/>
        <v>0</v>
      </c>
      <c r="BY43" s="365">
        <f t="shared" si="83"/>
        <v>0</v>
      </c>
      <c r="BZ43" s="542"/>
      <c r="CA43" s="365">
        <f t="shared" si="110"/>
        <v>0</v>
      </c>
      <c r="CB43" s="365">
        <f t="shared" si="84"/>
        <v>0</v>
      </c>
      <c r="CC43" s="542"/>
      <c r="CD43" s="365">
        <f t="shared" si="111"/>
        <v>0</v>
      </c>
      <c r="CE43" s="307">
        <f t="shared" si="112"/>
        <v>0</v>
      </c>
      <c r="CF43" s="324">
        <f t="shared" si="85"/>
        <v>0</v>
      </c>
      <c r="CG43" s="532"/>
      <c r="CH43" s="329">
        <f t="shared" si="113"/>
        <v>0</v>
      </c>
      <c r="CI43" s="313"/>
      <c r="CJ43" s="330">
        <f t="shared" si="114"/>
        <v>0</v>
      </c>
      <c r="CK43" s="324">
        <f t="shared" si="86"/>
        <v>0</v>
      </c>
      <c r="CL43" s="531"/>
      <c r="CM43" s="325">
        <f t="shared" si="115"/>
        <v>0</v>
      </c>
      <c r="CN43" s="324">
        <f t="shared" si="87"/>
        <v>0</v>
      </c>
      <c r="CO43" s="527"/>
      <c r="CP43" s="362">
        <f t="shared" si="116"/>
        <v>0</v>
      </c>
      <c r="CQ43" s="315">
        <f t="shared" si="117"/>
        <v>0</v>
      </c>
      <c r="CR43" s="318" t="str">
        <f t="shared" si="88"/>
        <v/>
      </c>
      <c r="CS43" s="239"/>
      <c r="CT43" s="319" t="str">
        <f t="shared" si="118"/>
        <v/>
      </c>
      <c r="CU43" s="318" t="str">
        <f t="shared" si="89"/>
        <v/>
      </c>
      <c r="CV43" s="239"/>
      <c r="CW43" s="319" t="str">
        <f t="shared" si="119"/>
        <v/>
      </c>
      <c r="CX43" s="331" t="str">
        <f t="shared" si="120"/>
        <v/>
      </c>
      <c r="CY43" s="533"/>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5" t="str">
        <f t="shared" si="138"/>
        <v/>
      </c>
    </row>
    <row r="44" spans="2:128" ht="30" customHeight="1" thickBot="1" x14ac:dyDescent="0.3">
      <c r="B44" s="876"/>
      <c r="C44" s="172"/>
      <c r="D44" s="165"/>
      <c r="E44" s="166"/>
      <c r="F44" s="57"/>
      <c r="G44" s="58"/>
      <c r="H44" s="58"/>
      <c r="I44" s="58"/>
      <c r="J44" s="58"/>
      <c r="K44" s="58"/>
      <c r="L44" s="29">
        <f t="shared" si="139"/>
        <v>0</v>
      </c>
      <c r="M44" s="159">
        <f t="shared" si="92"/>
        <v>0</v>
      </c>
      <c r="N44" s="171"/>
      <c r="O44" s="57"/>
      <c r="P44" s="58"/>
      <c r="Q44" s="58"/>
      <c r="R44" s="58"/>
      <c r="S44" s="58"/>
      <c r="T44" s="29">
        <f t="shared" si="93"/>
        <v>0</v>
      </c>
      <c r="U44" s="61"/>
      <c r="V44" s="171"/>
      <c r="W44" s="158">
        <f t="shared" si="94"/>
        <v>0</v>
      </c>
      <c r="X44" s="57"/>
      <c r="Y44" s="58"/>
      <c r="Z44" s="29">
        <f t="shared" si="95"/>
        <v>0</v>
      </c>
      <c r="AA44" s="165"/>
      <c r="AB44" s="166"/>
      <c r="AC44" s="173"/>
      <c r="AD44" s="174"/>
      <c r="AE44" s="175"/>
      <c r="AG44" s="6">
        <f>IF(AND(AA44&lt;&gt;"",OR(AA44&lt;EXPEDIENTE!$I$25,AA44&gt;EXPEDIENTE!$I$29)),1,0)</f>
        <v>0</v>
      </c>
      <c r="AH44" s="6">
        <f>IF(AND(AB44&lt;&gt;"",OR(AB44&lt;EXPEDIENTE!$I$25,AB44&gt;EXPEDIENTE!$I$29)),1,0)</f>
        <v>0</v>
      </c>
      <c r="AM44" s="729"/>
      <c r="AN44" s="366" t="str">
        <f t="shared" si="72"/>
        <v/>
      </c>
      <c r="AO44" s="343" t="str">
        <f t="shared" si="96"/>
        <v/>
      </c>
      <c r="AP44" s="251"/>
      <c r="AQ44" s="344" t="str">
        <f t="shared" si="97"/>
        <v/>
      </c>
      <c r="AR44" s="343" t="str">
        <f t="shared" si="73"/>
        <v/>
      </c>
      <c r="AS44" s="251"/>
      <c r="AT44" s="344" t="str">
        <f t="shared" si="98"/>
        <v/>
      </c>
      <c r="AU44" s="367">
        <f t="shared" si="74"/>
        <v>0</v>
      </c>
      <c r="AV44" s="535"/>
      <c r="AW44" s="335">
        <f t="shared" si="99"/>
        <v>0</v>
      </c>
      <c r="AX44" s="334">
        <f t="shared" si="75"/>
        <v>0</v>
      </c>
      <c r="AY44" s="536"/>
      <c r="AZ44" s="336">
        <f t="shared" si="100"/>
        <v>0</v>
      </c>
      <c r="BA44" s="336">
        <f t="shared" si="76"/>
        <v>0</v>
      </c>
      <c r="BB44" s="536"/>
      <c r="BC44" s="336">
        <f t="shared" si="101"/>
        <v>0</v>
      </c>
      <c r="BD44" s="336">
        <f t="shared" si="77"/>
        <v>0</v>
      </c>
      <c r="BE44" s="536"/>
      <c r="BF44" s="336">
        <f t="shared" si="102"/>
        <v>0</v>
      </c>
      <c r="BG44" s="336">
        <f t="shared" si="78"/>
        <v>0</v>
      </c>
      <c r="BH44" s="536"/>
      <c r="BI44" s="336">
        <f t="shared" si="103"/>
        <v>0</v>
      </c>
      <c r="BJ44" s="336">
        <f t="shared" si="79"/>
        <v>0</v>
      </c>
      <c r="BK44" s="536"/>
      <c r="BL44" s="336">
        <f t="shared" si="104"/>
        <v>0</v>
      </c>
      <c r="BM44" s="337">
        <f t="shared" si="105"/>
        <v>0</v>
      </c>
      <c r="BN44" s="327">
        <f t="shared" si="106"/>
        <v>0</v>
      </c>
      <c r="BO44" s="358"/>
      <c r="BP44" s="334">
        <f t="shared" si="80"/>
        <v>0</v>
      </c>
      <c r="BQ44" s="535"/>
      <c r="BR44" s="339">
        <f t="shared" si="107"/>
        <v>0</v>
      </c>
      <c r="BS44" s="336">
        <f t="shared" si="81"/>
        <v>0</v>
      </c>
      <c r="BT44" s="536"/>
      <c r="BU44" s="336">
        <f t="shared" si="108"/>
        <v>0</v>
      </c>
      <c r="BV44" s="336">
        <f t="shared" si="82"/>
        <v>0</v>
      </c>
      <c r="BW44" s="536"/>
      <c r="BX44" s="336">
        <f t="shared" si="109"/>
        <v>0</v>
      </c>
      <c r="BY44" s="336">
        <f t="shared" si="83"/>
        <v>0</v>
      </c>
      <c r="BZ44" s="536"/>
      <c r="CA44" s="336">
        <f t="shared" si="110"/>
        <v>0</v>
      </c>
      <c r="CB44" s="336">
        <f t="shared" si="84"/>
        <v>0</v>
      </c>
      <c r="CC44" s="536"/>
      <c r="CD44" s="336">
        <f t="shared" si="111"/>
        <v>0</v>
      </c>
      <c r="CE44" s="337">
        <f t="shared" si="112"/>
        <v>0</v>
      </c>
      <c r="CF44" s="334">
        <f t="shared" si="85"/>
        <v>0</v>
      </c>
      <c r="CG44" s="536"/>
      <c r="CH44" s="340">
        <f t="shared" si="113"/>
        <v>0</v>
      </c>
      <c r="CI44" s="313"/>
      <c r="CJ44" s="338">
        <f t="shared" si="114"/>
        <v>0</v>
      </c>
      <c r="CK44" s="334">
        <f t="shared" si="86"/>
        <v>0</v>
      </c>
      <c r="CL44" s="535"/>
      <c r="CM44" s="335">
        <f t="shared" si="115"/>
        <v>0</v>
      </c>
      <c r="CN44" s="334">
        <f t="shared" si="87"/>
        <v>0</v>
      </c>
      <c r="CO44" s="543"/>
      <c r="CP44" s="368">
        <f t="shared" si="116"/>
        <v>0</v>
      </c>
      <c r="CQ44" s="369">
        <f t="shared" si="117"/>
        <v>0</v>
      </c>
      <c r="CR44" s="343" t="str">
        <f t="shared" si="88"/>
        <v/>
      </c>
      <c r="CS44" s="251"/>
      <c r="CT44" s="344" t="str">
        <f t="shared" si="118"/>
        <v/>
      </c>
      <c r="CU44" s="343" t="str">
        <f t="shared" si="89"/>
        <v/>
      </c>
      <c r="CV44" s="251"/>
      <c r="CW44" s="344" t="str">
        <f t="shared" si="119"/>
        <v/>
      </c>
      <c r="CX44" s="345" t="str">
        <f t="shared" si="120"/>
        <v/>
      </c>
      <c r="CY44" s="538"/>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5" t="str">
        <f t="shared" si="138"/>
        <v/>
      </c>
    </row>
    <row r="45" spans="2:128" ht="9.9499999999999993" customHeight="1" thickBot="1" x14ac:dyDescent="0.3">
      <c r="B45" s="876"/>
      <c r="C45" s="12"/>
      <c r="D45" s="13"/>
      <c r="E45" s="13"/>
      <c r="F45" s="13"/>
      <c r="G45" s="13"/>
      <c r="H45" s="13"/>
      <c r="I45" s="13"/>
      <c r="J45" s="13"/>
      <c r="K45" s="13"/>
      <c r="L45" s="13"/>
      <c r="M45" s="31"/>
      <c r="N45" s="32"/>
      <c r="O45" s="44"/>
      <c r="P45" s="44"/>
      <c r="Q45" s="44"/>
      <c r="R45" s="44"/>
      <c r="S45" s="44"/>
      <c r="T45" s="44"/>
      <c r="U45" s="44"/>
      <c r="V45" s="34"/>
      <c r="W45" s="162"/>
      <c r="X45" s="164"/>
      <c r="Y45" s="13"/>
      <c r="Z45" s="13"/>
      <c r="AA45" s="13"/>
      <c r="AB45" s="164"/>
      <c r="AC45" s="164"/>
      <c r="AD45" s="164"/>
      <c r="AE45" s="167"/>
      <c r="AM45" s="729"/>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876"/>
      <c r="C46" s="834" t="str">
        <f>CONCATENATE("SEGURIDAD SOCIAL EMPRESA EJERCICIO ",YEAR(EXPEDIENTE!$F$25))</f>
        <v>SEGURIDAD SOCIAL EMPRESA EJERCICIO 2024</v>
      </c>
      <c r="D46" s="834"/>
      <c r="E46" s="834"/>
      <c r="F46" s="834"/>
      <c r="G46" s="834"/>
      <c r="H46" s="834"/>
      <c r="I46" s="834"/>
      <c r="J46" s="834"/>
      <c r="K46" s="834"/>
      <c r="L46" s="834"/>
      <c r="M46" s="835"/>
      <c r="AM46" s="729"/>
      <c r="AN46" s="809" t="str">
        <f>CONCATENATE("SEGURIDAD SOCIAL EMPRESA EJERCICIO ",YEAR(EXPEDIENTE!$F$25))</f>
        <v>SEGURIDAD SOCIAL EMPRESA EJERCICIO 2024</v>
      </c>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97"/>
      <c r="CY46" s="124"/>
      <c r="CZ46" s="124"/>
      <c r="DB46" s="4"/>
    </row>
    <row r="47" spans="2:128" ht="20.100000000000001" customHeight="1" thickTop="1" thickBot="1" x14ac:dyDescent="0.3">
      <c r="B47" s="876"/>
      <c r="C47" s="840" t="s">
        <v>76</v>
      </c>
      <c r="D47" s="744" t="str">
        <f>IF(OR(SUM(T20:T31)&gt;0,SUM(T37:T44)&gt;0),"BASE
COTIZACIÓN
SUBVENCIO.","BASE
COTIZACIÓN")</f>
        <v>BASE
COTIZACIÓN</v>
      </c>
      <c r="E47" s="744" t="s">
        <v>187</v>
      </c>
      <c r="F47" s="744" t="s">
        <v>188</v>
      </c>
      <c r="G47" s="744" t="s">
        <v>74</v>
      </c>
      <c r="H47" s="744" t="s">
        <v>189</v>
      </c>
      <c r="I47" s="842" t="s">
        <v>75</v>
      </c>
      <c r="J47" s="844" t="s">
        <v>67</v>
      </c>
      <c r="K47" s="845"/>
      <c r="L47" s="845"/>
      <c r="M47" s="846"/>
      <c r="AM47" s="729"/>
      <c r="AN47" s="718" t="s">
        <v>76</v>
      </c>
      <c r="AO47" s="736" t="s">
        <v>310</v>
      </c>
      <c r="AP47" s="737"/>
      <c r="AQ47" s="738"/>
      <c r="AR47" s="739" t="s">
        <v>187</v>
      </c>
      <c r="AS47" s="720"/>
      <c r="AT47" s="721"/>
      <c r="AU47" s="898" t="s">
        <v>314</v>
      </c>
      <c r="AV47" s="899"/>
      <c r="AW47" s="900"/>
      <c r="AX47" s="901" t="s">
        <v>315</v>
      </c>
      <c r="AY47" s="902"/>
      <c r="AZ47" s="903"/>
      <c r="BA47" s="739" t="s">
        <v>189</v>
      </c>
      <c r="BB47" s="720"/>
      <c r="BC47" s="721"/>
      <c r="BD47" s="914" t="s">
        <v>316</v>
      </c>
      <c r="BE47" s="915"/>
      <c r="BF47" s="916"/>
      <c r="BG47" s="373"/>
      <c r="BH47" s="766"/>
      <c r="BI47" s="766"/>
      <c r="BJ47" s="766"/>
      <c r="BK47" s="766"/>
      <c r="BL47" s="766"/>
      <c r="BM47" s="766"/>
      <c r="BN47" s="766"/>
      <c r="BO47" s="766"/>
      <c r="BP47" s="766"/>
      <c r="BQ47" s="766"/>
      <c r="BR47" s="766"/>
      <c r="BS47" s="904"/>
      <c r="DA47" s="4"/>
      <c r="DB47" s="4"/>
      <c r="DC47" s="6"/>
    </row>
    <row r="48" spans="2:128" ht="50.1" customHeight="1" thickBot="1" x14ac:dyDescent="0.3">
      <c r="B48" s="876"/>
      <c r="C48" s="841"/>
      <c r="D48" s="746"/>
      <c r="E48" s="746"/>
      <c r="F48" s="746"/>
      <c r="G48" s="746"/>
      <c r="H48" s="746"/>
      <c r="I48" s="843"/>
      <c r="J48" s="847"/>
      <c r="K48" s="848"/>
      <c r="L48" s="848"/>
      <c r="M48" s="849"/>
      <c r="AM48" s="729"/>
      <c r="AN48" s="719"/>
      <c r="AO48" s="287" t="s">
        <v>271</v>
      </c>
      <c r="AP48" s="354" t="s">
        <v>246</v>
      </c>
      <c r="AQ48" s="289" t="s">
        <v>272</v>
      </c>
      <c r="AR48" s="740"/>
      <c r="AS48" s="720"/>
      <c r="AT48" s="721"/>
      <c r="AU48" s="374" t="s">
        <v>271</v>
      </c>
      <c r="AV48" s="375" t="s">
        <v>246</v>
      </c>
      <c r="AW48" s="376" t="s">
        <v>272</v>
      </c>
      <c r="AX48" s="374" t="s">
        <v>271</v>
      </c>
      <c r="AY48" s="377" t="s">
        <v>246</v>
      </c>
      <c r="AZ48" s="376" t="s">
        <v>272</v>
      </c>
      <c r="BA48" s="740"/>
      <c r="BB48" s="720"/>
      <c r="BC48" s="721"/>
      <c r="BD48" s="374" t="s">
        <v>271</v>
      </c>
      <c r="BE48" s="377" t="s">
        <v>246</v>
      </c>
      <c r="BF48" s="376" t="s">
        <v>272</v>
      </c>
      <c r="BG48" s="299" t="s">
        <v>322</v>
      </c>
      <c r="BH48" s="905" t="s">
        <v>344</v>
      </c>
      <c r="BI48" s="906"/>
      <c r="BJ48" s="906"/>
      <c r="BK48" s="906"/>
      <c r="BL48" s="906"/>
      <c r="BM48" s="906"/>
      <c r="BN48" s="906"/>
      <c r="BO48" s="906"/>
      <c r="BP48" s="906"/>
      <c r="BQ48" s="906"/>
      <c r="BR48" s="906"/>
      <c r="BS48" s="907"/>
      <c r="DA48" s="4"/>
      <c r="DB48" s="4"/>
      <c r="DD48" s="88" t="s">
        <v>323</v>
      </c>
      <c r="DE48" s="88" t="s">
        <v>341</v>
      </c>
      <c r="DF48" s="88" t="s">
        <v>325</v>
      </c>
      <c r="DG48" s="88" t="s">
        <v>326</v>
      </c>
      <c r="DH48" s="88" t="s">
        <v>328</v>
      </c>
      <c r="DU48" s="4"/>
    </row>
    <row r="49" spans="2:128" ht="30" customHeight="1" x14ac:dyDescent="0.25">
      <c r="B49" s="876"/>
      <c r="C49" s="156" t="s">
        <v>45</v>
      </c>
      <c r="D49" s="78"/>
      <c r="E49" s="38">
        <f t="shared" ref="E49:E60" si="142">ROUND(D49*$F$14,2)</f>
        <v>0</v>
      </c>
      <c r="F49" s="78"/>
      <c r="G49" s="78"/>
      <c r="H49" s="200">
        <f>E49+F49-G49</f>
        <v>0</v>
      </c>
      <c r="I49" s="108"/>
      <c r="J49" s="836"/>
      <c r="K49" s="837"/>
      <c r="L49" s="837"/>
      <c r="M49" s="838"/>
      <c r="N49" s="731" t="str">
        <f>IF(OR(SUM(T20:T31)&gt;0,SUM(T37:T44)&gt;0),"NOTA:
Se ha minorado el importe subvencionable de alguna de las nóminas del ejercicio.
En consecuencia, en la columna:
''BASE
COTIZACIÓN
SUBVENCIO.''
se deberá reflejar la base de cotización mensual restándole dicha minoración.","")</f>
        <v/>
      </c>
      <c r="O49" s="732"/>
      <c r="P49" s="732"/>
      <c r="AG49" s="6">
        <f>IF(AND(I49&lt;&gt;"",OR(I49&lt;EXPEDIENTE!$I$25,I49&gt;EXPEDIENTE!$I$29)),1,0)</f>
        <v>0</v>
      </c>
      <c r="AI49" s="6">
        <f>IF(DATE(YEAR(EXPEDIENTE!$I$25),MONTH(DATEVALUE($C49&amp;"1")),1)&gt;=DATE(YEAR(EXPEDIENTE!$I$25),MONTH(EXPEDIENTE!$I$25),1),0,1)</f>
        <v>0</v>
      </c>
      <c r="AJ49" s="6" t="e">
        <f>IF(DATE(YEAR(EXPEDIENTE!$I$25),MONTH(DATEVALUE($C49&amp;"1")),1)&lt;=DATE(YEAR(EXPEDIENTE!$I$29),MONTH(EXPEDIENTE!$I$29),1),0,1)</f>
        <v>#VALUE!</v>
      </c>
      <c r="AK49" s="6" t="e">
        <f>SUM(AI49:AJ49)</f>
        <v>#VALUE!</v>
      </c>
      <c r="AM49" s="729"/>
      <c r="AN49" s="301" t="s">
        <v>45</v>
      </c>
      <c r="AO49" s="311">
        <f t="shared" ref="AO49:AO60" si="143">IF(D49="",0,D49)</f>
        <v>0</v>
      </c>
      <c r="AP49" s="528"/>
      <c r="AQ49" s="312">
        <f>IF(AP49="",AO49,AP49)</f>
        <v>0</v>
      </c>
      <c r="AR49" s="314">
        <f t="shared" ref="AR49:AR60" si="144">IFERROR(ROUND(AQ49*$AT$14,2),0)</f>
        <v>0</v>
      </c>
      <c r="AS49" s="720"/>
      <c r="AT49" s="721"/>
      <c r="AU49" s="311">
        <f t="shared" ref="AU49:AU60" si="145">IF(F49="",0,F49)</f>
        <v>0</v>
      </c>
      <c r="AV49" s="528"/>
      <c r="AW49" s="312">
        <f>IF(AV49="",AU49,AV49)</f>
        <v>0</v>
      </c>
      <c r="AX49" s="304">
        <f t="shared" ref="AX49:AX60" si="146">IF(G49="",0,G49)</f>
        <v>0</v>
      </c>
      <c r="AY49" s="527"/>
      <c r="AZ49" s="362">
        <f>IF(AY49="",AX49,AY49)</f>
        <v>0</v>
      </c>
      <c r="BA49" s="378">
        <f t="shared" ref="BA49:BA60" si="147">IFERROR(AR49+AW49-AZ49,0)</f>
        <v>0</v>
      </c>
      <c r="BB49" s="720"/>
      <c r="BC49" s="721"/>
      <c r="BD49" s="356" t="str">
        <f t="shared" ref="BD49:BD60" si="148">IF(I49="","",I49)</f>
        <v/>
      </c>
      <c r="BE49" s="230"/>
      <c r="BF49" s="357" t="str">
        <f>IF(BE49="",BD49,BE49)</f>
        <v/>
      </c>
      <c r="BG49" s="320" t="str">
        <f>IF(DD49=0,"",DD49)</f>
        <v/>
      </c>
      <c r="BH49" s="908"/>
      <c r="BI49" s="909"/>
      <c r="BJ49" s="909"/>
      <c r="BK49" s="909"/>
      <c r="BL49" s="909"/>
      <c r="BM49" s="909"/>
      <c r="BN49" s="909"/>
      <c r="BO49" s="909"/>
      <c r="BP49" s="909"/>
      <c r="BQ49" s="909"/>
      <c r="BR49" s="909"/>
      <c r="BS49" s="910"/>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5" t="str">
        <f t="shared" ref="DX49:DX60" si="154">IF(DW49=0,"",BH49)</f>
        <v/>
      </c>
    </row>
    <row r="50" spans="2:128" ht="30" customHeight="1" x14ac:dyDescent="0.25">
      <c r="B50" s="876"/>
      <c r="C50" s="157" t="s">
        <v>46</v>
      </c>
      <c r="D50" s="54"/>
      <c r="E50" s="23">
        <f t="shared" si="142"/>
        <v>0</v>
      </c>
      <c r="F50" s="54"/>
      <c r="G50" s="54"/>
      <c r="H50" s="201">
        <f t="shared" ref="H50:H60" si="155">E50+F50-G50</f>
        <v>0</v>
      </c>
      <c r="I50" s="82"/>
      <c r="J50" s="839"/>
      <c r="K50" s="726"/>
      <c r="L50" s="726"/>
      <c r="M50" s="727"/>
      <c r="N50" s="731"/>
      <c r="O50" s="732"/>
      <c r="P50" s="732"/>
      <c r="AG50" s="6">
        <f>IF(AND(I50&lt;&gt;"",OR(I50&lt;EXPEDIENTE!$I$25,I50&gt;EXPEDIENTE!$I$29)),1,0)</f>
        <v>0</v>
      </c>
      <c r="AI50" s="6">
        <f>IF(DATE(YEAR(EXPEDIENTE!$I$25),MONTH(DATEVALUE($C50&amp;"1")),1)&gt;=DATE(YEAR(EXPEDIENTE!$I$25),MONTH(EXPEDIENTE!$I$25),1),0,1)</f>
        <v>0</v>
      </c>
      <c r="AJ50" s="6" t="e">
        <f>IF(DATE(YEAR(EXPEDIENTE!$I$25),MONTH(DATEVALUE($C50&amp;"1")),1)&lt;=DATE(YEAR(EXPEDIENTE!$I$29),MONTH(EXPEDIENTE!$I$29),1),0,1)</f>
        <v>#VALUE!</v>
      </c>
      <c r="AK50" s="6" t="e">
        <f t="shared" ref="AK50:AK60" si="156">SUM(AI50:AJ50)</f>
        <v>#VALUE!</v>
      </c>
      <c r="AM50" s="729"/>
      <c r="AN50" s="321" t="s">
        <v>46</v>
      </c>
      <c r="AO50" s="324">
        <f t="shared" si="143"/>
        <v>0</v>
      </c>
      <c r="AP50" s="532"/>
      <c r="AQ50" s="329">
        <f t="shared" ref="AQ50:AQ60" si="157">IF(AP50="",AO50,AP50)</f>
        <v>0</v>
      </c>
      <c r="AR50" s="330">
        <f t="shared" si="144"/>
        <v>0</v>
      </c>
      <c r="AS50" s="720"/>
      <c r="AT50" s="721"/>
      <c r="AU50" s="324">
        <f t="shared" si="145"/>
        <v>0</v>
      </c>
      <c r="AV50" s="532"/>
      <c r="AW50" s="329">
        <f t="shared" ref="AW50:AW60" si="158">IF(AV50="",AU50,AV50)</f>
        <v>0</v>
      </c>
      <c r="AX50" s="324">
        <f t="shared" si="146"/>
        <v>0</v>
      </c>
      <c r="AY50" s="532"/>
      <c r="AZ50" s="329">
        <f t="shared" ref="AZ50:AZ60" si="159">IF(AY50="",AX50,AY50)</f>
        <v>0</v>
      </c>
      <c r="BA50" s="379">
        <f t="shared" si="147"/>
        <v>0</v>
      </c>
      <c r="BB50" s="720"/>
      <c r="BC50" s="721"/>
      <c r="BD50" s="316" t="str">
        <f t="shared" si="148"/>
        <v/>
      </c>
      <c r="BE50" s="539"/>
      <c r="BF50" s="317" t="str">
        <f t="shared" ref="BF50:BF60" si="160">IF(BE50="",BD50,BE50)</f>
        <v/>
      </c>
      <c r="BG50" s="380" t="str">
        <f t="shared" ref="BG50:BG60" si="161">IF(DD50=0,"",DD50)</f>
        <v/>
      </c>
      <c r="BH50" s="893"/>
      <c r="BI50" s="787"/>
      <c r="BJ50" s="787"/>
      <c r="BK50" s="787"/>
      <c r="BL50" s="787"/>
      <c r="BM50" s="787"/>
      <c r="BN50" s="787"/>
      <c r="BO50" s="787"/>
      <c r="BP50" s="787"/>
      <c r="BQ50" s="787"/>
      <c r="BR50" s="787"/>
      <c r="BS50" s="788"/>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5" t="str">
        <f t="shared" si="154"/>
        <v/>
      </c>
    </row>
    <row r="51" spans="2:128" ht="30" customHeight="1" x14ac:dyDescent="0.25">
      <c r="B51" s="876"/>
      <c r="C51" s="157" t="s">
        <v>47</v>
      </c>
      <c r="D51" s="54"/>
      <c r="E51" s="23">
        <f t="shared" si="142"/>
        <v>0</v>
      </c>
      <c r="F51" s="54"/>
      <c r="G51" s="54"/>
      <c r="H51" s="201">
        <f t="shared" si="155"/>
        <v>0</v>
      </c>
      <c r="I51" s="82"/>
      <c r="J51" s="726"/>
      <c r="K51" s="726"/>
      <c r="L51" s="726"/>
      <c r="M51" s="727"/>
      <c r="N51" s="731"/>
      <c r="O51" s="732"/>
      <c r="P51" s="732"/>
      <c r="AG51" s="6">
        <f>IF(AND(I51&lt;&gt;"",OR(I51&lt;EXPEDIENTE!$I$25,I51&gt;EXPEDIENTE!$I$29)),1,0)</f>
        <v>0</v>
      </c>
      <c r="AI51" s="6">
        <f>IF(DATE(YEAR(EXPEDIENTE!$I$25),MONTH(DATEVALUE($C51&amp;"1")),1)&gt;=DATE(YEAR(EXPEDIENTE!$I$25),MONTH(EXPEDIENTE!$I$25),1),0,1)</f>
        <v>0</v>
      </c>
      <c r="AJ51" s="6" t="e">
        <f>IF(DATE(YEAR(EXPEDIENTE!$I$25),MONTH(DATEVALUE($C51&amp;"1")),1)&lt;=DATE(YEAR(EXPEDIENTE!$I$29),MONTH(EXPEDIENTE!$I$29),1),0,1)</f>
        <v>#VALUE!</v>
      </c>
      <c r="AK51" s="6" t="e">
        <f t="shared" si="156"/>
        <v>#VALUE!</v>
      </c>
      <c r="AM51" s="729"/>
      <c r="AN51" s="321" t="s">
        <v>47</v>
      </c>
      <c r="AO51" s="324">
        <f t="shared" si="143"/>
        <v>0</v>
      </c>
      <c r="AP51" s="532"/>
      <c r="AQ51" s="329">
        <f t="shared" si="157"/>
        <v>0</v>
      </c>
      <c r="AR51" s="330">
        <f t="shared" si="144"/>
        <v>0</v>
      </c>
      <c r="AS51" s="720"/>
      <c r="AT51" s="721"/>
      <c r="AU51" s="324">
        <f t="shared" si="145"/>
        <v>0</v>
      </c>
      <c r="AV51" s="532"/>
      <c r="AW51" s="329">
        <f t="shared" si="158"/>
        <v>0</v>
      </c>
      <c r="AX51" s="324">
        <f t="shared" si="146"/>
        <v>0</v>
      </c>
      <c r="AY51" s="532"/>
      <c r="AZ51" s="329">
        <f t="shared" si="159"/>
        <v>0</v>
      </c>
      <c r="BA51" s="379">
        <f t="shared" si="147"/>
        <v>0</v>
      </c>
      <c r="BB51" s="720"/>
      <c r="BC51" s="721"/>
      <c r="BD51" s="316" t="str">
        <f t="shared" si="148"/>
        <v/>
      </c>
      <c r="BE51" s="539"/>
      <c r="BF51" s="317" t="str">
        <f t="shared" si="160"/>
        <v/>
      </c>
      <c r="BG51" s="380" t="str">
        <f t="shared" si="161"/>
        <v/>
      </c>
      <c r="BH51" s="893"/>
      <c r="BI51" s="787"/>
      <c r="BJ51" s="787"/>
      <c r="BK51" s="787"/>
      <c r="BL51" s="787"/>
      <c r="BM51" s="787"/>
      <c r="BN51" s="787"/>
      <c r="BO51" s="787"/>
      <c r="BP51" s="787"/>
      <c r="BQ51" s="787"/>
      <c r="BR51" s="787"/>
      <c r="BS51" s="788"/>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5" t="str">
        <f t="shared" si="154"/>
        <v/>
      </c>
    </row>
    <row r="52" spans="2:128" ht="30" customHeight="1" x14ac:dyDescent="0.25">
      <c r="B52" s="876"/>
      <c r="C52" s="157" t="s">
        <v>48</v>
      </c>
      <c r="D52" s="54"/>
      <c r="E52" s="23">
        <f t="shared" si="142"/>
        <v>0</v>
      </c>
      <c r="F52" s="54"/>
      <c r="G52" s="54"/>
      <c r="H52" s="201">
        <f t="shared" si="155"/>
        <v>0</v>
      </c>
      <c r="I52" s="82"/>
      <c r="J52" s="726"/>
      <c r="K52" s="726"/>
      <c r="L52" s="726"/>
      <c r="M52" s="727"/>
      <c r="N52" s="731"/>
      <c r="O52" s="732"/>
      <c r="P52" s="732"/>
      <c r="AG52" s="6">
        <f>IF(AND(I52&lt;&gt;"",OR(I52&lt;EXPEDIENTE!$I$25,I52&gt;EXPEDIENTE!$I$29)),1,0)</f>
        <v>0</v>
      </c>
      <c r="AI52" s="6">
        <f>IF(DATE(YEAR(EXPEDIENTE!$I$25),MONTH(DATEVALUE($C52&amp;"1")),1)&gt;=DATE(YEAR(EXPEDIENTE!$I$25),MONTH(EXPEDIENTE!$I$25),1),0,1)</f>
        <v>0</v>
      </c>
      <c r="AJ52" s="6" t="e">
        <f>IF(DATE(YEAR(EXPEDIENTE!$I$25),MONTH(DATEVALUE($C52&amp;"1")),1)&lt;=DATE(YEAR(EXPEDIENTE!$I$29),MONTH(EXPEDIENTE!$I$29),1),0,1)</f>
        <v>#VALUE!</v>
      </c>
      <c r="AK52" s="6" t="e">
        <f t="shared" si="156"/>
        <v>#VALUE!</v>
      </c>
      <c r="AM52" s="729"/>
      <c r="AN52" s="321" t="s">
        <v>48</v>
      </c>
      <c r="AO52" s="324">
        <f t="shared" si="143"/>
        <v>0</v>
      </c>
      <c r="AP52" s="532"/>
      <c r="AQ52" s="329">
        <f t="shared" si="157"/>
        <v>0</v>
      </c>
      <c r="AR52" s="330">
        <f t="shared" si="144"/>
        <v>0</v>
      </c>
      <c r="AS52" s="720"/>
      <c r="AT52" s="721"/>
      <c r="AU52" s="324">
        <f t="shared" si="145"/>
        <v>0</v>
      </c>
      <c r="AV52" s="532"/>
      <c r="AW52" s="329">
        <f t="shared" si="158"/>
        <v>0</v>
      </c>
      <c r="AX52" s="324">
        <f t="shared" si="146"/>
        <v>0</v>
      </c>
      <c r="AY52" s="532"/>
      <c r="AZ52" s="329">
        <f t="shared" si="159"/>
        <v>0</v>
      </c>
      <c r="BA52" s="379">
        <f t="shared" si="147"/>
        <v>0</v>
      </c>
      <c r="BB52" s="720"/>
      <c r="BC52" s="721"/>
      <c r="BD52" s="316" t="str">
        <f t="shared" si="148"/>
        <v/>
      </c>
      <c r="BE52" s="539"/>
      <c r="BF52" s="317" t="str">
        <f t="shared" si="160"/>
        <v/>
      </c>
      <c r="BG52" s="380" t="str">
        <f t="shared" si="161"/>
        <v/>
      </c>
      <c r="BH52" s="893"/>
      <c r="BI52" s="787"/>
      <c r="BJ52" s="787"/>
      <c r="BK52" s="787"/>
      <c r="BL52" s="787"/>
      <c r="BM52" s="787"/>
      <c r="BN52" s="787"/>
      <c r="BO52" s="787"/>
      <c r="BP52" s="787"/>
      <c r="BQ52" s="787"/>
      <c r="BR52" s="787"/>
      <c r="BS52" s="788"/>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5" t="str">
        <f t="shared" si="154"/>
        <v/>
      </c>
    </row>
    <row r="53" spans="2:128" ht="30" customHeight="1" x14ac:dyDescent="0.25">
      <c r="B53" s="876"/>
      <c r="C53" s="157" t="s">
        <v>49</v>
      </c>
      <c r="D53" s="54"/>
      <c r="E53" s="23">
        <f t="shared" si="142"/>
        <v>0</v>
      </c>
      <c r="F53" s="54"/>
      <c r="G53" s="54"/>
      <c r="H53" s="201">
        <f t="shared" si="155"/>
        <v>0</v>
      </c>
      <c r="I53" s="82"/>
      <c r="J53" s="726"/>
      <c r="K53" s="726"/>
      <c r="L53" s="726"/>
      <c r="M53" s="727"/>
      <c r="N53" s="731"/>
      <c r="O53" s="732"/>
      <c r="P53" s="732"/>
      <c r="AG53" s="6">
        <f>IF(AND(I53&lt;&gt;"",OR(I53&lt;EXPEDIENTE!$I$25,I53&gt;EXPEDIENTE!$I$29)),1,0)</f>
        <v>0</v>
      </c>
      <c r="AI53" s="6">
        <f>IF(DATE(YEAR(EXPEDIENTE!$I$25),MONTH(DATEVALUE($C53&amp;"1")),1)&gt;=DATE(YEAR(EXPEDIENTE!$I$25),MONTH(EXPEDIENTE!$I$25),1),0,1)</f>
        <v>0</v>
      </c>
      <c r="AJ53" s="6" t="e">
        <f>IF(DATE(YEAR(EXPEDIENTE!$I$25),MONTH(DATEVALUE($C53&amp;"1")),1)&lt;=DATE(YEAR(EXPEDIENTE!$I$29),MONTH(EXPEDIENTE!$I$29),1),0,1)</f>
        <v>#VALUE!</v>
      </c>
      <c r="AK53" s="6" t="e">
        <f t="shared" si="156"/>
        <v>#VALUE!</v>
      </c>
      <c r="AM53" s="729"/>
      <c r="AN53" s="321" t="s">
        <v>49</v>
      </c>
      <c r="AO53" s="324">
        <f t="shared" si="143"/>
        <v>0</v>
      </c>
      <c r="AP53" s="532"/>
      <c r="AQ53" s="329">
        <f t="shared" si="157"/>
        <v>0</v>
      </c>
      <c r="AR53" s="330">
        <f t="shared" si="144"/>
        <v>0</v>
      </c>
      <c r="AS53" s="720"/>
      <c r="AT53" s="721"/>
      <c r="AU53" s="324">
        <f t="shared" si="145"/>
        <v>0</v>
      </c>
      <c r="AV53" s="532"/>
      <c r="AW53" s="329">
        <f t="shared" si="158"/>
        <v>0</v>
      </c>
      <c r="AX53" s="324">
        <f t="shared" si="146"/>
        <v>0</v>
      </c>
      <c r="AY53" s="532"/>
      <c r="AZ53" s="329">
        <f t="shared" si="159"/>
        <v>0</v>
      </c>
      <c r="BA53" s="379">
        <f t="shared" si="147"/>
        <v>0</v>
      </c>
      <c r="BB53" s="720"/>
      <c r="BC53" s="721"/>
      <c r="BD53" s="316" t="str">
        <f t="shared" si="148"/>
        <v/>
      </c>
      <c r="BE53" s="539"/>
      <c r="BF53" s="317" t="str">
        <f t="shared" si="160"/>
        <v/>
      </c>
      <c r="BG53" s="380" t="str">
        <f t="shared" si="161"/>
        <v/>
      </c>
      <c r="BH53" s="893"/>
      <c r="BI53" s="787"/>
      <c r="BJ53" s="787"/>
      <c r="BK53" s="787"/>
      <c r="BL53" s="787"/>
      <c r="BM53" s="787"/>
      <c r="BN53" s="787"/>
      <c r="BO53" s="787"/>
      <c r="BP53" s="787"/>
      <c r="BQ53" s="787"/>
      <c r="BR53" s="787"/>
      <c r="BS53" s="788"/>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5" t="str">
        <f t="shared" si="154"/>
        <v/>
      </c>
    </row>
    <row r="54" spans="2:128" ht="30" customHeight="1" x14ac:dyDescent="0.25">
      <c r="B54" s="876"/>
      <c r="C54" s="157" t="s">
        <v>50</v>
      </c>
      <c r="D54" s="54"/>
      <c r="E54" s="23">
        <f t="shared" si="142"/>
        <v>0</v>
      </c>
      <c r="F54" s="54"/>
      <c r="G54" s="54"/>
      <c r="H54" s="201">
        <f t="shared" si="155"/>
        <v>0</v>
      </c>
      <c r="I54" s="82"/>
      <c r="J54" s="726"/>
      <c r="K54" s="726"/>
      <c r="L54" s="726"/>
      <c r="M54" s="727"/>
      <c r="N54" s="731"/>
      <c r="O54" s="732"/>
      <c r="P54" s="732"/>
      <c r="AG54" s="6">
        <f>IF(AND(I54&lt;&gt;"",OR(I54&lt;EXPEDIENTE!$I$25,I54&gt;EXPEDIENTE!$I$29)),1,0)</f>
        <v>0</v>
      </c>
      <c r="AI54" s="6">
        <f>IF(DATE(YEAR(EXPEDIENTE!$I$25),MONTH(DATEVALUE($C54&amp;"1")),1)&gt;=DATE(YEAR(EXPEDIENTE!$I$25),MONTH(EXPEDIENTE!$I$25),1),0,1)</f>
        <v>0</v>
      </c>
      <c r="AJ54" s="6" t="e">
        <f>IF(DATE(YEAR(EXPEDIENTE!$I$25),MONTH(DATEVALUE($C54&amp;"1")),1)&lt;=DATE(YEAR(EXPEDIENTE!$I$29),MONTH(EXPEDIENTE!$I$29),1),0,1)</f>
        <v>#VALUE!</v>
      </c>
      <c r="AK54" s="6" t="e">
        <f t="shared" si="156"/>
        <v>#VALUE!</v>
      </c>
      <c r="AM54" s="729"/>
      <c r="AN54" s="321" t="s">
        <v>50</v>
      </c>
      <c r="AO54" s="324">
        <f t="shared" si="143"/>
        <v>0</v>
      </c>
      <c r="AP54" s="532"/>
      <c r="AQ54" s="329">
        <f t="shared" si="157"/>
        <v>0</v>
      </c>
      <c r="AR54" s="330">
        <f t="shared" si="144"/>
        <v>0</v>
      </c>
      <c r="AS54" s="720"/>
      <c r="AT54" s="721"/>
      <c r="AU54" s="324">
        <f t="shared" si="145"/>
        <v>0</v>
      </c>
      <c r="AV54" s="532"/>
      <c r="AW54" s="329">
        <f t="shared" si="158"/>
        <v>0</v>
      </c>
      <c r="AX54" s="324">
        <f t="shared" si="146"/>
        <v>0</v>
      </c>
      <c r="AY54" s="532"/>
      <c r="AZ54" s="329">
        <f t="shared" si="159"/>
        <v>0</v>
      </c>
      <c r="BA54" s="379">
        <f t="shared" si="147"/>
        <v>0</v>
      </c>
      <c r="BB54" s="720"/>
      <c r="BC54" s="721"/>
      <c r="BD54" s="316" t="str">
        <f t="shared" si="148"/>
        <v/>
      </c>
      <c r="BE54" s="539"/>
      <c r="BF54" s="317" t="str">
        <f t="shared" si="160"/>
        <v/>
      </c>
      <c r="BG54" s="380" t="str">
        <f t="shared" si="161"/>
        <v/>
      </c>
      <c r="BH54" s="893"/>
      <c r="BI54" s="787"/>
      <c r="BJ54" s="787"/>
      <c r="BK54" s="787"/>
      <c r="BL54" s="787"/>
      <c r="BM54" s="787"/>
      <c r="BN54" s="787"/>
      <c r="BO54" s="787"/>
      <c r="BP54" s="787"/>
      <c r="BQ54" s="787"/>
      <c r="BR54" s="787"/>
      <c r="BS54" s="788"/>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5" t="str">
        <f t="shared" si="154"/>
        <v/>
      </c>
    </row>
    <row r="55" spans="2:128" ht="30" customHeight="1" x14ac:dyDescent="0.25">
      <c r="B55" s="876"/>
      <c r="C55" s="157" t="s">
        <v>51</v>
      </c>
      <c r="D55" s="54"/>
      <c r="E55" s="23">
        <f t="shared" si="142"/>
        <v>0</v>
      </c>
      <c r="F55" s="54"/>
      <c r="G55" s="54"/>
      <c r="H55" s="201">
        <f t="shared" si="155"/>
        <v>0</v>
      </c>
      <c r="I55" s="82"/>
      <c r="J55" s="726"/>
      <c r="K55" s="726"/>
      <c r="L55" s="726"/>
      <c r="M55" s="727"/>
      <c r="N55" s="731"/>
      <c r="O55" s="732"/>
      <c r="P55" s="732"/>
      <c r="AG55" s="6">
        <f>IF(AND(I55&lt;&gt;"",OR(I55&lt;EXPEDIENTE!$I$25,I55&gt;EXPEDIENTE!$I$29)),1,0)</f>
        <v>0</v>
      </c>
      <c r="AI55" s="6">
        <f>IF(DATE(YEAR(EXPEDIENTE!$I$25),MONTH(DATEVALUE($C55&amp;"1")),1)&gt;=DATE(YEAR(EXPEDIENTE!$I$25),MONTH(EXPEDIENTE!$I$25),1),0,1)</f>
        <v>0</v>
      </c>
      <c r="AJ55" s="6" t="e">
        <f>IF(DATE(YEAR(EXPEDIENTE!$I$25),MONTH(DATEVALUE($C55&amp;"1")),1)&lt;=DATE(YEAR(EXPEDIENTE!$I$29),MONTH(EXPEDIENTE!$I$29),1),0,1)</f>
        <v>#VALUE!</v>
      </c>
      <c r="AK55" s="6" t="e">
        <f t="shared" si="156"/>
        <v>#VALUE!</v>
      </c>
      <c r="AM55" s="729"/>
      <c r="AN55" s="321" t="s">
        <v>51</v>
      </c>
      <c r="AO55" s="324">
        <f t="shared" si="143"/>
        <v>0</v>
      </c>
      <c r="AP55" s="532"/>
      <c r="AQ55" s="329">
        <f t="shared" si="157"/>
        <v>0</v>
      </c>
      <c r="AR55" s="330">
        <f t="shared" si="144"/>
        <v>0</v>
      </c>
      <c r="AS55" s="720"/>
      <c r="AT55" s="721"/>
      <c r="AU55" s="324">
        <f t="shared" si="145"/>
        <v>0</v>
      </c>
      <c r="AV55" s="532"/>
      <c r="AW55" s="329">
        <f t="shared" si="158"/>
        <v>0</v>
      </c>
      <c r="AX55" s="324">
        <f t="shared" si="146"/>
        <v>0</v>
      </c>
      <c r="AY55" s="532"/>
      <c r="AZ55" s="329">
        <f t="shared" si="159"/>
        <v>0</v>
      </c>
      <c r="BA55" s="379">
        <f t="shared" si="147"/>
        <v>0</v>
      </c>
      <c r="BB55" s="720"/>
      <c r="BC55" s="721"/>
      <c r="BD55" s="316" t="str">
        <f t="shared" si="148"/>
        <v/>
      </c>
      <c r="BE55" s="539"/>
      <c r="BF55" s="317" t="str">
        <f t="shared" si="160"/>
        <v/>
      </c>
      <c r="BG55" s="380" t="str">
        <f t="shared" si="161"/>
        <v/>
      </c>
      <c r="BH55" s="893"/>
      <c r="BI55" s="787"/>
      <c r="BJ55" s="787"/>
      <c r="BK55" s="787"/>
      <c r="BL55" s="787"/>
      <c r="BM55" s="787"/>
      <c r="BN55" s="787"/>
      <c r="BO55" s="787"/>
      <c r="BP55" s="787"/>
      <c r="BQ55" s="787"/>
      <c r="BR55" s="787"/>
      <c r="BS55" s="788"/>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5" t="str">
        <f t="shared" si="154"/>
        <v/>
      </c>
    </row>
    <row r="56" spans="2:128" ht="30" customHeight="1" x14ac:dyDescent="0.25">
      <c r="B56" s="876"/>
      <c r="C56" s="157" t="s">
        <v>52</v>
      </c>
      <c r="D56" s="54"/>
      <c r="E56" s="23">
        <f t="shared" si="142"/>
        <v>0</v>
      </c>
      <c r="F56" s="54"/>
      <c r="G56" s="54"/>
      <c r="H56" s="201">
        <f t="shared" si="155"/>
        <v>0</v>
      </c>
      <c r="I56" s="82"/>
      <c r="J56" s="726"/>
      <c r="K56" s="726"/>
      <c r="L56" s="726"/>
      <c r="M56" s="727"/>
      <c r="N56" s="731"/>
      <c r="O56" s="732"/>
      <c r="P56" s="732"/>
      <c r="AG56" s="6">
        <f>IF(AND(I56&lt;&gt;"",OR(I56&lt;EXPEDIENTE!$I$25,I56&gt;EXPEDIENTE!$I$29)),1,0)</f>
        <v>0</v>
      </c>
      <c r="AI56" s="6">
        <f>IF(DATE(YEAR(EXPEDIENTE!$I$25),MONTH(DATEVALUE($C56&amp;"1")),1)&gt;=DATE(YEAR(EXPEDIENTE!$I$25),MONTH(EXPEDIENTE!$I$25),1),0,1)</f>
        <v>0</v>
      </c>
      <c r="AJ56" s="6" t="e">
        <f>IF(DATE(YEAR(EXPEDIENTE!$I$25),MONTH(DATEVALUE($C56&amp;"1")),1)&lt;=DATE(YEAR(EXPEDIENTE!$I$29),MONTH(EXPEDIENTE!$I$29),1),0,1)</f>
        <v>#VALUE!</v>
      </c>
      <c r="AK56" s="6" t="e">
        <f t="shared" si="156"/>
        <v>#VALUE!</v>
      </c>
      <c r="AM56" s="729"/>
      <c r="AN56" s="321" t="s">
        <v>52</v>
      </c>
      <c r="AO56" s="324">
        <f t="shared" si="143"/>
        <v>0</v>
      </c>
      <c r="AP56" s="532"/>
      <c r="AQ56" s="329">
        <f t="shared" si="157"/>
        <v>0</v>
      </c>
      <c r="AR56" s="330">
        <f t="shared" si="144"/>
        <v>0</v>
      </c>
      <c r="AS56" s="720"/>
      <c r="AT56" s="721"/>
      <c r="AU56" s="324">
        <f t="shared" si="145"/>
        <v>0</v>
      </c>
      <c r="AV56" s="532"/>
      <c r="AW56" s="329">
        <f t="shared" si="158"/>
        <v>0</v>
      </c>
      <c r="AX56" s="324">
        <f t="shared" si="146"/>
        <v>0</v>
      </c>
      <c r="AY56" s="532"/>
      <c r="AZ56" s="329">
        <f t="shared" si="159"/>
        <v>0</v>
      </c>
      <c r="BA56" s="379">
        <f t="shared" si="147"/>
        <v>0</v>
      </c>
      <c r="BB56" s="720"/>
      <c r="BC56" s="721"/>
      <c r="BD56" s="316" t="str">
        <f t="shared" si="148"/>
        <v/>
      </c>
      <c r="BE56" s="539"/>
      <c r="BF56" s="317" t="str">
        <f t="shared" si="160"/>
        <v/>
      </c>
      <c r="BG56" s="380" t="str">
        <f t="shared" si="161"/>
        <v/>
      </c>
      <c r="BH56" s="893"/>
      <c r="BI56" s="787"/>
      <c r="BJ56" s="787"/>
      <c r="BK56" s="787"/>
      <c r="BL56" s="787"/>
      <c r="BM56" s="787"/>
      <c r="BN56" s="787"/>
      <c r="BO56" s="787"/>
      <c r="BP56" s="787"/>
      <c r="BQ56" s="787"/>
      <c r="BR56" s="787"/>
      <c r="BS56" s="788"/>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5" t="str">
        <f t="shared" si="154"/>
        <v/>
      </c>
    </row>
    <row r="57" spans="2:128" ht="30" customHeight="1" x14ac:dyDescent="0.25">
      <c r="B57" s="876"/>
      <c r="C57" s="157" t="s">
        <v>53</v>
      </c>
      <c r="D57" s="54"/>
      <c r="E57" s="23">
        <f t="shared" si="142"/>
        <v>0</v>
      </c>
      <c r="F57" s="54"/>
      <c r="G57" s="54"/>
      <c r="H57" s="201">
        <f t="shared" si="155"/>
        <v>0</v>
      </c>
      <c r="I57" s="82"/>
      <c r="J57" s="726"/>
      <c r="K57" s="726"/>
      <c r="L57" s="726"/>
      <c r="M57" s="727"/>
      <c r="N57" s="731"/>
      <c r="O57" s="732"/>
      <c r="P57" s="732"/>
      <c r="AG57" s="6">
        <f>IF(AND(I57&lt;&gt;"",OR(I57&lt;EXPEDIENTE!$I$25,I57&gt;EXPEDIENTE!$I$29)),1,0)</f>
        <v>0</v>
      </c>
      <c r="AI57" s="6">
        <f>IF(DATE(YEAR(EXPEDIENTE!$I$25),MONTH(DATEVALUE($C57&amp;"1")),1)&gt;=DATE(YEAR(EXPEDIENTE!$I$25),MONTH(EXPEDIENTE!$I$25),1),0,1)</f>
        <v>0</v>
      </c>
      <c r="AJ57" s="6" t="e">
        <f>IF(DATE(YEAR(EXPEDIENTE!$I$25),MONTH(DATEVALUE($C57&amp;"1")),1)&lt;=DATE(YEAR(EXPEDIENTE!$I$29),MONTH(EXPEDIENTE!$I$29),1),0,1)</f>
        <v>#VALUE!</v>
      </c>
      <c r="AK57" s="6" t="e">
        <f t="shared" si="156"/>
        <v>#VALUE!</v>
      </c>
      <c r="AM57" s="729"/>
      <c r="AN57" s="321" t="s">
        <v>53</v>
      </c>
      <c r="AO57" s="324">
        <f t="shared" si="143"/>
        <v>0</v>
      </c>
      <c r="AP57" s="532"/>
      <c r="AQ57" s="329">
        <f t="shared" si="157"/>
        <v>0</v>
      </c>
      <c r="AR57" s="330">
        <f t="shared" si="144"/>
        <v>0</v>
      </c>
      <c r="AS57" s="720"/>
      <c r="AT57" s="721"/>
      <c r="AU57" s="324">
        <f t="shared" si="145"/>
        <v>0</v>
      </c>
      <c r="AV57" s="532"/>
      <c r="AW57" s="329">
        <f t="shared" si="158"/>
        <v>0</v>
      </c>
      <c r="AX57" s="324">
        <f t="shared" si="146"/>
        <v>0</v>
      </c>
      <c r="AY57" s="532"/>
      <c r="AZ57" s="329">
        <f t="shared" si="159"/>
        <v>0</v>
      </c>
      <c r="BA57" s="379">
        <f t="shared" si="147"/>
        <v>0</v>
      </c>
      <c r="BB57" s="720"/>
      <c r="BC57" s="721"/>
      <c r="BD57" s="316" t="str">
        <f t="shared" si="148"/>
        <v/>
      </c>
      <c r="BE57" s="539"/>
      <c r="BF57" s="317" t="str">
        <f t="shared" si="160"/>
        <v/>
      </c>
      <c r="BG57" s="380" t="str">
        <f t="shared" si="161"/>
        <v/>
      </c>
      <c r="BH57" s="893"/>
      <c r="BI57" s="787"/>
      <c r="BJ57" s="787"/>
      <c r="BK57" s="787"/>
      <c r="BL57" s="787"/>
      <c r="BM57" s="787"/>
      <c r="BN57" s="787"/>
      <c r="BO57" s="787"/>
      <c r="BP57" s="787"/>
      <c r="BQ57" s="787"/>
      <c r="BR57" s="787"/>
      <c r="BS57" s="788"/>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5" t="str">
        <f t="shared" si="154"/>
        <v/>
      </c>
    </row>
    <row r="58" spans="2:128" ht="30" customHeight="1" x14ac:dyDescent="0.25">
      <c r="B58" s="876"/>
      <c r="C58" s="157" t="s">
        <v>54</v>
      </c>
      <c r="D58" s="54"/>
      <c r="E58" s="23">
        <f t="shared" si="142"/>
        <v>0</v>
      </c>
      <c r="F58" s="54"/>
      <c r="G58" s="54"/>
      <c r="H58" s="201">
        <f t="shared" si="155"/>
        <v>0</v>
      </c>
      <c r="I58" s="82"/>
      <c r="J58" s="726"/>
      <c r="K58" s="726"/>
      <c r="L58" s="726"/>
      <c r="M58" s="727"/>
      <c r="N58" s="731"/>
      <c r="O58" s="732"/>
      <c r="P58" s="732"/>
      <c r="AG58" s="6">
        <f>IF(AND(I58&lt;&gt;"",OR(I58&lt;EXPEDIENTE!$I$25,I58&gt;EXPEDIENTE!$I$29)),1,0)</f>
        <v>0</v>
      </c>
      <c r="AI58" s="6">
        <f>IF(DATE(YEAR(EXPEDIENTE!$I$25),MONTH(DATEVALUE($C58&amp;"1")),1)&gt;=DATE(YEAR(EXPEDIENTE!$I$25),MONTH(EXPEDIENTE!$I$25),1),0,1)</f>
        <v>0</v>
      </c>
      <c r="AJ58" s="6" t="e">
        <f>IF(DATE(YEAR(EXPEDIENTE!$I$25),MONTH(DATEVALUE($C58&amp;"1")),1)&lt;=DATE(YEAR(EXPEDIENTE!$I$29),MONTH(EXPEDIENTE!$I$29),1),0,1)</f>
        <v>#VALUE!</v>
      </c>
      <c r="AK58" s="6" t="e">
        <f t="shared" si="156"/>
        <v>#VALUE!</v>
      </c>
      <c r="AM58" s="729"/>
      <c r="AN58" s="321" t="s">
        <v>54</v>
      </c>
      <c r="AO58" s="324">
        <f t="shared" si="143"/>
        <v>0</v>
      </c>
      <c r="AP58" s="532"/>
      <c r="AQ58" s="329">
        <f t="shared" si="157"/>
        <v>0</v>
      </c>
      <c r="AR58" s="330">
        <f t="shared" si="144"/>
        <v>0</v>
      </c>
      <c r="AS58" s="720"/>
      <c r="AT58" s="721"/>
      <c r="AU58" s="324">
        <f t="shared" si="145"/>
        <v>0</v>
      </c>
      <c r="AV58" s="532"/>
      <c r="AW58" s="329">
        <f t="shared" si="158"/>
        <v>0</v>
      </c>
      <c r="AX58" s="324">
        <f t="shared" si="146"/>
        <v>0</v>
      </c>
      <c r="AY58" s="532"/>
      <c r="AZ58" s="329">
        <f t="shared" si="159"/>
        <v>0</v>
      </c>
      <c r="BA58" s="379">
        <f t="shared" si="147"/>
        <v>0</v>
      </c>
      <c r="BB58" s="720"/>
      <c r="BC58" s="721"/>
      <c r="BD58" s="316" t="str">
        <f t="shared" si="148"/>
        <v/>
      </c>
      <c r="BE58" s="539"/>
      <c r="BF58" s="317" t="str">
        <f t="shared" si="160"/>
        <v/>
      </c>
      <c r="BG58" s="380" t="str">
        <f t="shared" si="161"/>
        <v/>
      </c>
      <c r="BH58" s="893"/>
      <c r="BI58" s="787"/>
      <c r="BJ58" s="787"/>
      <c r="BK58" s="787"/>
      <c r="BL58" s="787"/>
      <c r="BM58" s="787"/>
      <c r="BN58" s="787"/>
      <c r="BO58" s="787"/>
      <c r="BP58" s="787"/>
      <c r="BQ58" s="787"/>
      <c r="BR58" s="787"/>
      <c r="BS58" s="788"/>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5" t="str">
        <f t="shared" si="154"/>
        <v/>
      </c>
    </row>
    <row r="59" spans="2:128" ht="30" customHeight="1" x14ac:dyDescent="0.25">
      <c r="B59" s="876"/>
      <c r="C59" s="157" t="s">
        <v>55</v>
      </c>
      <c r="D59" s="54"/>
      <c r="E59" s="23">
        <f t="shared" si="142"/>
        <v>0</v>
      </c>
      <c r="F59" s="54"/>
      <c r="G59" s="54"/>
      <c r="H59" s="201">
        <f t="shared" si="155"/>
        <v>0</v>
      </c>
      <c r="I59" s="82"/>
      <c r="J59" s="726"/>
      <c r="K59" s="726"/>
      <c r="L59" s="726"/>
      <c r="M59" s="727"/>
      <c r="N59" s="731"/>
      <c r="O59" s="732"/>
      <c r="P59" s="732"/>
      <c r="AG59" s="6">
        <f>IF(AND(I59&lt;&gt;"",OR(I59&lt;EXPEDIENTE!$I$25,I59&gt;EXPEDIENTE!$I$29)),1,0)</f>
        <v>0</v>
      </c>
      <c r="AI59" s="6">
        <f>IF(DATE(YEAR(EXPEDIENTE!$I$25),MONTH(DATEVALUE($C59&amp;"1")),1)&gt;=DATE(YEAR(EXPEDIENTE!$I$25),MONTH(EXPEDIENTE!$I$25),1),0,1)</f>
        <v>0</v>
      </c>
      <c r="AJ59" s="6" t="e">
        <f>IF(DATE(YEAR(EXPEDIENTE!$I$25),MONTH(DATEVALUE($C59&amp;"1")),1)&lt;=DATE(YEAR(EXPEDIENTE!$I$29),MONTH(EXPEDIENTE!$I$29),1),0,1)</f>
        <v>#VALUE!</v>
      </c>
      <c r="AK59" s="6" t="e">
        <f t="shared" si="156"/>
        <v>#VALUE!</v>
      </c>
      <c r="AM59" s="729"/>
      <c r="AN59" s="321" t="s">
        <v>55</v>
      </c>
      <c r="AO59" s="324">
        <f t="shared" si="143"/>
        <v>0</v>
      </c>
      <c r="AP59" s="532"/>
      <c r="AQ59" s="329">
        <f t="shared" si="157"/>
        <v>0</v>
      </c>
      <c r="AR59" s="330">
        <f t="shared" si="144"/>
        <v>0</v>
      </c>
      <c r="AS59" s="720"/>
      <c r="AT59" s="721"/>
      <c r="AU59" s="324">
        <f t="shared" si="145"/>
        <v>0</v>
      </c>
      <c r="AV59" s="532"/>
      <c r="AW59" s="329">
        <f t="shared" si="158"/>
        <v>0</v>
      </c>
      <c r="AX59" s="324">
        <f t="shared" si="146"/>
        <v>0</v>
      </c>
      <c r="AY59" s="532"/>
      <c r="AZ59" s="329">
        <f t="shared" si="159"/>
        <v>0</v>
      </c>
      <c r="BA59" s="379">
        <f t="shared" si="147"/>
        <v>0</v>
      </c>
      <c r="BB59" s="720"/>
      <c r="BC59" s="721"/>
      <c r="BD59" s="316" t="str">
        <f t="shared" si="148"/>
        <v/>
      </c>
      <c r="BE59" s="539"/>
      <c r="BF59" s="317" t="str">
        <f t="shared" si="160"/>
        <v/>
      </c>
      <c r="BG59" s="380" t="str">
        <f t="shared" si="161"/>
        <v/>
      </c>
      <c r="BH59" s="893"/>
      <c r="BI59" s="787"/>
      <c r="BJ59" s="787"/>
      <c r="BK59" s="787"/>
      <c r="BL59" s="787"/>
      <c r="BM59" s="787"/>
      <c r="BN59" s="787"/>
      <c r="BO59" s="787"/>
      <c r="BP59" s="787"/>
      <c r="BQ59" s="787"/>
      <c r="BR59" s="787"/>
      <c r="BS59" s="788"/>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5" t="str">
        <f t="shared" si="154"/>
        <v/>
      </c>
    </row>
    <row r="60" spans="2:128" ht="30" customHeight="1" thickBot="1" x14ac:dyDescent="0.3">
      <c r="B60" s="876"/>
      <c r="C60" s="168" t="s">
        <v>56</v>
      </c>
      <c r="D60" s="169"/>
      <c r="E60" s="29">
        <f t="shared" si="142"/>
        <v>0</v>
      </c>
      <c r="F60" s="58"/>
      <c r="G60" s="58"/>
      <c r="H60" s="202">
        <f t="shared" si="155"/>
        <v>0</v>
      </c>
      <c r="I60" s="170"/>
      <c r="J60" s="832"/>
      <c r="K60" s="832"/>
      <c r="L60" s="832"/>
      <c r="M60" s="833"/>
      <c r="N60" s="731"/>
      <c r="O60" s="732"/>
      <c r="P60" s="732"/>
      <c r="AG60" s="6">
        <f>IF(AND(I60&lt;&gt;"",OR(I60&lt;EXPEDIENTE!$I$25,I60&gt;EXPEDIENTE!$I$29)),1,0)</f>
        <v>0</v>
      </c>
      <c r="AI60" s="6">
        <f>IF(DATE(YEAR(EXPEDIENTE!$I$25),MONTH(DATEVALUE($C60&amp;"1")),1)&gt;=DATE(YEAR(EXPEDIENTE!$I$25),MONTH(EXPEDIENTE!$I$25),1),0,1)</f>
        <v>0</v>
      </c>
      <c r="AJ60" s="6" t="e">
        <f>IF(DATE(YEAR(EXPEDIENTE!$I$25),MONTH(DATEVALUE($C60&amp;"1")),1)&lt;=DATE(YEAR(EXPEDIENTE!$I$29),MONTH(EXPEDIENTE!$I$29),1),0,1)</f>
        <v>#VALUE!</v>
      </c>
      <c r="AK60" s="6" t="e">
        <f t="shared" si="156"/>
        <v>#VALUE!</v>
      </c>
      <c r="AM60" s="729"/>
      <c r="AN60" s="381" t="s">
        <v>56</v>
      </c>
      <c r="AO60" s="382">
        <f t="shared" si="143"/>
        <v>0</v>
      </c>
      <c r="AP60" s="544"/>
      <c r="AQ60" s="383">
        <f t="shared" si="157"/>
        <v>0</v>
      </c>
      <c r="AR60" s="338">
        <f t="shared" si="144"/>
        <v>0</v>
      </c>
      <c r="AS60" s="722"/>
      <c r="AT60" s="723"/>
      <c r="AU60" s="334">
        <f t="shared" si="145"/>
        <v>0</v>
      </c>
      <c r="AV60" s="536"/>
      <c r="AW60" s="340">
        <f t="shared" si="158"/>
        <v>0</v>
      </c>
      <c r="AX60" s="334">
        <f t="shared" si="146"/>
        <v>0</v>
      </c>
      <c r="AY60" s="536"/>
      <c r="AZ60" s="340">
        <f t="shared" si="159"/>
        <v>0</v>
      </c>
      <c r="BA60" s="384">
        <f t="shared" si="147"/>
        <v>0</v>
      </c>
      <c r="BB60" s="722"/>
      <c r="BC60" s="723"/>
      <c r="BD60" s="341" t="str">
        <f t="shared" si="148"/>
        <v/>
      </c>
      <c r="BE60" s="545"/>
      <c r="BF60" s="342" t="str">
        <f t="shared" si="160"/>
        <v/>
      </c>
      <c r="BG60" s="385" t="str">
        <f t="shared" si="161"/>
        <v/>
      </c>
      <c r="BH60" s="894"/>
      <c r="BI60" s="895"/>
      <c r="BJ60" s="895"/>
      <c r="BK60" s="895"/>
      <c r="BL60" s="895"/>
      <c r="BM60" s="895"/>
      <c r="BN60" s="895"/>
      <c r="BO60" s="895"/>
      <c r="BP60" s="895"/>
      <c r="BQ60" s="895"/>
      <c r="BR60" s="895"/>
      <c r="BS60" s="896"/>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5" t="str">
        <f t="shared" si="154"/>
        <v/>
      </c>
    </row>
    <row r="61" spans="2:128" ht="9.9499999999999993" customHeight="1" thickBot="1" x14ac:dyDescent="0.3">
      <c r="B61" s="877"/>
      <c r="C61" s="184"/>
      <c r="D61" s="182"/>
      <c r="E61" s="182"/>
      <c r="F61" s="182"/>
      <c r="G61" s="182"/>
      <c r="H61" s="182"/>
      <c r="I61" s="182"/>
      <c r="J61" s="182"/>
      <c r="K61" s="182"/>
      <c r="L61" s="182"/>
      <c r="M61" s="183"/>
      <c r="AM61" s="730"/>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umUno1qgr7+mBBHh37M4ArUW368f1LwehqeGY7UNkp3dLFqs1S+UVEpptxb4ptK1oRx0qq7rZybfg5EMv7Nsdw==" saltValue="WUZEh6cLYxf8qF82kpDJCA==" spinCount="100000" sheet="1"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 ref="AX35:BM35"/>
    <mergeCell ref="BN35:BN36"/>
    <mergeCell ref="BO34:CI34"/>
    <mergeCell ref="CJ34:CJ36"/>
    <mergeCell ref="AN24:AO24"/>
    <mergeCell ref="AN25:AO25"/>
    <mergeCell ref="AN26:AO26"/>
    <mergeCell ref="AN27:AO27"/>
    <mergeCell ref="AN28:AO28"/>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$AG20&lt;&gt;0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BF50" sqref="BF5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1"/>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2024.07.PRIV.0000</v>
      </c>
      <c r="AR3" s="217" t="str">
        <f>'IDENTIFICACIÓN TRABAJADOR'!$F$4</f>
        <v>Nº DE EXPEDIENTE: 2024.07.PRIV.0000</v>
      </c>
      <c r="AS3" s="217"/>
      <c r="AT3" s="217"/>
    </row>
    <row r="4" spans="1:128" ht="20.100000000000001" customHeight="1" x14ac:dyDescent="0.25">
      <c r="E4" s="850"/>
      <c r="F4" s="850"/>
      <c r="G4" s="87"/>
      <c r="AR4" s="764"/>
      <c r="AS4" s="764"/>
      <c r="AT4" s="764"/>
      <c r="AU4" s="764"/>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692" t="s">
        <v>343</v>
      </c>
      <c r="DE7" s="692"/>
      <c r="DF7" s="692"/>
      <c r="DG7" s="692"/>
      <c r="DH7" s="692"/>
      <c r="DI7" s="692"/>
      <c r="DJ7" s="692"/>
      <c r="DK7" s="692"/>
      <c r="DL7" s="692"/>
      <c r="DM7" s="692"/>
      <c r="DN7" s="692"/>
      <c r="DO7" s="692"/>
      <c r="DP7" s="692"/>
      <c r="DQ7" s="692"/>
      <c r="DR7" s="692"/>
      <c r="DS7" s="692"/>
      <c r="DT7" s="692"/>
      <c r="DU7" s="692"/>
      <c r="DW7" s="691" t="s">
        <v>342</v>
      </c>
      <c r="DX7" s="691"/>
    </row>
    <row r="8" spans="1:128" ht="30" customHeight="1" thickTop="1" thickBot="1" x14ac:dyDescent="0.3">
      <c r="B8" s="875" t="str">
        <f>CONCATENATE("GASTO DEL TRABAJADOR ",'IDENTIFICACIÓN TRABAJADOR'!D14," EJERCICIO ",YEAR(EXPEDIENTE!F25)+1)</f>
        <v>GASTO DEL TRABAJADOR  EJERCICIO 2025</v>
      </c>
      <c r="C8" s="851" t="str">
        <f>CONCATENATE("TABLA DE COTIZACIONES ",YEAR(EXPEDIENTE!F25)+1)</f>
        <v>TABLA DE COTIZACIONES 2025</v>
      </c>
      <c r="D8" s="851"/>
      <c r="E8" s="851"/>
      <c r="F8" s="852"/>
      <c r="H8" s="89" t="s">
        <v>112</v>
      </c>
      <c r="I8" s="870" t="s">
        <v>115</v>
      </c>
      <c r="J8" s="870"/>
      <c r="K8" s="870"/>
      <c r="L8" s="870"/>
      <c r="M8" s="870"/>
      <c r="N8" s="870"/>
      <c r="O8" s="870"/>
      <c r="P8" s="870"/>
      <c r="Q8" s="870"/>
      <c r="R8" s="870"/>
      <c r="S8" s="870"/>
      <c r="T8" s="871"/>
      <c r="AM8" s="728" t="str">
        <f>CONCATENATE("GASTO DEL TRABAJADOR ",'IDENTIFICACIÓN TRABAJADOR'!$D$14," EJERCICIO ",YEAR(EXPEDIENTE!$F$25)+1)</f>
        <v>GASTO DEL TRABAJADOR  EJERCICIO 2025</v>
      </c>
      <c r="AN8" s="809" t="str">
        <f>CONCATENATE("COTIZACIONES ",YEAR(EXPEDIENTE!$F$25)+1)</f>
        <v>COTIZACIONES 2025</v>
      </c>
      <c r="AO8" s="809"/>
      <c r="AP8" s="809"/>
      <c r="AQ8" s="262"/>
      <c r="AR8" s="263" t="s">
        <v>271</v>
      </c>
      <c r="AS8" s="264" t="s">
        <v>246</v>
      </c>
      <c r="AT8" s="265" t="s">
        <v>272</v>
      </c>
      <c r="AU8" s="775" t="s">
        <v>270</v>
      </c>
      <c r="AV8" s="775"/>
      <c r="AW8" s="775"/>
      <c r="AX8" s="775"/>
      <c r="AY8" s="775"/>
      <c r="AZ8" s="775"/>
      <c r="BA8" s="775"/>
      <c r="BB8" s="775"/>
      <c r="BC8" s="775"/>
      <c r="BD8" s="775"/>
      <c r="BE8" s="775"/>
      <c r="BF8" s="775"/>
      <c r="BG8" s="776"/>
      <c r="BJ8" s="219"/>
      <c r="BK8" s="219"/>
      <c r="BL8" s="219"/>
      <c r="BM8" s="219"/>
      <c r="BN8" s="219"/>
      <c r="BO8" s="219"/>
      <c r="BP8" s="219"/>
      <c r="BQ8" s="219"/>
      <c r="BR8" s="219"/>
      <c r="BS8" s="219"/>
      <c r="BT8" s="219"/>
      <c r="BU8" s="219"/>
      <c r="BV8" s="219"/>
      <c r="BW8" s="219"/>
      <c r="BX8" s="219"/>
      <c r="BY8" s="219"/>
      <c r="BZ8" s="219"/>
      <c r="CA8" s="219"/>
      <c r="CB8" s="219"/>
      <c r="CY8" s="124"/>
      <c r="CZ8" s="6"/>
      <c r="DD8" s="88" t="s">
        <v>323</v>
      </c>
      <c r="DE8" s="88" t="s">
        <v>324</v>
      </c>
      <c r="DF8" s="88" t="s">
        <v>325</v>
      </c>
      <c r="DG8" s="88" t="s">
        <v>326</v>
      </c>
      <c r="DH8" s="88" t="s">
        <v>327</v>
      </c>
      <c r="DI8" s="88" t="s">
        <v>328</v>
      </c>
      <c r="DJ8" s="88" t="s">
        <v>329</v>
      </c>
      <c r="DK8" s="88" t="s">
        <v>330</v>
      </c>
      <c r="DL8" s="88" t="s">
        <v>331</v>
      </c>
      <c r="DM8" s="88" t="s">
        <v>332</v>
      </c>
      <c r="DN8" s="88" t="s">
        <v>333</v>
      </c>
      <c r="DO8" s="88" t="s">
        <v>334</v>
      </c>
      <c r="DP8" s="88" t="s">
        <v>335</v>
      </c>
      <c r="DQ8" s="88" t="s">
        <v>336</v>
      </c>
      <c r="DR8" s="88" t="s">
        <v>337</v>
      </c>
      <c r="DS8" s="88" t="s">
        <v>338</v>
      </c>
      <c r="DT8" s="88" t="s">
        <v>339</v>
      </c>
      <c r="DU8" s="88" t="s">
        <v>340</v>
      </c>
    </row>
    <row r="9" spans="1:128" ht="15" thickTop="1" x14ac:dyDescent="0.25">
      <c r="B9" s="876"/>
      <c r="C9" s="92" t="s">
        <v>40</v>
      </c>
      <c r="D9" s="8"/>
      <c r="E9" s="8"/>
      <c r="F9" s="47"/>
      <c r="H9" s="94" t="s">
        <v>130</v>
      </c>
      <c r="I9" s="758" t="s">
        <v>114</v>
      </c>
      <c r="J9" s="758"/>
      <c r="K9" s="758"/>
      <c r="L9" s="758"/>
      <c r="M9" s="758"/>
      <c r="N9" s="758"/>
      <c r="O9" s="758"/>
      <c r="P9" s="758"/>
      <c r="Q9" s="758"/>
      <c r="R9" s="758"/>
      <c r="S9" s="758"/>
      <c r="T9" s="759"/>
      <c r="AM9" s="729"/>
      <c r="AN9" s="810" t="s">
        <v>40</v>
      </c>
      <c r="AO9" s="811"/>
      <c r="AP9" s="812"/>
      <c r="AQ9" s="266"/>
      <c r="AR9" s="267">
        <f>IF(F9="",0,F9)</f>
        <v>0</v>
      </c>
      <c r="AS9" s="268"/>
      <c r="AT9" s="269">
        <f>IF(AS9="",AR9,AS9)</f>
        <v>0</v>
      </c>
      <c r="AU9" s="814"/>
      <c r="AV9" s="814"/>
      <c r="AW9" s="814"/>
      <c r="AX9" s="814"/>
      <c r="AY9" s="814"/>
      <c r="AZ9" s="814"/>
      <c r="BA9" s="814"/>
      <c r="BB9" s="814"/>
      <c r="BC9" s="814"/>
      <c r="BD9" s="814"/>
      <c r="BE9" s="814"/>
      <c r="BF9" s="814"/>
      <c r="BG9" s="815"/>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4.25" x14ac:dyDescent="0.25">
      <c r="B10" s="876"/>
      <c r="C10" s="93" t="s">
        <v>61</v>
      </c>
      <c r="D10" s="9"/>
      <c r="E10" s="10"/>
      <c r="F10" s="48"/>
      <c r="H10" s="95"/>
      <c r="I10" s="868" t="s">
        <v>113</v>
      </c>
      <c r="J10" s="868"/>
      <c r="K10" s="868"/>
      <c r="L10" s="868"/>
      <c r="M10" s="868"/>
      <c r="N10" s="868"/>
      <c r="O10" s="868"/>
      <c r="P10" s="868"/>
      <c r="Q10" s="868"/>
      <c r="R10" s="868"/>
      <c r="S10" s="868"/>
      <c r="T10" s="869"/>
      <c r="AM10" s="729"/>
      <c r="AN10" s="784" t="s">
        <v>61</v>
      </c>
      <c r="AO10" s="785"/>
      <c r="AP10" s="786"/>
      <c r="AQ10" s="270"/>
      <c r="AR10" s="271">
        <f>IF(F10="",0,F10)</f>
        <v>0</v>
      </c>
      <c r="AS10" s="272"/>
      <c r="AT10" s="273">
        <f t="shared" ref="AT10:AT13" si="0">IF(AS10="",AR10,AS10)</f>
        <v>0</v>
      </c>
      <c r="AU10" s="787"/>
      <c r="AV10" s="787"/>
      <c r="AW10" s="787"/>
      <c r="AX10" s="787"/>
      <c r="AY10" s="787"/>
      <c r="AZ10" s="787"/>
      <c r="BA10" s="787"/>
      <c r="BB10" s="787"/>
      <c r="BC10" s="787"/>
      <c r="BD10" s="787"/>
      <c r="BE10" s="787"/>
      <c r="BF10" s="787"/>
      <c r="BG10" s="788"/>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thickBot="1" x14ac:dyDescent="0.3">
      <c r="B11" s="876"/>
      <c r="C11" s="93" t="s">
        <v>41</v>
      </c>
      <c r="D11" s="9"/>
      <c r="E11" s="10"/>
      <c r="F11" s="48"/>
      <c r="H11" s="96"/>
      <c r="I11" s="85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7"/>
      <c r="K11" s="857"/>
      <c r="L11" s="857"/>
      <c r="M11" s="857"/>
      <c r="N11" s="857"/>
      <c r="O11" s="857"/>
      <c r="P11" s="857"/>
      <c r="Q11" s="857"/>
      <c r="R11" s="857"/>
      <c r="S11" s="857"/>
      <c r="T11" s="858"/>
      <c r="AM11" s="729"/>
      <c r="AN11" s="784" t="s">
        <v>41</v>
      </c>
      <c r="AO11" s="785"/>
      <c r="AP11" s="786"/>
      <c r="AQ11" s="270"/>
      <c r="AR11" s="271">
        <f>IF(F11="",0,F11)</f>
        <v>0</v>
      </c>
      <c r="AS11" s="272"/>
      <c r="AT11" s="273">
        <f t="shared" si="0"/>
        <v>0</v>
      </c>
      <c r="AU11" s="787"/>
      <c r="AV11" s="787"/>
      <c r="AW11" s="787"/>
      <c r="AX11" s="787"/>
      <c r="AY11" s="787"/>
      <c r="AZ11" s="787"/>
      <c r="BA11" s="787"/>
      <c r="BB11" s="787"/>
      <c r="BC11" s="787"/>
      <c r="BD11" s="787"/>
      <c r="BE11" s="787"/>
      <c r="BF11" s="787"/>
      <c r="BG11" s="788"/>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4.25" x14ac:dyDescent="0.25">
      <c r="B12" s="876"/>
      <c r="C12" s="93" t="s">
        <v>42</v>
      </c>
      <c r="D12" s="9"/>
      <c r="E12" s="10"/>
      <c r="F12" s="48"/>
      <c r="H12" s="756" t="s">
        <v>211</v>
      </c>
      <c r="I12" s="758" t="s">
        <v>291</v>
      </c>
      <c r="J12" s="758"/>
      <c r="K12" s="758"/>
      <c r="L12" s="758"/>
      <c r="M12" s="758"/>
      <c r="N12" s="758"/>
      <c r="O12" s="758"/>
      <c r="P12" s="758"/>
      <c r="Q12" s="758"/>
      <c r="R12" s="758"/>
      <c r="S12" s="758"/>
      <c r="T12" s="759"/>
      <c r="AM12" s="729"/>
      <c r="AN12" s="784" t="s">
        <v>42</v>
      </c>
      <c r="AO12" s="785"/>
      <c r="AP12" s="786"/>
      <c r="AQ12" s="270"/>
      <c r="AR12" s="271">
        <f>IF(F12="",0,F12)</f>
        <v>0</v>
      </c>
      <c r="AS12" s="272"/>
      <c r="AT12" s="273">
        <f t="shared" si="0"/>
        <v>0</v>
      </c>
      <c r="AU12" s="787"/>
      <c r="AV12" s="787"/>
      <c r="AW12" s="787"/>
      <c r="AX12" s="787"/>
      <c r="AY12" s="787"/>
      <c r="AZ12" s="787"/>
      <c r="BA12" s="787"/>
      <c r="BB12" s="787"/>
      <c r="BC12" s="787"/>
      <c r="BD12" s="787"/>
      <c r="BE12" s="787"/>
      <c r="BF12" s="787"/>
      <c r="BG12" s="788"/>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thickBot="1" x14ac:dyDescent="0.3">
      <c r="B13" s="876"/>
      <c r="C13" s="93" t="s">
        <v>62</v>
      </c>
      <c r="D13" s="9"/>
      <c r="E13" s="10"/>
      <c r="F13" s="48"/>
      <c r="H13" s="757"/>
      <c r="I13" s="760"/>
      <c r="J13" s="760"/>
      <c r="K13" s="760"/>
      <c r="L13" s="760"/>
      <c r="M13" s="760"/>
      <c r="N13" s="760"/>
      <c r="O13" s="760"/>
      <c r="P13" s="760"/>
      <c r="Q13" s="760"/>
      <c r="R13" s="760"/>
      <c r="S13" s="760"/>
      <c r="T13" s="761"/>
      <c r="AM13" s="729"/>
      <c r="AN13" s="784" t="s">
        <v>62</v>
      </c>
      <c r="AO13" s="785"/>
      <c r="AP13" s="786"/>
      <c r="AQ13" s="270"/>
      <c r="AR13" s="271">
        <f>IF(F13="",0,F13)</f>
        <v>0</v>
      </c>
      <c r="AS13" s="272"/>
      <c r="AT13" s="273">
        <f t="shared" si="0"/>
        <v>0</v>
      </c>
      <c r="AU13" s="793"/>
      <c r="AV13" s="793"/>
      <c r="AW13" s="793"/>
      <c r="AX13" s="793"/>
      <c r="AY13" s="793"/>
      <c r="AZ13" s="793"/>
      <c r="BA13" s="793"/>
      <c r="BB13" s="793"/>
      <c r="BC13" s="793"/>
      <c r="BD13" s="793"/>
      <c r="BE13" s="793"/>
      <c r="BF13" s="793"/>
      <c r="BG13" s="794"/>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thickBot="1" x14ac:dyDescent="0.3">
      <c r="B14" s="876"/>
      <c r="C14" s="93" t="s">
        <v>43</v>
      </c>
      <c r="D14" s="9"/>
      <c r="E14" s="10"/>
      <c r="F14" s="11">
        <f>SUM(F9:F13)</f>
        <v>0</v>
      </c>
      <c r="AM14" s="729"/>
      <c r="AN14" s="797" t="s">
        <v>43</v>
      </c>
      <c r="AO14" s="798"/>
      <c r="AP14" s="799"/>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87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2" t="s">
        <v>210</v>
      </c>
      <c r="AH15" s="762"/>
      <c r="AI15" s="762" t="s">
        <v>213</v>
      </c>
      <c r="AJ15" s="762" t="s">
        <v>214</v>
      </c>
      <c r="AK15" s="762" t="s">
        <v>216</v>
      </c>
      <c r="AL15" s="6"/>
      <c r="AM15" s="729"/>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2" t="s">
        <v>212</v>
      </c>
      <c r="DB15" s="762"/>
    </row>
    <row r="16" spans="1:128" ht="30" customHeight="1" thickTop="1" thickBot="1" x14ac:dyDescent="0.3">
      <c r="B16" s="876"/>
      <c r="C16" s="851" t="str">
        <f>CONCATENATE("NÓMINAS MENSUALES EJERCICIO ",YEAR(EXPEDIENTE!F25)+1)</f>
        <v>NÓMINAS MENSUALES EJERCICIO 2025</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2"/>
      <c r="AG16" s="762"/>
      <c r="AH16" s="762"/>
      <c r="AI16" s="691"/>
      <c r="AJ16" s="691"/>
      <c r="AK16" s="691"/>
      <c r="AM16" s="729"/>
      <c r="AN16" s="795" t="str">
        <f>CONCATENATE("NÓMINAS MENSUALES EJERCICIO ",YEAR(EXPEDIENTE!$F$25)+1)</f>
        <v>NÓMINAS MENSUALES EJERCICIO 2025</v>
      </c>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5"/>
      <c r="CU16" s="795"/>
      <c r="CV16" s="795"/>
      <c r="CW16" s="795"/>
      <c r="CX16" s="795"/>
      <c r="CY16" s="796"/>
      <c r="DA16" s="813"/>
      <c r="DB16" s="813"/>
    </row>
    <row r="17" spans="2:128" ht="20.100000000000001" customHeight="1" thickTop="1" thickBot="1" x14ac:dyDescent="0.3">
      <c r="B17" s="876"/>
      <c r="C17" s="859" t="s">
        <v>87</v>
      </c>
      <c r="D17" s="860"/>
      <c r="E17" s="861"/>
      <c r="F17" s="862" t="s">
        <v>85</v>
      </c>
      <c r="G17" s="863"/>
      <c r="H17" s="863"/>
      <c r="I17" s="863"/>
      <c r="J17" s="863"/>
      <c r="K17" s="863"/>
      <c r="L17" s="863"/>
      <c r="M17" s="864"/>
      <c r="N17" s="741" t="s">
        <v>88</v>
      </c>
      <c r="O17" s="742"/>
      <c r="P17" s="742"/>
      <c r="Q17" s="742"/>
      <c r="R17" s="742"/>
      <c r="S17" s="742"/>
      <c r="T17" s="742"/>
      <c r="U17" s="742"/>
      <c r="V17" s="743"/>
      <c r="W17" s="865" t="s">
        <v>79</v>
      </c>
      <c r="X17" s="747" t="s">
        <v>66</v>
      </c>
      <c r="Y17" s="744" t="s">
        <v>59</v>
      </c>
      <c r="Z17" s="744" t="s">
        <v>60</v>
      </c>
      <c r="AA17" s="744" t="s">
        <v>64</v>
      </c>
      <c r="AB17" s="790" t="s">
        <v>84</v>
      </c>
      <c r="AC17" s="747" t="s">
        <v>91</v>
      </c>
      <c r="AD17" s="790" t="s">
        <v>90</v>
      </c>
      <c r="AE17" s="872" t="s">
        <v>67</v>
      </c>
      <c r="AG17" s="763" t="s">
        <v>407</v>
      </c>
      <c r="AH17" s="705" t="s">
        <v>71</v>
      </c>
      <c r="AM17" s="729"/>
      <c r="AN17" s="733" t="s">
        <v>87</v>
      </c>
      <c r="AO17" s="734"/>
      <c r="AP17" s="734"/>
      <c r="AQ17" s="734"/>
      <c r="AR17" s="826" t="s">
        <v>313</v>
      </c>
      <c r="AS17" s="734"/>
      <c r="AT17" s="735"/>
      <c r="AU17" s="765" t="s">
        <v>85</v>
      </c>
      <c r="AV17" s="766"/>
      <c r="AW17" s="766"/>
      <c r="AX17" s="766"/>
      <c r="AY17" s="766"/>
      <c r="AZ17" s="766"/>
      <c r="BA17" s="766"/>
      <c r="BB17" s="766"/>
      <c r="BC17" s="766"/>
      <c r="BD17" s="766"/>
      <c r="BE17" s="766"/>
      <c r="BF17" s="766"/>
      <c r="BG17" s="766"/>
      <c r="BH17" s="766"/>
      <c r="BI17" s="766"/>
      <c r="BJ17" s="766"/>
      <c r="BK17" s="766"/>
      <c r="BL17" s="766"/>
      <c r="BM17" s="766"/>
      <c r="BN17" s="767"/>
      <c r="BO17" s="768" t="s">
        <v>408</v>
      </c>
      <c r="BP17" s="922"/>
      <c r="BQ17" s="922"/>
      <c r="BR17" s="922"/>
      <c r="BS17" s="922"/>
      <c r="BT17" s="922"/>
      <c r="BU17" s="922"/>
      <c r="BV17" s="922"/>
      <c r="BW17" s="922"/>
      <c r="BX17" s="922"/>
      <c r="BY17" s="922"/>
      <c r="BZ17" s="922"/>
      <c r="CA17" s="922"/>
      <c r="CB17" s="922"/>
      <c r="CC17" s="922"/>
      <c r="CD17" s="922"/>
      <c r="CE17" s="922"/>
      <c r="CF17" s="923"/>
      <c r="CG17" s="923"/>
      <c r="CH17" s="923"/>
      <c r="CI17" s="924"/>
      <c r="CJ17" s="828" t="s">
        <v>79</v>
      </c>
      <c r="CK17" s="696" t="s">
        <v>317</v>
      </c>
      <c r="CL17" s="697"/>
      <c r="CM17" s="698"/>
      <c r="CN17" s="715" t="s">
        <v>318</v>
      </c>
      <c r="CO17" s="716"/>
      <c r="CP17" s="717"/>
      <c r="CQ17" s="829" t="s">
        <v>60</v>
      </c>
      <c r="CR17" s="707" t="s">
        <v>320</v>
      </c>
      <c r="CS17" s="708"/>
      <c r="CT17" s="709"/>
      <c r="CU17" s="710" t="s">
        <v>319</v>
      </c>
      <c r="CV17" s="711"/>
      <c r="CW17" s="712"/>
      <c r="CX17" s="283"/>
      <c r="CY17" s="713" t="s">
        <v>321</v>
      </c>
      <c r="DA17" s="763" t="s">
        <v>407</v>
      </c>
      <c r="DB17" s="705" t="s">
        <v>71</v>
      </c>
    </row>
    <row r="18" spans="2:128" x14ac:dyDescent="0.25">
      <c r="B18" s="876"/>
      <c r="C18" s="880" t="s">
        <v>44</v>
      </c>
      <c r="D18" s="881"/>
      <c r="E18" s="853" t="s">
        <v>86</v>
      </c>
      <c r="F18" s="855" t="s">
        <v>57</v>
      </c>
      <c r="G18" s="754" t="s">
        <v>72</v>
      </c>
      <c r="H18" s="754"/>
      <c r="I18" s="754"/>
      <c r="J18" s="754"/>
      <c r="K18" s="754"/>
      <c r="L18" s="754"/>
      <c r="M18" s="750" t="s">
        <v>96</v>
      </c>
      <c r="N18" s="16"/>
      <c r="O18" s="789" t="s">
        <v>73</v>
      </c>
      <c r="P18" s="754"/>
      <c r="Q18" s="754"/>
      <c r="R18" s="754"/>
      <c r="S18" s="754"/>
      <c r="T18" s="754"/>
      <c r="U18" s="750" t="s">
        <v>89</v>
      </c>
      <c r="V18" s="17"/>
      <c r="W18" s="866"/>
      <c r="X18" s="748"/>
      <c r="Y18" s="745"/>
      <c r="Z18" s="745"/>
      <c r="AA18" s="745"/>
      <c r="AB18" s="791"/>
      <c r="AC18" s="748"/>
      <c r="AD18" s="791"/>
      <c r="AE18" s="873"/>
      <c r="AG18" s="706"/>
      <c r="AH18" s="706"/>
      <c r="AM18" s="729"/>
      <c r="AN18" s="816" t="s">
        <v>44</v>
      </c>
      <c r="AO18" s="817"/>
      <c r="AP18" s="777"/>
      <c r="AQ18" s="778"/>
      <c r="AR18" s="820" t="s">
        <v>271</v>
      </c>
      <c r="AS18" s="827" t="s">
        <v>246</v>
      </c>
      <c r="AT18" s="774" t="s">
        <v>272</v>
      </c>
      <c r="AU18" s="779" t="s">
        <v>273</v>
      </c>
      <c r="AV18" s="780"/>
      <c r="AW18" s="781"/>
      <c r="AX18" s="821" t="s">
        <v>72</v>
      </c>
      <c r="AY18" s="822"/>
      <c r="AZ18" s="822"/>
      <c r="BA18" s="822"/>
      <c r="BB18" s="822"/>
      <c r="BC18" s="822"/>
      <c r="BD18" s="822"/>
      <c r="BE18" s="822"/>
      <c r="BF18" s="822"/>
      <c r="BG18" s="822"/>
      <c r="BH18" s="822"/>
      <c r="BI18" s="822"/>
      <c r="BJ18" s="822"/>
      <c r="BK18" s="822"/>
      <c r="BL18" s="822"/>
      <c r="BM18" s="823"/>
      <c r="BN18" s="824" t="s">
        <v>274</v>
      </c>
      <c r="BO18" s="284"/>
      <c r="BP18" s="800" t="s">
        <v>411</v>
      </c>
      <c r="BQ18" s="925"/>
      <c r="BR18" s="925"/>
      <c r="BS18" s="822"/>
      <c r="BT18" s="822"/>
      <c r="BU18" s="822"/>
      <c r="BV18" s="822"/>
      <c r="BW18" s="822"/>
      <c r="BX18" s="822"/>
      <c r="BY18" s="822"/>
      <c r="BZ18" s="822"/>
      <c r="CA18" s="822"/>
      <c r="CB18" s="822"/>
      <c r="CC18" s="822"/>
      <c r="CD18" s="822"/>
      <c r="CE18" s="823"/>
      <c r="CF18" s="693" t="s">
        <v>410</v>
      </c>
      <c r="CG18" s="926"/>
      <c r="CH18" s="927"/>
      <c r="CI18" s="285"/>
      <c r="CJ18" s="739"/>
      <c r="CK18" s="699" t="s">
        <v>271</v>
      </c>
      <c r="CL18" s="701" t="s">
        <v>246</v>
      </c>
      <c r="CM18" s="703" t="s">
        <v>272</v>
      </c>
      <c r="CN18" s="699" t="s">
        <v>271</v>
      </c>
      <c r="CO18" s="701" t="s">
        <v>246</v>
      </c>
      <c r="CP18" s="703" t="s">
        <v>272</v>
      </c>
      <c r="CQ18" s="830"/>
      <c r="CR18" s="699" t="s">
        <v>271</v>
      </c>
      <c r="CS18" s="701" t="s">
        <v>246</v>
      </c>
      <c r="CT18" s="703" t="s">
        <v>272</v>
      </c>
      <c r="CU18" s="699" t="s">
        <v>271</v>
      </c>
      <c r="CV18" s="701" t="s">
        <v>246</v>
      </c>
      <c r="CW18" s="703" t="s">
        <v>272</v>
      </c>
      <c r="CX18" s="286"/>
      <c r="CY18" s="714"/>
      <c r="DA18" s="706"/>
      <c r="DB18" s="706"/>
    </row>
    <row r="19" spans="2:128" ht="51.75" thickBot="1" x14ac:dyDescent="0.3">
      <c r="B19" s="876"/>
      <c r="C19" s="882"/>
      <c r="D19" s="883"/>
      <c r="E19" s="854"/>
      <c r="F19" s="856"/>
      <c r="G19" s="18" t="s">
        <v>97</v>
      </c>
      <c r="H19" s="18" t="s">
        <v>98</v>
      </c>
      <c r="I19" s="18" t="s">
        <v>99</v>
      </c>
      <c r="J19" s="18" t="s">
        <v>100</v>
      </c>
      <c r="K19" s="18" t="s">
        <v>101</v>
      </c>
      <c r="L19" s="19" t="s">
        <v>108</v>
      </c>
      <c r="M19" s="751"/>
      <c r="N19" s="20"/>
      <c r="O19" s="21" t="s">
        <v>102</v>
      </c>
      <c r="P19" s="18" t="s">
        <v>103</v>
      </c>
      <c r="Q19" s="18" t="s">
        <v>104</v>
      </c>
      <c r="R19" s="18" t="s">
        <v>105</v>
      </c>
      <c r="S19" s="18" t="s">
        <v>106</v>
      </c>
      <c r="T19" s="18" t="s">
        <v>107</v>
      </c>
      <c r="U19" s="751"/>
      <c r="V19" s="22"/>
      <c r="W19" s="867"/>
      <c r="X19" s="749"/>
      <c r="Y19" s="746"/>
      <c r="Z19" s="746"/>
      <c r="AA19" s="746"/>
      <c r="AB19" s="792"/>
      <c r="AC19" s="749"/>
      <c r="AD19" s="792"/>
      <c r="AE19" s="874"/>
      <c r="AG19" s="88">
        <f>SUM(AG20:AG31,AG37:AG44,AG49:AG60)</f>
        <v>0</v>
      </c>
      <c r="AH19" s="88">
        <f>SUM(AH20:AH31,AH37:AH44)</f>
        <v>0</v>
      </c>
      <c r="AM19" s="729"/>
      <c r="AN19" s="818"/>
      <c r="AO19" s="819"/>
      <c r="AP19" s="720"/>
      <c r="AQ19" s="721"/>
      <c r="AR19" s="700"/>
      <c r="AS19" s="702"/>
      <c r="AT19" s="704"/>
      <c r="AU19" s="287" t="s">
        <v>271</v>
      </c>
      <c r="AV19" s="288" t="s">
        <v>246</v>
      </c>
      <c r="AW19" s="289" t="s">
        <v>272</v>
      </c>
      <c r="AX19" s="290" t="s">
        <v>275</v>
      </c>
      <c r="AY19" s="291" t="s">
        <v>276</v>
      </c>
      <c r="AZ19" s="292" t="s">
        <v>277</v>
      </c>
      <c r="BA19" s="292" t="s">
        <v>278</v>
      </c>
      <c r="BB19" s="291" t="s">
        <v>279</v>
      </c>
      <c r="BC19" s="292" t="s">
        <v>280</v>
      </c>
      <c r="BD19" s="292" t="s">
        <v>281</v>
      </c>
      <c r="BE19" s="291" t="s">
        <v>282</v>
      </c>
      <c r="BF19" s="292" t="s">
        <v>283</v>
      </c>
      <c r="BG19" s="292" t="s">
        <v>284</v>
      </c>
      <c r="BH19" s="291" t="s">
        <v>285</v>
      </c>
      <c r="BI19" s="292" t="s">
        <v>286</v>
      </c>
      <c r="BJ19" s="292" t="s">
        <v>287</v>
      </c>
      <c r="BK19" s="291" t="s">
        <v>288</v>
      </c>
      <c r="BL19" s="292" t="s">
        <v>289</v>
      </c>
      <c r="BM19" s="293" t="s">
        <v>290</v>
      </c>
      <c r="BN19" s="825"/>
      <c r="BO19" s="294"/>
      <c r="BP19" s="290" t="s">
        <v>292</v>
      </c>
      <c r="BQ19" s="291" t="s">
        <v>293</v>
      </c>
      <c r="BR19" s="292" t="s">
        <v>294</v>
      </c>
      <c r="BS19" s="292" t="s">
        <v>295</v>
      </c>
      <c r="BT19" s="291" t="s">
        <v>296</v>
      </c>
      <c r="BU19" s="292" t="s">
        <v>297</v>
      </c>
      <c r="BV19" s="292" t="s">
        <v>298</v>
      </c>
      <c r="BW19" s="291" t="s">
        <v>299</v>
      </c>
      <c r="BX19" s="292" t="s">
        <v>300</v>
      </c>
      <c r="BY19" s="292" t="s">
        <v>301</v>
      </c>
      <c r="BZ19" s="291" t="s">
        <v>302</v>
      </c>
      <c r="CA19" s="292" t="s">
        <v>303</v>
      </c>
      <c r="CB19" s="292" t="s">
        <v>304</v>
      </c>
      <c r="CC19" s="291" t="s">
        <v>305</v>
      </c>
      <c r="CD19" s="292" t="s">
        <v>306</v>
      </c>
      <c r="CE19" s="293" t="s">
        <v>307</v>
      </c>
      <c r="CF19" s="295" t="s">
        <v>271</v>
      </c>
      <c r="CG19" s="296" t="s">
        <v>246</v>
      </c>
      <c r="CH19" s="297" t="s">
        <v>272</v>
      </c>
      <c r="CI19" s="298"/>
      <c r="CJ19" s="740"/>
      <c r="CK19" s="700"/>
      <c r="CL19" s="702"/>
      <c r="CM19" s="704"/>
      <c r="CN19" s="700"/>
      <c r="CO19" s="702"/>
      <c r="CP19" s="704"/>
      <c r="CQ19" s="831"/>
      <c r="CR19" s="700"/>
      <c r="CS19" s="702"/>
      <c r="CT19" s="704"/>
      <c r="CU19" s="700"/>
      <c r="CV19" s="702"/>
      <c r="CW19" s="704"/>
      <c r="CX19" s="299" t="s">
        <v>322</v>
      </c>
      <c r="CY19" s="300" t="s">
        <v>246</v>
      </c>
      <c r="DA19" s="88">
        <f>SUM(DA20:DA31,DA37:DA44,DA49:DA60)</f>
        <v>0</v>
      </c>
      <c r="DB19" s="88">
        <f>SUM(DB20:DB31,DB37:DB44)</f>
        <v>0</v>
      </c>
      <c r="DD19" s="88" t="s">
        <v>323</v>
      </c>
      <c r="DE19" s="88" t="s">
        <v>324</v>
      </c>
      <c r="DF19" s="88" t="s">
        <v>325</v>
      </c>
      <c r="DG19" s="88" t="s">
        <v>326</v>
      </c>
      <c r="DH19" s="88" t="s">
        <v>327</v>
      </c>
      <c r="DI19" s="88" t="s">
        <v>328</v>
      </c>
      <c r="DJ19" s="88" t="s">
        <v>329</v>
      </c>
      <c r="DK19" s="88" t="s">
        <v>330</v>
      </c>
      <c r="DL19" s="88" t="s">
        <v>331</v>
      </c>
      <c r="DM19" s="88" t="s">
        <v>332</v>
      </c>
      <c r="DN19" s="88" t="s">
        <v>333</v>
      </c>
      <c r="DO19" s="88" t="s">
        <v>334</v>
      </c>
      <c r="DP19" s="88" t="s">
        <v>335</v>
      </c>
      <c r="DQ19" s="88" t="s">
        <v>336</v>
      </c>
      <c r="DR19" s="88" t="s">
        <v>337</v>
      </c>
      <c r="DS19" s="88" t="s">
        <v>338</v>
      </c>
      <c r="DT19" s="88" t="s">
        <v>339</v>
      </c>
      <c r="DU19" s="88" t="s">
        <v>340</v>
      </c>
    </row>
    <row r="20" spans="2:128" ht="30" customHeight="1" x14ac:dyDescent="0.25">
      <c r="B20" s="876"/>
      <c r="C20" s="884" t="s">
        <v>45</v>
      </c>
      <c r="D20" s="88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IF(DATE(YEAR(EXPEDIENTE!$I$25)+1,MONTH(DATEVALUE($C20&amp;"1")),1)&gt;=DATE(YEAR(EXPEDIENTE!$I$25),MONTH(EXPEDIENTE!$I$25),1),0,1)</f>
        <v>0</v>
      </c>
      <c r="AJ20" s="6" t="e">
        <f>IF(DATE(YEAR(EXPEDIENTE!$I$25)+1,MONTH(DATEVALUE($C20&amp;"1")),1)&lt;=DATE(YEAR(EXPEDIENTE!$I$27),MONTH(EXPEDIENTE!$I$27),1),0,1)</f>
        <v>#VALUE!</v>
      </c>
      <c r="AK20" s="6" t="e">
        <f>SUM(AI20:AJ20)</f>
        <v>#VALUE!</v>
      </c>
      <c r="AM20" s="729"/>
      <c r="AN20" s="772" t="s">
        <v>45</v>
      </c>
      <c r="AO20" s="773"/>
      <c r="AP20" s="720"/>
      <c r="AQ20" s="721"/>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876"/>
      <c r="C21" s="886" t="s">
        <v>46</v>
      </c>
      <c r="D21" s="88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IF(DATE(YEAR(EXPEDIENTE!$I$25)+1,MONTH(DATEVALUE($C21&amp;"1")),1)&gt;=DATE(YEAR(EXPEDIENTE!$I$25),MONTH(EXPEDIENTE!$I$25),1),0,1)</f>
        <v>0</v>
      </c>
      <c r="AJ21" s="6" t="e">
        <f>IF(DATE(YEAR(EXPEDIENTE!$I$25)+1,MONTH(DATEVALUE($C21&amp;"1")),1)&lt;=DATE(YEAR(EXPEDIENTE!$I$27),MONTH(EXPEDIENTE!$I$27),1),0,1)</f>
        <v>#VALUE!</v>
      </c>
      <c r="AK21" s="6" t="e">
        <f t="shared" ref="AK21:AK31" si="27">SUM(AI21:AJ21)</f>
        <v>#VALUE!</v>
      </c>
      <c r="AM21" s="729"/>
      <c r="AN21" s="724" t="s">
        <v>46</v>
      </c>
      <c r="AO21" s="725"/>
      <c r="AP21" s="720"/>
      <c r="AQ21" s="721"/>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876"/>
      <c r="C22" s="886" t="s">
        <v>47</v>
      </c>
      <c r="D22" s="88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IF(DATE(YEAR(EXPEDIENTE!$I$25)+1,MONTH(DATEVALUE($C22&amp;"1")),1)&gt;=DATE(YEAR(EXPEDIENTE!$I$25),MONTH(EXPEDIENTE!$I$25),1),0,1)</f>
        <v>0</v>
      </c>
      <c r="AJ22" s="6" t="e">
        <f>IF(DATE(YEAR(EXPEDIENTE!$I$25)+1,MONTH(DATEVALUE($C22&amp;"1")),1)&lt;=DATE(YEAR(EXPEDIENTE!$I$27),MONTH(EXPEDIENTE!$I$27),1),0,1)</f>
        <v>#VALUE!</v>
      </c>
      <c r="AK22" s="6" t="e">
        <f t="shared" si="27"/>
        <v>#VALUE!</v>
      </c>
      <c r="AM22" s="729"/>
      <c r="AN22" s="724" t="s">
        <v>47</v>
      </c>
      <c r="AO22" s="725"/>
      <c r="AP22" s="720"/>
      <c r="AQ22" s="721"/>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876"/>
      <c r="C23" s="886" t="s">
        <v>48</v>
      </c>
      <c r="D23" s="88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IF(DATE(YEAR(EXPEDIENTE!$I$25)+1,MONTH(DATEVALUE($C23&amp;"1")),1)&gt;=DATE(YEAR(EXPEDIENTE!$I$25),MONTH(EXPEDIENTE!$I$25),1),0,1)</f>
        <v>0</v>
      </c>
      <c r="AJ23" s="6" t="e">
        <f>IF(DATE(YEAR(EXPEDIENTE!$I$25)+1,MONTH(DATEVALUE($C23&amp;"1")),1)&lt;=DATE(YEAR(EXPEDIENTE!$I$27),MONTH(EXPEDIENTE!$I$27),1),0,1)</f>
        <v>#VALUE!</v>
      </c>
      <c r="AK23" s="6" t="e">
        <f t="shared" si="27"/>
        <v>#VALUE!</v>
      </c>
      <c r="AM23" s="729"/>
      <c r="AN23" s="724" t="s">
        <v>48</v>
      </c>
      <c r="AO23" s="725"/>
      <c r="AP23" s="720"/>
      <c r="AQ23" s="721"/>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876"/>
      <c r="C24" s="886" t="s">
        <v>49</v>
      </c>
      <c r="D24" s="88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IF(DATE(YEAR(EXPEDIENTE!$I$25)+1,MONTH(DATEVALUE($C24&amp;"1")),1)&gt;=DATE(YEAR(EXPEDIENTE!$I$25),MONTH(EXPEDIENTE!$I$25),1),0,1)</f>
        <v>0</v>
      </c>
      <c r="AJ24" s="6" t="e">
        <f>IF(DATE(YEAR(EXPEDIENTE!$I$25)+1,MONTH(DATEVALUE($C24&amp;"1")),1)&lt;=DATE(YEAR(EXPEDIENTE!$I$27),MONTH(EXPEDIENTE!$I$27),1),0,1)</f>
        <v>#VALUE!</v>
      </c>
      <c r="AK24" s="6" t="e">
        <f t="shared" si="27"/>
        <v>#VALUE!</v>
      </c>
      <c r="AM24" s="729"/>
      <c r="AN24" s="724" t="s">
        <v>49</v>
      </c>
      <c r="AO24" s="725"/>
      <c r="AP24" s="720"/>
      <c r="AQ24" s="721"/>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876"/>
      <c r="C25" s="886" t="s">
        <v>50</v>
      </c>
      <c r="D25" s="88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IF(DATE(YEAR(EXPEDIENTE!$I$25)+1,MONTH(DATEVALUE($C25&amp;"1")),1)&gt;=DATE(YEAR(EXPEDIENTE!$I$25),MONTH(EXPEDIENTE!$I$25),1),0,1)</f>
        <v>0</v>
      </c>
      <c r="AJ25" s="6" t="e">
        <f>IF(DATE(YEAR(EXPEDIENTE!$I$25)+1,MONTH(DATEVALUE($C25&amp;"1")),1)&lt;=DATE(YEAR(EXPEDIENTE!$I$27),MONTH(EXPEDIENTE!$I$27),1),0,1)</f>
        <v>#VALUE!</v>
      </c>
      <c r="AK25" s="6" t="e">
        <f t="shared" si="27"/>
        <v>#VALUE!</v>
      </c>
      <c r="AM25" s="729"/>
      <c r="AN25" s="724" t="s">
        <v>50</v>
      </c>
      <c r="AO25" s="725"/>
      <c r="AP25" s="720"/>
      <c r="AQ25" s="721"/>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876"/>
      <c r="C26" s="886" t="s">
        <v>51</v>
      </c>
      <c r="D26" s="88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IF(DATE(YEAR(EXPEDIENTE!$I$25)+1,MONTH(DATEVALUE($C26&amp;"1")),1)&gt;=DATE(YEAR(EXPEDIENTE!$I$25),MONTH(EXPEDIENTE!$I$25),1),0,1)</f>
        <v>0</v>
      </c>
      <c r="AJ26" s="6" t="e">
        <f>IF(DATE(YEAR(EXPEDIENTE!$I$25)+1,MONTH(DATEVALUE($C26&amp;"1")),1)&lt;=DATE(YEAR(EXPEDIENTE!$I$27),MONTH(EXPEDIENTE!$I$27),1),0,1)</f>
        <v>#VALUE!</v>
      </c>
      <c r="AK26" s="6" t="e">
        <f t="shared" si="27"/>
        <v>#VALUE!</v>
      </c>
      <c r="AM26" s="729"/>
      <c r="AN26" s="724" t="s">
        <v>51</v>
      </c>
      <c r="AO26" s="725"/>
      <c r="AP26" s="720"/>
      <c r="AQ26" s="721"/>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876"/>
      <c r="C27" s="886" t="s">
        <v>52</v>
      </c>
      <c r="D27" s="88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IF(DATE(YEAR(EXPEDIENTE!$I$25)+1,MONTH(DATEVALUE($C27&amp;"1")),1)&gt;=DATE(YEAR(EXPEDIENTE!$I$25),MONTH(EXPEDIENTE!$I$25),1),0,1)</f>
        <v>0</v>
      </c>
      <c r="AJ27" s="6" t="e">
        <f>IF(DATE(YEAR(EXPEDIENTE!$I$25)+1,MONTH(DATEVALUE($C27&amp;"1")),1)&lt;=DATE(YEAR(EXPEDIENTE!$I$27),MONTH(EXPEDIENTE!$I$27),1),0,1)</f>
        <v>#VALUE!</v>
      </c>
      <c r="AK27" s="6" t="e">
        <f t="shared" si="27"/>
        <v>#VALUE!</v>
      </c>
      <c r="AM27" s="729"/>
      <c r="AN27" s="724" t="s">
        <v>52</v>
      </c>
      <c r="AO27" s="725"/>
      <c r="AP27" s="720"/>
      <c r="AQ27" s="721"/>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876"/>
      <c r="C28" s="886" t="s">
        <v>53</v>
      </c>
      <c r="D28" s="88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IF(DATE(YEAR(EXPEDIENTE!$I$25)+1,MONTH(DATEVALUE($C28&amp;"1")),1)&gt;=DATE(YEAR(EXPEDIENTE!$I$25),MONTH(EXPEDIENTE!$I$25),1),0,1)</f>
        <v>0</v>
      </c>
      <c r="AJ28" s="6" t="e">
        <f>IF(DATE(YEAR(EXPEDIENTE!$I$25)+1,MONTH(DATEVALUE($C28&amp;"1")),1)&lt;=DATE(YEAR(EXPEDIENTE!$I$27),MONTH(EXPEDIENTE!$I$27),1),0,1)</f>
        <v>#VALUE!</v>
      </c>
      <c r="AK28" s="6" t="e">
        <f t="shared" si="27"/>
        <v>#VALUE!</v>
      </c>
      <c r="AM28" s="729"/>
      <c r="AN28" s="724" t="s">
        <v>53</v>
      </c>
      <c r="AO28" s="725"/>
      <c r="AP28" s="720"/>
      <c r="AQ28" s="721"/>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876"/>
      <c r="C29" s="886" t="s">
        <v>54</v>
      </c>
      <c r="D29" s="88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IF(DATE(YEAR(EXPEDIENTE!$I$25)+1,MONTH(DATEVALUE($C29&amp;"1")),1)&gt;=DATE(YEAR(EXPEDIENTE!$I$25),MONTH(EXPEDIENTE!$I$25),1),0,1)</f>
        <v>0</v>
      </c>
      <c r="AJ29" s="6" t="e">
        <f>IF(DATE(YEAR(EXPEDIENTE!$I$25)+1,MONTH(DATEVALUE($C29&amp;"1")),1)&lt;=DATE(YEAR(EXPEDIENTE!$I$27),MONTH(EXPEDIENTE!$I$27),1),0,1)</f>
        <v>#VALUE!</v>
      </c>
      <c r="AK29" s="6" t="e">
        <f t="shared" si="27"/>
        <v>#VALUE!</v>
      </c>
      <c r="AM29" s="729"/>
      <c r="AN29" s="724" t="s">
        <v>54</v>
      </c>
      <c r="AO29" s="725"/>
      <c r="AP29" s="720"/>
      <c r="AQ29" s="721"/>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876"/>
      <c r="C30" s="886" t="s">
        <v>55</v>
      </c>
      <c r="D30" s="88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IF(DATE(YEAR(EXPEDIENTE!$I$25)+1,MONTH(DATEVALUE($C30&amp;"1")),1)&gt;=DATE(YEAR(EXPEDIENTE!$I$25),MONTH(EXPEDIENTE!$I$25),1),0,1)</f>
        <v>0</v>
      </c>
      <c r="AJ30" s="6" t="e">
        <f>IF(DATE(YEAR(EXPEDIENTE!$I$25)+1,MONTH(DATEVALUE($C30&amp;"1")),1)&lt;=DATE(YEAR(EXPEDIENTE!$I$27),MONTH(EXPEDIENTE!$I$27),1),0,1)</f>
        <v>#VALUE!</v>
      </c>
      <c r="AK30" s="6" t="e">
        <f t="shared" si="27"/>
        <v>#VALUE!</v>
      </c>
      <c r="AM30" s="729"/>
      <c r="AN30" s="724" t="s">
        <v>55</v>
      </c>
      <c r="AO30" s="725"/>
      <c r="AP30" s="720"/>
      <c r="AQ30" s="721"/>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876"/>
      <c r="C31" s="890" t="s">
        <v>56</v>
      </c>
      <c r="D31" s="891"/>
      <c r="E31" s="179"/>
      <c r="F31" s="55"/>
      <c r="G31" s="56"/>
      <c r="H31" s="56"/>
      <c r="I31" s="56"/>
      <c r="J31" s="56"/>
      <c r="K31" s="56"/>
      <c r="L31" s="30">
        <f t="shared" si="24"/>
        <v>0</v>
      </c>
      <c r="M31" s="177">
        <f t="shared" si="69"/>
        <v>0</v>
      </c>
      <c r="N31" s="25"/>
      <c r="O31" s="57"/>
      <c r="P31" s="58"/>
      <c r="Q31" s="58"/>
      <c r="R31" s="58"/>
      <c r="S31" s="58"/>
      <c r="T31" s="29">
        <f t="shared" si="25"/>
        <v>0</v>
      </c>
      <c r="U31" s="61"/>
      <c r="V31" s="27"/>
      <c r="W31" s="177">
        <f t="shared" si="70"/>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IF(DATE(YEAR(EXPEDIENTE!$I$25)+1,MONTH(DATEVALUE($C31&amp;"1")),1)&gt;=DATE(YEAR(EXPEDIENTE!$I$25),MONTH(EXPEDIENTE!$I$25),1),0,1)</f>
        <v>0</v>
      </c>
      <c r="AJ31" s="6" t="e">
        <f>IF(DATE(YEAR(EXPEDIENTE!$I$25)+1,MONTH(DATEVALUE($C31&amp;"1")),1)&lt;=DATE(YEAR(EXPEDIENTE!$I$27),MONTH(EXPEDIENTE!$I$27),1),0,1)</f>
        <v>#VALUE!</v>
      </c>
      <c r="AK31" s="6" t="e">
        <f t="shared" si="27"/>
        <v>#VALUE!</v>
      </c>
      <c r="AM31" s="729"/>
      <c r="AN31" s="782" t="s">
        <v>56</v>
      </c>
      <c r="AO31" s="783"/>
      <c r="AP31" s="722"/>
      <c r="AQ31" s="723"/>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876"/>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729"/>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876"/>
      <c r="C33" s="888" t="s">
        <v>186</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9"/>
      <c r="AG33" s="6"/>
      <c r="AH33" s="6"/>
      <c r="AI33" s="109"/>
      <c r="AJ33" s="109"/>
      <c r="AK33" s="109"/>
      <c r="AM33" s="729"/>
      <c r="AN33" s="752" t="s">
        <v>186</v>
      </c>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2"/>
      <c r="CN33" s="752"/>
      <c r="CO33" s="752"/>
      <c r="CP33" s="752"/>
      <c r="CQ33" s="752"/>
      <c r="CR33" s="752"/>
      <c r="CS33" s="752"/>
      <c r="CT33" s="752"/>
      <c r="CU33" s="752"/>
      <c r="CV33" s="752"/>
      <c r="CW33" s="752"/>
      <c r="CX33" s="752"/>
      <c r="CY33" s="7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6"/>
      <c r="C34" s="859" t="s">
        <v>87</v>
      </c>
      <c r="D34" s="860"/>
      <c r="E34" s="861"/>
      <c r="F34" s="862" t="s">
        <v>85</v>
      </c>
      <c r="G34" s="863"/>
      <c r="H34" s="863"/>
      <c r="I34" s="863"/>
      <c r="J34" s="863"/>
      <c r="K34" s="863"/>
      <c r="L34" s="863"/>
      <c r="M34" s="864"/>
      <c r="N34" s="741" t="s">
        <v>88</v>
      </c>
      <c r="O34" s="742"/>
      <c r="P34" s="742"/>
      <c r="Q34" s="742"/>
      <c r="R34" s="742"/>
      <c r="S34" s="742"/>
      <c r="T34" s="742"/>
      <c r="U34" s="742"/>
      <c r="V34" s="743"/>
      <c r="W34" s="865" t="s">
        <v>79</v>
      </c>
      <c r="X34" s="747" t="s">
        <v>66</v>
      </c>
      <c r="Y34" s="744" t="s">
        <v>59</v>
      </c>
      <c r="Z34" s="744" t="s">
        <v>60</v>
      </c>
      <c r="AA34" s="744" t="s">
        <v>64</v>
      </c>
      <c r="AB34" s="790" t="s">
        <v>84</v>
      </c>
      <c r="AC34" s="747" t="s">
        <v>91</v>
      </c>
      <c r="AD34" s="790" t="s">
        <v>90</v>
      </c>
      <c r="AE34" s="872" t="s">
        <v>67</v>
      </c>
      <c r="AM34" s="729"/>
      <c r="AN34" s="733" t="s">
        <v>87</v>
      </c>
      <c r="AO34" s="734"/>
      <c r="AP34" s="734"/>
      <c r="AQ34" s="734"/>
      <c r="AR34" s="734"/>
      <c r="AS34" s="734"/>
      <c r="AT34" s="735"/>
      <c r="AU34" s="911" t="s">
        <v>85</v>
      </c>
      <c r="AV34" s="912"/>
      <c r="AW34" s="912"/>
      <c r="AX34" s="912"/>
      <c r="AY34" s="912"/>
      <c r="AZ34" s="912"/>
      <c r="BA34" s="912"/>
      <c r="BB34" s="912"/>
      <c r="BC34" s="912"/>
      <c r="BD34" s="912"/>
      <c r="BE34" s="912"/>
      <c r="BF34" s="912"/>
      <c r="BG34" s="912"/>
      <c r="BH34" s="912"/>
      <c r="BI34" s="912"/>
      <c r="BJ34" s="912"/>
      <c r="BK34" s="912"/>
      <c r="BL34" s="912"/>
      <c r="BM34" s="912"/>
      <c r="BN34" s="913"/>
      <c r="BO34" s="768" t="s">
        <v>408</v>
      </c>
      <c r="BP34" s="769"/>
      <c r="BQ34" s="769"/>
      <c r="BR34" s="769"/>
      <c r="BS34" s="769"/>
      <c r="BT34" s="769"/>
      <c r="BU34" s="769"/>
      <c r="BV34" s="769"/>
      <c r="BW34" s="769"/>
      <c r="BX34" s="769"/>
      <c r="BY34" s="769"/>
      <c r="BZ34" s="769"/>
      <c r="CA34" s="769"/>
      <c r="CB34" s="769"/>
      <c r="CC34" s="769"/>
      <c r="CD34" s="769"/>
      <c r="CE34" s="769"/>
      <c r="CF34" s="769"/>
      <c r="CG34" s="770"/>
      <c r="CH34" s="770"/>
      <c r="CI34" s="771"/>
      <c r="CJ34" s="828" t="s">
        <v>79</v>
      </c>
      <c r="CK34" s="696" t="s">
        <v>317</v>
      </c>
      <c r="CL34" s="697"/>
      <c r="CM34" s="698"/>
      <c r="CN34" s="715" t="s">
        <v>318</v>
      </c>
      <c r="CO34" s="716"/>
      <c r="CP34" s="717"/>
      <c r="CQ34" s="829" t="s">
        <v>60</v>
      </c>
      <c r="CR34" s="707" t="s">
        <v>320</v>
      </c>
      <c r="CS34" s="708"/>
      <c r="CT34" s="709"/>
      <c r="CU34" s="710" t="s">
        <v>319</v>
      </c>
      <c r="CV34" s="711"/>
      <c r="CW34" s="712"/>
      <c r="CX34" s="283"/>
      <c r="CY34" s="713" t="s">
        <v>321</v>
      </c>
    </row>
    <row r="35" spans="2:128" x14ac:dyDescent="0.25">
      <c r="B35" s="876"/>
      <c r="C35" s="878" t="s">
        <v>70</v>
      </c>
      <c r="D35" s="754" t="s">
        <v>63</v>
      </c>
      <c r="E35" s="892"/>
      <c r="F35" s="855" t="s">
        <v>57</v>
      </c>
      <c r="G35" s="754" t="s">
        <v>72</v>
      </c>
      <c r="H35" s="754"/>
      <c r="I35" s="754"/>
      <c r="J35" s="754"/>
      <c r="K35" s="754"/>
      <c r="L35" s="755"/>
      <c r="M35" s="750" t="s">
        <v>96</v>
      </c>
      <c r="N35" s="16"/>
      <c r="O35" s="789" t="s">
        <v>73</v>
      </c>
      <c r="P35" s="754"/>
      <c r="Q35" s="754"/>
      <c r="R35" s="754"/>
      <c r="S35" s="754"/>
      <c r="T35" s="754"/>
      <c r="U35" s="750" t="s">
        <v>89</v>
      </c>
      <c r="V35" s="17"/>
      <c r="W35" s="866"/>
      <c r="X35" s="748"/>
      <c r="Y35" s="745"/>
      <c r="Z35" s="745"/>
      <c r="AA35" s="745"/>
      <c r="AB35" s="791"/>
      <c r="AC35" s="748"/>
      <c r="AD35" s="791"/>
      <c r="AE35" s="873"/>
      <c r="AM35" s="729"/>
      <c r="AN35" s="807" t="s">
        <v>70</v>
      </c>
      <c r="AO35" s="804" t="s">
        <v>63</v>
      </c>
      <c r="AP35" s="805"/>
      <c r="AQ35" s="806"/>
      <c r="AR35" s="804" t="s">
        <v>63</v>
      </c>
      <c r="AS35" s="805"/>
      <c r="AT35" s="806"/>
      <c r="AU35" s="779" t="s">
        <v>273</v>
      </c>
      <c r="AV35" s="780"/>
      <c r="AW35" s="781"/>
      <c r="AX35" s="821" t="s">
        <v>72</v>
      </c>
      <c r="AY35" s="822"/>
      <c r="AZ35" s="822"/>
      <c r="BA35" s="822"/>
      <c r="BB35" s="822"/>
      <c r="BC35" s="822"/>
      <c r="BD35" s="822"/>
      <c r="BE35" s="822"/>
      <c r="BF35" s="822"/>
      <c r="BG35" s="822"/>
      <c r="BH35" s="822"/>
      <c r="BI35" s="822"/>
      <c r="BJ35" s="822"/>
      <c r="BK35" s="822"/>
      <c r="BL35" s="822"/>
      <c r="BM35" s="823"/>
      <c r="BN35" s="824" t="s">
        <v>274</v>
      </c>
      <c r="BO35" s="284"/>
      <c r="BP35" s="800" t="s">
        <v>412</v>
      </c>
      <c r="BQ35" s="801"/>
      <c r="BR35" s="801"/>
      <c r="BS35" s="802"/>
      <c r="BT35" s="802"/>
      <c r="BU35" s="802"/>
      <c r="BV35" s="802"/>
      <c r="BW35" s="802"/>
      <c r="BX35" s="802"/>
      <c r="BY35" s="802"/>
      <c r="BZ35" s="802"/>
      <c r="CA35" s="802"/>
      <c r="CB35" s="802"/>
      <c r="CC35" s="802"/>
      <c r="CD35" s="802"/>
      <c r="CE35" s="803"/>
      <c r="CF35" s="693" t="s">
        <v>410</v>
      </c>
      <c r="CG35" s="694"/>
      <c r="CH35" s="695"/>
      <c r="CI35" s="285"/>
      <c r="CJ35" s="739"/>
      <c r="CK35" s="699" t="s">
        <v>271</v>
      </c>
      <c r="CL35" s="701" t="s">
        <v>246</v>
      </c>
      <c r="CM35" s="703" t="s">
        <v>272</v>
      </c>
      <c r="CN35" s="699" t="s">
        <v>271</v>
      </c>
      <c r="CO35" s="701" t="s">
        <v>246</v>
      </c>
      <c r="CP35" s="703" t="s">
        <v>272</v>
      </c>
      <c r="CQ35" s="830"/>
      <c r="CR35" s="699" t="s">
        <v>271</v>
      </c>
      <c r="CS35" s="701" t="s">
        <v>246</v>
      </c>
      <c r="CT35" s="703" t="s">
        <v>272</v>
      </c>
      <c r="CU35" s="699" t="s">
        <v>271</v>
      </c>
      <c r="CV35" s="701" t="s">
        <v>246</v>
      </c>
      <c r="CW35" s="703" t="s">
        <v>272</v>
      </c>
      <c r="CX35" s="286"/>
      <c r="CY35" s="714"/>
    </row>
    <row r="36" spans="2:128" ht="51.75" thickBot="1" x14ac:dyDescent="0.3">
      <c r="B36" s="876"/>
      <c r="C36" s="879"/>
      <c r="D36" s="36" t="s">
        <v>68</v>
      </c>
      <c r="E36" s="37" t="s">
        <v>69</v>
      </c>
      <c r="F36" s="856"/>
      <c r="G36" s="18" t="s">
        <v>97</v>
      </c>
      <c r="H36" s="18" t="s">
        <v>98</v>
      </c>
      <c r="I36" s="18" t="s">
        <v>99</v>
      </c>
      <c r="J36" s="18" t="s">
        <v>100</v>
      </c>
      <c r="K36" s="18" t="s">
        <v>101</v>
      </c>
      <c r="L36" s="19" t="s">
        <v>108</v>
      </c>
      <c r="M36" s="751"/>
      <c r="N36" s="20"/>
      <c r="O36" s="21" t="s">
        <v>102</v>
      </c>
      <c r="P36" s="18" t="s">
        <v>103</v>
      </c>
      <c r="Q36" s="18" t="s">
        <v>104</v>
      </c>
      <c r="R36" s="18" t="s">
        <v>105</v>
      </c>
      <c r="S36" s="18" t="s">
        <v>106</v>
      </c>
      <c r="T36" s="18" t="s">
        <v>107</v>
      </c>
      <c r="U36" s="751"/>
      <c r="V36" s="22"/>
      <c r="W36" s="867"/>
      <c r="X36" s="749"/>
      <c r="Y36" s="746"/>
      <c r="Z36" s="746"/>
      <c r="AA36" s="746"/>
      <c r="AB36" s="792"/>
      <c r="AC36" s="749"/>
      <c r="AD36" s="792"/>
      <c r="AE36" s="874"/>
      <c r="AM36" s="729"/>
      <c r="AN36" s="808"/>
      <c r="AO36" s="287" t="s">
        <v>308</v>
      </c>
      <c r="AP36" s="354" t="s">
        <v>309</v>
      </c>
      <c r="AQ36" s="289" t="s">
        <v>272</v>
      </c>
      <c r="AR36" s="287" t="s">
        <v>311</v>
      </c>
      <c r="AS36" s="354" t="s">
        <v>312</v>
      </c>
      <c r="AT36" s="289" t="s">
        <v>272</v>
      </c>
      <c r="AU36" s="287" t="s">
        <v>271</v>
      </c>
      <c r="AV36" s="288" t="s">
        <v>246</v>
      </c>
      <c r="AW36" s="289" t="s">
        <v>272</v>
      </c>
      <c r="AX36" s="290" t="s">
        <v>275</v>
      </c>
      <c r="AY36" s="291" t="s">
        <v>276</v>
      </c>
      <c r="AZ36" s="292" t="s">
        <v>277</v>
      </c>
      <c r="BA36" s="292" t="s">
        <v>278</v>
      </c>
      <c r="BB36" s="291" t="s">
        <v>279</v>
      </c>
      <c r="BC36" s="292" t="s">
        <v>280</v>
      </c>
      <c r="BD36" s="292" t="s">
        <v>281</v>
      </c>
      <c r="BE36" s="291" t="s">
        <v>282</v>
      </c>
      <c r="BF36" s="292" t="s">
        <v>283</v>
      </c>
      <c r="BG36" s="292" t="s">
        <v>284</v>
      </c>
      <c r="BH36" s="291" t="s">
        <v>285</v>
      </c>
      <c r="BI36" s="292" t="s">
        <v>286</v>
      </c>
      <c r="BJ36" s="292" t="s">
        <v>287</v>
      </c>
      <c r="BK36" s="291" t="s">
        <v>288</v>
      </c>
      <c r="BL36" s="292" t="s">
        <v>289</v>
      </c>
      <c r="BM36" s="293" t="s">
        <v>290</v>
      </c>
      <c r="BN36" s="825"/>
      <c r="BO36" s="294"/>
      <c r="BP36" s="290" t="s">
        <v>292</v>
      </c>
      <c r="BQ36" s="291" t="s">
        <v>293</v>
      </c>
      <c r="BR36" s="292" t="s">
        <v>294</v>
      </c>
      <c r="BS36" s="292" t="s">
        <v>295</v>
      </c>
      <c r="BT36" s="291" t="s">
        <v>296</v>
      </c>
      <c r="BU36" s="292" t="s">
        <v>297</v>
      </c>
      <c r="BV36" s="292" t="s">
        <v>298</v>
      </c>
      <c r="BW36" s="291" t="s">
        <v>299</v>
      </c>
      <c r="BX36" s="292" t="s">
        <v>300</v>
      </c>
      <c r="BY36" s="292" t="s">
        <v>301</v>
      </c>
      <c r="BZ36" s="291" t="s">
        <v>302</v>
      </c>
      <c r="CA36" s="292" t="s">
        <v>303</v>
      </c>
      <c r="CB36" s="292" t="s">
        <v>304</v>
      </c>
      <c r="CC36" s="291" t="s">
        <v>305</v>
      </c>
      <c r="CD36" s="292" t="s">
        <v>306</v>
      </c>
      <c r="CE36" s="293" t="s">
        <v>307</v>
      </c>
      <c r="CF36" s="295" t="s">
        <v>271</v>
      </c>
      <c r="CG36" s="296" t="s">
        <v>246</v>
      </c>
      <c r="CH36" s="297" t="s">
        <v>272</v>
      </c>
      <c r="CI36" s="298"/>
      <c r="CJ36" s="740"/>
      <c r="CK36" s="700"/>
      <c r="CL36" s="702"/>
      <c r="CM36" s="704"/>
      <c r="CN36" s="700"/>
      <c r="CO36" s="702"/>
      <c r="CP36" s="704"/>
      <c r="CQ36" s="831"/>
      <c r="CR36" s="700"/>
      <c r="CS36" s="702"/>
      <c r="CT36" s="704"/>
      <c r="CU36" s="700"/>
      <c r="CV36" s="702"/>
      <c r="CW36" s="704"/>
      <c r="CX36" s="299" t="s">
        <v>322</v>
      </c>
      <c r="CY36" s="300" t="s">
        <v>246</v>
      </c>
      <c r="DD36" s="88" t="s">
        <v>323</v>
      </c>
      <c r="DE36" s="88" t="s">
        <v>324</v>
      </c>
      <c r="DF36" s="88" t="s">
        <v>325</v>
      </c>
      <c r="DG36" s="88" t="s">
        <v>326</v>
      </c>
      <c r="DH36" s="88" t="s">
        <v>327</v>
      </c>
      <c r="DI36" s="88" t="s">
        <v>328</v>
      </c>
      <c r="DJ36" s="88" t="s">
        <v>329</v>
      </c>
      <c r="DK36" s="88" t="s">
        <v>330</v>
      </c>
      <c r="DL36" s="88" t="s">
        <v>331</v>
      </c>
      <c r="DM36" s="88" t="s">
        <v>332</v>
      </c>
      <c r="DN36" s="88" t="s">
        <v>333</v>
      </c>
      <c r="DO36" s="88" t="s">
        <v>334</v>
      </c>
      <c r="DP36" s="88" t="s">
        <v>335</v>
      </c>
      <c r="DQ36" s="88" t="s">
        <v>336</v>
      </c>
      <c r="DR36" s="88" t="s">
        <v>337</v>
      </c>
      <c r="DS36" s="88" t="s">
        <v>338</v>
      </c>
      <c r="DT36" s="88" t="s">
        <v>339</v>
      </c>
      <c r="DU36" s="88" t="s">
        <v>340</v>
      </c>
    </row>
    <row r="37" spans="2:128" ht="30" customHeight="1" x14ac:dyDescent="0.25">
      <c r="B37" s="87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9"/>
      <c r="AN37" s="355" t="str">
        <f t="shared" ref="AN37:AN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87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9"/>
      <c r="AN38" s="361" t="str">
        <f t="shared" si="71"/>
        <v/>
      </c>
      <c r="AO38" s="318" t="str">
        <f t="shared" ref="AO38:AO44" si="95">IF(D38="","",D38)</f>
        <v/>
      </c>
      <c r="AP38" s="239"/>
      <c r="AQ38" s="319" t="str">
        <f t="shared" ref="AQ38:AQ44" si="96">IF(AP38="",AO38,AP38)</f>
        <v/>
      </c>
      <c r="AR38" s="318" t="str">
        <f t="shared" si="72"/>
        <v/>
      </c>
      <c r="AS38" s="239"/>
      <c r="AT38" s="319" t="str">
        <f t="shared" ref="AT38:AT44" si="97">IF(AS38="",AR38,AS38)</f>
        <v/>
      </c>
      <c r="AU38" s="304">
        <f t="shared" si="73"/>
        <v>0</v>
      </c>
      <c r="AV38" s="531"/>
      <c r="AW38" s="325">
        <f t="shared" ref="AW38:AW44" si="98">IF(AV38="",AU38,AV38)</f>
        <v>0</v>
      </c>
      <c r="AX38" s="324">
        <f t="shared" si="74"/>
        <v>0</v>
      </c>
      <c r="AY38" s="532"/>
      <c r="AZ38" s="326">
        <f t="shared" ref="AZ38:AZ44" si="99">IF(AY38="",AX38,AY38)</f>
        <v>0</v>
      </c>
      <c r="BA38" s="326">
        <f t="shared" si="75"/>
        <v>0</v>
      </c>
      <c r="BB38" s="532"/>
      <c r="BC38" s="326">
        <f t="shared" ref="BC38:BC44" si="100">IF(BB38="",BA38,BB38)</f>
        <v>0</v>
      </c>
      <c r="BD38" s="326">
        <f t="shared" si="76"/>
        <v>0</v>
      </c>
      <c r="BE38" s="532"/>
      <c r="BF38" s="326">
        <f t="shared" ref="BF38:BF44" si="101">IF(BE38="",BD38,BE38)</f>
        <v>0</v>
      </c>
      <c r="BG38" s="326">
        <f t="shared" si="77"/>
        <v>0</v>
      </c>
      <c r="BH38" s="532"/>
      <c r="BI38" s="326">
        <f t="shared" ref="BI38:BI44" si="102">IF(BH38="",BG38,BH38)</f>
        <v>0</v>
      </c>
      <c r="BJ38" s="326">
        <f t="shared" si="78"/>
        <v>0</v>
      </c>
      <c r="BK38" s="532"/>
      <c r="BL38" s="326">
        <f t="shared" ref="BL38:BL44" si="103">IF(BK38="",BJ38,BK38)</f>
        <v>0</v>
      </c>
      <c r="BM38" s="307">
        <f t="shared" ref="BM38:BM44" si="104">AZ38+BC38+BF38+BI38+BL38</f>
        <v>0</v>
      </c>
      <c r="BN38" s="327">
        <f t="shared" ref="BN38:BN44" si="105">AW38+BM38</f>
        <v>0</v>
      </c>
      <c r="BO38" s="358"/>
      <c r="BP38" s="324">
        <f t="shared" si="79"/>
        <v>0</v>
      </c>
      <c r="BQ38" s="531"/>
      <c r="BR38" s="328">
        <f t="shared" ref="BR38:BR44" si="106">IF(BQ38="",BP38,BQ38)</f>
        <v>0</v>
      </c>
      <c r="BS38" s="326">
        <f t="shared" si="80"/>
        <v>0</v>
      </c>
      <c r="BT38" s="532"/>
      <c r="BU38" s="326">
        <f t="shared" ref="BU38:BU44" si="107">IF(BT38="",BS38,BT38)</f>
        <v>0</v>
      </c>
      <c r="BV38" s="326">
        <f t="shared" si="81"/>
        <v>0</v>
      </c>
      <c r="BW38" s="532"/>
      <c r="BX38" s="326">
        <f t="shared" ref="BX38:BX44" si="108">IF(BW38="",BV38,BW38)</f>
        <v>0</v>
      </c>
      <c r="BY38" s="326">
        <f t="shared" si="82"/>
        <v>0</v>
      </c>
      <c r="BZ38" s="532"/>
      <c r="CA38" s="326">
        <f t="shared" ref="CA38:CA44" si="109">IF(BZ38="",BY38,BZ38)</f>
        <v>0</v>
      </c>
      <c r="CB38" s="326">
        <f t="shared" si="83"/>
        <v>0</v>
      </c>
      <c r="CC38" s="532"/>
      <c r="CD38" s="326">
        <f t="shared" ref="CD38:CD44" si="110">IF(CC38="",CB38,CC38)</f>
        <v>0</v>
      </c>
      <c r="CE38" s="307">
        <f t="shared" ref="CE38:CE44" si="111">BR38+BU38+BX38+CA38+CD38</f>
        <v>0</v>
      </c>
      <c r="CF38" s="324">
        <f t="shared" si="84"/>
        <v>0</v>
      </c>
      <c r="CG38" s="532"/>
      <c r="CH38" s="329">
        <f t="shared" ref="CH38:CH44" si="112">IF(CG38="",CF38,CG38)</f>
        <v>0</v>
      </c>
      <c r="CI38" s="313"/>
      <c r="CJ38" s="330">
        <f t="shared" ref="CJ38:CJ44" si="113">BN38+CE38+CH38</f>
        <v>0</v>
      </c>
      <c r="CK38" s="324">
        <f t="shared" si="85"/>
        <v>0</v>
      </c>
      <c r="CL38" s="531"/>
      <c r="CM38" s="325">
        <f t="shared" ref="CM38:CM44" si="114">IF(CL38="",CK38,CL38)</f>
        <v>0</v>
      </c>
      <c r="CN38" s="324">
        <f t="shared" si="86"/>
        <v>0</v>
      </c>
      <c r="CO38" s="527"/>
      <c r="CP38" s="362">
        <f t="shared" ref="CP38:CP44" si="115">IF(CO38="",CN38,CO38)</f>
        <v>0</v>
      </c>
      <c r="CQ38" s="315">
        <f t="shared" ref="CQ38:CQ44" si="116">AW38+BM38+CE38+CH38-CM38-CP38</f>
        <v>0</v>
      </c>
      <c r="CR38" s="318" t="str">
        <f t="shared" si="87"/>
        <v/>
      </c>
      <c r="CS38" s="239"/>
      <c r="CT38" s="319" t="str">
        <f t="shared" ref="CT38:CT44" si="117">IF(CS38="",CR38,CS38)</f>
        <v/>
      </c>
      <c r="CU38" s="318" t="str">
        <f t="shared" si="88"/>
        <v/>
      </c>
      <c r="CV38" s="239"/>
      <c r="CW38" s="319" t="str">
        <f t="shared" ref="CW38:CW44" si="118">IF(CV38="",CU38,CV38)</f>
        <v/>
      </c>
      <c r="CX38" s="331" t="str">
        <f t="shared" ref="CX38:CX44" si="119">IF(DD38=0,"",DD38)</f>
        <v/>
      </c>
      <c r="CY38" s="533"/>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5" t="str">
        <f t="shared" si="90"/>
        <v/>
      </c>
    </row>
    <row r="39" spans="2:128" ht="30" customHeight="1" x14ac:dyDescent="0.25">
      <c r="B39" s="876"/>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9"/>
      <c r="AN39" s="361" t="str">
        <f t="shared" si="71"/>
        <v/>
      </c>
      <c r="AO39" s="318" t="str">
        <f t="shared" si="95"/>
        <v/>
      </c>
      <c r="AP39" s="239"/>
      <c r="AQ39" s="319" t="str">
        <f t="shared" si="96"/>
        <v/>
      </c>
      <c r="AR39" s="318" t="str">
        <f t="shared" si="72"/>
        <v/>
      </c>
      <c r="AS39" s="239"/>
      <c r="AT39" s="319" t="str">
        <f t="shared" si="97"/>
        <v/>
      </c>
      <c r="AU39" s="304">
        <f t="shared" si="73"/>
        <v>0</v>
      </c>
      <c r="AV39" s="531"/>
      <c r="AW39" s="325">
        <f t="shared" si="98"/>
        <v>0</v>
      </c>
      <c r="AX39" s="324">
        <f t="shared" si="74"/>
        <v>0</v>
      </c>
      <c r="AY39" s="532"/>
      <c r="AZ39" s="326">
        <f t="shared" si="99"/>
        <v>0</v>
      </c>
      <c r="BA39" s="326">
        <f t="shared" si="75"/>
        <v>0</v>
      </c>
      <c r="BB39" s="532"/>
      <c r="BC39" s="326">
        <f t="shared" si="100"/>
        <v>0</v>
      </c>
      <c r="BD39" s="326">
        <f t="shared" si="76"/>
        <v>0</v>
      </c>
      <c r="BE39" s="532"/>
      <c r="BF39" s="326">
        <f t="shared" si="101"/>
        <v>0</v>
      </c>
      <c r="BG39" s="326">
        <f t="shared" si="77"/>
        <v>0</v>
      </c>
      <c r="BH39" s="532"/>
      <c r="BI39" s="326">
        <f t="shared" si="102"/>
        <v>0</v>
      </c>
      <c r="BJ39" s="326">
        <f t="shared" si="78"/>
        <v>0</v>
      </c>
      <c r="BK39" s="532"/>
      <c r="BL39" s="326">
        <f t="shared" si="103"/>
        <v>0</v>
      </c>
      <c r="BM39" s="307">
        <f t="shared" si="104"/>
        <v>0</v>
      </c>
      <c r="BN39" s="327">
        <f t="shared" si="105"/>
        <v>0</v>
      </c>
      <c r="BO39" s="358"/>
      <c r="BP39" s="324">
        <f t="shared" si="79"/>
        <v>0</v>
      </c>
      <c r="BQ39" s="531"/>
      <c r="BR39" s="328">
        <f t="shared" si="106"/>
        <v>0</v>
      </c>
      <c r="BS39" s="326">
        <f t="shared" si="80"/>
        <v>0</v>
      </c>
      <c r="BT39" s="532"/>
      <c r="BU39" s="326">
        <f t="shared" si="107"/>
        <v>0</v>
      </c>
      <c r="BV39" s="326">
        <f t="shared" si="81"/>
        <v>0</v>
      </c>
      <c r="BW39" s="532"/>
      <c r="BX39" s="326">
        <f t="shared" si="108"/>
        <v>0</v>
      </c>
      <c r="BY39" s="326">
        <f t="shared" si="82"/>
        <v>0</v>
      </c>
      <c r="BZ39" s="532"/>
      <c r="CA39" s="326">
        <f t="shared" si="109"/>
        <v>0</v>
      </c>
      <c r="CB39" s="326">
        <f t="shared" si="83"/>
        <v>0</v>
      </c>
      <c r="CC39" s="532"/>
      <c r="CD39" s="326">
        <f t="shared" si="110"/>
        <v>0</v>
      </c>
      <c r="CE39" s="307">
        <f t="shared" si="111"/>
        <v>0</v>
      </c>
      <c r="CF39" s="324">
        <f t="shared" si="84"/>
        <v>0</v>
      </c>
      <c r="CG39" s="532"/>
      <c r="CH39" s="329">
        <f t="shared" si="112"/>
        <v>0</v>
      </c>
      <c r="CI39" s="313"/>
      <c r="CJ39" s="330">
        <f t="shared" si="113"/>
        <v>0</v>
      </c>
      <c r="CK39" s="324">
        <f t="shared" si="85"/>
        <v>0</v>
      </c>
      <c r="CL39" s="531"/>
      <c r="CM39" s="325">
        <f t="shared" si="114"/>
        <v>0</v>
      </c>
      <c r="CN39" s="324">
        <f t="shared" si="86"/>
        <v>0</v>
      </c>
      <c r="CO39" s="527"/>
      <c r="CP39" s="362">
        <f t="shared" si="115"/>
        <v>0</v>
      </c>
      <c r="CQ39" s="315">
        <f t="shared" si="116"/>
        <v>0</v>
      </c>
      <c r="CR39" s="318" t="str">
        <f t="shared" si="87"/>
        <v/>
      </c>
      <c r="CS39" s="239"/>
      <c r="CT39" s="319" t="str">
        <f t="shared" si="117"/>
        <v/>
      </c>
      <c r="CU39" s="318" t="str">
        <f t="shared" si="88"/>
        <v/>
      </c>
      <c r="CV39" s="239"/>
      <c r="CW39" s="319" t="str">
        <f t="shared" si="118"/>
        <v/>
      </c>
      <c r="CX39" s="331" t="str">
        <f t="shared" si="119"/>
        <v/>
      </c>
      <c r="CY39" s="533"/>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5" t="str">
        <f t="shared" si="90"/>
        <v/>
      </c>
    </row>
    <row r="40" spans="2:128" ht="30" customHeight="1" x14ac:dyDescent="0.25">
      <c r="B40" s="876"/>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9"/>
      <c r="AN40" s="361" t="str">
        <f t="shared" si="71"/>
        <v/>
      </c>
      <c r="AO40" s="318" t="str">
        <f t="shared" si="95"/>
        <v/>
      </c>
      <c r="AP40" s="239"/>
      <c r="AQ40" s="319" t="str">
        <f t="shared" si="96"/>
        <v/>
      </c>
      <c r="AR40" s="318" t="str">
        <f t="shared" si="72"/>
        <v/>
      </c>
      <c r="AS40" s="239"/>
      <c r="AT40" s="319" t="str">
        <f t="shared" si="97"/>
        <v/>
      </c>
      <c r="AU40" s="304">
        <f t="shared" si="73"/>
        <v>0</v>
      </c>
      <c r="AV40" s="531"/>
      <c r="AW40" s="325">
        <f t="shared" si="98"/>
        <v>0</v>
      </c>
      <c r="AX40" s="324">
        <f t="shared" si="74"/>
        <v>0</v>
      </c>
      <c r="AY40" s="532"/>
      <c r="AZ40" s="326">
        <f t="shared" si="99"/>
        <v>0</v>
      </c>
      <c r="BA40" s="326">
        <f t="shared" si="75"/>
        <v>0</v>
      </c>
      <c r="BB40" s="532"/>
      <c r="BC40" s="326">
        <f t="shared" si="100"/>
        <v>0</v>
      </c>
      <c r="BD40" s="326">
        <f t="shared" si="76"/>
        <v>0</v>
      </c>
      <c r="BE40" s="532"/>
      <c r="BF40" s="326">
        <f t="shared" si="101"/>
        <v>0</v>
      </c>
      <c r="BG40" s="326">
        <f t="shared" si="77"/>
        <v>0</v>
      </c>
      <c r="BH40" s="532"/>
      <c r="BI40" s="326">
        <f t="shared" si="102"/>
        <v>0</v>
      </c>
      <c r="BJ40" s="326">
        <f t="shared" si="78"/>
        <v>0</v>
      </c>
      <c r="BK40" s="532"/>
      <c r="BL40" s="326">
        <f t="shared" si="103"/>
        <v>0</v>
      </c>
      <c r="BM40" s="307">
        <f t="shared" si="104"/>
        <v>0</v>
      </c>
      <c r="BN40" s="327">
        <f t="shared" si="105"/>
        <v>0</v>
      </c>
      <c r="BO40" s="358"/>
      <c r="BP40" s="324">
        <f t="shared" si="79"/>
        <v>0</v>
      </c>
      <c r="BQ40" s="531"/>
      <c r="BR40" s="328">
        <f t="shared" si="106"/>
        <v>0</v>
      </c>
      <c r="BS40" s="326">
        <f t="shared" si="80"/>
        <v>0</v>
      </c>
      <c r="BT40" s="532"/>
      <c r="BU40" s="326">
        <f t="shared" si="107"/>
        <v>0</v>
      </c>
      <c r="BV40" s="326">
        <f t="shared" si="81"/>
        <v>0</v>
      </c>
      <c r="BW40" s="532"/>
      <c r="BX40" s="326">
        <f t="shared" si="108"/>
        <v>0</v>
      </c>
      <c r="BY40" s="326">
        <f t="shared" si="82"/>
        <v>0</v>
      </c>
      <c r="BZ40" s="532"/>
      <c r="CA40" s="326">
        <f t="shared" si="109"/>
        <v>0</v>
      </c>
      <c r="CB40" s="326">
        <f t="shared" si="83"/>
        <v>0</v>
      </c>
      <c r="CC40" s="532"/>
      <c r="CD40" s="326">
        <f t="shared" si="110"/>
        <v>0</v>
      </c>
      <c r="CE40" s="307">
        <f t="shared" si="111"/>
        <v>0</v>
      </c>
      <c r="CF40" s="324">
        <f t="shared" si="84"/>
        <v>0</v>
      </c>
      <c r="CG40" s="532"/>
      <c r="CH40" s="329">
        <f t="shared" si="112"/>
        <v>0</v>
      </c>
      <c r="CI40" s="313"/>
      <c r="CJ40" s="330">
        <f t="shared" si="113"/>
        <v>0</v>
      </c>
      <c r="CK40" s="324">
        <f t="shared" si="85"/>
        <v>0</v>
      </c>
      <c r="CL40" s="531"/>
      <c r="CM40" s="325">
        <f t="shared" si="114"/>
        <v>0</v>
      </c>
      <c r="CN40" s="324">
        <f t="shared" si="86"/>
        <v>0</v>
      </c>
      <c r="CO40" s="527"/>
      <c r="CP40" s="362">
        <f t="shared" si="115"/>
        <v>0</v>
      </c>
      <c r="CQ40" s="315">
        <f t="shared" si="116"/>
        <v>0</v>
      </c>
      <c r="CR40" s="318" t="str">
        <f t="shared" si="87"/>
        <v/>
      </c>
      <c r="CS40" s="239"/>
      <c r="CT40" s="319" t="str">
        <f t="shared" si="117"/>
        <v/>
      </c>
      <c r="CU40" s="318" t="str">
        <f t="shared" si="88"/>
        <v/>
      </c>
      <c r="CV40" s="239"/>
      <c r="CW40" s="319" t="str">
        <f t="shared" si="118"/>
        <v/>
      </c>
      <c r="CX40" s="331" t="str">
        <f t="shared" si="119"/>
        <v/>
      </c>
      <c r="CY40" s="533"/>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5" t="str">
        <f t="shared" si="90"/>
        <v/>
      </c>
    </row>
    <row r="41" spans="2:128" ht="30" customHeight="1" x14ac:dyDescent="0.25">
      <c r="B41" s="876"/>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9"/>
      <c r="AN41" s="361" t="str">
        <f t="shared" si="71"/>
        <v/>
      </c>
      <c r="AO41" s="318" t="str">
        <f t="shared" si="95"/>
        <v/>
      </c>
      <c r="AP41" s="239"/>
      <c r="AQ41" s="319" t="str">
        <f t="shared" si="96"/>
        <v/>
      </c>
      <c r="AR41" s="318" t="str">
        <f t="shared" si="72"/>
        <v/>
      </c>
      <c r="AS41" s="239"/>
      <c r="AT41" s="319" t="str">
        <f t="shared" si="97"/>
        <v/>
      </c>
      <c r="AU41" s="304">
        <f t="shared" si="73"/>
        <v>0</v>
      </c>
      <c r="AV41" s="531"/>
      <c r="AW41" s="325">
        <f t="shared" si="98"/>
        <v>0</v>
      </c>
      <c r="AX41" s="324">
        <f t="shared" si="74"/>
        <v>0</v>
      </c>
      <c r="AY41" s="532"/>
      <c r="AZ41" s="326">
        <f t="shared" si="99"/>
        <v>0</v>
      </c>
      <c r="BA41" s="326">
        <f t="shared" si="75"/>
        <v>0</v>
      </c>
      <c r="BB41" s="532"/>
      <c r="BC41" s="326">
        <f t="shared" si="100"/>
        <v>0</v>
      </c>
      <c r="BD41" s="326">
        <f t="shared" si="76"/>
        <v>0</v>
      </c>
      <c r="BE41" s="532"/>
      <c r="BF41" s="326">
        <f t="shared" si="101"/>
        <v>0</v>
      </c>
      <c r="BG41" s="326">
        <f t="shared" si="77"/>
        <v>0</v>
      </c>
      <c r="BH41" s="532"/>
      <c r="BI41" s="326">
        <f t="shared" si="102"/>
        <v>0</v>
      </c>
      <c r="BJ41" s="326">
        <f t="shared" si="78"/>
        <v>0</v>
      </c>
      <c r="BK41" s="532"/>
      <c r="BL41" s="326">
        <f t="shared" si="103"/>
        <v>0</v>
      </c>
      <c r="BM41" s="307">
        <f t="shared" si="104"/>
        <v>0</v>
      </c>
      <c r="BN41" s="327">
        <f t="shared" si="105"/>
        <v>0</v>
      </c>
      <c r="BO41" s="358"/>
      <c r="BP41" s="363">
        <f t="shared" si="79"/>
        <v>0</v>
      </c>
      <c r="BQ41" s="541"/>
      <c r="BR41" s="364">
        <f t="shared" si="106"/>
        <v>0</v>
      </c>
      <c r="BS41" s="365">
        <f t="shared" si="80"/>
        <v>0</v>
      </c>
      <c r="BT41" s="542"/>
      <c r="BU41" s="365">
        <f t="shared" si="107"/>
        <v>0</v>
      </c>
      <c r="BV41" s="365">
        <f t="shared" si="81"/>
        <v>0</v>
      </c>
      <c r="BW41" s="542"/>
      <c r="BX41" s="365">
        <f t="shared" si="108"/>
        <v>0</v>
      </c>
      <c r="BY41" s="365">
        <f t="shared" si="82"/>
        <v>0</v>
      </c>
      <c r="BZ41" s="542"/>
      <c r="CA41" s="365">
        <f t="shared" si="109"/>
        <v>0</v>
      </c>
      <c r="CB41" s="365">
        <f t="shared" si="83"/>
        <v>0</v>
      </c>
      <c r="CC41" s="542"/>
      <c r="CD41" s="365">
        <f t="shared" si="110"/>
        <v>0</v>
      </c>
      <c r="CE41" s="307">
        <f t="shared" si="111"/>
        <v>0</v>
      </c>
      <c r="CF41" s="324">
        <f t="shared" si="84"/>
        <v>0</v>
      </c>
      <c r="CG41" s="532"/>
      <c r="CH41" s="329">
        <f t="shared" si="112"/>
        <v>0</v>
      </c>
      <c r="CI41" s="313"/>
      <c r="CJ41" s="330">
        <f t="shared" si="113"/>
        <v>0</v>
      </c>
      <c r="CK41" s="324">
        <f t="shared" si="85"/>
        <v>0</v>
      </c>
      <c r="CL41" s="531"/>
      <c r="CM41" s="325">
        <f t="shared" si="114"/>
        <v>0</v>
      </c>
      <c r="CN41" s="324">
        <f t="shared" si="86"/>
        <v>0</v>
      </c>
      <c r="CO41" s="527"/>
      <c r="CP41" s="362">
        <f t="shared" si="115"/>
        <v>0</v>
      </c>
      <c r="CQ41" s="315">
        <f t="shared" si="116"/>
        <v>0</v>
      </c>
      <c r="CR41" s="318" t="str">
        <f t="shared" si="87"/>
        <v/>
      </c>
      <c r="CS41" s="239"/>
      <c r="CT41" s="319" t="str">
        <f t="shared" si="117"/>
        <v/>
      </c>
      <c r="CU41" s="318" t="str">
        <f t="shared" si="88"/>
        <v/>
      </c>
      <c r="CV41" s="239"/>
      <c r="CW41" s="319" t="str">
        <f t="shared" si="118"/>
        <v/>
      </c>
      <c r="CX41" s="331" t="str">
        <f t="shared" si="119"/>
        <v/>
      </c>
      <c r="CY41" s="533"/>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5" t="str">
        <f t="shared" si="90"/>
        <v/>
      </c>
    </row>
    <row r="42" spans="2:128" ht="30" customHeight="1" x14ac:dyDescent="0.25">
      <c r="B42" s="876"/>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9"/>
      <c r="AN42" s="361" t="str">
        <f t="shared" si="71"/>
        <v/>
      </c>
      <c r="AO42" s="318" t="str">
        <f t="shared" si="95"/>
        <v/>
      </c>
      <c r="AP42" s="239"/>
      <c r="AQ42" s="319" t="str">
        <f t="shared" si="96"/>
        <v/>
      </c>
      <c r="AR42" s="318" t="str">
        <f t="shared" si="72"/>
        <v/>
      </c>
      <c r="AS42" s="239"/>
      <c r="AT42" s="319" t="str">
        <f t="shared" si="97"/>
        <v/>
      </c>
      <c r="AU42" s="304">
        <f t="shared" si="73"/>
        <v>0</v>
      </c>
      <c r="AV42" s="531"/>
      <c r="AW42" s="325">
        <f t="shared" si="98"/>
        <v>0</v>
      </c>
      <c r="AX42" s="324">
        <f t="shared" si="74"/>
        <v>0</v>
      </c>
      <c r="AY42" s="532"/>
      <c r="AZ42" s="326">
        <f t="shared" si="99"/>
        <v>0</v>
      </c>
      <c r="BA42" s="326">
        <f t="shared" si="75"/>
        <v>0</v>
      </c>
      <c r="BB42" s="532"/>
      <c r="BC42" s="326">
        <f t="shared" si="100"/>
        <v>0</v>
      </c>
      <c r="BD42" s="326">
        <f t="shared" si="76"/>
        <v>0</v>
      </c>
      <c r="BE42" s="532"/>
      <c r="BF42" s="326">
        <f t="shared" si="101"/>
        <v>0</v>
      </c>
      <c r="BG42" s="326">
        <f t="shared" si="77"/>
        <v>0</v>
      </c>
      <c r="BH42" s="532"/>
      <c r="BI42" s="326">
        <f t="shared" si="102"/>
        <v>0</v>
      </c>
      <c r="BJ42" s="326">
        <f t="shared" si="78"/>
        <v>0</v>
      </c>
      <c r="BK42" s="532"/>
      <c r="BL42" s="326">
        <f t="shared" si="103"/>
        <v>0</v>
      </c>
      <c r="BM42" s="307">
        <f t="shared" si="104"/>
        <v>0</v>
      </c>
      <c r="BN42" s="327">
        <f t="shared" si="105"/>
        <v>0</v>
      </c>
      <c r="BO42" s="358"/>
      <c r="BP42" s="363">
        <f t="shared" si="79"/>
        <v>0</v>
      </c>
      <c r="BQ42" s="541"/>
      <c r="BR42" s="364">
        <f t="shared" si="106"/>
        <v>0</v>
      </c>
      <c r="BS42" s="365">
        <f t="shared" si="80"/>
        <v>0</v>
      </c>
      <c r="BT42" s="542"/>
      <c r="BU42" s="365">
        <f t="shared" si="107"/>
        <v>0</v>
      </c>
      <c r="BV42" s="365">
        <f t="shared" si="81"/>
        <v>0</v>
      </c>
      <c r="BW42" s="542"/>
      <c r="BX42" s="365">
        <f t="shared" si="108"/>
        <v>0</v>
      </c>
      <c r="BY42" s="365">
        <f t="shared" si="82"/>
        <v>0</v>
      </c>
      <c r="BZ42" s="542"/>
      <c r="CA42" s="365">
        <f t="shared" si="109"/>
        <v>0</v>
      </c>
      <c r="CB42" s="365">
        <f t="shared" si="83"/>
        <v>0</v>
      </c>
      <c r="CC42" s="542"/>
      <c r="CD42" s="365">
        <f t="shared" si="110"/>
        <v>0</v>
      </c>
      <c r="CE42" s="307">
        <f t="shared" si="111"/>
        <v>0</v>
      </c>
      <c r="CF42" s="324">
        <f t="shared" si="84"/>
        <v>0</v>
      </c>
      <c r="CG42" s="532"/>
      <c r="CH42" s="329">
        <f t="shared" si="112"/>
        <v>0</v>
      </c>
      <c r="CI42" s="313"/>
      <c r="CJ42" s="330">
        <f t="shared" si="113"/>
        <v>0</v>
      </c>
      <c r="CK42" s="324">
        <f t="shared" si="85"/>
        <v>0</v>
      </c>
      <c r="CL42" s="531"/>
      <c r="CM42" s="325">
        <f t="shared" si="114"/>
        <v>0</v>
      </c>
      <c r="CN42" s="324">
        <f t="shared" si="86"/>
        <v>0</v>
      </c>
      <c r="CO42" s="527"/>
      <c r="CP42" s="362">
        <f t="shared" si="115"/>
        <v>0</v>
      </c>
      <c r="CQ42" s="315">
        <f t="shared" si="116"/>
        <v>0</v>
      </c>
      <c r="CR42" s="318" t="str">
        <f t="shared" si="87"/>
        <v/>
      </c>
      <c r="CS42" s="239"/>
      <c r="CT42" s="319" t="str">
        <f t="shared" si="117"/>
        <v/>
      </c>
      <c r="CU42" s="318" t="str">
        <f t="shared" si="88"/>
        <v/>
      </c>
      <c r="CV42" s="239"/>
      <c r="CW42" s="319" t="str">
        <f t="shared" si="118"/>
        <v/>
      </c>
      <c r="CX42" s="331" t="str">
        <f t="shared" si="119"/>
        <v/>
      </c>
      <c r="CY42" s="533"/>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5" t="str">
        <f t="shared" si="90"/>
        <v/>
      </c>
    </row>
    <row r="43" spans="2:128" ht="30" customHeight="1" x14ac:dyDescent="0.25">
      <c r="B43" s="876"/>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9"/>
      <c r="AN43" s="361" t="str">
        <f t="shared" si="71"/>
        <v/>
      </c>
      <c r="AO43" s="318" t="str">
        <f t="shared" si="95"/>
        <v/>
      </c>
      <c r="AP43" s="239"/>
      <c r="AQ43" s="319" t="str">
        <f t="shared" si="96"/>
        <v/>
      </c>
      <c r="AR43" s="318" t="str">
        <f t="shared" si="72"/>
        <v/>
      </c>
      <c r="AS43" s="239"/>
      <c r="AT43" s="319" t="str">
        <f t="shared" si="97"/>
        <v/>
      </c>
      <c r="AU43" s="304">
        <f t="shared" si="73"/>
        <v>0</v>
      </c>
      <c r="AV43" s="531"/>
      <c r="AW43" s="325">
        <f t="shared" si="98"/>
        <v>0</v>
      </c>
      <c r="AX43" s="324">
        <f t="shared" si="74"/>
        <v>0</v>
      </c>
      <c r="AY43" s="532"/>
      <c r="AZ43" s="326">
        <f t="shared" si="99"/>
        <v>0</v>
      </c>
      <c r="BA43" s="326">
        <f t="shared" si="75"/>
        <v>0</v>
      </c>
      <c r="BB43" s="532"/>
      <c r="BC43" s="326">
        <f t="shared" si="100"/>
        <v>0</v>
      </c>
      <c r="BD43" s="326">
        <f t="shared" si="76"/>
        <v>0</v>
      </c>
      <c r="BE43" s="532"/>
      <c r="BF43" s="326">
        <f t="shared" si="101"/>
        <v>0</v>
      </c>
      <c r="BG43" s="326">
        <f t="shared" si="77"/>
        <v>0</v>
      </c>
      <c r="BH43" s="532"/>
      <c r="BI43" s="326">
        <f t="shared" si="102"/>
        <v>0</v>
      </c>
      <c r="BJ43" s="326">
        <f t="shared" si="78"/>
        <v>0</v>
      </c>
      <c r="BK43" s="532"/>
      <c r="BL43" s="326">
        <f t="shared" si="103"/>
        <v>0</v>
      </c>
      <c r="BM43" s="307">
        <f t="shared" si="104"/>
        <v>0</v>
      </c>
      <c r="BN43" s="327">
        <f t="shared" si="105"/>
        <v>0</v>
      </c>
      <c r="BO43" s="358"/>
      <c r="BP43" s="363">
        <f t="shared" si="79"/>
        <v>0</v>
      </c>
      <c r="BQ43" s="541"/>
      <c r="BR43" s="364">
        <f t="shared" si="106"/>
        <v>0</v>
      </c>
      <c r="BS43" s="365">
        <f t="shared" si="80"/>
        <v>0</v>
      </c>
      <c r="BT43" s="542"/>
      <c r="BU43" s="365">
        <f t="shared" si="107"/>
        <v>0</v>
      </c>
      <c r="BV43" s="365">
        <f t="shared" si="81"/>
        <v>0</v>
      </c>
      <c r="BW43" s="542"/>
      <c r="BX43" s="365">
        <f t="shared" si="108"/>
        <v>0</v>
      </c>
      <c r="BY43" s="365">
        <f t="shared" si="82"/>
        <v>0</v>
      </c>
      <c r="BZ43" s="542"/>
      <c r="CA43" s="365">
        <f t="shared" si="109"/>
        <v>0</v>
      </c>
      <c r="CB43" s="365">
        <f t="shared" si="83"/>
        <v>0</v>
      </c>
      <c r="CC43" s="542"/>
      <c r="CD43" s="365">
        <f t="shared" si="110"/>
        <v>0</v>
      </c>
      <c r="CE43" s="307">
        <f t="shared" si="111"/>
        <v>0</v>
      </c>
      <c r="CF43" s="324">
        <f t="shared" si="84"/>
        <v>0</v>
      </c>
      <c r="CG43" s="532"/>
      <c r="CH43" s="329">
        <f t="shared" si="112"/>
        <v>0</v>
      </c>
      <c r="CI43" s="313"/>
      <c r="CJ43" s="330">
        <f t="shared" si="113"/>
        <v>0</v>
      </c>
      <c r="CK43" s="324">
        <f t="shared" si="85"/>
        <v>0</v>
      </c>
      <c r="CL43" s="531"/>
      <c r="CM43" s="325">
        <f t="shared" si="114"/>
        <v>0</v>
      </c>
      <c r="CN43" s="324">
        <f t="shared" si="86"/>
        <v>0</v>
      </c>
      <c r="CO43" s="527"/>
      <c r="CP43" s="362">
        <f t="shared" si="115"/>
        <v>0</v>
      </c>
      <c r="CQ43" s="315">
        <f t="shared" si="116"/>
        <v>0</v>
      </c>
      <c r="CR43" s="318" t="str">
        <f t="shared" si="87"/>
        <v/>
      </c>
      <c r="CS43" s="239"/>
      <c r="CT43" s="319" t="str">
        <f t="shared" si="117"/>
        <v/>
      </c>
      <c r="CU43" s="318" t="str">
        <f t="shared" si="88"/>
        <v/>
      </c>
      <c r="CV43" s="239"/>
      <c r="CW43" s="319" t="str">
        <f t="shared" si="118"/>
        <v/>
      </c>
      <c r="CX43" s="331" t="str">
        <f t="shared" si="119"/>
        <v/>
      </c>
      <c r="CY43" s="533"/>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5" t="str">
        <f t="shared" si="90"/>
        <v/>
      </c>
    </row>
    <row r="44" spans="2:128" ht="30" customHeight="1" thickBot="1" x14ac:dyDescent="0.3">
      <c r="B44" s="876"/>
      <c r="C44" s="172"/>
      <c r="D44" s="165"/>
      <c r="E44" s="166"/>
      <c r="F44" s="57"/>
      <c r="G44" s="56"/>
      <c r="H44" s="56"/>
      <c r="I44" s="56"/>
      <c r="J44" s="56"/>
      <c r="K44" s="56"/>
      <c r="L44" s="30">
        <f t="shared" si="137"/>
        <v>0</v>
      </c>
      <c r="M44" s="189">
        <f t="shared" si="91"/>
        <v>0</v>
      </c>
      <c r="N44" s="40"/>
      <c r="O44" s="57"/>
      <c r="P44" s="58"/>
      <c r="Q44" s="58"/>
      <c r="R44" s="58"/>
      <c r="S44" s="58"/>
      <c r="T44" s="29">
        <f t="shared" si="92"/>
        <v>0</v>
      </c>
      <c r="U44" s="81"/>
      <c r="V44" s="27"/>
      <c r="W44" s="190">
        <f t="shared" si="93"/>
        <v>0</v>
      </c>
      <c r="X44" s="55"/>
      <c r="Y44" s="56"/>
      <c r="Z44" s="191">
        <f t="shared" si="94"/>
        <v>0</v>
      </c>
      <c r="AA44" s="178"/>
      <c r="AB44" s="176"/>
      <c r="AC44" s="72"/>
      <c r="AD44" s="73"/>
      <c r="AE44" s="192"/>
      <c r="AG44" s="6">
        <f>IF(AND(AA44&lt;&gt;"",OR(AA44&lt;EXPEDIENTE!$I$25,AA44&gt;EXPEDIENTE!$I$29)),1,0)</f>
        <v>0</v>
      </c>
      <c r="AH44" s="6">
        <f>IF(AND(AB44&lt;&gt;"",OR(AB44&lt;EXPEDIENTE!$I$25,AB44&gt;EXPEDIENTE!$I$29)),1,0)</f>
        <v>0</v>
      </c>
      <c r="AM44" s="729"/>
      <c r="AN44" s="366" t="str">
        <f t="shared" si="71"/>
        <v/>
      </c>
      <c r="AO44" s="343" t="str">
        <f t="shared" si="95"/>
        <v/>
      </c>
      <c r="AP44" s="251"/>
      <c r="AQ44" s="344" t="str">
        <f t="shared" si="96"/>
        <v/>
      </c>
      <c r="AR44" s="343" t="str">
        <f t="shared" si="72"/>
        <v/>
      </c>
      <c r="AS44" s="251"/>
      <c r="AT44" s="344" t="str">
        <f t="shared" si="97"/>
        <v/>
      </c>
      <c r="AU44" s="367">
        <f t="shared" si="73"/>
        <v>0</v>
      </c>
      <c r="AV44" s="535"/>
      <c r="AW44" s="335">
        <f t="shared" si="98"/>
        <v>0</v>
      </c>
      <c r="AX44" s="334">
        <f t="shared" si="74"/>
        <v>0</v>
      </c>
      <c r="AY44" s="536"/>
      <c r="AZ44" s="336">
        <f t="shared" si="99"/>
        <v>0</v>
      </c>
      <c r="BA44" s="336">
        <f t="shared" si="75"/>
        <v>0</v>
      </c>
      <c r="BB44" s="536"/>
      <c r="BC44" s="336">
        <f t="shared" si="100"/>
        <v>0</v>
      </c>
      <c r="BD44" s="336">
        <f t="shared" si="76"/>
        <v>0</v>
      </c>
      <c r="BE44" s="536"/>
      <c r="BF44" s="336">
        <f t="shared" si="101"/>
        <v>0</v>
      </c>
      <c r="BG44" s="336">
        <f t="shared" si="77"/>
        <v>0</v>
      </c>
      <c r="BH44" s="536"/>
      <c r="BI44" s="336">
        <f t="shared" si="102"/>
        <v>0</v>
      </c>
      <c r="BJ44" s="336">
        <f t="shared" si="78"/>
        <v>0</v>
      </c>
      <c r="BK44" s="536"/>
      <c r="BL44" s="336">
        <f t="shared" si="103"/>
        <v>0</v>
      </c>
      <c r="BM44" s="337">
        <f t="shared" si="104"/>
        <v>0</v>
      </c>
      <c r="BN44" s="327">
        <f t="shared" si="105"/>
        <v>0</v>
      </c>
      <c r="BO44" s="358"/>
      <c r="BP44" s="334">
        <f t="shared" si="79"/>
        <v>0</v>
      </c>
      <c r="BQ44" s="535"/>
      <c r="BR44" s="339">
        <f t="shared" si="106"/>
        <v>0</v>
      </c>
      <c r="BS44" s="336">
        <f t="shared" si="80"/>
        <v>0</v>
      </c>
      <c r="BT44" s="536"/>
      <c r="BU44" s="336">
        <f t="shared" si="107"/>
        <v>0</v>
      </c>
      <c r="BV44" s="336">
        <f t="shared" si="81"/>
        <v>0</v>
      </c>
      <c r="BW44" s="536"/>
      <c r="BX44" s="336">
        <f t="shared" si="108"/>
        <v>0</v>
      </c>
      <c r="BY44" s="336">
        <f t="shared" si="82"/>
        <v>0</v>
      </c>
      <c r="BZ44" s="536"/>
      <c r="CA44" s="336">
        <f t="shared" si="109"/>
        <v>0</v>
      </c>
      <c r="CB44" s="336">
        <f t="shared" si="83"/>
        <v>0</v>
      </c>
      <c r="CC44" s="536"/>
      <c r="CD44" s="336">
        <f t="shared" si="110"/>
        <v>0</v>
      </c>
      <c r="CE44" s="337">
        <f t="shared" si="111"/>
        <v>0</v>
      </c>
      <c r="CF44" s="334">
        <f t="shared" si="84"/>
        <v>0</v>
      </c>
      <c r="CG44" s="536"/>
      <c r="CH44" s="340">
        <f t="shared" si="112"/>
        <v>0</v>
      </c>
      <c r="CI44" s="313"/>
      <c r="CJ44" s="338">
        <f t="shared" si="113"/>
        <v>0</v>
      </c>
      <c r="CK44" s="334">
        <f t="shared" si="85"/>
        <v>0</v>
      </c>
      <c r="CL44" s="535"/>
      <c r="CM44" s="335">
        <f t="shared" si="114"/>
        <v>0</v>
      </c>
      <c r="CN44" s="334">
        <f t="shared" si="86"/>
        <v>0</v>
      </c>
      <c r="CO44" s="543"/>
      <c r="CP44" s="368">
        <f t="shared" si="115"/>
        <v>0</v>
      </c>
      <c r="CQ44" s="369">
        <f t="shared" si="116"/>
        <v>0</v>
      </c>
      <c r="CR44" s="343" t="str">
        <f t="shared" si="87"/>
        <v/>
      </c>
      <c r="CS44" s="251"/>
      <c r="CT44" s="344" t="str">
        <f t="shared" si="117"/>
        <v/>
      </c>
      <c r="CU44" s="343" t="str">
        <f t="shared" si="88"/>
        <v/>
      </c>
      <c r="CV44" s="251"/>
      <c r="CW44" s="344" t="str">
        <f t="shared" si="118"/>
        <v/>
      </c>
      <c r="CX44" s="345" t="str">
        <f t="shared" si="119"/>
        <v/>
      </c>
      <c r="CY44" s="538"/>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5" t="str">
        <f t="shared" si="90"/>
        <v/>
      </c>
    </row>
    <row r="45" spans="2:128" ht="9.9499999999999993" customHeight="1" thickBot="1" x14ac:dyDescent="0.3">
      <c r="B45" s="876"/>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729"/>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876"/>
      <c r="C46" s="834" t="str">
        <f>CONCATENATE("SEGURIDAD SOCIAL EMPRESA EJERCICIO ",YEAR(EXPEDIENTE!$F$25)+1)</f>
        <v>SEGURIDAD SOCIAL EMPRESA EJERCICIO 2025</v>
      </c>
      <c r="D46" s="834"/>
      <c r="E46" s="834"/>
      <c r="F46" s="834"/>
      <c r="G46" s="834"/>
      <c r="H46" s="834"/>
      <c r="I46" s="834"/>
      <c r="J46" s="834"/>
      <c r="K46" s="834"/>
      <c r="L46" s="834"/>
      <c r="M46" s="835"/>
      <c r="AM46" s="729"/>
      <c r="AN46" s="809" t="str">
        <f>CONCATENATE("SEGURIDAD SOCIAL EMPRESA EJERCICIO ",YEAR(EXPEDIENTE!$F$25)+1)</f>
        <v>SEGURIDAD SOCIAL EMPRESA EJERCICIO 2025</v>
      </c>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97"/>
      <c r="CY46" s="124"/>
      <c r="CZ46" s="6"/>
      <c r="DB46" s="4"/>
    </row>
    <row r="47" spans="2:128" ht="20.100000000000001" customHeight="1" thickTop="1" thickBot="1" x14ac:dyDescent="0.3">
      <c r="B47" s="876"/>
      <c r="C47" s="840" t="s">
        <v>76</v>
      </c>
      <c r="D47" s="744" t="str">
        <f>IF(OR(SUM(T20:T31)&gt;0,SUM(T37:T44)&gt;0),"BASE
COTIZACIÓN
SUBVENCIO.","BASE
COTIZACIÓN")</f>
        <v>BASE
COTIZACIÓN</v>
      </c>
      <c r="E47" s="744" t="s">
        <v>187</v>
      </c>
      <c r="F47" s="744" t="s">
        <v>188</v>
      </c>
      <c r="G47" s="744" t="s">
        <v>74</v>
      </c>
      <c r="H47" s="744" t="s">
        <v>189</v>
      </c>
      <c r="I47" s="842" t="s">
        <v>75</v>
      </c>
      <c r="J47" s="845" t="s">
        <v>67</v>
      </c>
      <c r="K47" s="845"/>
      <c r="L47" s="845"/>
      <c r="M47" s="846"/>
      <c r="AM47" s="729"/>
      <c r="AN47" s="718" t="s">
        <v>76</v>
      </c>
      <c r="AO47" s="736" t="s">
        <v>310</v>
      </c>
      <c r="AP47" s="737"/>
      <c r="AQ47" s="738"/>
      <c r="AR47" s="739" t="s">
        <v>187</v>
      </c>
      <c r="AS47" s="720"/>
      <c r="AT47" s="721"/>
      <c r="AU47" s="898" t="s">
        <v>314</v>
      </c>
      <c r="AV47" s="899"/>
      <c r="AW47" s="900"/>
      <c r="AX47" s="901" t="s">
        <v>315</v>
      </c>
      <c r="AY47" s="902"/>
      <c r="AZ47" s="903"/>
      <c r="BA47" s="739" t="s">
        <v>189</v>
      </c>
      <c r="BB47" s="720"/>
      <c r="BC47" s="721"/>
      <c r="BD47" s="914" t="s">
        <v>316</v>
      </c>
      <c r="BE47" s="915"/>
      <c r="BF47" s="916"/>
      <c r="BG47" s="373"/>
      <c r="BH47" s="766"/>
      <c r="BI47" s="766"/>
      <c r="BJ47" s="766"/>
      <c r="BK47" s="766"/>
      <c r="BL47" s="766"/>
      <c r="BM47" s="766"/>
      <c r="BN47" s="766"/>
      <c r="BO47" s="766"/>
      <c r="BP47" s="766"/>
      <c r="BQ47" s="766"/>
      <c r="BR47" s="766"/>
      <c r="BS47" s="904"/>
      <c r="DA47" s="4"/>
      <c r="DB47" s="4"/>
      <c r="DC47" s="6"/>
    </row>
    <row r="48" spans="2:128" ht="50.1" customHeight="1" thickBot="1" x14ac:dyDescent="0.3">
      <c r="B48" s="876"/>
      <c r="C48" s="841"/>
      <c r="D48" s="746"/>
      <c r="E48" s="746"/>
      <c r="F48" s="746"/>
      <c r="G48" s="746"/>
      <c r="H48" s="746"/>
      <c r="I48" s="843"/>
      <c r="J48" s="848"/>
      <c r="K48" s="848"/>
      <c r="L48" s="848"/>
      <c r="M48" s="849"/>
      <c r="AM48" s="729"/>
      <c r="AN48" s="719"/>
      <c r="AO48" s="287" t="s">
        <v>271</v>
      </c>
      <c r="AP48" s="354" t="s">
        <v>246</v>
      </c>
      <c r="AQ48" s="289" t="s">
        <v>272</v>
      </c>
      <c r="AR48" s="740"/>
      <c r="AS48" s="720"/>
      <c r="AT48" s="721"/>
      <c r="AU48" s="374" t="s">
        <v>271</v>
      </c>
      <c r="AV48" s="375" t="s">
        <v>246</v>
      </c>
      <c r="AW48" s="376" t="s">
        <v>272</v>
      </c>
      <c r="AX48" s="374" t="s">
        <v>271</v>
      </c>
      <c r="AY48" s="377" t="s">
        <v>246</v>
      </c>
      <c r="AZ48" s="376" t="s">
        <v>272</v>
      </c>
      <c r="BA48" s="740"/>
      <c r="BB48" s="720"/>
      <c r="BC48" s="721"/>
      <c r="BD48" s="374" t="s">
        <v>271</v>
      </c>
      <c r="BE48" s="377" t="s">
        <v>246</v>
      </c>
      <c r="BF48" s="376" t="s">
        <v>272</v>
      </c>
      <c r="BG48" s="299" t="s">
        <v>322</v>
      </c>
      <c r="BH48" s="905" t="s">
        <v>344</v>
      </c>
      <c r="BI48" s="906"/>
      <c r="BJ48" s="906"/>
      <c r="BK48" s="906"/>
      <c r="BL48" s="906"/>
      <c r="BM48" s="906"/>
      <c r="BN48" s="906"/>
      <c r="BO48" s="906"/>
      <c r="BP48" s="906"/>
      <c r="BQ48" s="906"/>
      <c r="BR48" s="906"/>
      <c r="BS48" s="907"/>
      <c r="DA48" s="4"/>
      <c r="DB48" s="4"/>
      <c r="DD48" s="88" t="s">
        <v>323</v>
      </c>
      <c r="DE48" s="88" t="s">
        <v>341</v>
      </c>
      <c r="DF48" s="88" t="s">
        <v>325</v>
      </c>
      <c r="DG48" s="88" t="s">
        <v>326</v>
      </c>
      <c r="DH48" s="88" t="s">
        <v>328</v>
      </c>
      <c r="DU48" s="4"/>
    </row>
    <row r="49" spans="2:128" ht="30" customHeight="1" x14ac:dyDescent="0.25">
      <c r="B49" s="876"/>
      <c r="C49" s="198" t="s">
        <v>45</v>
      </c>
      <c r="D49" s="51"/>
      <c r="E49" s="23">
        <f>ROUND(D49*$F$14,2)</f>
        <v>0</v>
      </c>
      <c r="F49" s="51"/>
      <c r="G49" s="51"/>
      <c r="H49" s="203">
        <f>E49+F49-G49</f>
        <v>0</v>
      </c>
      <c r="I49" s="108"/>
      <c r="J49" s="921"/>
      <c r="K49" s="837"/>
      <c r="L49" s="837"/>
      <c r="M49" s="838"/>
      <c r="N49" s="731" t="str">
        <f>IF(OR(SUM(T20:T31)&gt;0,SUM(T37:T44)&gt;0),"NOTA:
Se ha minorado el importe subvencionable de alguna de las nóminas del ejercicio.
En consecuencia, en la columna:
''BASE
COTIZACIÓN
SUBVENCIO.''
se deberá reflejar la base de cotización mensual restándole dicha minoración.","")</f>
        <v/>
      </c>
      <c r="O49" s="732"/>
      <c r="P49" s="732"/>
      <c r="AG49" s="6">
        <f>IF(AND(I49&lt;&gt;"",OR(I49&lt;EXPEDIENTE!$I$25,I49&gt;EXPEDIENTE!$I$29)),1,0)</f>
        <v>0</v>
      </c>
      <c r="AI49" s="6">
        <f>IF(DATE(YEAR(EXPEDIENTE!$I$25)+1,MONTH(DATEVALUE($C49&amp;"1")),1)&gt;=DATE(YEAR(EXPEDIENTE!$I$25),MONTH(EXPEDIENTE!$I$25),1),0,1)</f>
        <v>0</v>
      </c>
      <c r="AJ49" s="6" t="e">
        <f>IF(DATE(YEAR(EXPEDIENTE!$I$25)+1,MONTH(DATEVALUE($C49&amp;"1")),1)&lt;=DATE(YEAR(EXPEDIENTE!$I$27),MONTH(EXPEDIENTE!$I$27),1),0,1)</f>
        <v>#VALUE!</v>
      </c>
      <c r="AK49" s="6" t="e">
        <f>SUM(AI49:AJ49)</f>
        <v>#VALUE!</v>
      </c>
      <c r="AM49" s="729"/>
      <c r="AN49" s="301" t="s">
        <v>45</v>
      </c>
      <c r="AO49" s="311">
        <f>IF(D49="",0,D49)</f>
        <v>0</v>
      </c>
      <c r="AP49" s="528"/>
      <c r="AQ49" s="312">
        <f>IF(AP49="",AO49,AP49)</f>
        <v>0</v>
      </c>
      <c r="AR49" s="314">
        <f t="shared" ref="AR49:AR60" si="140">IFERROR(ROUND(AQ49*$AT$14,2),0)</f>
        <v>0</v>
      </c>
      <c r="AS49" s="720"/>
      <c r="AT49" s="721"/>
      <c r="AU49" s="311">
        <f>IF(F49="",0,F49)</f>
        <v>0</v>
      </c>
      <c r="AV49" s="528"/>
      <c r="AW49" s="312">
        <f>IF(AV49="",AU49,AV49)</f>
        <v>0</v>
      </c>
      <c r="AX49" s="304">
        <f>IF(G49="",0,G49)</f>
        <v>0</v>
      </c>
      <c r="AY49" s="527"/>
      <c r="AZ49" s="362">
        <f>IF(AY49="",AX49,AY49)</f>
        <v>0</v>
      </c>
      <c r="BA49" s="378">
        <f t="shared" ref="BA49:BA60" si="141">IFERROR(AR49+AW49-AZ49,0)</f>
        <v>0</v>
      </c>
      <c r="BB49" s="720"/>
      <c r="BC49" s="721"/>
      <c r="BD49" s="356" t="str">
        <f>IF(I49="","",I49)</f>
        <v/>
      </c>
      <c r="BE49" s="230"/>
      <c r="BF49" s="357" t="str">
        <f>IF(BE49="",BD49,BE49)</f>
        <v/>
      </c>
      <c r="BG49" s="320" t="str">
        <f>IF(DD49=0,"",DD49)</f>
        <v/>
      </c>
      <c r="BH49" s="908"/>
      <c r="BI49" s="909"/>
      <c r="BJ49" s="909"/>
      <c r="BK49" s="909"/>
      <c r="BL49" s="909"/>
      <c r="BM49" s="909"/>
      <c r="BN49" s="909"/>
      <c r="BO49" s="909"/>
      <c r="BP49" s="909"/>
      <c r="BQ49" s="909"/>
      <c r="BR49" s="909"/>
      <c r="BS49" s="910"/>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876"/>
      <c r="C50" s="157" t="s">
        <v>46</v>
      </c>
      <c r="D50" s="54"/>
      <c r="E50" s="23">
        <f t="shared" ref="E50:E60" si="144">ROUND(D50*$F$14,2)</f>
        <v>0</v>
      </c>
      <c r="F50" s="54"/>
      <c r="G50" s="54"/>
      <c r="H50" s="201">
        <f t="shared" ref="H50:H60" si="145">E50+F50-G50</f>
        <v>0</v>
      </c>
      <c r="I50" s="82"/>
      <c r="J50" s="917"/>
      <c r="K50" s="726"/>
      <c r="L50" s="726"/>
      <c r="M50" s="727"/>
      <c r="N50" s="731"/>
      <c r="O50" s="732"/>
      <c r="P50" s="732"/>
      <c r="AG50" s="6">
        <f>IF(AND(I50&lt;&gt;"",OR(I50&lt;EXPEDIENTE!$I$25,I50&gt;EXPEDIENTE!$I$29)),1,0)</f>
        <v>0</v>
      </c>
      <c r="AI50" s="6">
        <f>IF(DATE(YEAR(EXPEDIENTE!$I$25)+1,MONTH(DATEVALUE($C50&amp;"1")),1)&gt;=DATE(YEAR(EXPEDIENTE!$I$25),MONTH(EXPEDIENTE!$I$25),1),0,1)</f>
        <v>0</v>
      </c>
      <c r="AJ50" s="6" t="e">
        <f>IF(DATE(YEAR(EXPEDIENTE!$I$25)+1,MONTH(DATEVALUE($C50&amp;"1")),1)&lt;=DATE(YEAR(EXPEDIENTE!$I$27),MONTH(EXPEDIENTE!$I$27),1),0,1)</f>
        <v>#VALUE!</v>
      </c>
      <c r="AK50" s="6" t="e">
        <f t="shared" ref="AK50:AK60" si="146">SUM(AI50:AJ50)</f>
        <v>#VALUE!</v>
      </c>
      <c r="AM50" s="729"/>
      <c r="AN50" s="321" t="s">
        <v>46</v>
      </c>
      <c r="AO50" s="324">
        <f t="shared" ref="AO50:AO60" si="147">IF(D50="",0,D50)</f>
        <v>0</v>
      </c>
      <c r="AP50" s="532"/>
      <c r="AQ50" s="329">
        <f t="shared" ref="AQ50:AQ60" si="148">IF(AP50="",AO50,AP50)</f>
        <v>0</v>
      </c>
      <c r="AR50" s="330">
        <f t="shared" si="140"/>
        <v>0</v>
      </c>
      <c r="AS50" s="720"/>
      <c r="AT50" s="721"/>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1"/>
        <v>0</v>
      </c>
      <c r="BB50" s="720"/>
      <c r="BC50" s="721"/>
      <c r="BD50" s="316" t="str">
        <f t="shared" ref="BD50:BD60" si="153">IF(I50="","",I50)</f>
        <v/>
      </c>
      <c r="BE50" s="539"/>
      <c r="BF50" s="317" t="str">
        <f t="shared" ref="BF50:BF60" si="154">IF(BE50="",BD50,BE50)</f>
        <v/>
      </c>
      <c r="BG50" s="380" t="str">
        <f t="shared" ref="BG50:BG60" si="155">IF(DD50=0,"",DD50)</f>
        <v/>
      </c>
      <c r="BH50" s="893"/>
      <c r="BI50" s="787"/>
      <c r="BJ50" s="787"/>
      <c r="BK50" s="787"/>
      <c r="BL50" s="787"/>
      <c r="BM50" s="787"/>
      <c r="BN50" s="787"/>
      <c r="BO50" s="787"/>
      <c r="BP50" s="787"/>
      <c r="BQ50" s="787"/>
      <c r="BR50" s="787"/>
      <c r="BS50" s="788"/>
      <c r="DA50" s="6">
        <f>IF(AND(BE50&lt;&gt;"",OR(BE50&lt;EXPEDIENTE!$I$25,BE50&gt;EXPEDIENTE!$I$29)),1,0)</f>
        <v>0</v>
      </c>
      <c r="DB50" s="4"/>
      <c r="DD50" s="88">
        <f t="shared" si="142"/>
        <v>0</v>
      </c>
      <c r="DE50" s="88">
        <f t="shared" ref="DE50:DE60" si="156">IF(AP50="",0,1)</f>
        <v>0</v>
      </c>
      <c r="DF50" s="88">
        <f t="shared" ref="DF50:DF60" si="157">IF(AV50="",0,1)</f>
        <v>0</v>
      </c>
      <c r="DG50" s="88">
        <f t="shared" ref="DG50:DG60" si="158">IF(AY50="",0,1)</f>
        <v>0</v>
      </c>
      <c r="DH50" s="88">
        <f t="shared" si="143"/>
        <v>0</v>
      </c>
      <c r="DU50" s="4"/>
      <c r="DW50" s="88">
        <f>IF(BH50&lt;&gt;"",MAX($DW$9:DW49)+1,0)</f>
        <v>0</v>
      </c>
      <c r="DX50" s="185" t="str">
        <f t="shared" ref="DX50:DX60" si="159">IF(DW50=0,"",BH50)</f>
        <v/>
      </c>
    </row>
    <row r="51" spans="2:128" ht="30" customHeight="1" x14ac:dyDescent="0.25">
      <c r="B51" s="876"/>
      <c r="C51" s="157" t="s">
        <v>47</v>
      </c>
      <c r="D51" s="54"/>
      <c r="E51" s="23">
        <f t="shared" si="144"/>
        <v>0</v>
      </c>
      <c r="F51" s="54"/>
      <c r="G51" s="54"/>
      <c r="H51" s="201">
        <f t="shared" si="145"/>
        <v>0</v>
      </c>
      <c r="I51" s="82"/>
      <c r="J51" s="917"/>
      <c r="K51" s="726"/>
      <c r="L51" s="726"/>
      <c r="M51" s="727"/>
      <c r="N51" s="731"/>
      <c r="O51" s="732"/>
      <c r="P51" s="732"/>
      <c r="AG51" s="6">
        <f>IF(AND(I51&lt;&gt;"",OR(I51&lt;EXPEDIENTE!$I$25,I51&gt;EXPEDIENTE!$I$29)),1,0)</f>
        <v>0</v>
      </c>
      <c r="AI51" s="6">
        <f>IF(DATE(YEAR(EXPEDIENTE!$I$25)+1,MONTH(DATEVALUE($C51&amp;"1")),1)&gt;=DATE(YEAR(EXPEDIENTE!$I$25),MONTH(EXPEDIENTE!$I$25),1),0,1)</f>
        <v>0</v>
      </c>
      <c r="AJ51" s="6" t="e">
        <f>IF(DATE(YEAR(EXPEDIENTE!$I$25)+1,MONTH(DATEVALUE($C51&amp;"1")),1)&lt;=DATE(YEAR(EXPEDIENTE!$I$27),MONTH(EXPEDIENTE!$I$27),1),0,1)</f>
        <v>#VALUE!</v>
      </c>
      <c r="AK51" s="6" t="e">
        <f t="shared" si="146"/>
        <v>#VALUE!</v>
      </c>
      <c r="AM51" s="729"/>
      <c r="AN51" s="321" t="s">
        <v>47</v>
      </c>
      <c r="AO51" s="324">
        <f t="shared" si="147"/>
        <v>0</v>
      </c>
      <c r="AP51" s="532"/>
      <c r="AQ51" s="329">
        <f t="shared" si="148"/>
        <v>0</v>
      </c>
      <c r="AR51" s="330">
        <f t="shared" si="140"/>
        <v>0</v>
      </c>
      <c r="AS51" s="720"/>
      <c r="AT51" s="721"/>
      <c r="AU51" s="324">
        <f t="shared" si="149"/>
        <v>0</v>
      </c>
      <c r="AV51" s="532"/>
      <c r="AW51" s="329">
        <f t="shared" si="150"/>
        <v>0</v>
      </c>
      <c r="AX51" s="324">
        <f t="shared" si="151"/>
        <v>0</v>
      </c>
      <c r="AY51" s="532"/>
      <c r="AZ51" s="329">
        <f t="shared" si="152"/>
        <v>0</v>
      </c>
      <c r="BA51" s="379">
        <f t="shared" si="141"/>
        <v>0</v>
      </c>
      <c r="BB51" s="720"/>
      <c r="BC51" s="721"/>
      <c r="BD51" s="316" t="str">
        <f t="shared" si="153"/>
        <v/>
      </c>
      <c r="BE51" s="539"/>
      <c r="BF51" s="317" t="str">
        <f t="shared" si="154"/>
        <v/>
      </c>
      <c r="BG51" s="380" t="str">
        <f t="shared" si="155"/>
        <v/>
      </c>
      <c r="BH51" s="893"/>
      <c r="BI51" s="787"/>
      <c r="BJ51" s="787"/>
      <c r="BK51" s="787"/>
      <c r="BL51" s="787"/>
      <c r="BM51" s="787"/>
      <c r="BN51" s="787"/>
      <c r="BO51" s="787"/>
      <c r="BP51" s="787"/>
      <c r="BQ51" s="787"/>
      <c r="BR51" s="787"/>
      <c r="BS51" s="788"/>
      <c r="DA51" s="6">
        <f>IF(AND(BE51&lt;&gt;"",OR(BE51&lt;EXPEDIENTE!$I$25,BE51&gt;EXPEDIENTE!$I$29)),1,0)</f>
        <v>0</v>
      </c>
      <c r="DB51" s="4"/>
      <c r="DD51" s="88">
        <f t="shared" si="142"/>
        <v>0</v>
      </c>
      <c r="DE51" s="88">
        <f t="shared" si="156"/>
        <v>0</v>
      </c>
      <c r="DF51" s="88">
        <f t="shared" si="157"/>
        <v>0</v>
      </c>
      <c r="DG51" s="88">
        <f t="shared" si="158"/>
        <v>0</v>
      </c>
      <c r="DH51" s="88">
        <f t="shared" si="143"/>
        <v>0</v>
      </c>
      <c r="DU51" s="4"/>
      <c r="DW51" s="88">
        <f>IF(BH51&lt;&gt;"",MAX($DW$9:DW50)+1,0)</f>
        <v>0</v>
      </c>
      <c r="DX51" s="185" t="str">
        <f t="shared" si="159"/>
        <v/>
      </c>
    </row>
    <row r="52" spans="2:128" ht="30" customHeight="1" x14ac:dyDescent="0.25">
      <c r="B52" s="876"/>
      <c r="C52" s="157" t="s">
        <v>48</v>
      </c>
      <c r="D52" s="54"/>
      <c r="E52" s="23">
        <f t="shared" si="144"/>
        <v>0</v>
      </c>
      <c r="F52" s="54"/>
      <c r="G52" s="54"/>
      <c r="H52" s="201">
        <f t="shared" si="145"/>
        <v>0</v>
      </c>
      <c r="I52" s="82"/>
      <c r="J52" s="917"/>
      <c r="K52" s="726"/>
      <c r="L52" s="726"/>
      <c r="M52" s="727"/>
      <c r="N52" s="731"/>
      <c r="O52" s="732"/>
      <c r="P52" s="732"/>
      <c r="AG52" s="6">
        <f>IF(AND(I52&lt;&gt;"",OR(I52&lt;EXPEDIENTE!$I$25,I52&gt;EXPEDIENTE!$I$29)),1,0)</f>
        <v>0</v>
      </c>
      <c r="AI52" s="6">
        <f>IF(DATE(YEAR(EXPEDIENTE!$I$25)+1,MONTH(DATEVALUE($C52&amp;"1")),1)&gt;=DATE(YEAR(EXPEDIENTE!$I$25),MONTH(EXPEDIENTE!$I$25),1),0,1)</f>
        <v>0</v>
      </c>
      <c r="AJ52" s="6" t="e">
        <f>IF(DATE(YEAR(EXPEDIENTE!$I$25)+1,MONTH(DATEVALUE($C52&amp;"1")),1)&lt;=DATE(YEAR(EXPEDIENTE!$I$27),MONTH(EXPEDIENTE!$I$27),1),0,1)</f>
        <v>#VALUE!</v>
      </c>
      <c r="AK52" s="6" t="e">
        <f t="shared" si="146"/>
        <v>#VALUE!</v>
      </c>
      <c r="AM52" s="729"/>
      <c r="AN52" s="321" t="s">
        <v>48</v>
      </c>
      <c r="AO52" s="324">
        <f t="shared" si="147"/>
        <v>0</v>
      </c>
      <c r="AP52" s="532"/>
      <c r="AQ52" s="329">
        <f t="shared" si="148"/>
        <v>0</v>
      </c>
      <c r="AR52" s="330">
        <f t="shared" si="140"/>
        <v>0</v>
      </c>
      <c r="AS52" s="720"/>
      <c r="AT52" s="721"/>
      <c r="AU52" s="324">
        <f t="shared" si="149"/>
        <v>0</v>
      </c>
      <c r="AV52" s="532"/>
      <c r="AW52" s="329">
        <f t="shared" si="150"/>
        <v>0</v>
      </c>
      <c r="AX52" s="324">
        <f t="shared" si="151"/>
        <v>0</v>
      </c>
      <c r="AY52" s="532"/>
      <c r="AZ52" s="329">
        <f t="shared" si="152"/>
        <v>0</v>
      </c>
      <c r="BA52" s="379">
        <f t="shared" si="141"/>
        <v>0</v>
      </c>
      <c r="BB52" s="720"/>
      <c r="BC52" s="721"/>
      <c r="BD52" s="316" t="str">
        <f t="shared" si="153"/>
        <v/>
      </c>
      <c r="BE52" s="539"/>
      <c r="BF52" s="317" t="str">
        <f t="shared" si="154"/>
        <v/>
      </c>
      <c r="BG52" s="380" t="str">
        <f t="shared" si="155"/>
        <v/>
      </c>
      <c r="BH52" s="893"/>
      <c r="BI52" s="787"/>
      <c r="BJ52" s="787"/>
      <c r="BK52" s="787"/>
      <c r="BL52" s="787"/>
      <c r="BM52" s="787"/>
      <c r="BN52" s="787"/>
      <c r="BO52" s="787"/>
      <c r="BP52" s="787"/>
      <c r="BQ52" s="787"/>
      <c r="BR52" s="787"/>
      <c r="BS52" s="788"/>
      <c r="DA52" s="6">
        <f>IF(AND(BE52&lt;&gt;"",OR(BE52&lt;EXPEDIENTE!$I$25,BE52&gt;EXPEDIENTE!$I$29)),1,0)</f>
        <v>0</v>
      </c>
      <c r="DB52" s="4"/>
      <c r="DD52" s="88">
        <f t="shared" si="142"/>
        <v>0</v>
      </c>
      <c r="DE52" s="88">
        <f t="shared" si="156"/>
        <v>0</v>
      </c>
      <c r="DF52" s="88">
        <f t="shared" si="157"/>
        <v>0</v>
      </c>
      <c r="DG52" s="88">
        <f t="shared" si="158"/>
        <v>0</v>
      </c>
      <c r="DH52" s="88">
        <f t="shared" si="143"/>
        <v>0</v>
      </c>
      <c r="DU52" s="4"/>
      <c r="DW52" s="88">
        <f>IF(BH52&lt;&gt;"",MAX($DW$9:DW51)+1,0)</f>
        <v>0</v>
      </c>
      <c r="DX52" s="185" t="str">
        <f t="shared" si="159"/>
        <v/>
      </c>
    </row>
    <row r="53" spans="2:128" ht="30" customHeight="1" x14ac:dyDescent="0.25">
      <c r="B53" s="876"/>
      <c r="C53" s="157" t="s">
        <v>49</v>
      </c>
      <c r="D53" s="54"/>
      <c r="E53" s="23">
        <f t="shared" si="144"/>
        <v>0</v>
      </c>
      <c r="F53" s="54"/>
      <c r="G53" s="54"/>
      <c r="H53" s="201">
        <f t="shared" si="145"/>
        <v>0</v>
      </c>
      <c r="I53" s="82"/>
      <c r="J53" s="917"/>
      <c r="K53" s="726"/>
      <c r="L53" s="726"/>
      <c r="M53" s="727"/>
      <c r="N53" s="731"/>
      <c r="O53" s="732"/>
      <c r="P53" s="732"/>
      <c r="AG53" s="6">
        <f>IF(AND(I53&lt;&gt;"",OR(I53&lt;EXPEDIENTE!$I$25,I53&gt;EXPEDIENTE!$I$29)),1,0)</f>
        <v>0</v>
      </c>
      <c r="AI53" s="6">
        <f>IF(DATE(YEAR(EXPEDIENTE!$I$25)+1,MONTH(DATEVALUE($C53&amp;"1")),1)&gt;=DATE(YEAR(EXPEDIENTE!$I$25),MONTH(EXPEDIENTE!$I$25),1),0,1)</f>
        <v>0</v>
      </c>
      <c r="AJ53" s="6" t="e">
        <f>IF(DATE(YEAR(EXPEDIENTE!$I$25)+1,MONTH(DATEVALUE($C53&amp;"1")),1)&lt;=DATE(YEAR(EXPEDIENTE!$I$27),MONTH(EXPEDIENTE!$I$27),1),0,1)</f>
        <v>#VALUE!</v>
      </c>
      <c r="AK53" s="6" t="e">
        <f t="shared" si="146"/>
        <v>#VALUE!</v>
      </c>
      <c r="AM53" s="729"/>
      <c r="AN53" s="321" t="s">
        <v>49</v>
      </c>
      <c r="AO53" s="324">
        <f t="shared" si="147"/>
        <v>0</v>
      </c>
      <c r="AP53" s="532"/>
      <c r="AQ53" s="329">
        <f t="shared" si="148"/>
        <v>0</v>
      </c>
      <c r="AR53" s="330">
        <f t="shared" si="140"/>
        <v>0</v>
      </c>
      <c r="AS53" s="720"/>
      <c r="AT53" s="721"/>
      <c r="AU53" s="324">
        <f t="shared" si="149"/>
        <v>0</v>
      </c>
      <c r="AV53" s="532"/>
      <c r="AW53" s="329">
        <f t="shared" si="150"/>
        <v>0</v>
      </c>
      <c r="AX53" s="324">
        <f t="shared" si="151"/>
        <v>0</v>
      </c>
      <c r="AY53" s="532"/>
      <c r="AZ53" s="329">
        <f t="shared" si="152"/>
        <v>0</v>
      </c>
      <c r="BA53" s="379">
        <f t="shared" si="141"/>
        <v>0</v>
      </c>
      <c r="BB53" s="720"/>
      <c r="BC53" s="721"/>
      <c r="BD53" s="316" t="str">
        <f t="shared" si="153"/>
        <v/>
      </c>
      <c r="BE53" s="539"/>
      <c r="BF53" s="317" t="str">
        <f t="shared" si="154"/>
        <v/>
      </c>
      <c r="BG53" s="380" t="str">
        <f t="shared" si="155"/>
        <v/>
      </c>
      <c r="BH53" s="893"/>
      <c r="BI53" s="787"/>
      <c r="BJ53" s="787"/>
      <c r="BK53" s="787"/>
      <c r="BL53" s="787"/>
      <c r="BM53" s="787"/>
      <c r="BN53" s="787"/>
      <c r="BO53" s="787"/>
      <c r="BP53" s="787"/>
      <c r="BQ53" s="787"/>
      <c r="BR53" s="787"/>
      <c r="BS53" s="788"/>
      <c r="DA53" s="6">
        <f>IF(AND(BE53&lt;&gt;"",OR(BE53&lt;EXPEDIENTE!$I$25,BE53&gt;EXPEDIENTE!$I$29)),1,0)</f>
        <v>0</v>
      </c>
      <c r="DB53" s="4"/>
      <c r="DD53" s="88">
        <f t="shared" si="142"/>
        <v>0</v>
      </c>
      <c r="DE53" s="88">
        <f t="shared" si="156"/>
        <v>0</v>
      </c>
      <c r="DF53" s="88">
        <f t="shared" si="157"/>
        <v>0</v>
      </c>
      <c r="DG53" s="88">
        <f t="shared" si="158"/>
        <v>0</v>
      </c>
      <c r="DH53" s="88">
        <f t="shared" si="143"/>
        <v>0</v>
      </c>
      <c r="DU53" s="4"/>
      <c r="DW53" s="88">
        <f>IF(BH53&lt;&gt;"",MAX($DW$9:DW52)+1,0)</f>
        <v>0</v>
      </c>
      <c r="DX53" s="185" t="str">
        <f t="shared" si="159"/>
        <v/>
      </c>
    </row>
    <row r="54" spans="2:128" ht="30" customHeight="1" x14ac:dyDescent="0.25">
      <c r="B54" s="876"/>
      <c r="C54" s="157" t="s">
        <v>50</v>
      </c>
      <c r="D54" s="54"/>
      <c r="E54" s="23">
        <f t="shared" si="144"/>
        <v>0</v>
      </c>
      <c r="F54" s="54"/>
      <c r="G54" s="54"/>
      <c r="H54" s="201">
        <f t="shared" si="145"/>
        <v>0</v>
      </c>
      <c r="I54" s="82"/>
      <c r="J54" s="917"/>
      <c r="K54" s="726"/>
      <c r="L54" s="726"/>
      <c r="M54" s="727"/>
      <c r="N54" s="731"/>
      <c r="O54" s="732"/>
      <c r="P54" s="732"/>
      <c r="AG54" s="6">
        <f>IF(AND(I54&lt;&gt;"",OR(I54&lt;EXPEDIENTE!$I$25,I54&gt;EXPEDIENTE!$I$29)),1,0)</f>
        <v>0</v>
      </c>
      <c r="AI54" s="6">
        <f>IF(DATE(YEAR(EXPEDIENTE!$I$25)+1,MONTH(DATEVALUE($C54&amp;"1")),1)&gt;=DATE(YEAR(EXPEDIENTE!$I$25),MONTH(EXPEDIENTE!$I$25),1),0,1)</f>
        <v>0</v>
      </c>
      <c r="AJ54" s="6" t="e">
        <f>IF(DATE(YEAR(EXPEDIENTE!$I$25)+1,MONTH(DATEVALUE($C54&amp;"1")),1)&lt;=DATE(YEAR(EXPEDIENTE!$I$27),MONTH(EXPEDIENTE!$I$27),1),0,1)</f>
        <v>#VALUE!</v>
      </c>
      <c r="AK54" s="6" t="e">
        <f t="shared" si="146"/>
        <v>#VALUE!</v>
      </c>
      <c r="AM54" s="729"/>
      <c r="AN54" s="321" t="s">
        <v>50</v>
      </c>
      <c r="AO54" s="324">
        <f t="shared" si="147"/>
        <v>0</v>
      </c>
      <c r="AP54" s="532"/>
      <c r="AQ54" s="329">
        <f t="shared" si="148"/>
        <v>0</v>
      </c>
      <c r="AR54" s="330">
        <f t="shared" si="140"/>
        <v>0</v>
      </c>
      <c r="AS54" s="720"/>
      <c r="AT54" s="721"/>
      <c r="AU54" s="324">
        <f t="shared" si="149"/>
        <v>0</v>
      </c>
      <c r="AV54" s="532"/>
      <c r="AW54" s="329">
        <f t="shared" si="150"/>
        <v>0</v>
      </c>
      <c r="AX54" s="324">
        <f t="shared" si="151"/>
        <v>0</v>
      </c>
      <c r="AY54" s="532"/>
      <c r="AZ54" s="329">
        <f t="shared" si="152"/>
        <v>0</v>
      </c>
      <c r="BA54" s="379">
        <f t="shared" si="141"/>
        <v>0</v>
      </c>
      <c r="BB54" s="720"/>
      <c r="BC54" s="721"/>
      <c r="BD54" s="316" t="str">
        <f t="shared" si="153"/>
        <v/>
      </c>
      <c r="BE54" s="539"/>
      <c r="BF54" s="317" t="str">
        <f t="shared" si="154"/>
        <v/>
      </c>
      <c r="BG54" s="380" t="str">
        <f t="shared" si="155"/>
        <v/>
      </c>
      <c r="BH54" s="893"/>
      <c r="BI54" s="787"/>
      <c r="BJ54" s="787"/>
      <c r="BK54" s="787"/>
      <c r="BL54" s="787"/>
      <c r="BM54" s="787"/>
      <c r="BN54" s="787"/>
      <c r="BO54" s="787"/>
      <c r="BP54" s="787"/>
      <c r="BQ54" s="787"/>
      <c r="BR54" s="787"/>
      <c r="BS54" s="788"/>
      <c r="DA54" s="6">
        <f>IF(AND(BE54&lt;&gt;"",OR(BE54&lt;EXPEDIENTE!$I$25,BE54&gt;EXPEDIENTE!$I$29)),1,0)</f>
        <v>0</v>
      </c>
      <c r="DB54" s="4"/>
      <c r="DD54" s="88">
        <f t="shared" si="142"/>
        <v>0</v>
      </c>
      <c r="DE54" s="88">
        <f t="shared" si="156"/>
        <v>0</v>
      </c>
      <c r="DF54" s="88">
        <f t="shared" si="157"/>
        <v>0</v>
      </c>
      <c r="DG54" s="88">
        <f t="shared" si="158"/>
        <v>0</v>
      </c>
      <c r="DH54" s="88">
        <f t="shared" si="143"/>
        <v>0</v>
      </c>
      <c r="DU54" s="4"/>
      <c r="DW54" s="88">
        <f>IF(BH54&lt;&gt;"",MAX($DW$9:DW53)+1,0)</f>
        <v>0</v>
      </c>
      <c r="DX54" s="185" t="str">
        <f t="shared" si="159"/>
        <v/>
      </c>
    </row>
    <row r="55" spans="2:128" ht="30" customHeight="1" x14ac:dyDescent="0.25">
      <c r="B55" s="876"/>
      <c r="C55" s="157" t="s">
        <v>51</v>
      </c>
      <c r="D55" s="54"/>
      <c r="E55" s="23">
        <f t="shared" si="144"/>
        <v>0</v>
      </c>
      <c r="F55" s="54"/>
      <c r="G55" s="54"/>
      <c r="H55" s="201">
        <f t="shared" si="145"/>
        <v>0</v>
      </c>
      <c r="I55" s="82"/>
      <c r="J55" s="917"/>
      <c r="K55" s="726"/>
      <c r="L55" s="726"/>
      <c r="M55" s="727"/>
      <c r="N55" s="731"/>
      <c r="O55" s="732"/>
      <c r="P55" s="732"/>
      <c r="AG55" s="6">
        <f>IF(AND(I55&lt;&gt;"",OR(I55&lt;EXPEDIENTE!$I$25,I55&gt;EXPEDIENTE!$I$29)),1,0)</f>
        <v>0</v>
      </c>
      <c r="AI55" s="6">
        <f>IF(DATE(YEAR(EXPEDIENTE!$I$25)+1,MONTH(DATEVALUE($C55&amp;"1")),1)&gt;=DATE(YEAR(EXPEDIENTE!$I$25),MONTH(EXPEDIENTE!$I$25),1),0,1)</f>
        <v>0</v>
      </c>
      <c r="AJ55" s="6" t="e">
        <f>IF(DATE(YEAR(EXPEDIENTE!$I$25)+1,MONTH(DATEVALUE($C55&amp;"1")),1)&lt;=DATE(YEAR(EXPEDIENTE!$I$27),MONTH(EXPEDIENTE!$I$27),1),0,1)</f>
        <v>#VALUE!</v>
      </c>
      <c r="AK55" s="6" t="e">
        <f t="shared" si="146"/>
        <v>#VALUE!</v>
      </c>
      <c r="AM55" s="729"/>
      <c r="AN55" s="321" t="s">
        <v>51</v>
      </c>
      <c r="AO55" s="324">
        <f t="shared" si="147"/>
        <v>0</v>
      </c>
      <c r="AP55" s="532"/>
      <c r="AQ55" s="329">
        <f t="shared" si="148"/>
        <v>0</v>
      </c>
      <c r="AR55" s="330">
        <f t="shared" si="140"/>
        <v>0</v>
      </c>
      <c r="AS55" s="720"/>
      <c r="AT55" s="721"/>
      <c r="AU55" s="324">
        <f t="shared" si="149"/>
        <v>0</v>
      </c>
      <c r="AV55" s="532"/>
      <c r="AW55" s="329">
        <f t="shared" si="150"/>
        <v>0</v>
      </c>
      <c r="AX55" s="324">
        <f t="shared" si="151"/>
        <v>0</v>
      </c>
      <c r="AY55" s="532"/>
      <c r="AZ55" s="329">
        <f t="shared" si="152"/>
        <v>0</v>
      </c>
      <c r="BA55" s="379">
        <f t="shared" si="141"/>
        <v>0</v>
      </c>
      <c r="BB55" s="720"/>
      <c r="BC55" s="721"/>
      <c r="BD55" s="316" t="str">
        <f t="shared" si="153"/>
        <v/>
      </c>
      <c r="BE55" s="539"/>
      <c r="BF55" s="317" t="str">
        <f t="shared" si="154"/>
        <v/>
      </c>
      <c r="BG55" s="380" t="str">
        <f t="shared" si="155"/>
        <v/>
      </c>
      <c r="BH55" s="893"/>
      <c r="BI55" s="787"/>
      <c r="BJ55" s="787"/>
      <c r="BK55" s="787"/>
      <c r="BL55" s="787"/>
      <c r="BM55" s="787"/>
      <c r="BN55" s="787"/>
      <c r="BO55" s="787"/>
      <c r="BP55" s="787"/>
      <c r="BQ55" s="787"/>
      <c r="BR55" s="787"/>
      <c r="BS55" s="788"/>
      <c r="DA55" s="6">
        <f>IF(AND(BE55&lt;&gt;"",OR(BE55&lt;EXPEDIENTE!$I$25,BE55&gt;EXPEDIENTE!$I$29)),1,0)</f>
        <v>0</v>
      </c>
      <c r="DB55" s="4"/>
      <c r="DD55" s="88">
        <f t="shared" si="142"/>
        <v>0</v>
      </c>
      <c r="DE55" s="88">
        <f t="shared" si="156"/>
        <v>0</v>
      </c>
      <c r="DF55" s="88">
        <f t="shared" si="157"/>
        <v>0</v>
      </c>
      <c r="DG55" s="88">
        <f t="shared" si="158"/>
        <v>0</v>
      </c>
      <c r="DH55" s="88">
        <f t="shared" si="143"/>
        <v>0</v>
      </c>
      <c r="DU55" s="4"/>
      <c r="DW55" s="88">
        <f>IF(BH55&lt;&gt;"",MAX($DW$9:DW54)+1,0)</f>
        <v>0</v>
      </c>
      <c r="DX55" s="185" t="str">
        <f t="shared" si="159"/>
        <v/>
      </c>
    </row>
    <row r="56" spans="2:128" ht="30" customHeight="1" x14ac:dyDescent="0.25">
      <c r="B56" s="876"/>
      <c r="C56" s="157" t="s">
        <v>52</v>
      </c>
      <c r="D56" s="54"/>
      <c r="E56" s="23">
        <f t="shared" si="144"/>
        <v>0</v>
      </c>
      <c r="F56" s="54"/>
      <c r="G56" s="54"/>
      <c r="H56" s="201">
        <f t="shared" si="145"/>
        <v>0</v>
      </c>
      <c r="I56" s="82"/>
      <c r="J56" s="917"/>
      <c r="K56" s="726"/>
      <c r="L56" s="726"/>
      <c r="M56" s="727"/>
      <c r="N56" s="731"/>
      <c r="O56" s="732"/>
      <c r="P56" s="732"/>
      <c r="AG56" s="6">
        <f>IF(AND(I56&lt;&gt;"",OR(I56&lt;EXPEDIENTE!$I$25,I56&gt;EXPEDIENTE!$I$29)),1,0)</f>
        <v>0</v>
      </c>
      <c r="AI56" s="6">
        <f>IF(DATE(YEAR(EXPEDIENTE!$I$25)+1,MONTH(DATEVALUE($C56&amp;"1")),1)&gt;=DATE(YEAR(EXPEDIENTE!$I$25),MONTH(EXPEDIENTE!$I$25),1),0,1)</f>
        <v>0</v>
      </c>
      <c r="AJ56" s="6" t="e">
        <f>IF(DATE(YEAR(EXPEDIENTE!$I$25)+1,MONTH(DATEVALUE($C56&amp;"1")),1)&lt;=DATE(YEAR(EXPEDIENTE!$I$27),MONTH(EXPEDIENTE!$I$27),1),0,1)</f>
        <v>#VALUE!</v>
      </c>
      <c r="AK56" s="6" t="e">
        <f t="shared" si="146"/>
        <v>#VALUE!</v>
      </c>
      <c r="AM56" s="729"/>
      <c r="AN56" s="321" t="s">
        <v>52</v>
      </c>
      <c r="AO56" s="324">
        <f t="shared" si="147"/>
        <v>0</v>
      </c>
      <c r="AP56" s="532"/>
      <c r="AQ56" s="329">
        <f t="shared" si="148"/>
        <v>0</v>
      </c>
      <c r="AR56" s="330">
        <f t="shared" si="140"/>
        <v>0</v>
      </c>
      <c r="AS56" s="720"/>
      <c r="AT56" s="721"/>
      <c r="AU56" s="324">
        <f t="shared" si="149"/>
        <v>0</v>
      </c>
      <c r="AV56" s="532"/>
      <c r="AW56" s="329">
        <f t="shared" si="150"/>
        <v>0</v>
      </c>
      <c r="AX56" s="324">
        <f t="shared" si="151"/>
        <v>0</v>
      </c>
      <c r="AY56" s="532"/>
      <c r="AZ56" s="329">
        <f t="shared" si="152"/>
        <v>0</v>
      </c>
      <c r="BA56" s="379">
        <f t="shared" si="141"/>
        <v>0</v>
      </c>
      <c r="BB56" s="720"/>
      <c r="BC56" s="721"/>
      <c r="BD56" s="316" t="str">
        <f t="shared" si="153"/>
        <v/>
      </c>
      <c r="BE56" s="539"/>
      <c r="BF56" s="317" t="str">
        <f t="shared" si="154"/>
        <v/>
      </c>
      <c r="BG56" s="380" t="str">
        <f t="shared" si="155"/>
        <v/>
      </c>
      <c r="BH56" s="893"/>
      <c r="BI56" s="787"/>
      <c r="BJ56" s="787"/>
      <c r="BK56" s="787"/>
      <c r="BL56" s="787"/>
      <c r="BM56" s="787"/>
      <c r="BN56" s="787"/>
      <c r="BO56" s="787"/>
      <c r="BP56" s="787"/>
      <c r="BQ56" s="787"/>
      <c r="BR56" s="787"/>
      <c r="BS56" s="788"/>
      <c r="DA56" s="6">
        <f>IF(AND(BE56&lt;&gt;"",OR(BE56&lt;EXPEDIENTE!$I$25,BE56&gt;EXPEDIENTE!$I$29)),1,0)</f>
        <v>0</v>
      </c>
      <c r="DB56" s="4"/>
      <c r="DD56" s="88">
        <f t="shared" si="142"/>
        <v>0</v>
      </c>
      <c r="DE56" s="88">
        <f t="shared" si="156"/>
        <v>0</v>
      </c>
      <c r="DF56" s="88">
        <f t="shared" si="157"/>
        <v>0</v>
      </c>
      <c r="DG56" s="88">
        <f t="shared" si="158"/>
        <v>0</v>
      </c>
      <c r="DH56" s="88">
        <f t="shared" si="143"/>
        <v>0</v>
      </c>
      <c r="DU56" s="4"/>
      <c r="DW56" s="88">
        <f>IF(BH56&lt;&gt;"",MAX($DW$9:DW55)+1,0)</f>
        <v>0</v>
      </c>
      <c r="DX56" s="185" t="str">
        <f t="shared" si="159"/>
        <v/>
      </c>
    </row>
    <row r="57" spans="2:128" ht="30" customHeight="1" x14ac:dyDescent="0.25">
      <c r="B57" s="876"/>
      <c r="C57" s="157" t="s">
        <v>53</v>
      </c>
      <c r="D57" s="54"/>
      <c r="E57" s="23">
        <f t="shared" si="144"/>
        <v>0</v>
      </c>
      <c r="F57" s="54"/>
      <c r="G57" s="54"/>
      <c r="H57" s="201">
        <f t="shared" si="145"/>
        <v>0</v>
      </c>
      <c r="I57" s="82"/>
      <c r="J57" s="917"/>
      <c r="K57" s="726"/>
      <c r="L57" s="726"/>
      <c r="M57" s="727"/>
      <c r="N57" s="731"/>
      <c r="O57" s="732"/>
      <c r="P57" s="732"/>
      <c r="AG57" s="6">
        <f>IF(AND(I57&lt;&gt;"",OR(I57&lt;EXPEDIENTE!$I$25,I57&gt;EXPEDIENTE!$I$29)),1,0)</f>
        <v>0</v>
      </c>
      <c r="AI57" s="6">
        <f>IF(DATE(YEAR(EXPEDIENTE!$I$25)+1,MONTH(DATEVALUE($C57&amp;"1")),1)&gt;=DATE(YEAR(EXPEDIENTE!$I$25),MONTH(EXPEDIENTE!$I$25),1),0,1)</f>
        <v>0</v>
      </c>
      <c r="AJ57" s="6" t="e">
        <f>IF(DATE(YEAR(EXPEDIENTE!$I$25)+1,MONTH(DATEVALUE($C57&amp;"1")),1)&lt;=DATE(YEAR(EXPEDIENTE!$I$27),MONTH(EXPEDIENTE!$I$27),1),0,1)</f>
        <v>#VALUE!</v>
      </c>
      <c r="AK57" s="6" t="e">
        <f t="shared" si="146"/>
        <v>#VALUE!</v>
      </c>
      <c r="AM57" s="729"/>
      <c r="AN57" s="321" t="s">
        <v>53</v>
      </c>
      <c r="AO57" s="324">
        <f t="shared" si="147"/>
        <v>0</v>
      </c>
      <c r="AP57" s="532"/>
      <c r="AQ57" s="329">
        <f t="shared" si="148"/>
        <v>0</v>
      </c>
      <c r="AR57" s="330">
        <f t="shared" si="140"/>
        <v>0</v>
      </c>
      <c r="AS57" s="720"/>
      <c r="AT57" s="721"/>
      <c r="AU57" s="324">
        <f t="shared" si="149"/>
        <v>0</v>
      </c>
      <c r="AV57" s="532"/>
      <c r="AW57" s="329">
        <f t="shared" si="150"/>
        <v>0</v>
      </c>
      <c r="AX57" s="324">
        <f t="shared" si="151"/>
        <v>0</v>
      </c>
      <c r="AY57" s="532"/>
      <c r="AZ57" s="329">
        <f t="shared" si="152"/>
        <v>0</v>
      </c>
      <c r="BA57" s="379">
        <f t="shared" si="141"/>
        <v>0</v>
      </c>
      <c r="BB57" s="720"/>
      <c r="BC57" s="721"/>
      <c r="BD57" s="316" t="str">
        <f t="shared" si="153"/>
        <v/>
      </c>
      <c r="BE57" s="539"/>
      <c r="BF57" s="317" t="str">
        <f t="shared" si="154"/>
        <v/>
      </c>
      <c r="BG57" s="380" t="str">
        <f t="shared" si="155"/>
        <v/>
      </c>
      <c r="BH57" s="893"/>
      <c r="BI57" s="787"/>
      <c r="BJ57" s="787"/>
      <c r="BK57" s="787"/>
      <c r="BL57" s="787"/>
      <c r="BM57" s="787"/>
      <c r="BN57" s="787"/>
      <c r="BO57" s="787"/>
      <c r="BP57" s="787"/>
      <c r="BQ57" s="787"/>
      <c r="BR57" s="787"/>
      <c r="BS57" s="788"/>
      <c r="DA57" s="6">
        <f>IF(AND(BE57&lt;&gt;"",OR(BE57&lt;EXPEDIENTE!$I$25,BE57&gt;EXPEDIENTE!$I$29)),1,0)</f>
        <v>0</v>
      </c>
      <c r="DB57" s="4"/>
      <c r="DD57" s="88">
        <f t="shared" si="142"/>
        <v>0</v>
      </c>
      <c r="DE57" s="88">
        <f t="shared" si="156"/>
        <v>0</v>
      </c>
      <c r="DF57" s="88">
        <f t="shared" si="157"/>
        <v>0</v>
      </c>
      <c r="DG57" s="88">
        <f t="shared" si="158"/>
        <v>0</v>
      </c>
      <c r="DH57" s="88">
        <f t="shared" si="143"/>
        <v>0</v>
      </c>
      <c r="DU57" s="4"/>
      <c r="DW57" s="88">
        <f>IF(BH57&lt;&gt;"",MAX($DW$9:DW56)+1,0)</f>
        <v>0</v>
      </c>
      <c r="DX57" s="185" t="str">
        <f t="shared" si="159"/>
        <v/>
      </c>
    </row>
    <row r="58" spans="2:128" ht="30" customHeight="1" x14ac:dyDescent="0.25">
      <c r="B58" s="876"/>
      <c r="C58" s="157" t="s">
        <v>54</v>
      </c>
      <c r="D58" s="54"/>
      <c r="E58" s="23">
        <f t="shared" si="144"/>
        <v>0</v>
      </c>
      <c r="F58" s="54"/>
      <c r="G58" s="54"/>
      <c r="H58" s="201">
        <f t="shared" si="145"/>
        <v>0</v>
      </c>
      <c r="I58" s="82"/>
      <c r="J58" s="917"/>
      <c r="K58" s="726"/>
      <c r="L58" s="726"/>
      <c r="M58" s="727"/>
      <c r="N58" s="731"/>
      <c r="O58" s="732"/>
      <c r="P58" s="732"/>
      <c r="AG58" s="6">
        <f>IF(AND(I58&lt;&gt;"",OR(I58&lt;EXPEDIENTE!$I$25,I58&gt;EXPEDIENTE!$I$29)),1,0)</f>
        <v>0</v>
      </c>
      <c r="AI58" s="6">
        <f>IF(DATE(YEAR(EXPEDIENTE!$I$25)+1,MONTH(DATEVALUE($C58&amp;"1")),1)&gt;=DATE(YEAR(EXPEDIENTE!$I$25),MONTH(EXPEDIENTE!$I$25),1),0,1)</f>
        <v>0</v>
      </c>
      <c r="AJ58" s="6" t="e">
        <f>IF(DATE(YEAR(EXPEDIENTE!$I$25)+1,MONTH(DATEVALUE($C58&amp;"1")),1)&lt;=DATE(YEAR(EXPEDIENTE!$I$27),MONTH(EXPEDIENTE!$I$27),1),0,1)</f>
        <v>#VALUE!</v>
      </c>
      <c r="AK58" s="6" t="e">
        <f t="shared" si="146"/>
        <v>#VALUE!</v>
      </c>
      <c r="AM58" s="729"/>
      <c r="AN58" s="321" t="s">
        <v>54</v>
      </c>
      <c r="AO58" s="324">
        <f t="shared" si="147"/>
        <v>0</v>
      </c>
      <c r="AP58" s="532"/>
      <c r="AQ58" s="329">
        <f t="shared" si="148"/>
        <v>0</v>
      </c>
      <c r="AR58" s="330">
        <f t="shared" si="140"/>
        <v>0</v>
      </c>
      <c r="AS58" s="720"/>
      <c r="AT58" s="721"/>
      <c r="AU58" s="324">
        <f t="shared" si="149"/>
        <v>0</v>
      </c>
      <c r="AV58" s="532"/>
      <c r="AW58" s="329">
        <f t="shared" si="150"/>
        <v>0</v>
      </c>
      <c r="AX58" s="324">
        <f t="shared" si="151"/>
        <v>0</v>
      </c>
      <c r="AY58" s="532"/>
      <c r="AZ58" s="329">
        <f t="shared" si="152"/>
        <v>0</v>
      </c>
      <c r="BA58" s="379">
        <f t="shared" si="141"/>
        <v>0</v>
      </c>
      <c r="BB58" s="720"/>
      <c r="BC58" s="721"/>
      <c r="BD58" s="316" t="str">
        <f t="shared" si="153"/>
        <v/>
      </c>
      <c r="BE58" s="539"/>
      <c r="BF58" s="317" t="str">
        <f t="shared" si="154"/>
        <v/>
      </c>
      <c r="BG58" s="380" t="str">
        <f t="shared" si="155"/>
        <v/>
      </c>
      <c r="BH58" s="893"/>
      <c r="BI58" s="787"/>
      <c r="BJ58" s="787"/>
      <c r="BK58" s="787"/>
      <c r="BL58" s="787"/>
      <c r="BM58" s="787"/>
      <c r="BN58" s="787"/>
      <c r="BO58" s="787"/>
      <c r="BP58" s="787"/>
      <c r="BQ58" s="787"/>
      <c r="BR58" s="787"/>
      <c r="BS58" s="788"/>
      <c r="DA58" s="6">
        <f>IF(AND(BE58&lt;&gt;"",OR(BE58&lt;EXPEDIENTE!$I$25,BE58&gt;EXPEDIENTE!$I$29)),1,0)</f>
        <v>0</v>
      </c>
      <c r="DB58" s="4"/>
      <c r="DD58" s="88">
        <f t="shared" si="142"/>
        <v>0</v>
      </c>
      <c r="DE58" s="88">
        <f t="shared" si="156"/>
        <v>0</v>
      </c>
      <c r="DF58" s="88">
        <f t="shared" si="157"/>
        <v>0</v>
      </c>
      <c r="DG58" s="88">
        <f t="shared" si="158"/>
        <v>0</v>
      </c>
      <c r="DH58" s="88">
        <f t="shared" si="143"/>
        <v>0</v>
      </c>
      <c r="DU58" s="4"/>
      <c r="DW58" s="88">
        <f>IF(BH58&lt;&gt;"",MAX($DW$9:DW57)+1,0)</f>
        <v>0</v>
      </c>
      <c r="DX58" s="185" t="str">
        <f t="shared" si="159"/>
        <v/>
      </c>
    </row>
    <row r="59" spans="2:128" ht="30" customHeight="1" x14ac:dyDescent="0.25">
      <c r="B59" s="876"/>
      <c r="C59" s="157" t="s">
        <v>55</v>
      </c>
      <c r="D59" s="54"/>
      <c r="E59" s="23">
        <f t="shared" si="144"/>
        <v>0</v>
      </c>
      <c r="F59" s="54"/>
      <c r="G59" s="54"/>
      <c r="H59" s="201">
        <f t="shared" si="145"/>
        <v>0</v>
      </c>
      <c r="I59" s="82"/>
      <c r="J59" s="917"/>
      <c r="K59" s="726"/>
      <c r="L59" s="726"/>
      <c r="M59" s="727"/>
      <c r="N59" s="731"/>
      <c r="O59" s="732"/>
      <c r="P59" s="732"/>
      <c r="AG59" s="6">
        <f>IF(AND(I59&lt;&gt;"",OR(I59&lt;EXPEDIENTE!$I$25,I59&gt;EXPEDIENTE!$I$29)),1,0)</f>
        <v>0</v>
      </c>
      <c r="AI59" s="6">
        <f>IF(DATE(YEAR(EXPEDIENTE!$I$25)+1,MONTH(DATEVALUE($C59&amp;"1")),1)&gt;=DATE(YEAR(EXPEDIENTE!$I$25),MONTH(EXPEDIENTE!$I$25),1),0,1)</f>
        <v>0</v>
      </c>
      <c r="AJ59" s="6" t="e">
        <f>IF(DATE(YEAR(EXPEDIENTE!$I$25)+1,MONTH(DATEVALUE($C59&amp;"1")),1)&lt;=DATE(YEAR(EXPEDIENTE!$I$27),MONTH(EXPEDIENTE!$I$27),1),0,1)</f>
        <v>#VALUE!</v>
      </c>
      <c r="AK59" s="6" t="e">
        <f t="shared" si="146"/>
        <v>#VALUE!</v>
      </c>
      <c r="AM59" s="729"/>
      <c r="AN59" s="321" t="s">
        <v>55</v>
      </c>
      <c r="AO59" s="324">
        <f t="shared" si="147"/>
        <v>0</v>
      </c>
      <c r="AP59" s="532"/>
      <c r="AQ59" s="329">
        <f t="shared" si="148"/>
        <v>0</v>
      </c>
      <c r="AR59" s="330">
        <f t="shared" si="140"/>
        <v>0</v>
      </c>
      <c r="AS59" s="720"/>
      <c r="AT59" s="721"/>
      <c r="AU59" s="324">
        <f t="shared" si="149"/>
        <v>0</v>
      </c>
      <c r="AV59" s="532"/>
      <c r="AW59" s="329">
        <f t="shared" si="150"/>
        <v>0</v>
      </c>
      <c r="AX59" s="324">
        <f t="shared" si="151"/>
        <v>0</v>
      </c>
      <c r="AY59" s="532"/>
      <c r="AZ59" s="329">
        <f t="shared" si="152"/>
        <v>0</v>
      </c>
      <c r="BA59" s="379">
        <f t="shared" si="141"/>
        <v>0</v>
      </c>
      <c r="BB59" s="720"/>
      <c r="BC59" s="721"/>
      <c r="BD59" s="316" t="str">
        <f t="shared" si="153"/>
        <v/>
      </c>
      <c r="BE59" s="539"/>
      <c r="BF59" s="317" t="str">
        <f t="shared" si="154"/>
        <v/>
      </c>
      <c r="BG59" s="380" t="str">
        <f t="shared" si="155"/>
        <v/>
      </c>
      <c r="BH59" s="893"/>
      <c r="BI59" s="787"/>
      <c r="BJ59" s="787"/>
      <c r="BK59" s="787"/>
      <c r="BL59" s="787"/>
      <c r="BM59" s="787"/>
      <c r="BN59" s="787"/>
      <c r="BO59" s="787"/>
      <c r="BP59" s="787"/>
      <c r="BQ59" s="787"/>
      <c r="BR59" s="787"/>
      <c r="BS59" s="788"/>
      <c r="DA59" s="6">
        <f>IF(AND(BE59&lt;&gt;"",OR(BE59&lt;EXPEDIENTE!$I$25,BE59&gt;EXPEDIENTE!$I$29)),1,0)</f>
        <v>0</v>
      </c>
      <c r="DB59" s="4"/>
      <c r="DD59" s="88">
        <f t="shared" si="142"/>
        <v>0</v>
      </c>
      <c r="DE59" s="88">
        <f t="shared" si="156"/>
        <v>0</v>
      </c>
      <c r="DF59" s="88">
        <f t="shared" si="157"/>
        <v>0</v>
      </c>
      <c r="DG59" s="88">
        <f t="shared" si="158"/>
        <v>0</v>
      </c>
      <c r="DH59" s="88">
        <f t="shared" si="143"/>
        <v>0</v>
      </c>
      <c r="DU59" s="4"/>
      <c r="DW59" s="88">
        <f>IF(BH59&lt;&gt;"",MAX($DW$9:DW58)+1,0)</f>
        <v>0</v>
      </c>
      <c r="DX59" s="185" t="str">
        <f t="shared" si="159"/>
        <v/>
      </c>
    </row>
    <row r="60" spans="2:128" ht="30" customHeight="1" thickBot="1" x14ac:dyDescent="0.3">
      <c r="B60" s="876"/>
      <c r="C60" s="199" t="s">
        <v>56</v>
      </c>
      <c r="D60" s="195"/>
      <c r="E60" s="30">
        <f t="shared" si="144"/>
        <v>0</v>
      </c>
      <c r="F60" s="56"/>
      <c r="G60" s="56"/>
      <c r="H60" s="204">
        <f t="shared" si="145"/>
        <v>0</v>
      </c>
      <c r="I60" s="197"/>
      <c r="J60" s="918"/>
      <c r="K60" s="919"/>
      <c r="L60" s="919"/>
      <c r="M60" s="920"/>
      <c r="N60" s="731"/>
      <c r="O60" s="732"/>
      <c r="P60" s="732"/>
      <c r="AG60" s="6">
        <f>IF(AND(I60&lt;&gt;"",OR(I60&lt;EXPEDIENTE!$I$25,I60&gt;EXPEDIENTE!$I$29)),1,0)</f>
        <v>0</v>
      </c>
      <c r="AI60" s="6">
        <f>IF(DATE(YEAR(EXPEDIENTE!$I$25)+1,MONTH(DATEVALUE($C60&amp;"1")),1)&gt;=DATE(YEAR(EXPEDIENTE!$I$25),MONTH(EXPEDIENTE!$I$25),1),0,1)</f>
        <v>0</v>
      </c>
      <c r="AJ60" s="6" t="e">
        <f>IF(DATE(YEAR(EXPEDIENTE!$I$25)+1,MONTH(DATEVALUE($C60&amp;"1")),1)&lt;=DATE(YEAR(EXPEDIENTE!$I$27),MONTH(EXPEDIENTE!$I$27),1),0,1)</f>
        <v>#VALUE!</v>
      </c>
      <c r="AK60" s="6" t="e">
        <f t="shared" si="146"/>
        <v>#VALUE!</v>
      </c>
      <c r="AM60" s="729"/>
      <c r="AN60" s="381" t="s">
        <v>56</v>
      </c>
      <c r="AO60" s="382">
        <f t="shared" si="147"/>
        <v>0</v>
      </c>
      <c r="AP60" s="544"/>
      <c r="AQ60" s="383">
        <f t="shared" si="148"/>
        <v>0</v>
      </c>
      <c r="AR60" s="338">
        <f t="shared" si="140"/>
        <v>0</v>
      </c>
      <c r="AS60" s="722"/>
      <c r="AT60" s="723"/>
      <c r="AU60" s="334">
        <f t="shared" si="149"/>
        <v>0</v>
      </c>
      <c r="AV60" s="536"/>
      <c r="AW60" s="340">
        <f t="shared" si="150"/>
        <v>0</v>
      </c>
      <c r="AX60" s="334">
        <f t="shared" si="151"/>
        <v>0</v>
      </c>
      <c r="AY60" s="536"/>
      <c r="AZ60" s="340">
        <f t="shared" si="152"/>
        <v>0</v>
      </c>
      <c r="BA60" s="384">
        <f t="shared" si="141"/>
        <v>0</v>
      </c>
      <c r="BB60" s="722"/>
      <c r="BC60" s="723"/>
      <c r="BD60" s="341" t="str">
        <f t="shared" si="153"/>
        <v/>
      </c>
      <c r="BE60" s="545"/>
      <c r="BF60" s="342" t="str">
        <f t="shared" si="154"/>
        <v/>
      </c>
      <c r="BG60" s="385" t="str">
        <f t="shared" si="155"/>
        <v/>
      </c>
      <c r="BH60" s="894"/>
      <c r="BI60" s="895"/>
      <c r="BJ60" s="895"/>
      <c r="BK60" s="895"/>
      <c r="BL60" s="895"/>
      <c r="BM60" s="895"/>
      <c r="BN60" s="895"/>
      <c r="BO60" s="895"/>
      <c r="BP60" s="895"/>
      <c r="BQ60" s="895"/>
      <c r="BR60" s="895"/>
      <c r="BS60" s="896"/>
      <c r="DA60" s="6">
        <f>IF(AND(BE60&lt;&gt;"",OR(BE60&lt;EXPEDIENTE!$I$25,BE60&gt;EXPEDIENTE!$I$29)),1,0)</f>
        <v>0</v>
      </c>
      <c r="DB60" s="4"/>
      <c r="DD60" s="88">
        <f t="shared" si="142"/>
        <v>0</v>
      </c>
      <c r="DE60" s="88">
        <f t="shared" si="156"/>
        <v>0</v>
      </c>
      <c r="DF60" s="88">
        <f t="shared" si="157"/>
        <v>0</v>
      </c>
      <c r="DG60" s="88">
        <f t="shared" si="158"/>
        <v>0</v>
      </c>
      <c r="DH60" s="88">
        <f t="shared" si="143"/>
        <v>0</v>
      </c>
      <c r="DU60" s="4"/>
      <c r="DW60" s="88">
        <f>IF(BH60&lt;&gt;"",MAX($DW$9:DW59)+1,0)</f>
        <v>0</v>
      </c>
      <c r="DX60" s="185" t="str">
        <f t="shared" si="159"/>
        <v/>
      </c>
    </row>
    <row r="61" spans="2:128" ht="9.9499999999999993" customHeight="1" thickBot="1" x14ac:dyDescent="0.3">
      <c r="B61" s="877"/>
      <c r="C61" s="184"/>
      <c r="D61" s="184"/>
      <c r="E61" s="184"/>
      <c r="F61" s="184"/>
      <c r="G61" s="184"/>
      <c r="H61" s="184"/>
      <c r="I61" s="184"/>
      <c r="J61" s="184"/>
      <c r="K61" s="184"/>
      <c r="L61" s="184"/>
      <c r="M61" s="193"/>
      <c r="AM61" s="730"/>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WR1a26cMxsnnsKnpYjHXlCz2Z+PZxNGMrFatYVzEDhtOqVRg9CXFkeHokDdC7f+vmDxHfEiDpwMzYZQ0XykXQQ==" saltValue="mfWQUm5q9D1FLFkRiO9FBg==" spinCount="100000" sheet="1"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C31:D31"/>
    <mergeCell ref="C20:D20"/>
    <mergeCell ref="C21:D21"/>
    <mergeCell ref="C22:D22"/>
    <mergeCell ref="C23:D23"/>
    <mergeCell ref="C24:D24"/>
    <mergeCell ref="C25:D25"/>
    <mergeCell ref="C26:D26"/>
    <mergeCell ref="C27:D27"/>
    <mergeCell ref="C28:D28"/>
    <mergeCell ref="C29:D29"/>
    <mergeCell ref="C30:D30"/>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$AG20&lt;&gt;0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N61" sqref="N61"/>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2024.07.PRIV.0000</v>
      </c>
      <c r="AR3" s="217" t="str">
        <f>'IDENTIFICACIÓN TRABAJADOR'!$F$4</f>
        <v>Nº DE EXPEDIENTE: 2024.07.PRIV.0000</v>
      </c>
      <c r="AS3" s="217"/>
      <c r="AT3" s="217"/>
    </row>
    <row r="4" spans="1:128" ht="20.100000000000001" customHeight="1" x14ac:dyDescent="0.25">
      <c r="E4" s="850"/>
      <c r="F4" s="850"/>
      <c r="G4" s="87"/>
      <c r="AR4" s="764"/>
      <c r="AS4" s="764"/>
      <c r="AT4" s="764"/>
      <c r="AU4" s="764"/>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692" t="s">
        <v>343</v>
      </c>
      <c r="DE7" s="692"/>
      <c r="DF7" s="692"/>
      <c r="DG7" s="692"/>
      <c r="DH7" s="692"/>
      <c r="DI7" s="692"/>
      <c r="DJ7" s="692"/>
      <c r="DK7" s="692"/>
      <c r="DL7" s="692"/>
      <c r="DM7" s="692"/>
      <c r="DN7" s="692"/>
      <c r="DO7" s="692"/>
      <c r="DP7" s="692"/>
      <c r="DQ7" s="692"/>
      <c r="DR7" s="692"/>
      <c r="DS7" s="692"/>
      <c r="DT7" s="692"/>
      <c r="DU7" s="692"/>
      <c r="DW7" s="691" t="s">
        <v>342</v>
      </c>
      <c r="DX7" s="691"/>
    </row>
    <row r="8" spans="1:128" ht="30" customHeight="1" thickTop="1" thickBot="1" x14ac:dyDescent="0.3">
      <c r="B8" s="875" t="str">
        <f>CONCATENATE("GASTO DEL TRABAJADOR ",'IDENTIFICACIÓN TRABAJADOR'!D14," EJERCICIO ",YEAR(EXPEDIENTE!F25)+2)</f>
        <v>GASTO DEL TRABAJADOR  EJERCICIO 2026</v>
      </c>
      <c r="C8" s="851" t="str">
        <f>CONCATENATE("TABLA DE COTIZACIONES ",YEAR(EXPEDIENTE!F25)+2)</f>
        <v>TABLA DE COTIZACIONES 2026</v>
      </c>
      <c r="D8" s="851"/>
      <c r="E8" s="851"/>
      <c r="F8" s="852"/>
      <c r="H8" s="89" t="s">
        <v>112</v>
      </c>
      <c r="I8" s="870" t="s">
        <v>115</v>
      </c>
      <c r="J8" s="870"/>
      <c r="K8" s="870"/>
      <c r="L8" s="870"/>
      <c r="M8" s="870"/>
      <c r="N8" s="870"/>
      <c r="O8" s="870"/>
      <c r="P8" s="870"/>
      <c r="Q8" s="870"/>
      <c r="R8" s="870"/>
      <c r="S8" s="870"/>
      <c r="T8" s="871"/>
      <c r="AM8" s="728" t="str">
        <f>CONCATENATE("GASTO DEL TRABAJADOR ",'IDENTIFICACIÓN TRABAJADOR'!$D$14," EJERCICIO ",YEAR(EXPEDIENTE!$F$25))</f>
        <v>GASTO DEL TRABAJADOR  EJERCICIO 2024</v>
      </c>
      <c r="AN8" s="809" t="str">
        <f>CONCATENATE("COTIZACIONES ",YEAR(EXPEDIENTE!$F$25)+2)</f>
        <v>COTIZACIONES 2026</v>
      </c>
      <c r="AO8" s="809"/>
      <c r="AP8" s="809"/>
      <c r="AQ8" s="262"/>
      <c r="AR8" s="263" t="s">
        <v>271</v>
      </c>
      <c r="AS8" s="264" t="s">
        <v>246</v>
      </c>
      <c r="AT8" s="265" t="s">
        <v>272</v>
      </c>
      <c r="AU8" s="775" t="s">
        <v>270</v>
      </c>
      <c r="AV8" s="775"/>
      <c r="AW8" s="775"/>
      <c r="AX8" s="775"/>
      <c r="AY8" s="775"/>
      <c r="AZ8" s="775"/>
      <c r="BA8" s="775"/>
      <c r="BB8" s="775"/>
      <c r="BC8" s="775"/>
      <c r="BD8" s="775"/>
      <c r="BE8" s="775"/>
      <c r="BF8" s="775"/>
      <c r="BG8" s="776"/>
      <c r="BJ8" s="219"/>
      <c r="BK8" s="219"/>
      <c r="BL8" s="219"/>
      <c r="BM8" s="219"/>
      <c r="BN8" s="219"/>
      <c r="BO8" s="219"/>
      <c r="BP8" s="219"/>
      <c r="BQ8" s="219"/>
      <c r="BR8" s="219"/>
      <c r="BS8" s="219"/>
      <c r="BT8" s="219"/>
      <c r="BU8" s="219"/>
      <c r="BV8" s="219"/>
      <c r="BW8" s="219"/>
      <c r="BX8" s="219"/>
      <c r="BY8" s="219"/>
      <c r="BZ8" s="219"/>
      <c r="CA8" s="219"/>
      <c r="CB8" s="219"/>
      <c r="CY8" s="124"/>
      <c r="CZ8" s="6"/>
      <c r="DD8" s="88" t="s">
        <v>323</v>
      </c>
      <c r="DE8" s="88" t="s">
        <v>324</v>
      </c>
      <c r="DF8" s="88" t="s">
        <v>325</v>
      </c>
      <c r="DG8" s="88" t="s">
        <v>326</v>
      </c>
      <c r="DH8" s="88" t="s">
        <v>327</v>
      </c>
      <c r="DI8" s="88" t="s">
        <v>328</v>
      </c>
      <c r="DJ8" s="88" t="s">
        <v>329</v>
      </c>
      <c r="DK8" s="88" t="s">
        <v>330</v>
      </c>
      <c r="DL8" s="88" t="s">
        <v>331</v>
      </c>
      <c r="DM8" s="88" t="s">
        <v>332</v>
      </c>
      <c r="DN8" s="88" t="s">
        <v>333</v>
      </c>
      <c r="DO8" s="88" t="s">
        <v>334</v>
      </c>
      <c r="DP8" s="88" t="s">
        <v>335</v>
      </c>
      <c r="DQ8" s="88" t="s">
        <v>336</v>
      </c>
      <c r="DR8" s="88" t="s">
        <v>337</v>
      </c>
      <c r="DS8" s="88" t="s">
        <v>338</v>
      </c>
      <c r="DT8" s="88" t="s">
        <v>339</v>
      </c>
      <c r="DU8" s="88" t="s">
        <v>340</v>
      </c>
    </row>
    <row r="9" spans="1:128" ht="15" customHeight="1" thickTop="1" x14ac:dyDescent="0.25">
      <c r="B9" s="876"/>
      <c r="C9" s="92" t="s">
        <v>40</v>
      </c>
      <c r="D9" s="8"/>
      <c r="E9" s="8"/>
      <c r="F9" s="47"/>
      <c r="H9" s="94" t="s">
        <v>130</v>
      </c>
      <c r="I9" s="758" t="s">
        <v>114</v>
      </c>
      <c r="J9" s="758"/>
      <c r="K9" s="758"/>
      <c r="L9" s="758"/>
      <c r="M9" s="758"/>
      <c r="N9" s="758"/>
      <c r="O9" s="758"/>
      <c r="P9" s="758"/>
      <c r="Q9" s="758"/>
      <c r="R9" s="758"/>
      <c r="S9" s="758"/>
      <c r="T9" s="759"/>
      <c r="AM9" s="729"/>
      <c r="AN9" s="810" t="s">
        <v>40</v>
      </c>
      <c r="AO9" s="811"/>
      <c r="AP9" s="812"/>
      <c r="AQ9" s="266"/>
      <c r="AR9" s="267">
        <f>IF(F9="",0,F9)</f>
        <v>0</v>
      </c>
      <c r="AS9" s="268"/>
      <c r="AT9" s="269">
        <f>IF(AS9="",AR9,AS9)</f>
        <v>0</v>
      </c>
      <c r="AU9" s="814"/>
      <c r="AV9" s="814"/>
      <c r="AW9" s="814"/>
      <c r="AX9" s="814"/>
      <c r="AY9" s="814"/>
      <c r="AZ9" s="814"/>
      <c r="BA9" s="814"/>
      <c r="BB9" s="814"/>
      <c r="BC9" s="814"/>
      <c r="BD9" s="814"/>
      <c r="BE9" s="814"/>
      <c r="BF9" s="814"/>
      <c r="BG9" s="815"/>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5" customHeight="1" x14ac:dyDescent="0.25">
      <c r="B10" s="876"/>
      <c r="C10" s="93" t="s">
        <v>61</v>
      </c>
      <c r="D10" s="9"/>
      <c r="E10" s="10"/>
      <c r="F10" s="48"/>
      <c r="H10" s="95"/>
      <c r="I10" s="868" t="s">
        <v>113</v>
      </c>
      <c r="J10" s="868"/>
      <c r="K10" s="868"/>
      <c r="L10" s="868"/>
      <c r="M10" s="868"/>
      <c r="N10" s="868"/>
      <c r="O10" s="868"/>
      <c r="P10" s="868"/>
      <c r="Q10" s="868"/>
      <c r="R10" s="868"/>
      <c r="S10" s="868"/>
      <c r="T10" s="869"/>
      <c r="AM10" s="729"/>
      <c r="AN10" s="784" t="s">
        <v>61</v>
      </c>
      <c r="AO10" s="785"/>
      <c r="AP10" s="786"/>
      <c r="AQ10" s="270"/>
      <c r="AR10" s="271">
        <f>IF(F10="",0,F10)</f>
        <v>0</v>
      </c>
      <c r="AS10" s="272"/>
      <c r="AT10" s="273">
        <f t="shared" ref="AT10:AT13" si="0">IF(AS10="",AR10,AS10)</f>
        <v>0</v>
      </c>
      <c r="AU10" s="787"/>
      <c r="AV10" s="787"/>
      <c r="AW10" s="787"/>
      <c r="AX10" s="787"/>
      <c r="AY10" s="787"/>
      <c r="AZ10" s="787"/>
      <c r="BA10" s="787"/>
      <c r="BB10" s="787"/>
      <c r="BC10" s="787"/>
      <c r="BD10" s="787"/>
      <c r="BE10" s="787"/>
      <c r="BF10" s="787"/>
      <c r="BG10" s="788"/>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customHeight="1" thickBot="1" x14ac:dyDescent="0.3">
      <c r="B11" s="876"/>
      <c r="C11" s="93" t="s">
        <v>41</v>
      </c>
      <c r="D11" s="9"/>
      <c r="E11" s="10"/>
      <c r="F11" s="48"/>
      <c r="H11" s="96"/>
      <c r="I11" s="85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7"/>
      <c r="K11" s="857"/>
      <c r="L11" s="857"/>
      <c r="M11" s="857"/>
      <c r="N11" s="857"/>
      <c r="O11" s="857"/>
      <c r="P11" s="857"/>
      <c r="Q11" s="857"/>
      <c r="R11" s="857"/>
      <c r="S11" s="857"/>
      <c r="T11" s="858"/>
      <c r="AM11" s="729"/>
      <c r="AN11" s="784" t="s">
        <v>41</v>
      </c>
      <c r="AO11" s="785"/>
      <c r="AP11" s="786"/>
      <c r="AQ11" s="270"/>
      <c r="AR11" s="271">
        <f>IF(F11="",0,F11)</f>
        <v>0</v>
      </c>
      <c r="AS11" s="272"/>
      <c r="AT11" s="273">
        <f t="shared" si="0"/>
        <v>0</v>
      </c>
      <c r="AU11" s="787"/>
      <c r="AV11" s="787"/>
      <c r="AW11" s="787"/>
      <c r="AX11" s="787"/>
      <c r="AY11" s="787"/>
      <c r="AZ11" s="787"/>
      <c r="BA11" s="787"/>
      <c r="BB11" s="787"/>
      <c r="BC11" s="787"/>
      <c r="BD11" s="787"/>
      <c r="BE11" s="787"/>
      <c r="BF11" s="787"/>
      <c r="BG11" s="788"/>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5" customHeight="1" x14ac:dyDescent="0.25">
      <c r="B12" s="876"/>
      <c r="C12" s="93" t="s">
        <v>42</v>
      </c>
      <c r="D12" s="9"/>
      <c r="E12" s="10"/>
      <c r="F12" s="48"/>
      <c r="H12" s="756" t="s">
        <v>211</v>
      </c>
      <c r="I12" s="758" t="s">
        <v>291</v>
      </c>
      <c r="J12" s="758"/>
      <c r="K12" s="758"/>
      <c r="L12" s="758"/>
      <c r="M12" s="758"/>
      <c r="N12" s="758"/>
      <c r="O12" s="758"/>
      <c r="P12" s="758"/>
      <c r="Q12" s="758"/>
      <c r="R12" s="758"/>
      <c r="S12" s="758"/>
      <c r="T12" s="759"/>
      <c r="AM12" s="729"/>
      <c r="AN12" s="784" t="s">
        <v>42</v>
      </c>
      <c r="AO12" s="785"/>
      <c r="AP12" s="786"/>
      <c r="AQ12" s="270"/>
      <c r="AR12" s="271">
        <f>IF(F12="",0,F12)</f>
        <v>0</v>
      </c>
      <c r="AS12" s="272"/>
      <c r="AT12" s="273">
        <f t="shared" si="0"/>
        <v>0</v>
      </c>
      <c r="AU12" s="787"/>
      <c r="AV12" s="787"/>
      <c r="AW12" s="787"/>
      <c r="AX12" s="787"/>
      <c r="AY12" s="787"/>
      <c r="AZ12" s="787"/>
      <c r="BA12" s="787"/>
      <c r="BB12" s="787"/>
      <c r="BC12" s="787"/>
      <c r="BD12" s="787"/>
      <c r="BE12" s="787"/>
      <c r="BF12" s="787"/>
      <c r="BG12" s="788"/>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customHeight="1" thickBot="1" x14ac:dyDescent="0.3">
      <c r="B13" s="876"/>
      <c r="C13" s="93" t="s">
        <v>62</v>
      </c>
      <c r="D13" s="9"/>
      <c r="E13" s="10"/>
      <c r="F13" s="48"/>
      <c r="H13" s="757"/>
      <c r="I13" s="760"/>
      <c r="J13" s="760"/>
      <c r="K13" s="760"/>
      <c r="L13" s="760"/>
      <c r="M13" s="760"/>
      <c r="N13" s="760"/>
      <c r="O13" s="760"/>
      <c r="P13" s="760"/>
      <c r="Q13" s="760"/>
      <c r="R13" s="760"/>
      <c r="S13" s="760"/>
      <c r="T13" s="761"/>
      <c r="AM13" s="729"/>
      <c r="AN13" s="784" t="s">
        <v>62</v>
      </c>
      <c r="AO13" s="785"/>
      <c r="AP13" s="786"/>
      <c r="AQ13" s="270"/>
      <c r="AR13" s="271">
        <f>IF(F13="",0,F13)</f>
        <v>0</v>
      </c>
      <c r="AS13" s="272"/>
      <c r="AT13" s="273">
        <f t="shared" si="0"/>
        <v>0</v>
      </c>
      <c r="AU13" s="793"/>
      <c r="AV13" s="793"/>
      <c r="AW13" s="793"/>
      <c r="AX13" s="793"/>
      <c r="AY13" s="793"/>
      <c r="AZ13" s="793"/>
      <c r="BA13" s="793"/>
      <c r="BB13" s="793"/>
      <c r="BC13" s="793"/>
      <c r="BD13" s="793"/>
      <c r="BE13" s="793"/>
      <c r="BF13" s="793"/>
      <c r="BG13" s="794"/>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customHeight="1" thickBot="1" x14ac:dyDescent="0.3">
      <c r="B14" s="876"/>
      <c r="C14" s="93" t="s">
        <v>43</v>
      </c>
      <c r="D14" s="9"/>
      <c r="E14" s="10"/>
      <c r="F14" s="11">
        <f>SUM(F9:F13)</f>
        <v>0</v>
      </c>
      <c r="AM14" s="729"/>
      <c r="AN14" s="797" t="s">
        <v>43</v>
      </c>
      <c r="AO14" s="798"/>
      <c r="AP14" s="799"/>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87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2" t="s">
        <v>210</v>
      </c>
      <c r="AH15" s="762"/>
      <c r="AI15" s="762" t="s">
        <v>213</v>
      </c>
      <c r="AJ15" s="762" t="s">
        <v>214</v>
      </c>
      <c r="AK15" s="762" t="s">
        <v>216</v>
      </c>
      <c r="AL15" s="6"/>
      <c r="AM15" s="729"/>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2" t="s">
        <v>212</v>
      </c>
      <c r="DB15" s="762"/>
    </row>
    <row r="16" spans="1:128" ht="30" customHeight="1" thickTop="1" thickBot="1" x14ac:dyDescent="0.3">
      <c r="B16" s="876"/>
      <c r="C16" s="851" t="str">
        <f>CONCATENATE("NÓMINAS MENSUALES EJERCICIO ",YEAR(EXPEDIENTE!F25)+2)</f>
        <v>NÓMINAS MENSUALES EJERCICIO 2026</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2"/>
      <c r="AG16" s="762"/>
      <c r="AH16" s="762"/>
      <c r="AI16" s="691"/>
      <c r="AJ16" s="691"/>
      <c r="AK16" s="691"/>
      <c r="AM16" s="729"/>
      <c r="AN16" s="795" t="str">
        <f>CONCATENATE("NÓMINAS MENSUALES EJERCICIO ",YEAR(EXPEDIENTE!$F$25)+2)</f>
        <v>NÓMINAS MENSUALES EJERCICIO 2026</v>
      </c>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5"/>
      <c r="CU16" s="795"/>
      <c r="CV16" s="795"/>
      <c r="CW16" s="795"/>
      <c r="CX16" s="795"/>
      <c r="CY16" s="796"/>
      <c r="DA16" s="813"/>
      <c r="DB16" s="813"/>
    </row>
    <row r="17" spans="2:128" ht="20.100000000000001" customHeight="1" thickTop="1" thickBot="1" x14ac:dyDescent="0.3">
      <c r="B17" s="876"/>
      <c r="C17" s="859" t="s">
        <v>87</v>
      </c>
      <c r="D17" s="860"/>
      <c r="E17" s="861"/>
      <c r="F17" s="862" t="s">
        <v>85</v>
      </c>
      <c r="G17" s="863"/>
      <c r="H17" s="863"/>
      <c r="I17" s="863"/>
      <c r="J17" s="863"/>
      <c r="K17" s="863"/>
      <c r="L17" s="863"/>
      <c r="M17" s="864"/>
      <c r="N17" s="741" t="s">
        <v>88</v>
      </c>
      <c r="O17" s="742"/>
      <c r="P17" s="742"/>
      <c r="Q17" s="742"/>
      <c r="R17" s="742"/>
      <c r="S17" s="742"/>
      <c r="T17" s="742"/>
      <c r="U17" s="742"/>
      <c r="V17" s="743"/>
      <c r="W17" s="865" t="s">
        <v>79</v>
      </c>
      <c r="X17" s="747" t="s">
        <v>66</v>
      </c>
      <c r="Y17" s="744" t="s">
        <v>59</v>
      </c>
      <c r="Z17" s="744" t="s">
        <v>60</v>
      </c>
      <c r="AA17" s="744" t="s">
        <v>64</v>
      </c>
      <c r="AB17" s="790" t="s">
        <v>84</v>
      </c>
      <c r="AC17" s="747" t="s">
        <v>91</v>
      </c>
      <c r="AD17" s="790" t="s">
        <v>90</v>
      </c>
      <c r="AE17" s="872" t="s">
        <v>67</v>
      </c>
      <c r="AG17" s="763" t="s">
        <v>407</v>
      </c>
      <c r="AH17" s="705" t="s">
        <v>71</v>
      </c>
      <c r="AM17" s="729"/>
      <c r="AN17" s="733" t="s">
        <v>87</v>
      </c>
      <c r="AO17" s="734"/>
      <c r="AP17" s="734"/>
      <c r="AQ17" s="734"/>
      <c r="AR17" s="826" t="s">
        <v>313</v>
      </c>
      <c r="AS17" s="734"/>
      <c r="AT17" s="735"/>
      <c r="AU17" s="765" t="s">
        <v>85</v>
      </c>
      <c r="AV17" s="766"/>
      <c r="AW17" s="766"/>
      <c r="AX17" s="766"/>
      <c r="AY17" s="766"/>
      <c r="AZ17" s="766"/>
      <c r="BA17" s="766"/>
      <c r="BB17" s="766"/>
      <c r="BC17" s="766"/>
      <c r="BD17" s="766"/>
      <c r="BE17" s="766"/>
      <c r="BF17" s="766"/>
      <c r="BG17" s="766"/>
      <c r="BH17" s="766"/>
      <c r="BI17" s="766"/>
      <c r="BJ17" s="766"/>
      <c r="BK17" s="766"/>
      <c r="BL17" s="766"/>
      <c r="BM17" s="766"/>
      <c r="BN17" s="767"/>
      <c r="BO17" s="768" t="s">
        <v>408</v>
      </c>
      <c r="BP17" s="922"/>
      <c r="BQ17" s="922"/>
      <c r="BR17" s="922"/>
      <c r="BS17" s="922"/>
      <c r="BT17" s="922"/>
      <c r="BU17" s="922"/>
      <c r="BV17" s="922"/>
      <c r="BW17" s="922"/>
      <c r="BX17" s="922"/>
      <c r="BY17" s="922"/>
      <c r="BZ17" s="922"/>
      <c r="CA17" s="922"/>
      <c r="CB17" s="922"/>
      <c r="CC17" s="922"/>
      <c r="CD17" s="922"/>
      <c r="CE17" s="922"/>
      <c r="CF17" s="923"/>
      <c r="CG17" s="923"/>
      <c r="CH17" s="923"/>
      <c r="CI17" s="924"/>
      <c r="CJ17" s="828" t="s">
        <v>79</v>
      </c>
      <c r="CK17" s="696" t="s">
        <v>317</v>
      </c>
      <c r="CL17" s="697"/>
      <c r="CM17" s="698"/>
      <c r="CN17" s="715" t="s">
        <v>318</v>
      </c>
      <c r="CO17" s="716"/>
      <c r="CP17" s="717"/>
      <c r="CQ17" s="829" t="s">
        <v>60</v>
      </c>
      <c r="CR17" s="707" t="s">
        <v>320</v>
      </c>
      <c r="CS17" s="708"/>
      <c r="CT17" s="709"/>
      <c r="CU17" s="710" t="s">
        <v>319</v>
      </c>
      <c r="CV17" s="711"/>
      <c r="CW17" s="712"/>
      <c r="CX17" s="283"/>
      <c r="CY17" s="713" t="s">
        <v>321</v>
      </c>
      <c r="DA17" s="763" t="s">
        <v>407</v>
      </c>
      <c r="DB17" s="705" t="s">
        <v>71</v>
      </c>
    </row>
    <row r="18" spans="2:128" ht="15" customHeight="1" x14ac:dyDescent="0.25">
      <c r="B18" s="876"/>
      <c r="C18" s="880" t="s">
        <v>44</v>
      </c>
      <c r="D18" s="881"/>
      <c r="E18" s="853" t="s">
        <v>86</v>
      </c>
      <c r="F18" s="855" t="s">
        <v>57</v>
      </c>
      <c r="G18" s="754" t="s">
        <v>72</v>
      </c>
      <c r="H18" s="754"/>
      <c r="I18" s="754"/>
      <c r="J18" s="754"/>
      <c r="K18" s="754"/>
      <c r="L18" s="754"/>
      <c r="M18" s="750" t="s">
        <v>96</v>
      </c>
      <c r="N18" s="16"/>
      <c r="O18" s="789" t="s">
        <v>73</v>
      </c>
      <c r="P18" s="754"/>
      <c r="Q18" s="754"/>
      <c r="R18" s="754"/>
      <c r="S18" s="754"/>
      <c r="T18" s="754"/>
      <c r="U18" s="750" t="s">
        <v>89</v>
      </c>
      <c r="V18" s="17"/>
      <c r="W18" s="866"/>
      <c r="X18" s="748"/>
      <c r="Y18" s="745"/>
      <c r="Z18" s="745"/>
      <c r="AA18" s="745"/>
      <c r="AB18" s="791"/>
      <c r="AC18" s="748"/>
      <c r="AD18" s="791"/>
      <c r="AE18" s="873"/>
      <c r="AG18" s="706"/>
      <c r="AH18" s="706"/>
      <c r="AM18" s="729"/>
      <c r="AN18" s="816" t="s">
        <v>44</v>
      </c>
      <c r="AO18" s="817"/>
      <c r="AP18" s="777"/>
      <c r="AQ18" s="778"/>
      <c r="AR18" s="820" t="s">
        <v>271</v>
      </c>
      <c r="AS18" s="827" t="s">
        <v>246</v>
      </c>
      <c r="AT18" s="774" t="s">
        <v>272</v>
      </c>
      <c r="AU18" s="779" t="s">
        <v>273</v>
      </c>
      <c r="AV18" s="780"/>
      <c r="AW18" s="781"/>
      <c r="AX18" s="821" t="s">
        <v>72</v>
      </c>
      <c r="AY18" s="822"/>
      <c r="AZ18" s="822"/>
      <c r="BA18" s="822"/>
      <c r="BB18" s="822"/>
      <c r="BC18" s="822"/>
      <c r="BD18" s="822"/>
      <c r="BE18" s="822"/>
      <c r="BF18" s="822"/>
      <c r="BG18" s="822"/>
      <c r="BH18" s="822"/>
      <c r="BI18" s="822"/>
      <c r="BJ18" s="822"/>
      <c r="BK18" s="822"/>
      <c r="BL18" s="822"/>
      <c r="BM18" s="823"/>
      <c r="BN18" s="824" t="s">
        <v>274</v>
      </c>
      <c r="BO18" s="284"/>
      <c r="BP18" s="800" t="s">
        <v>411</v>
      </c>
      <c r="BQ18" s="925"/>
      <c r="BR18" s="925"/>
      <c r="BS18" s="822"/>
      <c r="BT18" s="822"/>
      <c r="BU18" s="822"/>
      <c r="BV18" s="822"/>
      <c r="BW18" s="822"/>
      <c r="BX18" s="822"/>
      <c r="BY18" s="822"/>
      <c r="BZ18" s="822"/>
      <c r="CA18" s="822"/>
      <c r="CB18" s="822"/>
      <c r="CC18" s="822"/>
      <c r="CD18" s="822"/>
      <c r="CE18" s="823"/>
      <c r="CF18" s="693" t="s">
        <v>410</v>
      </c>
      <c r="CG18" s="926"/>
      <c r="CH18" s="927"/>
      <c r="CI18" s="285"/>
      <c r="CJ18" s="739"/>
      <c r="CK18" s="699" t="s">
        <v>271</v>
      </c>
      <c r="CL18" s="701" t="s">
        <v>246</v>
      </c>
      <c r="CM18" s="703" t="s">
        <v>272</v>
      </c>
      <c r="CN18" s="699" t="s">
        <v>271</v>
      </c>
      <c r="CO18" s="701" t="s">
        <v>246</v>
      </c>
      <c r="CP18" s="703" t="s">
        <v>272</v>
      </c>
      <c r="CQ18" s="830"/>
      <c r="CR18" s="699" t="s">
        <v>271</v>
      </c>
      <c r="CS18" s="701" t="s">
        <v>246</v>
      </c>
      <c r="CT18" s="703" t="s">
        <v>272</v>
      </c>
      <c r="CU18" s="699" t="s">
        <v>271</v>
      </c>
      <c r="CV18" s="701" t="s">
        <v>246</v>
      </c>
      <c r="CW18" s="703" t="s">
        <v>272</v>
      </c>
      <c r="CX18" s="286"/>
      <c r="CY18" s="714"/>
      <c r="DA18" s="706"/>
      <c r="DB18" s="706"/>
    </row>
    <row r="19" spans="2:128" ht="45" customHeight="1" thickBot="1" x14ac:dyDescent="0.3">
      <c r="B19" s="876"/>
      <c r="C19" s="882"/>
      <c r="D19" s="883"/>
      <c r="E19" s="854"/>
      <c r="F19" s="856"/>
      <c r="G19" s="18" t="s">
        <v>97</v>
      </c>
      <c r="H19" s="18" t="s">
        <v>98</v>
      </c>
      <c r="I19" s="18" t="s">
        <v>99</v>
      </c>
      <c r="J19" s="18" t="s">
        <v>100</v>
      </c>
      <c r="K19" s="18" t="s">
        <v>101</v>
      </c>
      <c r="L19" s="19" t="s">
        <v>108</v>
      </c>
      <c r="M19" s="751"/>
      <c r="N19" s="20"/>
      <c r="O19" s="21" t="s">
        <v>102</v>
      </c>
      <c r="P19" s="18" t="s">
        <v>103</v>
      </c>
      <c r="Q19" s="18" t="s">
        <v>104</v>
      </c>
      <c r="R19" s="18" t="s">
        <v>105</v>
      </c>
      <c r="S19" s="18" t="s">
        <v>106</v>
      </c>
      <c r="T19" s="18" t="s">
        <v>107</v>
      </c>
      <c r="U19" s="751"/>
      <c r="V19" s="22"/>
      <c r="W19" s="867"/>
      <c r="X19" s="749"/>
      <c r="Y19" s="746"/>
      <c r="Z19" s="746"/>
      <c r="AA19" s="746"/>
      <c r="AB19" s="792"/>
      <c r="AC19" s="749"/>
      <c r="AD19" s="792"/>
      <c r="AE19" s="874"/>
      <c r="AG19" s="88">
        <f>SUM(AG20:AG31,AG37:AG44,AG49:AG60)</f>
        <v>0</v>
      </c>
      <c r="AH19" s="88">
        <f>SUM(AH20:AH31,AH37:AH44)</f>
        <v>0</v>
      </c>
      <c r="AM19" s="729"/>
      <c r="AN19" s="818"/>
      <c r="AO19" s="819"/>
      <c r="AP19" s="720"/>
      <c r="AQ19" s="721"/>
      <c r="AR19" s="700"/>
      <c r="AS19" s="702"/>
      <c r="AT19" s="704"/>
      <c r="AU19" s="287" t="s">
        <v>271</v>
      </c>
      <c r="AV19" s="288" t="s">
        <v>246</v>
      </c>
      <c r="AW19" s="289" t="s">
        <v>272</v>
      </c>
      <c r="AX19" s="290" t="s">
        <v>275</v>
      </c>
      <c r="AY19" s="291" t="s">
        <v>276</v>
      </c>
      <c r="AZ19" s="292" t="s">
        <v>277</v>
      </c>
      <c r="BA19" s="292" t="s">
        <v>278</v>
      </c>
      <c r="BB19" s="291" t="s">
        <v>279</v>
      </c>
      <c r="BC19" s="292" t="s">
        <v>280</v>
      </c>
      <c r="BD19" s="292" t="s">
        <v>281</v>
      </c>
      <c r="BE19" s="291" t="s">
        <v>282</v>
      </c>
      <c r="BF19" s="292" t="s">
        <v>283</v>
      </c>
      <c r="BG19" s="292" t="s">
        <v>284</v>
      </c>
      <c r="BH19" s="291" t="s">
        <v>285</v>
      </c>
      <c r="BI19" s="292" t="s">
        <v>286</v>
      </c>
      <c r="BJ19" s="292" t="s">
        <v>287</v>
      </c>
      <c r="BK19" s="291" t="s">
        <v>288</v>
      </c>
      <c r="BL19" s="292" t="s">
        <v>289</v>
      </c>
      <c r="BM19" s="293" t="s">
        <v>290</v>
      </c>
      <c r="BN19" s="825"/>
      <c r="BO19" s="294"/>
      <c r="BP19" s="290" t="s">
        <v>292</v>
      </c>
      <c r="BQ19" s="291" t="s">
        <v>293</v>
      </c>
      <c r="BR19" s="292" t="s">
        <v>294</v>
      </c>
      <c r="BS19" s="292" t="s">
        <v>295</v>
      </c>
      <c r="BT19" s="291" t="s">
        <v>296</v>
      </c>
      <c r="BU19" s="292" t="s">
        <v>297</v>
      </c>
      <c r="BV19" s="292" t="s">
        <v>298</v>
      </c>
      <c r="BW19" s="291" t="s">
        <v>299</v>
      </c>
      <c r="BX19" s="292" t="s">
        <v>300</v>
      </c>
      <c r="BY19" s="292" t="s">
        <v>301</v>
      </c>
      <c r="BZ19" s="291" t="s">
        <v>302</v>
      </c>
      <c r="CA19" s="292" t="s">
        <v>303</v>
      </c>
      <c r="CB19" s="292" t="s">
        <v>304</v>
      </c>
      <c r="CC19" s="291" t="s">
        <v>305</v>
      </c>
      <c r="CD19" s="292" t="s">
        <v>306</v>
      </c>
      <c r="CE19" s="293" t="s">
        <v>307</v>
      </c>
      <c r="CF19" s="295" t="s">
        <v>271</v>
      </c>
      <c r="CG19" s="296" t="s">
        <v>246</v>
      </c>
      <c r="CH19" s="297" t="s">
        <v>272</v>
      </c>
      <c r="CI19" s="298"/>
      <c r="CJ19" s="740"/>
      <c r="CK19" s="700"/>
      <c r="CL19" s="702"/>
      <c r="CM19" s="704"/>
      <c r="CN19" s="700"/>
      <c r="CO19" s="702"/>
      <c r="CP19" s="704"/>
      <c r="CQ19" s="831"/>
      <c r="CR19" s="700"/>
      <c r="CS19" s="702"/>
      <c r="CT19" s="704"/>
      <c r="CU19" s="700"/>
      <c r="CV19" s="702"/>
      <c r="CW19" s="704"/>
      <c r="CX19" s="299" t="s">
        <v>322</v>
      </c>
      <c r="CY19" s="300" t="s">
        <v>246</v>
      </c>
      <c r="DA19" s="88">
        <f>SUM(DA20:DA31,DA37:DA44,DA49:DA60)</f>
        <v>0</v>
      </c>
      <c r="DB19" s="88">
        <f>SUM(DB20:DB31,DB37:DB44)</f>
        <v>0</v>
      </c>
      <c r="DD19" s="88" t="s">
        <v>323</v>
      </c>
      <c r="DE19" s="88" t="s">
        <v>324</v>
      </c>
      <c r="DF19" s="88" t="s">
        <v>325</v>
      </c>
      <c r="DG19" s="88" t="s">
        <v>326</v>
      </c>
      <c r="DH19" s="88" t="s">
        <v>327</v>
      </c>
      <c r="DI19" s="88" t="s">
        <v>328</v>
      </c>
      <c r="DJ19" s="88" t="s">
        <v>329</v>
      </c>
      <c r="DK19" s="88" t="s">
        <v>330</v>
      </c>
      <c r="DL19" s="88" t="s">
        <v>331</v>
      </c>
      <c r="DM19" s="88" t="s">
        <v>332</v>
      </c>
      <c r="DN19" s="88" t="s">
        <v>333</v>
      </c>
      <c r="DO19" s="88" t="s">
        <v>334</v>
      </c>
      <c r="DP19" s="88" t="s">
        <v>335</v>
      </c>
      <c r="DQ19" s="88" t="s">
        <v>336</v>
      </c>
      <c r="DR19" s="88" t="s">
        <v>337</v>
      </c>
      <c r="DS19" s="88" t="s">
        <v>338</v>
      </c>
      <c r="DT19" s="88" t="s">
        <v>339</v>
      </c>
      <c r="DU19" s="88" t="s">
        <v>340</v>
      </c>
    </row>
    <row r="20" spans="2:128" ht="30" customHeight="1" x14ac:dyDescent="0.25">
      <c r="B20" s="876"/>
      <c r="C20" s="884" t="s">
        <v>45</v>
      </c>
      <c r="D20" s="88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IF(DATE(YEAR(EXPEDIENTE!$I$25)+2,MONTH(DATEVALUE($C20&amp;"1")),1)&gt;=DATE(YEAR(EXPEDIENTE!$I$25),MONTH(EXPEDIENTE!$I$25),1),0,1)</f>
        <v>0</v>
      </c>
      <c r="AJ20" s="6" t="e">
        <f>IF(DATE(YEAR(EXPEDIENTE!$I$25)+2,MONTH(DATEVALUE($C20&amp;"1")),1)&lt;=DATE(YEAR(EXPEDIENTE!$I$27),MONTH(EXPEDIENTE!$I$27),1),0,1)</f>
        <v>#VALUE!</v>
      </c>
      <c r="AK20" s="6" t="e">
        <f>SUM(AI20:AJ20)</f>
        <v>#VALUE!</v>
      </c>
      <c r="AM20" s="729"/>
      <c r="AN20" s="772" t="s">
        <v>45</v>
      </c>
      <c r="AO20" s="773"/>
      <c r="AP20" s="720"/>
      <c r="AQ20" s="721"/>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876"/>
      <c r="C21" s="886" t="s">
        <v>46</v>
      </c>
      <c r="D21" s="88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IF(DATE(YEAR(EXPEDIENTE!$I$25)+2,MONTH(DATEVALUE($C21&amp;"1")),1)&gt;=DATE(YEAR(EXPEDIENTE!$I$25),MONTH(EXPEDIENTE!$I$25),1),0,1)</f>
        <v>0</v>
      </c>
      <c r="AJ21" s="6" t="e">
        <f>IF(DATE(YEAR(EXPEDIENTE!$I$25)+2,MONTH(DATEVALUE($C21&amp;"1")),1)&lt;=DATE(YEAR(EXPEDIENTE!$I$27),MONTH(EXPEDIENTE!$I$27),1),0,1)</f>
        <v>#VALUE!</v>
      </c>
      <c r="AK21" s="6" t="e">
        <f t="shared" ref="AK21:AK31" si="27">SUM(AI21:AJ21)</f>
        <v>#VALUE!</v>
      </c>
      <c r="AM21" s="729"/>
      <c r="AN21" s="724" t="s">
        <v>46</v>
      </c>
      <c r="AO21" s="725"/>
      <c r="AP21" s="720"/>
      <c r="AQ21" s="721"/>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876"/>
      <c r="C22" s="886" t="s">
        <v>47</v>
      </c>
      <c r="D22" s="88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IF(DATE(YEAR(EXPEDIENTE!$I$25)+2,MONTH(DATEVALUE($C22&amp;"1")),1)&gt;=DATE(YEAR(EXPEDIENTE!$I$25),MONTH(EXPEDIENTE!$I$25),1),0,1)</f>
        <v>0</v>
      </c>
      <c r="AJ22" s="6" t="e">
        <f>IF(DATE(YEAR(EXPEDIENTE!$I$25)+2,MONTH(DATEVALUE($C22&amp;"1")),1)&lt;=DATE(YEAR(EXPEDIENTE!$I$27),MONTH(EXPEDIENTE!$I$27),1),0,1)</f>
        <v>#VALUE!</v>
      </c>
      <c r="AK22" s="6" t="e">
        <f t="shared" si="27"/>
        <v>#VALUE!</v>
      </c>
      <c r="AM22" s="729"/>
      <c r="AN22" s="724" t="s">
        <v>47</v>
      </c>
      <c r="AO22" s="725"/>
      <c r="AP22" s="720"/>
      <c r="AQ22" s="721"/>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876"/>
      <c r="C23" s="886" t="s">
        <v>48</v>
      </c>
      <c r="D23" s="88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IF(DATE(YEAR(EXPEDIENTE!$I$25)+2,MONTH(DATEVALUE($C23&amp;"1")),1)&gt;=DATE(YEAR(EXPEDIENTE!$I$25),MONTH(EXPEDIENTE!$I$25),1),0,1)</f>
        <v>0</v>
      </c>
      <c r="AJ23" s="6" t="e">
        <f>IF(DATE(YEAR(EXPEDIENTE!$I$25)+2,MONTH(DATEVALUE($C23&amp;"1")),1)&lt;=DATE(YEAR(EXPEDIENTE!$I$27),MONTH(EXPEDIENTE!$I$27),1),0,1)</f>
        <v>#VALUE!</v>
      </c>
      <c r="AK23" s="6" t="e">
        <f t="shared" si="27"/>
        <v>#VALUE!</v>
      </c>
      <c r="AM23" s="729"/>
      <c r="AN23" s="724" t="s">
        <v>48</v>
      </c>
      <c r="AO23" s="725"/>
      <c r="AP23" s="720"/>
      <c r="AQ23" s="721"/>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876"/>
      <c r="C24" s="886" t="s">
        <v>49</v>
      </c>
      <c r="D24" s="88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IF(DATE(YEAR(EXPEDIENTE!$I$25)+2,MONTH(DATEVALUE($C24&amp;"1")),1)&gt;=DATE(YEAR(EXPEDIENTE!$I$25),MONTH(EXPEDIENTE!$I$25),1),0,1)</f>
        <v>0</v>
      </c>
      <c r="AJ24" s="6" t="e">
        <f>IF(DATE(YEAR(EXPEDIENTE!$I$25)+2,MONTH(DATEVALUE($C24&amp;"1")),1)&lt;=DATE(YEAR(EXPEDIENTE!$I$27),MONTH(EXPEDIENTE!$I$27),1),0,1)</f>
        <v>#VALUE!</v>
      </c>
      <c r="AK24" s="6" t="e">
        <f t="shared" si="27"/>
        <v>#VALUE!</v>
      </c>
      <c r="AM24" s="729"/>
      <c r="AN24" s="724" t="s">
        <v>49</v>
      </c>
      <c r="AO24" s="725"/>
      <c r="AP24" s="720"/>
      <c r="AQ24" s="721"/>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876"/>
      <c r="C25" s="886" t="s">
        <v>50</v>
      </c>
      <c r="D25" s="88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IF(DATE(YEAR(EXPEDIENTE!$I$25)+2,MONTH(DATEVALUE($C25&amp;"1")),1)&gt;=DATE(YEAR(EXPEDIENTE!$I$25),MONTH(EXPEDIENTE!$I$25),1),0,1)</f>
        <v>0</v>
      </c>
      <c r="AJ25" s="6" t="e">
        <f>IF(DATE(YEAR(EXPEDIENTE!$I$25)+2,MONTH(DATEVALUE($C25&amp;"1")),1)&lt;=DATE(YEAR(EXPEDIENTE!$I$27),MONTH(EXPEDIENTE!$I$27),1),0,1)</f>
        <v>#VALUE!</v>
      </c>
      <c r="AK25" s="6" t="e">
        <f t="shared" si="27"/>
        <v>#VALUE!</v>
      </c>
      <c r="AM25" s="729"/>
      <c r="AN25" s="724" t="s">
        <v>50</v>
      </c>
      <c r="AO25" s="725"/>
      <c r="AP25" s="720"/>
      <c r="AQ25" s="721"/>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876"/>
      <c r="C26" s="886" t="s">
        <v>51</v>
      </c>
      <c r="D26" s="88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IF(DATE(YEAR(EXPEDIENTE!$I$25)+2,MONTH(DATEVALUE($C26&amp;"1")),1)&gt;=DATE(YEAR(EXPEDIENTE!$I$25),MONTH(EXPEDIENTE!$I$25),1),0,1)</f>
        <v>0</v>
      </c>
      <c r="AJ26" s="6" t="e">
        <f>IF(DATE(YEAR(EXPEDIENTE!$I$25)+2,MONTH(DATEVALUE($C26&amp;"1")),1)&lt;=DATE(YEAR(EXPEDIENTE!$I$27),MONTH(EXPEDIENTE!$I$27),1),0,1)</f>
        <v>#VALUE!</v>
      </c>
      <c r="AK26" s="6" t="e">
        <f t="shared" si="27"/>
        <v>#VALUE!</v>
      </c>
      <c r="AM26" s="729"/>
      <c r="AN26" s="724" t="s">
        <v>51</v>
      </c>
      <c r="AO26" s="725"/>
      <c r="AP26" s="720"/>
      <c r="AQ26" s="721"/>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876"/>
      <c r="C27" s="886" t="s">
        <v>52</v>
      </c>
      <c r="D27" s="88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IF(DATE(YEAR(EXPEDIENTE!$I$25)+2,MONTH(DATEVALUE($C27&amp;"1")),1)&gt;=DATE(YEAR(EXPEDIENTE!$I$25),MONTH(EXPEDIENTE!$I$25),1),0,1)</f>
        <v>0</v>
      </c>
      <c r="AJ27" s="6" t="e">
        <f>IF(DATE(YEAR(EXPEDIENTE!$I$25)+2,MONTH(DATEVALUE($C27&amp;"1")),1)&lt;=DATE(YEAR(EXPEDIENTE!$I$27),MONTH(EXPEDIENTE!$I$27),1),0,1)</f>
        <v>#VALUE!</v>
      </c>
      <c r="AK27" s="6" t="e">
        <f t="shared" si="27"/>
        <v>#VALUE!</v>
      </c>
      <c r="AM27" s="729"/>
      <c r="AN27" s="724" t="s">
        <v>52</v>
      </c>
      <c r="AO27" s="725"/>
      <c r="AP27" s="720"/>
      <c r="AQ27" s="721"/>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876"/>
      <c r="C28" s="886" t="s">
        <v>53</v>
      </c>
      <c r="D28" s="88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IF(DATE(YEAR(EXPEDIENTE!$I$25)+2,MONTH(DATEVALUE($C28&amp;"1")),1)&gt;=DATE(YEAR(EXPEDIENTE!$I$25),MONTH(EXPEDIENTE!$I$25),1),0,1)</f>
        <v>0</v>
      </c>
      <c r="AJ28" s="6" t="e">
        <f>IF(DATE(YEAR(EXPEDIENTE!$I$25)+2,MONTH(DATEVALUE($C28&amp;"1")),1)&lt;=DATE(YEAR(EXPEDIENTE!$I$27),MONTH(EXPEDIENTE!$I$27),1),0,1)</f>
        <v>#VALUE!</v>
      </c>
      <c r="AK28" s="6" t="e">
        <f t="shared" si="27"/>
        <v>#VALUE!</v>
      </c>
      <c r="AM28" s="729"/>
      <c r="AN28" s="724" t="s">
        <v>53</v>
      </c>
      <c r="AO28" s="725"/>
      <c r="AP28" s="720"/>
      <c r="AQ28" s="721"/>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876"/>
      <c r="C29" s="886" t="s">
        <v>54</v>
      </c>
      <c r="D29" s="88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IF(DATE(YEAR(EXPEDIENTE!$I$25)+2,MONTH(DATEVALUE($C29&amp;"1")),1)&gt;=DATE(YEAR(EXPEDIENTE!$I$25),MONTH(EXPEDIENTE!$I$25),1),0,1)</f>
        <v>0</v>
      </c>
      <c r="AJ29" s="6" t="e">
        <f>IF(DATE(YEAR(EXPEDIENTE!$I$25)+2,MONTH(DATEVALUE($C29&amp;"1")),1)&lt;=DATE(YEAR(EXPEDIENTE!$I$27),MONTH(EXPEDIENTE!$I$27),1),0,1)</f>
        <v>#VALUE!</v>
      </c>
      <c r="AK29" s="6" t="e">
        <f t="shared" si="27"/>
        <v>#VALUE!</v>
      </c>
      <c r="AM29" s="729"/>
      <c r="AN29" s="724" t="s">
        <v>54</v>
      </c>
      <c r="AO29" s="725"/>
      <c r="AP29" s="720"/>
      <c r="AQ29" s="721"/>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876"/>
      <c r="C30" s="886" t="s">
        <v>55</v>
      </c>
      <c r="D30" s="88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IF(DATE(YEAR(EXPEDIENTE!$I$25)+2,MONTH(DATEVALUE($C30&amp;"1")),1)&gt;=DATE(YEAR(EXPEDIENTE!$I$25),MONTH(EXPEDIENTE!$I$25),1),0,1)</f>
        <v>0</v>
      </c>
      <c r="AJ30" s="6" t="e">
        <f>IF(DATE(YEAR(EXPEDIENTE!$I$25)+2,MONTH(DATEVALUE($C30&amp;"1")),1)&lt;=DATE(YEAR(EXPEDIENTE!$I$27),MONTH(EXPEDIENTE!$I$27),1),0,1)</f>
        <v>#VALUE!</v>
      </c>
      <c r="AK30" s="6" t="e">
        <f t="shared" si="27"/>
        <v>#VALUE!</v>
      </c>
      <c r="AM30" s="729"/>
      <c r="AN30" s="724" t="s">
        <v>55</v>
      </c>
      <c r="AO30" s="725"/>
      <c r="AP30" s="720"/>
      <c r="AQ30" s="721"/>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876"/>
      <c r="C31" s="890" t="s">
        <v>56</v>
      </c>
      <c r="D31" s="891"/>
      <c r="E31" s="179"/>
      <c r="F31" s="55"/>
      <c r="G31" s="56"/>
      <c r="H31" s="56"/>
      <c r="I31" s="56"/>
      <c r="J31" s="56"/>
      <c r="K31" s="56"/>
      <c r="L31" s="30">
        <f t="shared" si="24"/>
        <v>0</v>
      </c>
      <c r="M31" s="177">
        <f t="shared" si="69"/>
        <v>0</v>
      </c>
      <c r="N31" s="25"/>
      <c r="O31" s="57"/>
      <c r="P31" s="58"/>
      <c r="Q31" s="58"/>
      <c r="R31" s="58"/>
      <c r="S31" s="58"/>
      <c r="T31" s="29">
        <f t="shared" si="25"/>
        <v>0</v>
      </c>
      <c r="U31" s="61"/>
      <c r="V31" s="27"/>
      <c r="W31" s="177">
        <f t="shared" si="70"/>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IF(DATE(YEAR(EXPEDIENTE!$I$25)+2,MONTH(DATEVALUE($C31&amp;"1")),1)&gt;=DATE(YEAR(EXPEDIENTE!$I$25),MONTH(EXPEDIENTE!$I$25),1),0,1)</f>
        <v>0</v>
      </c>
      <c r="AJ31" s="6" t="e">
        <f>IF(DATE(YEAR(EXPEDIENTE!$I$25)+2,MONTH(DATEVALUE($C31&amp;"1")),1)&lt;=DATE(YEAR(EXPEDIENTE!$I$27),MONTH(EXPEDIENTE!$I$27),1),0,1)</f>
        <v>#VALUE!</v>
      </c>
      <c r="AK31" s="6" t="e">
        <f t="shared" si="27"/>
        <v>#VALUE!</v>
      </c>
      <c r="AM31" s="729"/>
      <c r="AN31" s="782" t="s">
        <v>56</v>
      </c>
      <c r="AO31" s="783"/>
      <c r="AP31" s="722"/>
      <c r="AQ31" s="723"/>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876"/>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729"/>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876"/>
      <c r="C33" s="888" t="s">
        <v>186</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9"/>
      <c r="AG33" s="6"/>
      <c r="AH33" s="6"/>
      <c r="AI33" s="109"/>
      <c r="AJ33" s="109"/>
      <c r="AK33" s="109"/>
      <c r="AM33" s="729"/>
      <c r="AN33" s="752" t="s">
        <v>186</v>
      </c>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2"/>
      <c r="CN33" s="752"/>
      <c r="CO33" s="752"/>
      <c r="CP33" s="752"/>
      <c r="CQ33" s="752"/>
      <c r="CR33" s="752"/>
      <c r="CS33" s="752"/>
      <c r="CT33" s="752"/>
      <c r="CU33" s="752"/>
      <c r="CV33" s="752"/>
      <c r="CW33" s="752"/>
      <c r="CX33" s="752"/>
      <c r="CY33" s="7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6"/>
      <c r="C34" s="859" t="s">
        <v>87</v>
      </c>
      <c r="D34" s="860"/>
      <c r="E34" s="861"/>
      <c r="F34" s="862" t="s">
        <v>85</v>
      </c>
      <c r="G34" s="863"/>
      <c r="H34" s="863"/>
      <c r="I34" s="863"/>
      <c r="J34" s="863"/>
      <c r="K34" s="863"/>
      <c r="L34" s="863"/>
      <c r="M34" s="864"/>
      <c r="N34" s="741" t="s">
        <v>88</v>
      </c>
      <c r="O34" s="742"/>
      <c r="P34" s="742"/>
      <c r="Q34" s="742"/>
      <c r="R34" s="742"/>
      <c r="S34" s="742"/>
      <c r="T34" s="742"/>
      <c r="U34" s="742"/>
      <c r="V34" s="743"/>
      <c r="W34" s="865" t="s">
        <v>79</v>
      </c>
      <c r="X34" s="747" t="s">
        <v>66</v>
      </c>
      <c r="Y34" s="744" t="s">
        <v>59</v>
      </c>
      <c r="Z34" s="744" t="s">
        <v>60</v>
      </c>
      <c r="AA34" s="744" t="s">
        <v>64</v>
      </c>
      <c r="AB34" s="790" t="s">
        <v>84</v>
      </c>
      <c r="AC34" s="747" t="s">
        <v>91</v>
      </c>
      <c r="AD34" s="790" t="s">
        <v>90</v>
      </c>
      <c r="AE34" s="872" t="s">
        <v>67</v>
      </c>
      <c r="AM34" s="729"/>
      <c r="AN34" s="733" t="s">
        <v>87</v>
      </c>
      <c r="AO34" s="734"/>
      <c r="AP34" s="734"/>
      <c r="AQ34" s="734"/>
      <c r="AR34" s="734"/>
      <c r="AS34" s="734"/>
      <c r="AT34" s="735"/>
      <c r="AU34" s="911" t="s">
        <v>85</v>
      </c>
      <c r="AV34" s="912"/>
      <c r="AW34" s="912"/>
      <c r="AX34" s="912"/>
      <c r="AY34" s="912"/>
      <c r="AZ34" s="912"/>
      <c r="BA34" s="912"/>
      <c r="BB34" s="912"/>
      <c r="BC34" s="912"/>
      <c r="BD34" s="912"/>
      <c r="BE34" s="912"/>
      <c r="BF34" s="912"/>
      <c r="BG34" s="912"/>
      <c r="BH34" s="912"/>
      <c r="BI34" s="912"/>
      <c r="BJ34" s="912"/>
      <c r="BK34" s="912"/>
      <c r="BL34" s="912"/>
      <c r="BM34" s="912"/>
      <c r="BN34" s="913"/>
      <c r="BO34" s="768" t="s">
        <v>408</v>
      </c>
      <c r="BP34" s="922"/>
      <c r="BQ34" s="922"/>
      <c r="BR34" s="922"/>
      <c r="BS34" s="922"/>
      <c r="BT34" s="922"/>
      <c r="BU34" s="922"/>
      <c r="BV34" s="922"/>
      <c r="BW34" s="922"/>
      <c r="BX34" s="922"/>
      <c r="BY34" s="922"/>
      <c r="BZ34" s="922"/>
      <c r="CA34" s="922"/>
      <c r="CB34" s="922"/>
      <c r="CC34" s="922"/>
      <c r="CD34" s="922"/>
      <c r="CE34" s="922"/>
      <c r="CF34" s="922"/>
      <c r="CG34" s="923"/>
      <c r="CH34" s="923"/>
      <c r="CI34" s="924"/>
      <c r="CJ34" s="828" t="s">
        <v>79</v>
      </c>
      <c r="CK34" s="696" t="s">
        <v>317</v>
      </c>
      <c r="CL34" s="697"/>
      <c r="CM34" s="698"/>
      <c r="CN34" s="715" t="s">
        <v>318</v>
      </c>
      <c r="CO34" s="716"/>
      <c r="CP34" s="717"/>
      <c r="CQ34" s="829" t="s">
        <v>60</v>
      </c>
      <c r="CR34" s="707" t="s">
        <v>320</v>
      </c>
      <c r="CS34" s="708"/>
      <c r="CT34" s="709"/>
      <c r="CU34" s="710" t="s">
        <v>319</v>
      </c>
      <c r="CV34" s="711"/>
      <c r="CW34" s="712"/>
      <c r="CX34" s="283"/>
      <c r="CY34" s="713" t="s">
        <v>321</v>
      </c>
    </row>
    <row r="35" spans="2:128" ht="15" customHeight="1" x14ac:dyDescent="0.25">
      <c r="B35" s="876"/>
      <c r="C35" s="878" t="s">
        <v>70</v>
      </c>
      <c r="D35" s="754" t="s">
        <v>63</v>
      </c>
      <c r="E35" s="892"/>
      <c r="F35" s="855" t="s">
        <v>57</v>
      </c>
      <c r="G35" s="754" t="s">
        <v>72</v>
      </c>
      <c r="H35" s="754"/>
      <c r="I35" s="754"/>
      <c r="J35" s="754"/>
      <c r="K35" s="754"/>
      <c r="L35" s="755"/>
      <c r="M35" s="750" t="s">
        <v>96</v>
      </c>
      <c r="N35" s="16"/>
      <c r="O35" s="789" t="s">
        <v>73</v>
      </c>
      <c r="P35" s="754"/>
      <c r="Q35" s="754"/>
      <c r="R35" s="754"/>
      <c r="S35" s="754"/>
      <c r="T35" s="754"/>
      <c r="U35" s="750" t="s">
        <v>89</v>
      </c>
      <c r="V35" s="17"/>
      <c r="W35" s="866"/>
      <c r="X35" s="748"/>
      <c r="Y35" s="745"/>
      <c r="Z35" s="745"/>
      <c r="AA35" s="745"/>
      <c r="AB35" s="791"/>
      <c r="AC35" s="748"/>
      <c r="AD35" s="791"/>
      <c r="AE35" s="873"/>
      <c r="AM35" s="729"/>
      <c r="AN35" s="807" t="s">
        <v>70</v>
      </c>
      <c r="AO35" s="804" t="s">
        <v>63</v>
      </c>
      <c r="AP35" s="805"/>
      <c r="AQ35" s="806"/>
      <c r="AR35" s="804" t="s">
        <v>63</v>
      </c>
      <c r="AS35" s="805"/>
      <c r="AT35" s="806"/>
      <c r="AU35" s="779" t="s">
        <v>273</v>
      </c>
      <c r="AV35" s="780"/>
      <c r="AW35" s="781"/>
      <c r="AX35" s="821" t="s">
        <v>72</v>
      </c>
      <c r="AY35" s="822"/>
      <c r="AZ35" s="822"/>
      <c r="BA35" s="822"/>
      <c r="BB35" s="822"/>
      <c r="BC35" s="822"/>
      <c r="BD35" s="822"/>
      <c r="BE35" s="822"/>
      <c r="BF35" s="822"/>
      <c r="BG35" s="822"/>
      <c r="BH35" s="822"/>
      <c r="BI35" s="822"/>
      <c r="BJ35" s="822"/>
      <c r="BK35" s="822"/>
      <c r="BL35" s="822"/>
      <c r="BM35" s="823"/>
      <c r="BN35" s="824" t="s">
        <v>274</v>
      </c>
      <c r="BO35" s="284"/>
      <c r="BP35" s="800" t="s">
        <v>411</v>
      </c>
      <c r="BQ35" s="925"/>
      <c r="BR35" s="925"/>
      <c r="BS35" s="822"/>
      <c r="BT35" s="822"/>
      <c r="BU35" s="822"/>
      <c r="BV35" s="822"/>
      <c r="BW35" s="822"/>
      <c r="BX35" s="822"/>
      <c r="BY35" s="822"/>
      <c r="BZ35" s="822"/>
      <c r="CA35" s="822"/>
      <c r="CB35" s="822"/>
      <c r="CC35" s="822"/>
      <c r="CD35" s="822"/>
      <c r="CE35" s="823"/>
      <c r="CF35" s="693" t="s">
        <v>410</v>
      </c>
      <c r="CG35" s="926"/>
      <c r="CH35" s="927"/>
      <c r="CI35" s="285"/>
      <c r="CJ35" s="739"/>
      <c r="CK35" s="699" t="s">
        <v>271</v>
      </c>
      <c r="CL35" s="701" t="s">
        <v>246</v>
      </c>
      <c r="CM35" s="703" t="s">
        <v>272</v>
      </c>
      <c r="CN35" s="699" t="s">
        <v>271</v>
      </c>
      <c r="CO35" s="701" t="s">
        <v>246</v>
      </c>
      <c r="CP35" s="703" t="s">
        <v>272</v>
      </c>
      <c r="CQ35" s="830"/>
      <c r="CR35" s="699" t="s">
        <v>271</v>
      </c>
      <c r="CS35" s="701" t="s">
        <v>246</v>
      </c>
      <c r="CT35" s="703" t="s">
        <v>272</v>
      </c>
      <c r="CU35" s="699" t="s">
        <v>271</v>
      </c>
      <c r="CV35" s="701" t="s">
        <v>246</v>
      </c>
      <c r="CW35" s="703" t="s">
        <v>272</v>
      </c>
      <c r="CX35" s="286"/>
      <c r="CY35" s="714"/>
    </row>
    <row r="36" spans="2:128" ht="45" customHeight="1" thickBot="1" x14ac:dyDescent="0.3">
      <c r="B36" s="876"/>
      <c r="C36" s="879"/>
      <c r="D36" s="36" t="s">
        <v>68</v>
      </c>
      <c r="E36" s="37" t="s">
        <v>69</v>
      </c>
      <c r="F36" s="856"/>
      <c r="G36" s="18" t="s">
        <v>97</v>
      </c>
      <c r="H36" s="18" t="s">
        <v>98</v>
      </c>
      <c r="I36" s="18" t="s">
        <v>99</v>
      </c>
      <c r="J36" s="18" t="s">
        <v>100</v>
      </c>
      <c r="K36" s="18" t="s">
        <v>101</v>
      </c>
      <c r="L36" s="19" t="s">
        <v>108</v>
      </c>
      <c r="M36" s="751"/>
      <c r="N36" s="20"/>
      <c r="O36" s="21" t="s">
        <v>102</v>
      </c>
      <c r="P36" s="18" t="s">
        <v>103</v>
      </c>
      <c r="Q36" s="18" t="s">
        <v>104</v>
      </c>
      <c r="R36" s="18" t="s">
        <v>105</v>
      </c>
      <c r="S36" s="18" t="s">
        <v>106</v>
      </c>
      <c r="T36" s="18" t="s">
        <v>107</v>
      </c>
      <c r="U36" s="751"/>
      <c r="V36" s="22"/>
      <c r="W36" s="867"/>
      <c r="X36" s="749"/>
      <c r="Y36" s="746"/>
      <c r="Z36" s="746"/>
      <c r="AA36" s="746"/>
      <c r="AB36" s="792"/>
      <c r="AC36" s="749"/>
      <c r="AD36" s="792"/>
      <c r="AE36" s="874"/>
      <c r="AM36" s="729"/>
      <c r="AN36" s="808"/>
      <c r="AO36" s="287" t="s">
        <v>308</v>
      </c>
      <c r="AP36" s="354" t="s">
        <v>309</v>
      </c>
      <c r="AQ36" s="289" t="s">
        <v>272</v>
      </c>
      <c r="AR36" s="287" t="s">
        <v>311</v>
      </c>
      <c r="AS36" s="354" t="s">
        <v>312</v>
      </c>
      <c r="AT36" s="289" t="s">
        <v>272</v>
      </c>
      <c r="AU36" s="287" t="s">
        <v>271</v>
      </c>
      <c r="AV36" s="288" t="s">
        <v>246</v>
      </c>
      <c r="AW36" s="289" t="s">
        <v>272</v>
      </c>
      <c r="AX36" s="290" t="s">
        <v>275</v>
      </c>
      <c r="AY36" s="291" t="s">
        <v>276</v>
      </c>
      <c r="AZ36" s="292" t="s">
        <v>277</v>
      </c>
      <c r="BA36" s="292" t="s">
        <v>278</v>
      </c>
      <c r="BB36" s="291" t="s">
        <v>279</v>
      </c>
      <c r="BC36" s="292" t="s">
        <v>280</v>
      </c>
      <c r="BD36" s="292" t="s">
        <v>281</v>
      </c>
      <c r="BE36" s="291" t="s">
        <v>282</v>
      </c>
      <c r="BF36" s="292" t="s">
        <v>283</v>
      </c>
      <c r="BG36" s="292" t="s">
        <v>284</v>
      </c>
      <c r="BH36" s="291" t="s">
        <v>285</v>
      </c>
      <c r="BI36" s="292" t="s">
        <v>286</v>
      </c>
      <c r="BJ36" s="292" t="s">
        <v>287</v>
      </c>
      <c r="BK36" s="291" t="s">
        <v>288</v>
      </c>
      <c r="BL36" s="292" t="s">
        <v>289</v>
      </c>
      <c r="BM36" s="293" t="s">
        <v>290</v>
      </c>
      <c r="BN36" s="825"/>
      <c r="BO36" s="294"/>
      <c r="BP36" s="290" t="s">
        <v>292</v>
      </c>
      <c r="BQ36" s="291" t="s">
        <v>293</v>
      </c>
      <c r="BR36" s="292" t="s">
        <v>294</v>
      </c>
      <c r="BS36" s="292" t="s">
        <v>295</v>
      </c>
      <c r="BT36" s="291" t="s">
        <v>296</v>
      </c>
      <c r="BU36" s="292" t="s">
        <v>297</v>
      </c>
      <c r="BV36" s="292" t="s">
        <v>298</v>
      </c>
      <c r="BW36" s="291" t="s">
        <v>299</v>
      </c>
      <c r="BX36" s="292" t="s">
        <v>300</v>
      </c>
      <c r="BY36" s="292" t="s">
        <v>301</v>
      </c>
      <c r="BZ36" s="291" t="s">
        <v>302</v>
      </c>
      <c r="CA36" s="292" t="s">
        <v>303</v>
      </c>
      <c r="CB36" s="292" t="s">
        <v>304</v>
      </c>
      <c r="CC36" s="291" t="s">
        <v>305</v>
      </c>
      <c r="CD36" s="292" t="s">
        <v>306</v>
      </c>
      <c r="CE36" s="293" t="s">
        <v>307</v>
      </c>
      <c r="CF36" s="295" t="s">
        <v>271</v>
      </c>
      <c r="CG36" s="296" t="s">
        <v>246</v>
      </c>
      <c r="CH36" s="297" t="s">
        <v>272</v>
      </c>
      <c r="CI36" s="298"/>
      <c r="CJ36" s="740"/>
      <c r="CK36" s="700"/>
      <c r="CL36" s="702"/>
      <c r="CM36" s="704"/>
      <c r="CN36" s="700"/>
      <c r="CO36" s="702"/>
      <c r="CP36" s="704"/>
      <c r="CQ36" s="831"/>
      <c r="CR36" s="700"/>
      <c r="CS36" s="702"/>
      <c r="CT36" s="704"/>
      <c r="CU36" s="700"/>
      <c r="CV36" s="702"/>
      <c r="CW36" s="704"/>
      <c r="CX36" s="299" t="s">
        <v>322</v>
      </c>
      <c r="CY36" s="300" t="s">
        <v>246</v>
      </c>
      <c r="DD36" s="88" t="s">
        <v>323</v>
      </c>
      <c r="DE36" s="88" t="s">
        <v>324</v>
      </c>
      <c r="DF36" s="88" t="s">
        <v>325</v>
      </c>
      <c r="DG36" s="88" t="s">
        <v>326</v>
      </c>
      <c r="DH36" s="88" t="s">
        <v>327</v>
      </c>
      <c r="DI36" s="88" t="s">
        <v>328</v>
      </c>
      <c r="DJ36" s="88" t="s">
        <v>329</v>
      </c>
      <c r="DK36" s="88" t="s">
        <v>330</v>
      </c>
      <c r="DL36" s="88" t="s">
        <v>331</v>
      </c>
      <c r="DM36" s="88" t="s">
        <v>332</v>
      </c>
      <c r="DN36" s="88" t="s">
        <v>333</v>
      </c>
      <c r="DO36" s="88" t="s">
        <v>334</v>
      </c>
      <c r="DP36" s="88" t="s">
        <v>335</v>
      </c>
      <c r="DQ36" s="88" t="s">
        <v>336</v>
      </c>
      <c r="DR36" s="88" t="s">
        <v>337</v>
      </c>
      <c r="DS36" s="88" t="s">
        <v>338</v>
      </c>
      <c r="DT36" s="88" t="s">
        <v>339</v>
      </c>
      <c r="DU36" s="88" t="s">
        <v>340</v>
      </c>
    </row>
    <row r="37" spans="2:128" ht="30" customHeight="1" x14ac:dyDescent="0.25">
      <c r="B37" s="87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9"/>
      <c r="AN37" s="355" t="str">
        <f t="shared" ref="AN37:AO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87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9"/>
      <c r="AN38" s="361" t="str">
        <f t="shared" si="71"/>
        <v/>
      </c>
      <c r="AO38" s="318" t="str">
        <f t="shared" si="71"/>
        <v/>
      </c>
      <c r="AP38" s="239"/>
      <c r="AQ38" s="319" t="str">
        <f t="shared" ref="AQ38:AQ44" si="95">IF(AP38="",AO38,AP38)</f>
        <v/>
      </c>
      <c r="AR38" s="318" t="str">
        <f t="shared" si="72"/>
        <v/>
      </c>
      <c r="AS38" s="239"/>
      <c r="AT38" s="319" t="str">
        <f t="shared" ref="AT38:AT44" si="96">IF(AS38="",AR38,AS38)</f>
        <v/>
      </c>
      <c r="AU38" s="304">
        <f t="shared" si="73"/>
        <v>0</v>
      </c>
      <c r="AV38" s="531"/>
      <c r="AW38" s="325">
        <f t="shared" ref="AW38:AW44" si="97">IF(AV38="",AU38,AV38)</f>
        <v>0</v>
      </c>
      <c r="AX38" s="324">
        <f t="shared" si="74"/>
        <v>0</v>
      </c>
      <c r="AY38" s="532"/>
      <c r="AZ38" s="326">
        <f t="shared" ref="AZ38:AZ44" si="98">IF(AY38="",AX38,AY38)</f>
        <v>0</v>
      </c>
      <c r="BA38" s="326">
        <f t="shared" si="75"/>
        <v>0</v>
      </c>
      <c r="BB38" s="532"/>
      <c r="BC38" s="326">
        <f t="shared" ref="BC38:BC44" si="99">IF(BB38="",BA38,BB38)</f>
        <v>0</v>
      </c>
      <c r="BD38" s="326">
        <f t="shared" si="76"/>
        <v>0</v>
      </c>
      <c r="BE38" s="532"/>
      <c r="BF38" s="326">
        <f t="shared" ref="BF38:BF44" si="100">IF(BE38="",BD38,BE38)</f>
        <v>0</v>
      </c>
      <c r="BG38" s="326">
        <f t="shared" si="77"/>
        <v>0</v>
      </c>
      <c r="BH38" s="532"/>
      <c r="BI38" s="326">
        <f t="shared" ref="BI38:BI44" si="101">IF(BH38="",BG38,BH38)</f>
        <v>0</v>
      </c>
      <c r="BJ38" s="326">
        <f t="shared" si="78"/>
        <v>0</v>
      </c>
      <c r="BK38" s="532"/>
      <c r="BL38" s="326">
        <f t="shared" ref="BL38:BL44" si="102">IF(BK38="",BJ38,BK38)</f>
        <v>0</v>
      </c>
      <c r="BM38" s="307">
        <f t="shared" ref="BM38:BM44" si="103">AZ38+BC38+BF38+BI38+BL38</f>
        <v>0</v>
      </c>
      <c r="BN38" s="327">
        <f t="shared" ref="BN38:BN44" si="104">AW38+BM38</f>
        <v>0</v>
      </c>
      <c r="BO38" s="358"/>
      <c r="BP38" s="324">
        <f t="shared" si="79"/>
        <v>0</v>
      </c>
      <c r="BQ38" s="531"/>
      <c r="BR38" s="328">
        <f t="shared" ref="BR38:BR44" si="105">IF(BQ38="",BP38,BQ38)</f>
        <v>0</v>
      </c>
      <c r="BS38" s="326">
        <f t="shared" si="80"/>
        <v>0</v>
      </c>
      <c r="BT38" s="532"/>
      <c r="BU38" s="326">
        <f t="shared" ref="BU38:BU44" si="106">IF(BT38="",BS38,BT38)</f>
        <v>0</v>
      </c>
      <c r="BV38" s="326">
        <f t="shared" si="81"/>
        <v>0</v>
      </c>
      <c r="BW38" s="532"/>
      <c r="BX38" s="326">
        <f t="shared" ref="BX38:BX44" si="107">IF(BW38="",BV38,BW38)</f>
        <v>0</v>
      </c>
      <c r="BY38" s="326">
        <f t="shared" si="82"/>
        <v>0</v>
      </c>
      <c r="BZ38" s="532"/>
      <c r="CA38" s="326">
        <f t="shared" ref="CA38:CA44" si="108">IF(BZ38="",BY38,BZ38)</f>
        <v>0</v>
      </c>
      <c r="CB38" s="326">
        <f t="shared" si="83"/>
        <v>0</v>
      </c>
      <c r="CC38" s="532"/>
      <c r="CD38" s="326">
        <f t="shared" ref="CD38:CD44" si="109">IF(CC38="",CB38,CC38)</f>
        <v>0</v>
      </c>
      <c r="CE38" s="307">
        <f t="shared" ref="CE38:CE44" si="110">BR38+BU38+BX38+CA38+CD38</f>
        <v>0</v>
      </c>
      <c r="CF38" s="324">
        <f t="shared" si="84"/>
        <v>0</v>
      </c>
      <c r="CG38" s="532"/>
      <c r="CH38" s="329">
        <f t="shared" ref="CH38:CH44" si="111">IF(CG38="",CF38,CG38)</f>
        <v>0</v>
      </c>
      <c r="CI38" s="313"/>
      <c r="CJ38" s="330">
        <f t="shared" ref="CJ38:CJ44" si="112">BN38+CE38+CH38</f>
        <v>0</v>
      </c>
      <c r="CK38" s="324">
        <f t="shared" si="85"/>
        <v>0</v>
      </c>
      <c r="CL38" s="531"/>
      <c r="CM38" s="325">
        <f t="shared" ref="CM38:CM44" si="113">IF(CL38="",CK38,CL38)</f>
        <v>0</v>
      </c>
      <c r="CN38" s="324">
        <f t="shared" si="86"/>
        <v>0</v>
      </c>
      <c r="CO38" s="527"/>
      <c r="CP38" s="362">
        <f t="shared" ref="CP38:CP44" si="114">IF(CO38="",CN38,CO38)</f>
        <v>0</v>
      </c>
      <c r="CQ38" s="315">
        <f t="shared" ref="CQ38:CQ44" si="115">AW38+BM38+CE38+CH38-CM38-CP38</f>
        <v>0</v>
      </c>
      <c r="CR38" s="318" t="str">
        <f t="shared" si="87"/>
        <v/>
      </c>
      <c r="CS38" s="239"/>
      <c r="CT38" s="319" t="str">
        <f t="shared" ref="CT38:CT44" si="116">IF(CS38="",CR38,CS38)</f>
        <v/>
      </c>
      <c r="CU38" s="318" t="str">
        <f t="shared" si="88"/>
        <v/>
      </c>
      <c r="CV38" s="239"/>
      <c r="CW38" s="319" t="str">
        <f t="shared" ref="CW38:CW44" si="117">IF(CV38="",CU38,CV38)</f>
        <v/>
      </c>
      <c r="CX38" s="331" t="str">
        <f t="shared" ref="CX38:CX44" si="118">IF(DD38=0,"",DD38)</f>
        <v/>
      </c>
      <c r="CY38" s="533"/>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5" t="str">
        <f t="shared" si="90"/>
        <v/>
      </c>
    </row>
    <row r="39" spans="2:128" ht="30" customHeight="1" x14ac:dyDescent="0.25">
      <c r="B39" s="876"/>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9"/>
      <c r="AN39" s="361" t="str">
        <f t="shared" si="71"/>
        <v/>
      </c>
      <c r="AO39" s="318" t="str">
        <f t="shared" si="71"/>
        <v/>
      </c>
      <c r="AP39" s="239"/>
      <c r="AQ39" s="319" t="str">
        <f t="shared" si="95"/>
        <v/>
      </c>
      <c r="AR39" s="318" t="str">
        <f t="shared" si="72"/>
        <v/>
      </c>
      <c r="AS39" s="239"/>
      <c r="AT39" s="319" t="str">
        <f t="shared" si="96"/>
        <v/>
      </c>
      <c r="AU39" s="304">
        <f t="shared" si="73"/>
        <v>0</v>
      </c>
      <c r="AV39" s="531"/>
      <c r="AW39" s="325">
        <f t="shared" si="97"/>
        <v>0</v>
      </c>
      <c r="AX39" s="324">
        <f t="shared" si="74"/>
        <v>0</v>
      </c>
      <c r="AY39" s="532"/>
      <c r="AZ39" s="326">
        <f t="shared" si="98"/>
        <v>0</v>
      </c>
      <c r="BA39" s="326">
        <f t="shared" si="75"/>
        <v>0</v>
      </c>
      <c r="BB39" s="532"/>
      <c r="BC39" s="326">
        <f t="shared" si="99"/>
        <v>0</v>
      </c>
      <c r="BD39" s="326">
        <f t="shared" si="76"/>
        <v>0</v>
      </c>
      <c r="BE39" s="532"/>
      <c r="BF39" s="326">
        <f t="shared" si="100"/>
        <v>0</v>
      </c>
      <c r="BG39" s="326">
        <f t="shared" si="77"/>
        <v>0</v>
      </c>
      <c r="BH39" s="532"/>
      <c r="BI39" s="326">
        <f t="shared" si="101"/>
        <v>0</v>
      </c>
      <c r="BJ39" s="326">
        <f t="shared" si="78"/>
        <v>0</v>
      </c>
      <c r="BK39" s="532"/>
      <c r="BL39" s="326">
        <f t="shared" si="102"/>
        <v>0</v>
      </c>
      <c r="BM39" s="307">
        <f t="shared" si="103"/>
        <v>0</v>
      </c>
      <c r="BN39" s="327">
        <f t="shared" si="104"/>
        <v>0</v>
      </c>
      <c r="BO39" s="358"/>
      <c r="BP39" s="324">
        <f t="shared" si="79"/>
        <v>0</v>
      </c>
      <c r="BQ39" s="531"/>
      <c r="BR39" s="328">
        <f t="shared" si="105"/>
        <v>0</v>
      </c>
      <c r="BS39" s="326">
        <f t="shared" si="80"/>
        <v>0</v>
      </c>
      <c r="BT39" s="532"/>
      <c r="BU39" s="326">
        <f t="shared" si="106"/>
        <v>0</v>
      </c>
      <c r="BV39" s="326">
        <f t="shared" si="81"/>
        <v>0</v>
      </c>
      <c r="BW39" s="532"/>
      <c r="BX39" s="326">
        <f t="shared" si="107"/>
        <v>0</v>
      </c>
      <c r="BY39" s="326">
        <f t="shared" si="82"/>
        <v>0</v>
      </c>
      <c r="BZ39" s="532"/>
      <c r="CA39" s="326">
        <f t="shared" si="108"/>
        <v>0</v>
      </c>
      <c r="CB39" s="326">
        <f t="shared" si="83"/>
        <v>0</v>
      </c>
      <c r="CC39" s="532"/>
      <c r="CD39" s="326">
        <f t="shared" si="109"/>
        <v>0</v>
      </c>
      <c r="CE39" s="307">
        <f t="shared" si="110"/>
        <v>0</v>
      </c>
      <c r="CF39" s="324">
        <f t="shared" si="84"/>
        <v>0</v>
      </c>
      <c r="CG39" s="532"/>
      <c r="CH39" s="329">
        <f t="shared" si="111"/>
        <v>0</v>
      </c>
      <c r="CI39" s="313"/>
      <c r="CJ39" s="330">
        <f t="shared" si="112"/>
        <v>0</v>
      </c>
      <c r="CK39" s="324">
        <f t="shared" si="85"/>
        <v>0</v>
      </c>
      <c r="CL39" s="531"/>
      <c r="CM39" s="325">
        <f t="shared" si="113"/>
        <v>0</v>
      </c>
      <c r="CN39" s="324">
        <f t="shared" si="86"/>
        <v>0</v>
      </c>
      <c r="CO39" s="527"/>
      <c r="CP39" s="362">
        <f t="shared" si="114"/>
        <v>0</v>
      </c>
      <c r="CQ39" s="315">
        <f t="shared" si="115"/>
        <v>0</v>
      </c>
      <c r="CR39" s="318" t="str">
        <f t="shared" si="87"/>
        <v/>
      </c>
      <c r="CS39" s="239"/>
      <c r="CT39" s="319" t="str">
        <f t="shared" si="116"/>
        <v/>
      </c>
      <c r="CU39" s="318" t="str">
        <f t="shared" si="88"/>
        <v/>
      </c>
      <c r="CV39" s="239"/>
      <c r="CW39" s="319" t="str">
        <f t="shared" si="117"/>
        <v/>
      </c>
      <c r="CX39" s="331" t="str">
        <f t="shared" si="118"/>
        <v/>
      </c>
      <c r="CY39" s="533"/>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5" t="str">
        <f t="shared" si="90"/>
        <v/>
      </c>
    </row>
    <row r="40" spans="2:128" ht="30" customHeight="1" x14ac:dyDescent="0.25">
      <c r="B40" s="876"/>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9"/>
      <c r="AN40" s="361" t="str">
        <f t="shared" si="71"/>
        <v/>
      </c>
      <c r="AO40" s="318" t="str">
        <f t="shared" si="71"/>
        <v/>
      </c>
      <c r="AP40" s="239"/>
      <c r="AQ40" s="319" t="str">
        <f t="shared" si="95"/>
        <v/>
      </c>
      <c r="AR40" s="318" t="str">
        <f t="shared" si="72"/>
        <v/>
      </c>
      <c r="AS40" s="239"/>
      <c r="AT40" s="319" t="str">
        <f t="shared" si="96"/>
        <v/>
      </c>
      <c r="AU40" s="304">
        <f t="shared" si="73"/>
        <v>0</v>
      </c>
      <c r="AV40" s="531"/>
      <c r="AW40" s="325">
        <f t="shared" si="97"/>
        <v>0</v>
      </c>
      <c r="AX40" s="324">
        <f t="shared" si="74"/>
        <v>0</v>
      </c>
      <c r="AY40" s="532"/>
      <c r="AZ40" s="326">
        <f t="shared" si="98"/>
        <v>0</v>
      </c>
      <c r="BA40" s="326">
        <f t="shared" si="75"/>
        <v>0</v>
      </c>
      <c r="BB40" s="532"/>
      <c r="BC40" s="326">
        <f t="shared" si="99"/>
        <v>0</v>
      </c>
      <c r="BD40" s="326">
        <f t="shared" si="76"/>
        <v>0</v>
      </c>
      <c r="BE40" s="532"/>
      <c r="BF40" s="326">
        <f t="shared" si="100"/>
        <v>0</v>
      </c>
      <c r="BG40" s="326">
        <f t="shared" si="77"/>
        <v>0</v>
      </c>
      <c r="BH40" s="532"/>
      <c r="BI40" s="326">
        <f t="shared" si="101"/>
        <v>0</v>
      </c>
      <c r="BJ40" s="326">
        <f t="shared" si="78"/>
        <v>0</v>
      </c>
      <c r="BK40" s="532"/>
      <c r="BL40" s="326">
        <f t="shared" si="102"/>
        <v>0</v>
      </c>
      <c r="BM40" s="307">
        <f t="shared" si="103"/>
        <v>0</v>
      </c>
      <c r="BN40" s="327">
        <f t="shared" si="104"/>
        <v>0</v>
      </c>
      <c r="BO40" s="358"/>
      <c r="BP40" s="324">
        <f t="shared" si="79"/>
        <v>0</v>
      </c>
      <c r="BQ40" s="531"/>
      <c r="BR40" s="328">
        <f t="shared" si="105"/>
        <v>0</v>
      </c>
      <c r="BS40" s="326">
        <f t="shared" si="80"/>
        <v>0</v>
      </c>
      <c r="BT40" s="532"/>
      <c r="BU40" s="326">
        <f t="shared" si="106"/>
        <v>0</v>
      </c>
      <c r="BV40" s="326">
        <f t="shared" si="81"/>
        <v>0</v>
      </c>
      <c r="BW40" s="532"/>
      <c r="BX40" s="326">
        <f t="shared" si="107"/>
        <v>0</v>
      </c>
      <c r="BY40" s="326">
        <f t="shared" si="82"/>
        <v>0</v>
      </c>
      <c r="BZ40" s="532"/>
      <c r="CA40" s="326">
        <f t="shared" si="108"/>
        <v>0</v>
      </c>
      <c r="CB40" s="326">
        <f t="shared" si="83"/>
        <v>0</v>
      </c>
      <c r="CC40" s="532"/>
      <c r="CD40" s="326">
        <f t="shared" si="109"/>
        <v>0</v>
      </c>
      <c r="CE40" s="307">
        <f t="shared" si="110"/>
        <v>0</v>
      </c>
      <c r="CF40" s="324">
        <f t="shared" si="84"/>
        <v>0</v>
      </c>
      <c r="CG40" s="532"/>
      <c r="CH40" s="329">
        <f t="shared" si="111"/>
        <v>0</v>
      </c>
      <c r="CI40" s="313"/>
      <c r="CJ40" s="330">
        <f t="shared" si="112"/>
        <v>0</v>
      </c>
      <c r="CK40" s="324">
        <f t="shared" si="85"/>
        <v>0</v>
      </c>
      <c r="CL40" s="531"/>
      <c r="CM40" s="325">
        <f t="shared" si="113"/>
        <v>0</v>
      </c>
      <c r="CN40" s="324">
        <f t="shared" si="86"/>
        <v>0</v>
      </c>
      <c r="CO40" s="527"/>
      <c r="CP40" s="362">
        <f t="shared" si="114"/>
        <v>0</v>
      </c>
      <c r="CQ40" s="315">
        <f t="shared" si="115"/>
        <v>0</v>
      </c>
      <c r="CR40" s="318" t="str">
        <f t="shared" si="87"/>
        <v/>
      </c>
      <c r="CS40" s="239"/>
      <c r="CT40" s="319" t="str">
        <f t="shared" si="116"/>
        <v/>
      </c>
      <c r="CU40" s="318" t="str">
        <f t="shared" si="88"/>
        <v/>
      </c>
      <c r="CV40" s="239"/>
      <c r="CW40" s="319" t="str">
        <f t="shared" si="117"/>
        <v/>
      </c>
      <c r="CX40" s="331" t="str">
        <f t="shared" si="118"/>
        <v/>
      </c>
      <c r="CY40" s="533"/>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5" t="str">
        <f t="shared" si="90"/>
        <v/>
      </c>
    </row>
    <row r="41" spans="2:128" ht="30" customHeight="1" x14ac:dyDescent="0.25">
      <c r="B41" s="876"/>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9"/>
      <c r="AN41" s="361" t="str">
        <f t="shared" si="71"/>
        <v/>
      </c>
      <c r="AO41" s="318" t="str">
        <f t="shared" si="71"/>
        <v/>
      </c>
      <c r="AP41" s="239"/>
      <c r="AQ41" s="319" t="str">
        <f t="shared" si="95"/>
        <v/>
      </c>
      <c r="AR41" s="318" t="str">
        <f t="shared" si="72"/>
        <v/>
      </c>
      <c r="AS41" s="239"/>
      <c r="AT41" s="319" t="str">
        <f t="shared" si="96"/>
        <v/>
      </c>
      <c r="AU41" s="304">
        <f t="shared" si="73"/>
        <v>0</v>
      </c>
      <c r="AV41" s="531"/>
      <c r="AW41" s="325">
        <f t="shared" si="97"/>
        <v>0</v>
      </c>
      <c r="AX41" s="324">
        <f t="shared" si="74"/>
        <v>0</v>
      </c>
      <c r="AY41" s="532"/>
      <c r="AZ41" s="326">
        <f t="shared" si="98"/>
        <v>0</v>
      </c>
      <c r="BA41" s="326">
        <f t="shared" si="75"/>
        <v>0</v>
      </c>
      <c r="BB41" s="532"/>
      <c r="BC41" s="326">
        <f t="shared" si="99"/>
        <v>0</v>
      </c>
      <c r="BD41" s="326">
        <f t="shared" si="76"/>
        <v>0</v>
      </c>
      <c r="BE41" s="532"/>
      <c r="BF41" s="326">
        <f t="shared" si="100"/>
        <v>0</v>
      </c>
      <c r="BG41" s="326">
        <f t="shared" si="77"/>
        <v>0</v>
      </c>
      <c r="BH41" s="532"/>
      <c r="BI41" s="326">
        <f t="shared" si="101"/>
        <v>0</v>
      </c>
      <c r="BJ41" s="326">
        <f t="shared" si="78"/>
        <v>0</v>
      </c>
      <c r="BK41" s="532"/>
      <c r="BL41" s="326">
        <f t="shared" si="102"/>
        <v>0</v>
      </c>
      <c r="BM41" s="307">
        <f t="shared" si="103"/>
        <v>0</v>
      </c>
      <c r="BN41" s="327">
        <f t="shared" si="104"/>
        <v>0</v>
      </c>
      <c r="BO41" s="358"/>
      <c r="BP41" s="363">
        <f t="shared" si="79"/>
        <v>0</v>
      </c>
      <c r="BQ41" s="541"/>
      <c r="BR41" s="364">
        <f t="shared" si="105"/>
        <v>0</v>
      </c>
      <c r="BS41" s="365">
        <f t="shared" si="80"/>
        <v>0</v>
      </c>
      <c r="BT41" s="542"/>
      <c r="BU41" s="365">
        <f t="shared" si="106"/>
        <v>0</v>
      </c>
      <c r="BV41" s="365">
        <f t="shared" si="81"/>
        <v>0</v>
      </c>
      <c r="BW41" s="542"/>
      <c r="BX41" s="365">
        <f t="shared" si="107"/>
        <v>0</v>
      </c>
      <c r="BY41" s="365">
        <f t="shared" si="82"/>
        <v>0</v>
      </c>
      <c r="BZ41" s="542"/>
      <c r="CA41" s="365">
        <f t="shared" si="108"/>
        <v>0</v>
      </c>
      <c r="CB41" s="365">
        <f t="shared" si="83"/>
        <v>0</v>
      </c>
      <c r="CC41" s="542"/>
      <c r="CD41" s="365">
        <f t="shared" si="109"/>
        <v>0</v>
      </c>
      <c r="CE41" s="307">
        <f t="shared" si="110"/>
        <v>0</v>
      </c>
      <c r="CF41" s="324">
        <f t="shared" si="84"/>
        <v>0</v>
      </c>
      <c r="CG41" s="532"/>
      <c r="CH41" s="329">
        <f t="shared" si="111"/>
        <v>0</v>
      </c>
      <c r="CI41" s="313"/>
      <c r="CJ41" s="330">
        <f t="shared" si="112"/>
        <v>0</v>
      </c>
      <c r="CK41" s="324">
        <f t="shared" si="85"/>
        <v>0</v>
      </c>
      <c r="CL41" s="531"/>
      <c r="CM41" s="325">
        <f t="shared" si="113"/>
        <v>0</v>
      </c>
      <c r="CN41" s="324">
        <f t="shared" si="86"/>
        <v>0</v>
      </c>
      <c r="CO41" s="527"/>
      <c r="CP41" s="362">
        <f t="shared" si="114"/>
        <v>0</v>
      </c>
      <c r="CQ41" s="315">
        <f t="shared" si="115"/>
        <v>0</v>
      </c>
      <c r="CR41" s="318" t="str">
        <f t="shared" si="87"/>
        <v/>
      </c>
      <c r="CS41" s="239"/>
      <c r="CT41" s="319" t="str">
        <f t="shared" si="116"/>
        <v/>
      </c>
      <c r="CU41" s="318" t="str">
        <f t="shared" si="88"/>
        <v/>
      </c>
      <c r="CV41" s="239"/>
      <c r="CW41" s="319" t="str">
        <f t="shared" si="117"/>
        <v/>
      </c>
      <c r="CX41" s="331" t="str">
        <f t="shared" si="118"/>
        <v/>
      </c>
      <c r="CY41" s="533"/>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5" t="str">
        <f t="shared" si="90"/>
        <v/>
      </c>
    </row>
    <row r="42" spans="2:128" ht="30" customHeight="1" x14ac:dyDescent="0.25">
      <c r="B42" s="876"/>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9"/>
      <c r="AN42" s="361" t="str">
        <f t="shared" si="71"/>
        <v/>
      </c>
      <c r="AO42" s="318" t="str">
        <f t="shared" si="71"/>
        <v/>
      </c>
      <c r="AP42" s="239"/>
      <c r="AQ42" s="319" t="str">
        <f t="shared" si="95"/>
        <v/>
      </c>
      <c r="AR42" s="318" t="str">
        <f t="shared" si="72"/>
        <v/>
      </c>
      <c r="AS42" s="239"/>
      <c r="AT42" s="319" t="str">
        <f t="shared" si="96"/>
        <v/>
      </c>
      <c r="AU42" s="304">
        <f t="shared" si="73"/>
        <v>0</v>
      </c>
      <c r="AV42" s="531"/>
      <c r="AW42" s="325">
        <f t="shared" si="97"/>
        <v>0</v>
      </c>
      <c r="AX42" s="324">
        <f t="shared" si="74"/>
        <v>0</v>
      </c>
      <c r="AY42" s="532"/>
      <c r="AZ42" s="326">
        <f t="shared" si="98"/>
        <v>0</v>
      </c>
      <c r="BA42" s="326">
        <f t="shared" si="75"/>
        <v>0</v>
      </c>
      <c r="BB42" s="532"/>
      <c r="BC42" s="326">
        <f t="shared" si="99"/>
        <v>0</v>
      </c>
      <c r="BD42" s="326">
        <f t="shared" si="76"/>
        <v>0</v>
      </c>
      <c r="BE42" s="532"/>
      <c r="BF42" s="326">
        <f t="shared" si="100"/>
        <v>0</v>
      </c>
      <c r="BG42" s="326">
        <f t="shared" si="77"/>
        <v>0</v>
      </c>
      <c r="BH42" s="532"/>
      <c r="BI42" s="326">
        <f t="shared" si="101"/>
        <v>0</v>
      </c>
      <c r="BJ42" s="326">
        <f t="shared" si="78"/>
        <v>0</v>
      </c>
      <c r="BK42" s="532"/>
      <c r="BL42" s="326">
        <f t="shared" si="102"/>
        <v>0</v>
      </c>
      <c r="BM42" s="307">
        <f t="shared" si="103"/>
        <v>0</v>
      </c>
      <c r="BN42" s="327">
        <f t="shared" si="104"/>
        <v>0</v>
      </c>
      <c r="BO42" s="358"/>
      <c r="BP42" s="363">
        <f t="shared" si="79"/>
        <v>0</v>
      </c>
      <c r="BQ42" s="541"/>
      <c r="BR42" s="364">
        <f t="shared" si="105"/>
        <v>0</v>
      </c>
      <c r="BS42" s="365">
        <f t="shared" si="80"/>
        <v>0</v>
      </c>
      <c r="BT42" s="542"/>
      <c r="BU42" s="365">
        <f t="shared" si="106"/>
        <v>0</v>
      </c>
      <c r="BV42" s="365">
        <f t="shared" si="81"/>
        <v>0</v>
      </c>
      <c r="BW42" s="542"/>
      <c r="BX42" s="365">
        <f t="shared" si="107"/>
        <v>0</v>
      </c>
      <c r="BY42" s="365">
        <f t="shared" si="82"/>
        <v>0</v>
      </c>
      <c r="BZ42" s="542"/>
      <c r="CA42" s="365">
        <f t="shared" si="108"/>
        <v>0</v>
      </c>
      <c r="CB42" s="365">
        <f t="shared" si="83"/>
        <v>0</v>
      </c>
      <c r="CC42" s="542"/>
      <c r="CD42" s="365">
        <f t="shared" si="109"/>
        <v>0</v>
      </c>
      <c r="CE42" s="307">
        <f t="shared" si="110"/>
        <v>0</v>
      </c>
      <c r="CF42" s="324">
        <f t="shared" si="84"/>
        <v>0</v>
      </c>
      <c r="CG42" s="532"/>
      <c r="CH42" s="329">
        <f t="shared" si="111"/>
        <v>0</v>
      </c>
      <c r="CI42" s="313"/>
      <c r="CJ42" s="330">
        <f t="shared" si="112"/>
        <v>0</v>
      </c>
      <c r="CK42" s="324">
        <f t="shared" si="85"/>
        <v>0</v>
      </c>
      <c r="CL42" s="531"/>
      <c r="CM42" s="325">
        <f t="shared" si="113"/>
        <v>0</v>
      </c>
      <c r="CN42" s="324">
        <f t="shared" si="86"/>
        <v>0</v>
      </c>
      <c r="CO42" s="527"/>
      <c r="CP42" s="362">
        <f t="shared" si="114"/>
        <v>0</v>
      </c>
      <c r="CQ42" s="315">
        <f t="shared" si="115"/>
        <v>0</v>
      </c>
      <c r="CR42" s="318" t="str">
        <f t="shared" si="87"/>
        <v/>
      </c>
      <c r="CS42" s="239"/>
      <c r="CT42" s="319" t="str">
        <f t="shared" si="116"/>
        <v/>
      </c>
      <c r="CU42" s="318" t="str">
        <f t="shared" si="88"/>
        <v/>
      </c>
      <c r="CV42" s="239"/>
      <c r="CW42" s="319" t="str">
        <f t="shared" si="117"/>
        <v/>
      </c>
      <c r="CX42" s="331" t="str">
        <f t="shared" si="118"/>
        <v/>
      </c>
      <c r="CY42" s="533"/>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5" t="str">
        <f t="shared" si="90"/>
        <v/>
      </c>
    </row>
    <row r="43" spans="2:128" ht="30" customHeight="1" x14ac:dyDescent="0.25">
      <c r="B43" s="876"/>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9"/>
      <c r="AN43" s="361" t="str">
        <f t="shared" si="71"/>
        <v/>
      </c>
      <c r="AO43" s="318" t="str">
        <f t="shared" si="71"/>
        <v/>
      </c>
      <c r="AP43" s="239"/>
      <c r="AQ43" s="319" t="str">
        <f t="shared" si="95"/>
        <v/>
      </c>
      <c r="AR43" s="318" t="str">
        <f t="shared" si="72"/>
        <v/>
      </c>
      <c r="AS43" s="239"/>
      <c r="AT43" s="319" t="str">
        <f t="shared" si="96"/>
        <v/>
      </c>
      <c r="AU43" s="304">
        <f t="shared" si="73"/>
        <v>0</v>
      </c>
      <c r="AV43" s="531"/>
      <c r="AW43" s="325">
        <f t="shared" si="97"/>
        <v>0</v>
      </c>
      <c r="AX43" s="324">
        <f t="shared" si="74"/>
        <v>0</v>
      </c>
      <c r="AY43" s="532"/>
      <c r="AZ43" s="326">
        <f t="shared" si="98"/>
        <v>0</v>
      </c>
      <c r="BA43" s="326">
        <f t="shared" si="75"/>
        <v>0</v>
      </c>
      <c r="BB43" s="532"/>
      <c r="BC43" s="326">
        <f t="shared" si="99"/>
        <v>0</v>
      </c>
      <c r="BD43" s="326">
        <f t="shared" si="76"/>
        <v>0</v>
      </c>
      <c r="BE43" s="532"/>
      <c r="BF43" s="326">
        <f t="shared" si="100"/>
        <v>0</v>
      </c>
      <c r="BG43" s="326">
        <f t="shared" si="77"/>
        <v>0</v>
      </c>
      <c r="BH43" s="532"/>
      <c r="BI43" s="326">
        <f t="shared" si="101"/>
        <v>0</v>
      </c>
      <c r="BJ43" s="326">
        <f t="shared" si="78"/>
        <v>0</v>
      </c>
      <c r="BK43" s="532"/>
      <c r="BL43" s="326">
        <f t="shared" si="102"/>
        <v>0</v>
      </c>
      <c r="BM43" s="307">
        <f t="shared" si="103"/>
        <v>0</v>
      </c>
      <c r="BN43" s="327">
        <f t="shared" si="104"/>
        <v>0</v>
      </c>
      <c r="BO43" s="358"/>
      <c r="BP43" s="363">
        <f t="shared" si="79"/>
        <v>0</v>
      </c>
      <c r="BQ43" s="541"/>
      <c r="BR43" s="364">
        <f t="shared" si="105"/>
        <v>0</v>
      </c>
      <c r="BS43" s="365">
        <f t="shared" si="80"/>
        <v>0</v>
      </c>
      <c r="BT43" s="542"/>
      <c r="BU43" s="365">
        <f t="shared" si="106"/>
        <v>0</v>
      </c>
      <c r="BV43" s="365">
        <f t="shared" si="81"/>
        <v>0</v>
      </c>
      <c r="BW43" s="542"/>
      <c r="BX43" s="365">
        <f t="shared" si="107"/>
        <v>0</v>
      </c>
      <c r="BY43" s="365">
        <f t="shared" si="82"/>
        <v>0</v>
      </c>
      <c r="BZ43" s="542"/>
      <c r="CA43" s="365">
        <f t="shared" si="108"/>
        <v>0</v>
      </c>
      <c r="CB43" s="365">
        <f t="shared" si="83"/>
        <v>0</v>
      </c>
      <c r="CC43" s="542"/>
      <c r="CD43" s="365">
        <f t="shared" si="109"/>
        <v>0</v>
      </c>
      <c r="CE43" s="307">
        <f t="shared" si="110"/>
        <v>0</v>
      </c>
      <c r="CF43" s="324">
        <f t="shared" si="84"/>
        <v>0</v>
      </c>
      <c r="CG43" s="532"/>
      <c r="CH43" s="329">
        <f t="shared" si="111"/>
        <v>0</v>
      </c>
      <c r="CI43" s="313"/>
      <c r="CJ43" s="330">
        <f t="shared" si="112"/>
        <v>0</v>
      </c>
      <c r="CK43" s="324">
        <f t="shared" si="85"/>
        <v>0</v>
      </c>
      <c r="CL43" s="531"/>
      <c r="CM43" s="325">
        <f t="shared" si="113"/>
        <v>0</v>
      </c>
      <c r="CN43" s="324">
        <f t="shared" si="86"/>
        <v>0</v>
      </c>
      <c r="CO43" s="527"/>
      <c r="CP43" s="362">
        <f t="shared" si="114"/>
        <v>0</v>
      </c>
      <c r="CQ43" s="315">
        <f t="shared" si="115"/>
        <v>0</v>
      </c>
      <c r="CR43" s="318" t="str">
        <f t="shared" si="87"/>
        <v/>
      </c>
      <c r="CS43" s="239"/>
      <c r="CT43" s="319" t="str">
        <f t="shared" si="116"/>
        <v/>
      </c>
      <c r="CU43" s="318" t="str">
        <f t="shared" si="88"/>
        <v/>
      </c>
      <c r="CV43" s="239"/>
      <c r="CW43" s="319" t="str">
        <f t="shared" si="117"/>
        <v/>
      </c>
      <c r="CX43" s="331" t="str">
        <f t="shared" si="118"/>
        <v/>
      </c>
      <c r="CY43" s="533"/>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5" t="str">
        <f t="shared" si="90"/>
        <v/>
      </c>
    </row>
    <row r="44" spans="2:128" ht="30" customHeight="1" thickBot="1" x14ac:dyDescent="0.3">
      <c r="B44" s="876"/>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729"/>
      <c r="AN44" s="366" t="str">
        <f t="shared" si="71"/>
        <v/>
      </c>
      <c r="AO44" s="343" t="str">
        <f t="shared" si="71"/>
        <v/>
      </c>
      <c r="AP44" s="251"/>
      <c r="AQ44" s="344" t="str">
        <f t="shared" si="95"/>
        <v/>
      </c>
      <c r="AR44" s="343" t="str">
        <f t="shared" si="72"/>
        <v/>
      </c>
      <c r="AS44" s="251"/>
      <c r="AT44" s="344" t="str">
        <f t="shared" si="96"/>
        <v/>
      </c>
      <c r="AU44" s="367">
        <f t="shared" si="73"/>
        <v>0</v>
      </c>
      <c r="AV44" s="535"/>
      <c r="AW44" s="335">
        <f t="shared" si="97"/>
        <v>0</v>
      </c>
      <c r="AX44" s="334">
        <f t="shared" si="74"/>
        <v>0</v>
      </c>
      <c r="AY44" s="536"/>
      <c r="AZ44" s="336">
        <f t="shared" si="98"/>
        <v>0</v>
      </c>
      <c r="BA44" s="336">
        <f t="shared" si="75"/>
        <v>0</v>
      </c>
      <c r="BB44" s="536"/>
      <c r="BC44" s="336">
        <f t="shared" si="99"/>
        <v>0</v>
      </c>
      <c r="BD44" s="336">
        <f t="shared" si="76"/>
        <v>0</v>
      </c>
      <c r="BE44" s="536"/>
      <c r="BF44" s="336">
        <f t="shared" si="100"/>
        <v>0</v>
      </c>
      <c r="BG44" s="336">
        <f t="shared" si="77"/>
        <v>0</v>
      </c>
      <c r="BH44" s="536"/>
      <c r="BI44" s="336">
        <f t="shared" si="101"/>
        <v>0</v>
      </c>
      <c r="BJ44" s="336">
        <f t="shared" si="78"/>
        <v>0</v>
      </c>
      <c r="BK44" s="536"/>
      <c r="BL44" s="336">
        <f t="shared" si="102"/>
        <v>0</v>
      </c>
      <c r="BM44" s="337">
        <f t="shared" si="103"/>
        <v>0</v>
      </c>
      <c r="BN44" s="327">
        <f t="shared" si="104"/>
        <v>0</v>
      </c>
      <c r="BO44" s="358"/>
      <c r="BP44" s="334">
        <f t="shared" si="79"/>
        <v>0</v>
      </c>
      <c r="BQ44" s="535"/>
      <c r="BR44" s="339">
        <f t="shared" si="105"/>
        <v>0</v>
      </c>
      <c r="BS44" s="336">
        <f t="shared" si="80"/>
        <v>0</v>
      </c>
      <c r="BT44" s="536"/>
      <c r="BU44" s="336">
        <f t="shared" si="106"/>
        <v>0</v>
      </c>
      <c r="BV44" s="336">
        <f t="shared" si="81"/>
        <v>0</v>
      </c>
      <c r="BW44" s="536"/>
      <c r="BX44" s="336">
        <f t="shared" si="107"/>
        <v>0</v>
      </c>
      <c r="BY44" s="336">
        <f t="shared" si="82"/>
        <v>0</v>
      </c>
      <c r="BZ44" s="536"/>
      <c r="CA44" s="336">
        <f t="shared" si="108"/>
        <v>0</v>
      </c>
      <c r="CB44" s="336">
        <f t="shared" si="83"/>
        <v>0</v>
      </c>
      <c r="CC44" s="536"/>
      <c r="CD44" s="336">
        <f t="shared" si="109"/>
        <v>0</v>
      </c>
      <c r="CE44" s="337">
        <f t="shared" si="110"/>
        <v>0</v>
      </c>
      <c r="CF44" s="334">
        <f t="shared" si="84"/>
        <v>0</v>
      </c>
      <c r="CG44" s="536"/>
      <c r="CH44" s="340">
        <f t="shared" si="111"/>
        <v>0</v>
      </c>
      <c r="CI44" s="313"/>
      <c r="CJ44" s="338">
        <f t="shared" si="112"/>
        <v>0</v>
      </c>
      <c r="CK44" s="334">
        <f t="shared" si="85"/>
        <v>0</v>
      </c>
      <c r="CL44" s="535"/>
      <c r="CM44" s="335">
        <f t="shared" si="113"/>
        <v>0</v>
      </c>
      <c r="CN44" s="334">
        <f t="shared" si="86"/>
        <v>0</v>
      </c>
      <c r="CO44" s="543"/>
      <c r="CP44" s="368">
        <f t="shared" si="114"/>
        <v>0</v>
      </c>
      <c r="CQ44" s="369">
        <f t="shared" si="115"/>
        <v>0</v>
      </c>
      <c r="CR44" s="343" t="str">
        <f t="shared" si="87"/>
        <v/>
      </c>
      <c r="CS44" s="251"/>
      <c r="CT44" s="344" t="str">
        <f t="shared" si="116"/>
        <v/>
      </c>
      <c r="CU44" s="343" t="str">
        <f t="shared" si="88"/>
        <v/>
      </c>
      <c r="CV44" s="251"/>
      <c r="CW44" s="344" t="str">
        <f t="shared" si="117"/>
        <v/>
      </c>
      <c r="CX44" s="345" t="str">
        <f t="shared" si="118"/>
        <v/>
      </c>
      <c r="CY44" s="538"/>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5" t="str">
        <f t="shared" si="90"/>
        <v/>
      </c>
    </row>
    <row r="45" spans="2:128" ht="9.9499999999999993" customHeight="1" thickBot="1" x14ac:dyDescent="0.3">
      <c r="B45" s="876"/>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729"/>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876"/>
      <c r="C46" s="834" t="str">
        <f>CONCATENATE("SEGURIDAD SOCIAL EMPRESA EJERCICIO ",YEAR(EXPEDIENTE!F25)+2)</f>
        <v>SEGURIDAD SOCIAL EMPRESA EJERCICIO 2026</v>
      </c>
      <c r="D46" s="834"/>
      <c r="E46" s="834"/>
      <c r="F46" s="834"/>
      <c r="G46" s="834"/>
      <c r="H46" s="834"/>
      <c r="I46" s="834"/>
      <c r="J46" s="834"/>
      <c r="K46" s="834"/>
      <c r="L46" s="834"/>
      <c r="M46" s="835"/>
      <c r="AM46" s="729"/>
      <c r="AN46" s="809" t="str">
        <f>CONCATENATE("SEGURIDAD SOCIAL EMPRESA EJERCICIO ",YEAR(EXPEDIENTE!$F$25)+2)</f>
        <v>SEGURIDAD SOCIAL EMPRESA EJERCICIO 2026</v>
      </c>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97"/>
      <c r="CY46" s="124"/>
      <c r="CZ46" s="6"/>
      <c r="DB46" s="4"/>
    </row>
    <row r="47" spans="2:128" ht="20.100000000000001" customHeight="1" thickTop="1" thickBot="1" x14ac:dyDescent="0.3">
      <c r="B47" s="876"/>
      <c r="C47" s="840" t="s">
        <v>76</v>
      </c>
      <c r="D47" s="744" t="str">
        <f>IF(OR(SUM(T20:T31)&gt;0,SUM(T37:T44)&gt;0),"BASE
COTIZACIÓN
SUBVENCIO.","BASE
COTIZACIÓN")</f>
        <v>BASE
COTIZACIÓN</v>
      </c>
      <c r="E47" s="744" t="s">
        <v>187</v>
      </c>
      <c r="F47" s="744" t="s">
        <v>188</v>
      </c>
      <c r="G47" s="744" t="s">
        <v>74</v>
      </c>
      <c r="H47" s="744" t="s">
        <v>189</v>
      </c>
      <c r="I47" s="842" t="s">
        <v>75</v>
      </c>
      <c r="J47" s="845" t="s">
        <v>67</v>
      </c>
      <c r="K47" s="845"/>
      <c r="L47" s="845"/>
      <c r="M47" s="846"/>
      <c r="AM47" s="729"/>
      <c r="AN47" s="718" t="s">
        <v>76</v>
      </c>
      <c r="AO47" s="736" t="s">
        <v>310</v>
      </c>
      <c r="AP47" s="737"/>
      <c r="AQ47" s="738"/>
      <c r="AR47" s="739" t="s">
        <v>187</v>
      </c>
      <c r="AS47" s="720"/>
      <c r="AT47" s="721"/>
      <c r="AU47" s="898" t="s">
        <v>314</v>
      </c>
      <c r="AV47" s="899"/>
      <c r="AW47" s="900"/>
      <c r="AX47" s="901" t="s">
        <v>315</v>
      </c>
      <c r="AY47" s="902"/>
      <c r="AZ47" s="903"/>
      <c r="BA47" s="739" t="s">
        <v>189</v>
      </c>
      <c r="BB47" s="720"/>
      <c r="BC47" s="721"/>
      <c r="BD47" s="914" t="s">
        <v>316</v>
      </c>
      <c r="BE47" s="915"/>
      <c r="BF47" s="916"/>
      <c r="BG47" s="373"/>
      <c r="BH47" s="766"/>
      <c r="BI47" s="766"/>
      <c r="BJ47" s="766"/>
      <c r="BK47" s="766"/>
      <c r="BL47" s="766"/>
      <c r="BM47" s="766"/>
      <c r="BN47" s="766"/>
      <c r="BO47" s="766"/>
      <c r="BP47" s="766"/>
      <c r="BQ47" s="766"/>
      <c r="BR47" s="766"/>
      <c r="BS47" s="904"/>
      <c r="DA47" s="4"/>
      <c r="DB47" s="4"/>
      <c r="DC47" s="6"/>
    </row>
    <row r="48" spans="2:128" ht="50.1" customHeight="1" thickBot="1" x14ac:dyDescent="0.3">
      <c r="B48" s="876"/>
      <c r="C48" s="841"/>
      <c r="D48" s="746"/>
      <c r="E48" s="746"/>
      <c r="F48" s="746"/>
      <c r="G48" s="746"/>
      <c r="H48" s="746"/>
      <c r="I48" s="843"/>
      <c r="J48" s="848"/>
      <c r="K48" s="848"/>
      <c r="L48" s="848"/>
      <c r="M48" s="849"/>
      <c r="AM48" s="729"/>
      <c r="AN48" s="719"/>
      <c r="AO48" s="287" t="s">
        <v>271</v>
      </c>
      <c r="AP48" s="354" t="s">
        <v>246</v>
      </c>
      <c r="AQ48" s="289" t="s">
        <v>272</v>
      </c>
      <c r="AR48" s="740"/>
      <c r="AS48" s="720"/>
      <c r="AT48" s="721"/>
      <c r="AU48" s="374" t="s">
        <v>271</v>
      </c>
      <c r="AV48" s="375" t="s">
        <v>246</v>
      </c>
      <c r="AW48" s="376" t="s">
        <v>272</v>
      </c>
      <c r="AX48" s="374" t="s">
        <v>271</v>
      </c>
      <c r="AY48" s="377" t="s">
        <v>246</v>
      </c>
      <c r="AZ48" s="376" t="s">
        <v>272</v>
      </c>
      <c r="BA48" s="740"/>
      <c r="BB48" s="720"/>
      <c r="BC48" s="721"/>
      <c r="BD48" s="374" t="s">
        <v>271</v>
      </c>
      <c r="BE48" s="377" t="s">
        <v>246</v>
      </c>
      <c r="BF48" s="376" t="s">
        <v>272</v>
      </c>
      <c r="BG48" s="299" t="s">
        <v>322</v>
      </c>
      <c r="BH48" s="905" t="s">
        <v>344</v>
      </c>
      <c r="BI48" s="906"/>
      <c r="BJ48" s="906"/>
      <c r="BK48" s="906"/>
      <c r="BL48" s="906"/>
      <c r="BM48" s="906"/>
      <c r="BN48" s="906"/>
      <c r="BO48" s="906"/>
      <c r="BP48" s="906"/>
      <c r="BQ48" s="906"/>
      <c r="BR48" s="906"/>
      <c r="BS48" s="907"/>
      <c r="DA48" s="4"/>
      <c r="DB48" s="4"/>
      <c r="DD48" s="88" t="s">
        <v>323</v>
      </c>
      <c r="DE48" s="88" t="s">
        <v>341</v>
      </c>
      <c r="DF48" s="88" t="s">
        <v>325</v>
      </c>
      <c r="DG48" s="88" t="s">
        <v>326</v>
      </c>
      <c r="DH48" s="88" t="s">
        <v>328</v>
      </c>
      <c r="DU48" s="4"/>
    </row>
    <row r="49" spans="2:128" ht="30" customHeight="1" x14ac:dyDescent="0.25">
      <c r="B49" s="876"/>
      <c r="C49" s="198" t="s">
        <v>45</v>
      </c>
      <c r="D49" s="51"/>
      <c r="E49" s="23">
        <f>ROUND(D49*$F$14,2)</f>
        <v>0</v>
      </c>
      <c r="F49" s="51"/>
      <c r="G49" s="51"/>
      <c r="H49" s="203">
        <f>E49+F49-G49</f>
        <v>0</v>
      </c>
      <c r="I49" s="108"/>
      <c r="J49" s="921"/>
      <c r="K49" s="837"/>
      <c r="L49" s="837"/>
      <c r="M49" s="838"/>
      <c r="N49" s="731" t="str">
        <f>IF(OR(SUM(T20:T31)&gt;0,SUM(T37:T44)&gt;0),"NOTA:
Se ha minorado el importe subvencionable de alguna de las nóminas del ejercicio.
En consecuencia, en la columna:
''BASE
COTIZACIÓN
SUBVENCIO.''
se deberá reflejar la base de cotización mensual restándole dicha minoración.","")</f>
        <v/>
      </c>
      <c r="O49" s="732"/>
      <c r="P49" s="732"/>
      <c r="AG49" s="6">
        <f>IF(AND(I49&lt;&gt;"",OR(I49&lt;EXPEDIENTE!$I$25,I49&gt;EXPEDIENTE!$I$29)),1,0)</f>
        <v>0</v>
      </c>
      <c r="AI49" s="6">
        <f>IF(DATE(YEAR(EXPEDIENTE!$I$25)+2,MONTH(DATEVALUE($C49&amp;"1")),1)&gt;=DATE(YEAR(EXPEDIENTE!$I$25),MONTH(EXPEDIENTE!$I$25),1),0,1)</f>
        <v>0</v>
      </c>
      <c r="AJ49" s="6" t="e">
        <f>IF(DATE(YEAR(EXPEDIENTE!$I$25)+2,MONTH(DATEVALUE($C49&amp;"1")),1)&lt;=DATE(YEAR(EXPEDIENTE!$I$27),MONTH(EXPEDIENTE!$I$27),1),0,1)</f>
        <v>#VALUE!</v>
      </c>
      <c r="AK49" s="6" t="e">
        <f>SUM(AI49:AJ49)</f>
        <v>#VALUE!</v>
      </c>
      <c r="AM49" s="729"/>
      <c r="AN49" s="301" t="s">
        <v>45</v>
      </c>
      <c r="AO49" s="311">
        <f>IF(D49="",0,D49)</f>
        <v>0</v>
      </c>
      <c r="AP49" s="528"/>
      <c r="AQ49" s="312">
        <f>IF(AP49="",AO49,AP49)</f>
        <v>0</v>
      </c>
      <c r="AR49" s="314">
        <f t="shared" ref="AR49:AR60" si="139">IFERROR(ROUND(AQ49*$AT$14,2),0)</f>
        <v>0</v>
      </c>
      <c r="AS49" s="720"/>
      <c r="AT49" s="721"/>
      <c r="AU49" s="311">
        <f>IF(F49="",0,F49)</f>
        <v>0</v>
      </c>
      <c r="AV49" s="528"/>
      <c r="AW49" s="312">
        <f>IF(AV49="",AU49,AV49)</f>
        <v>0</v>
      </c>
      <c r="AX49" s="304">
        <f>IF(G49="",0,G49)</f>
        <v>0</v>
      </c>
      <c r="AY49" s="527"/>
      <c r="AZ49" s="362">
        <f>IF(AY49="",AX49,AY49)</f>
        <v>0</v>
      </c>
      <c r="BA49" s="378">
        <f t="shared" ref="BA49:BA60" si="140">IFERROR(AR49+AW49-AZ49,0)</f>
        <v>0</v>
      </c>
      <c r="BB49" s="720"/>
      <c r="BC49" s="721"/>
      <c r="BD49" s="356" t="str">
        <f t="shared" ref="BD49:BD60" si="141">IF(I49="","",I49)</f>
        <v/>
      </c>
      <c r="BE49" s="230"/>
      <c r="BF49" s="357" t="str">
        <f>IF(BE49="",BD49,BE49)</f>
        <v/>
      </c>
      <c r="BG49" s="320" t="str">
        <f>IF(DD49=0,"",DD49)</f>
        <v/>
      </c>
      <c r="BH49" s="908"/>
      <c r="BI49" s="909"/>
      <c r="BJ49" s="909"/>
      <c r="BK49" s="909"/>
      <c r="BL49" s="909"/>
      <c r="BM49" s="909"/>
      <c r="BN49" s="909"/>
      <c r="BO49" s="909"/>
      <c r="BP49" s="909"/>
      <c r="BQ49" s="909"/>
      <c r="BR49" s="909"/>
      <c r="BS49" s="910"/>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876"/>
      <c r="C50" s="157" t="s">
        <v>46</v>
      </c>
      <c r="D50" s="54"/>
      <c r="E50" s="23">
        <f t="shared" ref="E50:E60" si="144">ROUND(D50*$F$14,2)</f>
        <v>0</v>
      </c>
      <c r="F50" s="54"/>
      <c r="G50" s="54"/>
      <c r="H50" s="201">
        <f t="shared" ref="H50:H60" si="145">E50+F50-G50</f>
        <v>0</v>
      </c>
      <c r="I50" s="82"/>
      <c r="J50" s="917"/>
      <c r="K50" s="726"/>
      <c r="L50" s="726"/>
      <c r="M50" s="727"/>
      <c r="N50" s="731"/>
      <c r="O50" s="732"/>
      <c r="P50" s="732"/>
      <c r="AG50" s="6">
        <f>IF(AND(I50&lt;&gt;"",OR(I50&lt;EXPEDIENTE!$I$25,I50&gt;EXPEDIENTE!$I$29)),1,0)</f>
        <v>0</v>
      </c>
      <c r="AI50" s="6">
        <f>IF(DATE(YEAR(EXPEDIENTE!$I$25)+2,MONTH(DATEVALUE($C50&amp;"1")),1)&gt;=DATE(YEAR(EXPEDIENTE!$I$25),MONTH(EXPEDIENTE!$I$25),1),0,1)</f>
        <v>0</v>
      </c>
      <c r="AJ50" s="6" t="e">
        <f>IF(DATE(YEAR(EXPEDIENTE!$I$25)+2,MONTH(DATEVALUE($C50&amp;"1")),1)&lt;=DATE(YEAR(EXPEDIENTE!$I$27),MONTH(EXPEDIENTE!$I$27),1),0,1)</f>
        <v>#VALUE!</v>
      </c>
      <c r="AK50" s="6" t="e">
        <f t="shared" ref="AK50:AK60" si="146">SUM(AI50:AJ50)</f>
        <v>#VALUE!</v>
      </c>
      <c r="AM50" s="729"/>
      <c r="AN50" s="321" t="s">
        <v>46</v>
      </c>
      <c r="AO50" s="324">
        <f t="shared" ref="AO50:AO60" si="147">IF(D50="",0,D50)</f>
        <v>0</v>
      </c>
      <c r="AP50" s="532"/>
      <c r="AQ50" s="329">
        <f t="shared" ref="AQ50:AQ60" si="148">IF(AP50="",AO50,AP50)</f>
        <v>0</v>
      </c>
      <c r="AR50" s="330">
        <f t="shared" si="139"/>
        <v>0</v>
      </c>
      <c r="AS50" s="720"/>
      <c r="AT50" s="721"/>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0"/>
        <v>0</v>
      </c>
      <c r="BB50" s="720"/>
      <c r="BC50" s="721"/>
      <c r="BD50" s="316" t="str">
        <f t="shared" si="141"/>
        <v/>
      </c>
      <c r="BE50" s="539"/>
      <c r="BF50" s="317" t="str">
        <f t="shared" ref="BF50:BF60" si="153">IF(BE50="",BD50,BE50)</f>
        <v/>
      </c>
      <c r="BG50" s="380" t="str">
        <f t="shared" ref="BG50:BG60" si="154">IF(DD50=0,"",DD50)</f>
        <v/>
      </c>
      <c r="BH50" s="893"/>
      <c r="BI50" s="787"/>
      <c r="BJ50" s="787"/>
      <c r="BK50" s="787"/>
      <c r="BL50" s="787"/>
      <c r="BM50" s="787"/>
      <c r="BN50" s="787"/>
      <c r="BO50" s="787"/>
      <c r="BP50" s="787"/>
      <c r="BQ50" s="787"/>
      <c r="BR50" s="787"/>
      <c r="BS50" s="788"/>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5" t="str">
        <f t="shared" ref="DX50:DX60" si="158">IF(DW50=0,"",BH50)</f>
        <v/>
      </c>
    </row>
    <row r="51" spans="2:128" ht="30" customHeight="1" x14ac:dyDescent="0.25">
      <c r="B51" s="876"/>
      <c r="C51" s="157" t="s">
        <v>47</v>
      </c>
      <c r="D51" s="54"/>
      <c r="E51" s="23">
        <f t="shared" si="144"/>
        <v>0</v>
      </c>
      <c r="F51" s="54"/>
      <c r="G51" s="54"/>
      <c r="H51" s="201">
        <f t="shared" si="145"/>
        <v>0</v>
      </c>
      <c r="I51" s="82"/>
      <c r="J51" s="917"/>
      <c r="K51" s="726"/>
      <c r="L51" s="726"/>
      <c r="M51" s="727"/>
      <c r="N51" s="731"/>
      <c r="O51" s="732"/>
      <c r="P51" s="732"/>
      <c r="AG51" s="6">
        <f>IF(AND(I51&lt;&gt;"",OR(I51&lt;EXPEDIENTE!$I$25,I51&gt;EXPEDIENTE!$I$29)),1,0)</f>
        <v>0</v>
      </c>
      <c r="AI51" s="6">
        <f>IF(DATE(YEAR(EXPEDIENTE!$I$25)+2,MONTH(DATEVALUE($C51&amp;"1")),1)&gt;=DATE(YEAR(EXPEDIENTE!$I$25),MONTH(EXPEDIENTE!$I$25),1),0,1)</f>
        <v>0</v>
      </c>
      <c r="AJ51" s="6" t="e">
        <f>IF(DATE(YEAR(EXPEDIENTE!$I$25)+2,MONTH(DATEVALUE($C51&amp;"1")),1)&lt;=DATE(YEAR(EXPEDIENTE!$I$27),MONTH(EXPEDIENTE!$I$27),1),0,1)</f>
        <v>#VALUE!</v>
      </c>
      <c r="AK51" s="6" t="e">
        <f t="shared" si="146"/>
        <v>#VALUE!</v>
      </c>
      <c r="AM51" s="729"/>
      <c r="AN51" s="321" t="s">
        <v>47</v>
      </c>
      <c r="AO51" s="324">
        <f t="shared" si="147"/>
        <v>0</v>
      </c>
      <c r="AP51" s="532"/>
      <c r="AQ51" s="329">
        <f t="shared" si="148"/>
        <v>0</v>
      </c>
      <c r="AR51" s="330">
        <f t="shared" si="139"/>
        <v>0</v>
      </c>
      <c r="AS51" s="720"/>
      <c r="AT51" s="721"/>
      <c r="AU51" s="324">
        <f t="shared" si="149"/>
        <v>0</v>
      </c>
      <c r="AV51" s="532"/>
      <c r="AW51" s="329">
        <f t="shared" si="150"/>
        <v>0</v>
      </c>
      <c r="AX51" s="324">
        <f t="shared" si="151"/>
        <v>0</v>
      </c>
      <c r="AY51" s="532"/>
      <c r="AZ51" s="329">
        <f t="shared" si="152"/>
        <v>0</v>
      </c>
      <c r="BA51" s="379">
        <f t="shared" si="140"/>
        <v>0</v>
      </c>
      <c r="BB51" s="720"/>
      <c r="BC51" s="721"/>
      <c r="BD51" s="316" t="str">
        <f t="shared" si="141"/>
        <v/>
      </c>
      <c r="BE51" s="539"/>
      <c r="BF51" s="317" t="str">
        <f t="shared" si="153"/>
        <v/>
      </c>
      <c r="BG51" s="380" t="str">
        <f t="shared" si="154"/>
        <v/>
      </c>
      <c r="BH51" s="893"/>
      <c r="BI51" s="787"/>
      <c r="BJ51" s="787"/>
      <c r="BK51" s="787"/>
      <c r="BL51" s="787"/>
      <c r="BM51" s="787"/>
      <c r="BN51" s="787"/>
      <c r="BO51" s="787"/>
      <c r="BP51" s="787"/>
      <c r="BQ51" s="787"/>
      <c r="BR51" s="787"/>
      <c r="BS51" s="788"/>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5" t="str">
        <f t="shared" si="158"/>
        <v/>
      </c>
    </row>
    <row r="52" spans="2:128" ht="30" customHeight="1" x14ac:dyDescent="0.25">
      <c r="B52" s="876"/>
      <c r="C52" s="157" t="s">
        <v>48</v>
      </c>
      <c r="D52" s="54"/>
      <c r="E52" s="23">
        <f t="shared" si="144"/>
        <v>0</v>
      </c>
      <c r="F52" s="54"/>
      <c r="G52" s="54"/>
      <c r="H52" s="201">
        <f t="shared" si="145"/>
        <v>0</v>
      </c>
      <c r="I52" s="82"/>
      <c r="J52" s="917"/>
      <c r="K52" s="726"/>
      <c r="L52" s="726"/>
      <c r="M52" s="727"/>
      <c r="N52" s="731"/>
      <c r="O52" s="732"/>
      <c r="P52" s="732"/>
      <c r="AG52" s="6">
        <f>IF(AND(I52&lt;&gt;"",OR(I52&lt;EXPEDIENTE!$I$25,I52&gt;EXPEDIENTE!$I$29)),1,0)</f>
        <v>0</v>
      </c>
      <c r="AI52" s="6">
        <f>IF(DATE(YEAR(EXPEDIENTE!$I$25)+2,MONTH(DATEVALUE($C52&amp;"1")),1)&gt;=DATE(YEAR(EXPEDIENTE!$I$25),MONTH(EXPEDIENTE!$I$25),1),0,1)</f>
        <v>0</v>
      </c>
      <c r="AJ52" s="6" t="e">
        <f>IF(DATE(YEAR(EXPEDIENTE!$I$25)+2,MONTH(DATEVALUE($C52&amp;"1")),1)&lt;=DATE(YEAR(EXPEDIENTE!$I$27),MONTH(EXPEDIENTE!$I$27),1),0,1)</f>
        <v>#VALUE!</v>
      </c>
      <c r="AK52" s="6" t="e">
        <f t="shared" si="146"/>
        <v>#VALUE!</v>
      </c>
      <c r="AM52" s="729"/>
      <c r="AN52" s="321" t="s">
        <v>48</v>
      </c>
      <c r="AO52" s="324">
        <f t="shared" si="147"/>
        <v>0</v>
      </c>
      <c r="AP52" s="532"/>
      <c r="AQ52" s="329">
        <f t="shared" si="148"/>
        <v>0</v>
      </c>
      <c r="AR52" s="330">
        <f t="shared" si="139"/>
        <v>0</v>
      </c>
      <c r="AS52" s="720"/>
      <c r="AT52" s="721"/>
      <c r="AU52" s="324">
        <f t="shared" si="149"/>
        <v>0</v>
      </c>
      <c r="AV52" s="532"/>
      <c r="AW52" s="329">
        <f t="shared" si="150"/>
        <v>0</v>
      </c>
      <c r="AX52" s="324">
        <f t="shared" si="151"/>
        <v>0</v>
      </c>
      <c r="AY52" s="532"/>
      <c r="AZ52" s="329">
        <f t="shared" si="152"/>
        <v>0</v>
      </c>
      <c r="BA52" s="379">
        <f t="shared" si="140"/>
        <v>0</v>
      </c>
      <c r="BB52" s="720"/>
      <c r="BC52" s="721"/>
      <c r="BD52" s="316" t="str">
        <f t="shared" si="141"/>
        <v/>
      </c>
      <c r="BE52" s="539"/>
      <c r="BF52" s="317" t="str">
        <f t="shared" si="153"/>
        <v/>
      </c>
      <c r="BG52" s="380" t="str">
        <f t="shared" si="154"/>
        <v/>
      </c>
      <c r="BH52" s="893"/>
      <c r="BI52" s="787"/>
      <c r="BJ52" s="787"/>
      <c r="BK52" s="787"/>
      <c r="BL52" s="787"/>
      <c r="BM52" s="787"/>
      <c r="BN52" s="787"/>
      <c r="BO52" s="787"/>
      <c r="BP52" s="787"/>
      <c r="BQ52" s="787"/>
      <c r="BR52" s="787"/>
      <c r="BS52" s="788"/>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5" t="str">
        <f t="shared" si="158"/>
        <v/>
      </c>
    </row>
    <row r="53" spans="2:128" ht="30" customHeight="1" x14ac:dyDescent="0.25">
      <c r="B53" s="876"/>
      <c r="C53" s="157" t="s">
        <v>49</v>
      </c>
      <c r="D53" s="54"/>
      <c r="E53" s="23">
        <f t="shared" si="144"/>
        <v>0</v>
      </c>
      <c r="F53" s="54"/>
      <c r="G53" s="54"/>
      <c r="H53" s="201">
        <f t="shared" si="145"/>
        <v>0</v>
      </c>
      <c r="I53" s="82"/>
      <c r="J53" s="917"/>
      <c r="K53" s="726"/>
      <c r="L53" s="726"/>
      <c r="M53" s="727"/>
      <c r="N53" s="731"/>
      <c r="O53" s="732"/>
      <c r="P53" s="732"/>
      <c r="AG53" s="6">
        <f>IF(AND(I53&lt;&gt;"",OR(I53&lt;EXPEDIENTE!$I$25,I53&gt;EXPEDIENTE!$I$29)),1,0)</f>
        <v>0</v>
      </c>
      <c r="AI53" s="6">
        <f>IF(DATE(YEAR(EXPEDIENTE!$I$25)+2,MONTH(DATEVALUE($C53&amp;"1")),1)&gt;=DATE(YEAR(EXPEDIENTE!$I$25),MONTH(EXPEDIENTE!$I$25),1),0,1)</f>
        <v>0</v>
      </c>
      <c r="AJ53" s="6" t="e">
        <f>IF(DATE(YEAR(EXPEDIENTE!$I$25)+2,MONTH(DATEVALUE($C53&amp;"1")),1)&lt;=DATE(YEAR(EXPEDIENTE!$I$27),MONTH(EXPEDIENTE!$I$27),1),0,1)</f>
        <v>#VALUE!</v>
      </c>
      <c r="AK53" s="6" t="e">
        <f t="shared" si="146"/>
        <v>#VALUE!</v>
      </c>
      <c r="AM53" s="729"/>
      <c r="AN53" s="321" t="s">
        <v>49</v>
      </c>
      <c r="AO53" s="324">
        <f t="shared" si="147"/>
        <v>0</v>
      </c>
      <c r="AP53" s="532"/>
      <c r="AQ53" s="329">
        <f t="shared" si="148"/>
        <v>0</v>
      </c>
      <c r="AR53" s="330">
        <f t="shared" si="139"/>
        <v>0</v>
      </c>
      <c r="AS53" s="720"/>
      <c r="AT53" s="721"/>
      <c r="AU53" s="324">
        <f t="shared" si="149"/>
        <v>0</v>
      </c>
      <c r="AV53" s="532"/>
      <c r="AW53" s="329">
        <f t="shared" si="150"/>
        <v>0</v>
      </c>
      <c r="AX53" s="324">
        <f t="shared" si="151"/>
        <v>0</v>
      </c>
      <c r="AY53" s="532"/>
      <c r="AZ53" s="329">
        <f t="shared" si="152"/>
        <v>0</v>
      </c>
      <c r="BA53" s="379">
        <f t="shared" si="140"/>
        <v>0</v>
      </c>
      <c r="BB53" s="720"/>
      <c r="BC53" s="721"/>
      <c r="BD53" s="316" t="str">
        <f t="shared" si="141"/>
        <v/>
      </c>
      <c r="BE53" s="539"/>
      <c r="BF53" s="317" t="str">
        <f t="shared" si="153"/>
        <v/>
      </c>
      <c r="BG53" s="380" t="str">
        <f t="shared" si="154"/>
        <v/>
      </c>
      <c r="BH53" s="893"/>
      <c r="BI53" s="787"/>
      <c r="BJ53" s="787"/>
      <c r="BK53" s="787"/>
      <c r="BL53" s="787"/>
      <c r="BM53" s="787"/>
      <c r="BN53" s="787"/>
      <c r="BO53" s="787"/>
      <c r="BP53" s="787"/>
      <c r="BQ53" s="787"/>
      <c r="BR53" s="787"/>
      <c r="BS53" s="788"/>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5" t="str">
        <f t="shared" si="158"/>
        <v/>
      </c>
    </row>
    <row r="54" spans="2:128" ht="30" customHeight="1" x14ac:dyDescent="0.25">
      <c r="B54" s="876"/>
      <c r="C54" s="157" t="s">
        <v>50</v>
      </c>
      <c r="D54" s="54"/>
      <c r="E54" s="23">
        <f t="shared" si="144"/>
        <v>0</v>
      </c>
      <c r="F54" s="54"/>
      <c r="G54" s="54"/>
      <c r="H54" s="201">
        <f t="shared" si="145"/>
        <v>0</v>
      </c>
      <c r="I54" s="82"/>
      <c r="J54" s="917"/>
      <c r="K54" s="726"/>
      <c r="L54" s="726"/>
      <c r="M54" s="727"/>
      <c r="N54" s="731"/>
      <c r="O54" s="732"/>
      <c r="P54" s="732"/>
      <c r="AG54" s="6">
        <f>IF(AND(I54&lt;&gt;"",OR(I54&lt;EXPEDIENTE!$I$25,I54&gt;EXPEDIENTE!$I$29)),1,0)</f>
        <v>0</v>
      </c>
      <c r="AI54" s="6">
        <f>IF(DATE(YEAR(EXPEDIENTE!$I$25)+2,MONTH(DATEVALUE($C54&amp;"1")),1)&gt;=DATE(YEAR(EXPEDIENTE!$I$25),MONTH(EXPEDIENTE!$I$25),1),0,1)</f>
        <v>0</v>
      </c>
      <c r="AJ54" s="6" t="e">
        <f>IF(DATE(YEAR(EXPEDIENTE!$I$25)+2,MONTH(DATEVALUE($C54&amp;"1")),1)&lt;=DATE(YEAR(EXPEDIENTE!$I$27),MONTH(EXPEDIENTE!$I$27),1),0,1)</f>
        <v>#VALUE!</v>
      </c>
      <c r="AK54" s="6" t="e">
        <f t="shared" si="146"/>
        <v>#VALUE!</v>
      </c>
      <c r="AM54" s="729"/>
      <c r="AN54" s="321" t="s">
        <v>50</v>
      </c>
      <c r="AO54" s="324">
        <f t="shared" si="147"/>
        <v>0</v>
      </c>
      <c r="AP54" s="532"/>
      <c r="AQ54" s="329">
        <f t="shared" si="148"/>
        <v>0</v>
      </c>
      <c r="AR54" s="330">
        <f t="shared" si="139"/>
        <v>0</v>
      </c>
      <c r="AS54" s="720"/>
      <c r="AT54" s="721"/>
      <c r="AU54" s="324">
        <f t="shared" si="149"/>
        <v>0</v>
      </c>
      <c r="AV54" s="532"/>
      <c r="AW54" s="329">
        <f t="shared" si="150"/>
        <v>0</v>
      </c>
      <c r="AX54" s="324">
        <f t="shared" si="151"/>
        <v>0</v>
      </c>
      <c r="AY54" s="532"/>
      <c r="AZ54" s="329">
        <f t="shared" si="152"/>
        <v>0</v>
      </c>
      <c r="BA54" s="379">
        <f t="shared" si="140"/>
        <v>0</v>
      </c>
      <c r="BB54" s="720"/>
      <c r="BC54" s="721"/>
      <c r="BD54" s="316" t="str">
        <f t="shared" si="141"/>
        <v/>
      </c>
      <c r="BE54" s="539"/>
      <c r="BF54" s="317" t="str">
        <f t="shared" si="153"/>
        <v/>
      </c>
      <c r="BG54" s="380" t="str">
        <f t="shared" si="154"/>
        <v/>
      </c>
      <c r="BH54" s="893"/>
      <c r="BI54" s="787"/>
      <c r="BJ54" s="787"/>
      <c r="BK54" s="787"/>
      <c r="BL54" s="787"/>
      <c r="BM54" s="787"/>
      <c r="BN54" s="787"/>
      <c r="BO54" s="787"/>
      <c r="BP54" s="787"/>
      <c r="BQ54" s="787"/>
      <c r="BR54" s="787"/>
      <c r="BS54" s="788"/>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5" t="str">
        <f t="shared" si="158"/>
        <v/>
      </c>
    </row>
    <row r="55" spans="2:128" ht="30" customHeight="1" x14ac:dyDescent="0.25">
      <c r="B55" s="876"/>
      <c r="C55" s="157" t="s">
        <v>51</v>
      </c>
      <c r="D55" s="54"/>
      <c r="E55" s="23">
        <f t="shared" si="144"/>
        <v>0</v>
      </c>
      <c r="F55" s="54"/>
      <c r="G55" s="54"/>
      <c r="H55" s="201">
        <f t="shared" si="145"/>
        <v>0</v>
      </c>
      <c r="I55" s="82"/>
      <c r="J55" s="917"/>
      <c r="K55" s="726"/>
      <c r="L55" s="726"/>
      <c r="M55" s="727"/>
      <c r="N55" s="731"/>
      <c r="O55" s="732"/>
      <c r="P55" s="732"/>
      <c r="AG55" s="6">
        <f>IF(AND(I55&lt;&gt;"",OR(I55&lt;EXPEDIENTE!$I$25,I55&gt;EXPEDIENTE!$I$29)),1,0)</f>
        <v>0</v>
      </c>
      <c r="AI55" s="6">
        <f>IF(DATE(YEAR(EXPEDIENTE!$I$25)+2,MONTH(DATEVALUE($C55&amp;"1")),1)&gt;=DATE(YEAR(EXPEDIENTE!$I$25),MONTH(EXPEDIENTE!$I$25),1),0,1)</f>
        <v>0</v>
      </c>
      <c r="AJ55" s="6" t="e">
        <f>IF(DATE(YEAR(EXPEDIENTE!$I$25)+2,MONTH(DATEVALUE($C55&amp;"1")),1)&lt;=DATE(YEAR(EXPEDIENTE!$I$27),MONTH(EXPEDIENTE!$I$27),1),0,1)</f>
        <v>#VALUE!</v>
      </c>
      <c r="AK55" s="6" t="e">
        <f t="shared" si="146"/>
        <v>#VALUE!</v>
      </c>
      <c r="AM55" s="729"/>
      <c r="AN55" s="321" t="s">
        <v>51</v>
      </c>
      <c r="AO55" s="324">
        <f t="shared" si="147"/>
        <v>0</v>
      </c>
      <c r="AP55" s="532"/>
      <c r="AQ55" s="329">
        <f t="shared" si="148"/>
        <v>0</v>
      </c>
      <c r="AR55" s="330">
        <f t="shared" si="139"/>
        <v>0</v>
      </c>
      <c r="AS55" s="720"/>
      <c r="AT55" s="721"/>
      <c r="AU55" s="324">
        <f t="shared" si="149"/>
        <v>0</v>
      </c>
      <c r="AV55" s="532"/>
      <c r="AW55" s="329">
        <f t="shared" si="150"/>
        <v>0</v>
      </c>
      <c r="AX55" s="324">
        <f t="shared" si="151"/>
        <v>0</v>
      </c>
      <c r="AY55" s="532"/>
      <c r="AZ55" s="329">
        <f t="shared" si="152"/>
        <v>0</v>
      </c>
      <c r="BA55" s="379">
        <f t="shared" si="140"/>
        <v>0</v>
      </c>
      <c r="BB55" s="720"/>
      <c r="BC55" s="721"/>
      <c r="BD55" s="316" t="str">
        <f t="shared" si="141"/>
        <v/>
      </c>
      <c r="BE55" s="539"/>
      <c r="BF55" s="317" t="str">
        <f t="shared" si="153"/>
        <v/>
      </c>
      <c r="BG55" s="380" t="str">
        <f t="shared" si="154"/>
        <v/>
      </c>
      <c r="BH55" s="893"/>
      <c r="BI55" s="787"/>
      <c r="BJ55" s="787"/>
      <c r="BK55" s="787"/>
      <c r="BL55" s="787"/>
      <c r="BM55" s="787"/>
      <c r="BN55" s="787"/>
      <c r="BO55" s="787"/>
      <c r="BP55" s="787"/>
      <c r="BQ55" s="787"/>
      <c r="BR55" s="787"/>
      <c r="BS55" s="788"/>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5" t="str">
        <f t="shared" si="158"/>
        <v/>
      </c>
    </row>
    <row r="56" spans="2:128" ht="30" customHeight="1" x14ac:dyDescent="0.25">
      <c r="B56" s="876"/>
      <c r="C56" s="157" t="s">
        <v>52</v>
      </c>
      <c r="D56" s="54"/>
      <c r="E56" s="23">
        <f t="shared" si="144"/>
        <v>0</v>
      </c>
      <c r="F56" s="54"/>
      <c r="G56" s="54"/>
      <c r="H56" s="201">
        <f t="shared" si="145"/>
        <v>0</v>
      </c>
      <c r="I56" s="82"/>
      <c r="J56" s="917"/>
      <c r="K56" s="726"/>
      <c r="L56" s="726"/>
      <c r="M56" s="727"/>
      <c r="N56" s="731"/>
      <c r="O56" s="732"/>
      <c r="P56" s="732"/>
      <c r="AG56" s="6">
        <f>IF(AND(I56&lt;&gt;"",OR(I56&lt;EXPEDIENTE!$I$25,I56&gt;EXPEDIENTE!$I$29)),1,0)</f>
        <v>0</v>
      </c>
      <c r="AI56" s="6">
        <f>IF(DATE(YEAR(EXPEDIENTE!$I$25)+2,MONTH(DATEVALUE($C56&amp;"1")),1)&gt;=DATE(YEAR(EXPEDIENTE!$I$25),MONTH(EXPEDIENTE!$I$25),1),0,1)</f>
        <v>0</v>
      </c>
      <c r="AJ56" s="6" t="e">
        <f>IF(DATE(YEAR(EXPEDIENTE!$I$25)+2,MONTH(DATEVALUE($C56&amp;"1")),1)&lt;=DATE(YEAR(EXPEDIENTE!$I$27),MONTH(EXPEDIENTE!$I$27),1),0,1)</f>
        <v>#VALUE!</v>
      </c>
      <c r="AK56" s="6" t="e">
        <f t="shared" si="146"/>
        <v>#VALUE!</v>
      </c>
      <c r="AM56" s="729"/>
      <c r="AN56" s="321" t="s">
        <v>52</v>
      </c>
      <c r="AO56" s="324">
        <f t="shared" si="147"/>
        <v>0</v>
      </c>
      <c r="AP56" s="532"/>
      <c r="AQ56" s="329">
        <f t="shared" si="148"/>
        <v>0</v>
      </c>
      <c r="AR56" s="330">
        <f t="shared" si="139"/>
        <v>0</v>
      </c>
      <c r="AS56" s="720"/>
      <c r="AT56" s="721"/>
      <c r="AU56" s="324">
        <f t="shared" si="149"/>
        <v>0</v>
      </c>
      <c r="AV56" s="532"/>
      <c r="AW56" s="329">
        <f t="shared" si="150"/>
        <v>0</v>
      </c>
      <c r="AX56" s="324">
        <f t="shared" si="151"/>
        <v>0</v>
      </c>
      <c r="AY56" s="532"/>
      <c r="AZ56" s="329">
        <f t="shared" si="152"/>
        <v>0</v>
      </c>
      <c r="BA56" s="379">
        <f t="shared" si="140"/>
        <v>0</v>
      </c>
      <c r="BB56" s="720"/>
      <c r="BC56" s="721"/>
      <c r="BD56" s="316" t="str">
        <f t="shared" si="141"/>
        <v/>
      </c>
      <c r="BE56" s="539"/>
      <c r="BF56" s="317" t="str">
        <f t="shared" si="153"/>
        <v/>
      </c>
      <c r="BG56" s="380" t="str">
        <f t="shared" si="154"/>
        <v/>
      </c>
      <c r="BH56" s="893"/>
      <c r="BI56" s="787"/>
      <c r="BJ56" s="787"/>
      <c r="BK56" s="787"/>
      <c r="BL56" s="787"/>
      <c r="BM56" s="787"/>
      <c r="BN56" s="787"/>
      <c r="BO56" s="787"/>
      <c r="BP56" s="787"/>
      <c r="BQ56" s="787"/>
      <c r="BR56" s="787"/>
      <c r="BS56" s="788"/>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5" t="str">
        <f t="shared" si="158"/>
        <v/>
      </c>
    </row>
    <row r="57" spans="2:128" ht="30" customHeight="1" x14ac:dyDescent="0.25">
      <c r="B57" s="876"/>
      <c r="C57" s="157" t="s">
        <v>53</v>
      </c>
      <c r="D57" s="54"/>
      <c r="E57" s="23">
        <f t="shared" si="144"/>
        <v>0</v>
      </c>
      <c r="F57" s="54"/>
      <c r="G57" s="54"/>
      <c r="H57" s="201">
        <f t="shared" si="145"/>
        <v>0</v>
      </c>
      <c r="I57" s="82"/>
      <c r="J57" s="917"/>
      <c r="K57" s="726"/>
      <c r="L57" s="726"/>
      <c r="M57" s="727"/>
      <c r="N57" s="731"/>
      <c r="O57" s="732"/>
      <c r="P57" s="732"/>
      <c r="AG57" s="6">
        <f>IF(AND(I57&lt;&gt;"",OR(I57&lt;EXPEDIENTE!$I$25,I57&gt;EXPEDIENTE!$I$29)),1,0)</f>
        <v>0</v>
      </c>
      <c r="AI57" s="6">
        <f>IF(DATE(YEAR(EXPEDIENTE!$I$25)+2,MONTH(DATEVALUE($C57&amp;"1")),1)&gt;=DATE(YEAR(EXPEDIENTE!$I$25),MONTH(EXPEDIENTE!$I$25),1),0,1)</f>
        <v>0</v>
      </c>
      <c r="AJ57" s="6" t="e">
        <f>IF(DATE(YEAR(EXPEDIENTE!$I$25)+2,MONTH(DATEVALUE($C57&amp;"1")),1)&lt;=DATE(YEAR(EXPEDIENTE!$I$27),MONTH(EXPEDIENTE!$I$27),1),0,1)</f>
        <v>#VALUE!</v>
      </c>
      <c r="AK57" s="6" t="e">
        <f t="shared" si="146"/>
        <v>#VALUE!</v>
      </c>
      <c r="AM57" s="729"/>
      <c r="AN57" s="321" t="s">
        <v>53</v>
      </c>
      <c r="AO57" s="324">
        <f t="shared" si="147"/>
        <v>0</v>
      </c>
      <c r="AP57" s="532"/>
      <c r="AQ57" s="329">
        <f t="shared" si="148"/>
        <v>0</v>
      </c>
      <c r="AR57" s="330">
        <f t="shared" si="139"/>
        <v>0</v>
      </c>
      <c r="AS57" s="720"/>
      <c r="AT57" s="721"/>
      <c r="AU57" s="324">
        <f t="shared" si="149"/>
        <v>0</v>
      </c>
      <c r="AV57" s="532"/>
      <c r="AW57" s="329">
        <f t="shared" si="150"/>
        <v>0</v>
      </c>
      <c r="AX57" s="324">
        <f t="shared" si="151"/>
        <v>0</v>
      </c>
      <c r="AY57" s="532"/>
      <c r="AZ57" s="329">
        <f t="shared" si="152"/>
        <v>0</v>
      </c>
      <c r="BA57" s="379">
        <f t="shared" si="140"/>
        <v>0</v>
      </c>
      <c r="BB57" s="720"/>
      <c r="BC57" s="721"/>
      <c r="BD57" s="316" t="str">
        <f t="shared" si="141"/>
        <v/>
      </c>
      <c r="BE57" s="539"/>
      <c r="BF57" s="317" t="str">
        <f t="shared" si="153"/>
        <v/>
      </c>
      <c r="BG57" s="380" t="str">
        <f t="shared" si="154"/>
        <v/>
      </c>
      <c r="BH57" s="893"/>
      <c r="BI57" s="787"/>
      <c r="BJ57" s="787"/>
      <c r="BK57" s="787"/>
      <c r="BL57" s="787"/>
      <c r="BM57" s="787"/>
      <c r="BN57" s="787"/>
      <c r="BO57" s="787"/>
      <c r="BP57" s="787"/>
      <c r="BQ57" s="787"/>
      <c r="BR57" s="787"/>
      <c r="BS57" s="788"/>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5" t="str">
        <f t="shared" si="158"/>
        <v/>
      </c>
    </row>
    <row r="58" spans="2:128" ht="30" customHeight="1" x14ac:dyDescent="0.25">
      <c r="B58" s="876"/>
      <c r="C58" s="157" t="s">
        <v>54</v>
      </c>
      <c r="D58" s="54"/>
      <c r="E58" s="23">
        <f t="shared" si="144"/>
        <v>0</v>
      </c>
      <c r="F58" s="54"/>
      <c r="G58" s="54"/>
      <c r="H58" s="201">
        <f t="shared" si="145"/>
        <v>0</v>
      </c>
      <c r="I58" s="82"/>
      <c r="J58" s="917"/>
      <c r="K58" s="726"/>
      <c r="L58" s="726"/>
      <c r="M58" s="727"/>
      <c r="N58" s="731"/>
      <c r="O58" s="732"/>
      <c r="P58" s="732"/>
      <c r="AG58" s="6">
        <f>IF(AND(I58&lt;&gt;"",OR(I58&lt;EXPEDIENTE!$I$25,I58&gt;EXPEDIENTE!$I$29)),1,0)</f>
        <v>0</v>
      </c>
      <c r="AI58" s="6">
        <f>IF(DATE(YEAR(EXPEDIENTE!$I$25)+2,MONTH(DATEVALUE($C58&amp;"1")),1)&gt;=DATE(YEAR(EXPEDIENTE!$I$25),MONTH(EXPEDIENTE!$I$25),1),0,1)</f>
        <v>0</v>
      </c>
      <c r="AJ58" s="6" t="e">
        <f>IF(DATE(YEAR(EXPEDIENTE!$I$25)+2,MONTH(DATEVALUE($C58&amp;"1")),1)&lt;=DATE(YEAR(EXPEDIENTE!$I$27),MONTH(EXPEDIENTE!$I$27),1),0,1)</f>
        <v>#VALUE!</v>
      </c>
      <c r="AK58" s="6" t="e">
        <f t="shared" si="146"/>
        <v>#VALUE!</v>
      </c>
      <c r="AM58" s="729"/>
      <c r="AN58" s="321" t="s">
        <v>54</v>
      </c>
      <c r="AO58" s="324">
        <f t="shared" si="147"/>
        <v>0</v>
      </c>
      <c r="AP58" s="532"/>
      <c r="AQ58" s="329">
        <f t="shared" si="148"/>
        <v>0</v>
      </c>
      <c r="AR58" s="330">
        <f t="shared" si="139"/>
        <v>0</v>
      </c>
      <c r="AS58" s="720"/>
      <c r="AT58" s="721"/>
      <c r="AU58" s="324">
        <f t="shared" si="149"/>
        <v>0</v>
      </c>
      <c r="AV58" s="532"/>
      <c r="AW58" s="329">
        <f t="shared" si="150"/>
        <v>0</v>
      </c>
      <c r="AX58" s="324">
        <f t="shared" si="151"/>
        <v>0</v>
      </c>
      <c r="AY58" s="532"/>
      <c r="AZ58" s="329">
        <f t="shared" si="152"/>
        <v>0</v>
      </c>
      <c r="BA58" s="379">
        <f t="shared" si="140"/>
        <v>0</v>
      </c>
      <c r="BB58" s="720"/>
      <c r="BC58" s="721"/>
      <c r="BD58" s="316" t="str">
        <f t="shared" si="141"/>
        <v/>
      </c>
      <c r="BE58" s="539"/>
      <c r="BF58" s="317" t="str">
        <f t="shared" si="153"/>
        <v/>
      </c>
      <c r="BG58" s="380" t="str">
        <f t="shared" si="154"/>
        <v/>
      </c>
      <c r="BH58" s="893"/>
      <c r="BI58" s="787"/>
      <c r="BJ58" s="787"/>
      <c r="BK58" s="787"/>
      <c r="BL58" s="787"/>
      <c r="BM58" s="787"/>
      <c r="BN58" s="787"/>
      <c r="BO58" s="787"/>
      <c r="BP58" s="787"/>
      <c r="BQ58" s="787"/>
      <c r="BR58" s="787"/>
      <c r="BS58" s="788"/>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5" t="str">
        <f t="shared" si="158"/>
        <v/>
      </c>
    </row>
    <row r="59" spans="2:128" ht="30" customHeight="1" x14ac:dyDescent="0.25">
      <c r="B59" s="876"/>
      <c r="C59" s="157" t="s">
        <v>55</v>
      </c>
      <c r="D59" s="54"/>
      <c r="E59" s="23">
        <f t="shared" si="144"/>
        <v>0</v>
      </c>
      <c r="F59" s="54"/>
      <c r="G59" s="54"/>
      <c r="H59" s="201">
        <f t="shared" si="145"/>
        <v>0</v>
      </c>
      <c r="I59" s="82"/>
      <c r="J59" s="917"/>
      <c r="K59" s="726"/>
      <c r="L59" s="726"/>
      <c r="M59" s="727"/>
      <c r="N59" s="731"/>
      <c r="O59" s="732"/>
      <c r="P59" s="732"/>
      <c r="AG59" s="6">
        <f>IF(AND(I59&lt;&gt;"",OR(I59&lt;EXPEDIENTE!$I$25,I59&gt;EXPEDIENTE!$I$29)),1,0)</f>
        <v>0</v>
      </c>
      <c r="AI59" s="6">
        <f>IF(DATE(YEAR(EXPEDIENTE!$I$25)+2,MONTH(DATEVALUE($C59&amp;"1")),1)&gt;=DATE(YEAR(EXPEDIENTE!$I$25),MONTH(EXPEDIENTE!$I$25),1),0,1)</f>
        <v>0</v>
      </c>
      <c r="AJ59" s="6" t="e">
        <f>IF(DATE(YEAR(EXPEDIENTE!$I$25)+2,MONTH(DATEVALUE($C59&amp;"1")),1)&lt;=DATE(YEAR(EXPEDIENTE!$I$27),MONTH(EXPEDIENTE!$I$27),1),0,1)</f>
        <v>#VALUE!</v>
      </c>
      <c r="AK59" s="6" t="e">
        <f t="shared" si="146"/>
        <v>#VALUE!</v>
      </c>
      <c r="AM59" s="729"/>
      <c r="AN59" s="321" t="s">
        <v>55</v>
      </c>
      <c r="AO59" s="324">
        <f t="shared" si="147"/>
        <v>0</v>
      </c>
      <c r="AP59" s="532"/>
      <c r="AQ59" s="329">
        <f t="shared" si="148"/>
        <v>0</v>
      </c>
      <c r="AR59" s="330">
        <f t="shared" si="139"/>
        <v>0</v>
      </c>
      <c r="AS59" s="720"/>
      <c r="AT59" s="721"/>
      <c r="AU59" s="324">
        <f t="shared" si="149"/>
        <v>0</v>
      </c>
      <c r="AV59" s="532"/>
      <c r="AW59" s="329">
        <f t="shared" si="150"/>
        <v>0</v>
      </c>
      <c r="AX59" s="324">
        <f t="shared" si="151"/>
        <v>0</v>
      </c>
      <c r="AY59" s="532"/>
      <c r="AZ59" s="329">
        <f t="shared" si="152"/>
        <v>0</v>
      </c>
      <c r="BA59" s="379">
        <f t="shared" si="140"/>
        <v>0</v>
      </c>
      <c r="BB59" s="720"/>
      <c r="BC59" s="721"/>
      <c r="BD59" s="316" t="str">
        <f t="shared" si="141"/>
        <v/>
      </c>
      <c r="BE59" s="539"/>
      <c r="BF59" s="317" t="str">
        <f t="shared" si="153"/>
        <v/>
      </c>
      <c r="BG59" s="380" t="str">
        <f t="shared" si="154"/>
        <v/>
      </c>
      <c r="BH59" s="893"/>
      <c r="BI59" s="787"/>
      <c r="BJ59" s="787"/>
      <c r="BK59" s="787"/>
      <c r="BL59" s="787"/>
      <c r="BM59" s="787"/>
      <c r="BN59" s="787"/>
      <c r="BO59" s="787"/>
      <c r="BP59" s="787"/>
      <c r="BQ59" s="787"/>
      <c r="BR59" s="787"/>
      <c r="BS59" s="788"/>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5" t="str">
        <f t="shared" si="158"/>
        <v/>
      </c>
    </row>
    <row r="60" spans="2:128" ht="30" customHeight="1" thickBot="1" x14ac:dyDescent="0.3">
      <c r="B60" s="876"/>
      <c r="C60" s="199" t="s">
        <v>56</v>
      </c>
      <c r="D60" s="195"/>
      <c r="E60" s="30">
        <f t="shared" si="144"/>
        <v>0</v>
      </c>
      <c r="F60" s="56"/>
      <c r="G60" s="56"/>
      <c r="H60" s="204">
        <f t="shared" si="145"/>
        <v>0</v>
      </c>
      <c r="I60" s="197"/>
      <c r="J60" s="918"/>
      <c r="K60" s="919"/>
      <c r="L60" s="919"/>
      <c r="M60" s="920"/>
      <c r="N60" s="731"/>
      <c r="O60" s="732"/>
      <c r="P60" s="732"/>
      <c r="AG60" s="6">
        <f>IF(AND(I60&lt;&gt;"",OR(I60&lt;EXPEDIENTE!$I$25,I60&gt;EXPEDIENTE!$I$29)),1,0)</f>
        <v>0</v>
      </c>
      <c r="AI60" s="6">
        <f>IF(DATE(YEAR(EXPEDIENTE!$I$25)+2,MONTH(DATEVALUE($C60&amp;"1")),1)&gt;=DATE(YEAR(EXPEDIENTE!$I$25),MONTH(EXPEDIENTE!$I$25),1),0,1)</f>
        <v>0</v>
      </c>
      <c r="AJ60" s="6" t="e">
        <f>IF(DATE(YEAR(EXPEDIENTE!$I$25)+2,MONTH(DATEVALUE($C60&amp;"1")),1)&lt;=DATE(YEAR(EXPEDIENTE!$I$27),MONTH(EXPEDIENTE!$I$27),1),0,1)</f>
        <v>#VALUE!</v>
      </c>
      <c r="AK60" s="6" t="e">
        <f t="shared" si="146"/>
        <v>#VALUE!</v>
      </c>
      <c r="AM60" s="729"/>
      <c r="AN60" s="381" t="s">
        <v>56</v>
      </c>
      <c r="AO60" s="382">
        <f t="shared" si="147"/>
        <v>0</v>
      </c>
      <c r="AP60" s="544"/>
      <c r="AQ60" s="383">
        <f t="shared" si="148"/>
        <v>0</v>
      </c>
      <c r="AR60" s="338">
        <f t="shared" si="139"/>
        <v>0</v>
      </c>
      <c r="AS60" s="722"/>
      <c r="AT60" s="723"/>
      <c r="AU60" s="334">
        <f t="shared" si="149"/>
        <v>0</v>
      </c>
      <c r="AV60" s="536"/>
      <c r="AW60" s="340">
        <f t="shared" si="150"/>
        <v>0</v>
      </c>
      <c r="AX60" s="334">
        <f t="shared" si="151"/>
        <v>0</v>
      </c>
      <c r="AY60" s="536"/>
      <c r="AZ60" s="340">
        <f t="shared" si="152"/>
        <v>0</v>
      </c>
      <c r="BA60" s="384">
        <f t="shared" si="140"/>
        <v>0</v>
      </c>
      <c r="BB60" s="722"/>
      <c r="BC60" s="723"/>
      <c r="BD60" s="341" t="str">
        <f t="shared" si="141"/>
        <v/>
      </c>
      <c r="BE60" s="545"/>
      <c r="BF60" s="342" t="str">
        <f t="shared" si="153"/>
        <v/>
      </c>
      <c r="BG60" s="385" t="str">
        <f t="shared" si="154"/>
        <v/>
      </c>
      <c r="BH60" s="894"/>
      <c r="BI60" s="895"/>
      <c r="BJ60" s="895"/>
      <c r="BK60" s="895"/>
      <c r="BL60" s="895"/>
      <c r="BM60" s="895"/>
      <c r="BN60" s="895"/>
      <c r="BO60" s="895"/>
      <c r="BP60" s="895"/>
      <c r="BQ60" s="895"/>
      <c r="BR60" s="895"/>
      <c r="BS60" s="896"/>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5" t="str">
        <f t="shared" si="158"/>
        <v/>
      </c>
    </row>
    <row r="61" spans="2:128" ht="9.9499999999999993" customHeight="1" thickBot="1" x14ac:dyDescent="0.3">
      <c r="B61" s="877"/>
      <c r="C61" s="184"/>
      <c r="D61" s="184"/>
      <c r="E61" s="184"/>
      <c r="F61" s="184"/>
      <c r="G61" s="184"/>
      <c r="H61" s="184"/>
      <c r="I61" s="184"/>
      <c r="J61" s="184"/>
      <c r="K61" s="184"/>
      <c r="L61" s="184"/>
      <c r="M61" s="193"/>
      <c r="AM61" s="730"/>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nMjrOIdHbttLuNFo6FPluyiDI10P4fMl1N75kNK60psMrrUCp4UwI2u3M1N9ABYXGaPlQLMy6FXniQrdpl5TQg==" saltValue="rFnvEMPhlSP7EvspEc0ZNg==" spinCount="100000" sheet="1" formatColumns="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AA34:AA36"/>
    <mergeCell ref="AB34:AB36"/>
    <mergeCell ref="AD34:AD36"/>
    <mergeCell ref="AE34:AE36"/>
    <mergeCell ref="AC34:AC36"/>
    <mergeCell ref="C35:C36"/>
    <mergeCell ref="D35:E35"/>
    <mergeCell ref="F35:F36"/>
    <mergeCell ref="G35:L35"/>
    <mergeCell ref="M35:M36"/>
    <mergeCell ref="O35:T35"/>
    <mergeCell ref="U35:U36"/>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$AG20&lt;&gt;0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E20" sqref="E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2024.07.PRIV.0000</v>
      </c>
      <c r="AR3" s="217" t="str">
        <f>'IDENTIFICACIÓN TRABAJADOR'!$F$4</f>
        <v>Nº DE EXPEDIENTE: 2024.07.PRIV.0000</v>
      </c>
      <c r="AS3" s="217"/>
      <c r="AT3" s="217"/>
    </row>
    <row r="4" spans="1:128" ht="20.100000000000001" customHeight="1" x14ac:dyDescent="0.25">
      <c r="E4" s="850"/>
      <c r="F4" s="850"/>
      <c r="G4" s="87"/>
      <c r="AR4" s="764"/>
      <c r="AS4" s="764"/>
      <c r="AT4" s="764"/>
      <c r="AU4" s="764"/>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692" t="s">
        <v>343</v>
      </c>
      <c r="DE7" s="692"/>
      <c r="DF7" s="692"/>
      <c r="DG7" s="692"/>
      <c r="DH7" s="692"/>
      <c r="DI7" s="692"/>
      <c r="DJ7" s="692"/>
      <c r="DK7" s="692"/>
      <c r="DL7" s="692"/>
      <c r="DM7" s="692"/>
      <c r="DN7" s="692"/>
      <c r="DO7" s="692"/>
      <c r="DP7" s="692"/>
      <c r="DQ7" s="692"/>
      <c r="DR7" s="692"/>
      <c r="DS7" s="692"/>
      <c r="DT7" s="692"/>
      <c r="DU7" s="692"/>
      <c r="DW7" s="691" t="s">
        <v>342</v>
      </c>
      <c r="DX7" s="691"/>
    </row>
    <row r="8" spans="1:128" ht="30" customHeight="1" thickTop="1" thickBot="1" x14ac:dyDescent="0.3">
      <c r="B8" s="875" t="str">
        <f>CONCATENATE("GASTO DEL TRABAJADOR ",'IDENTIFICACIÓN TRABAJADOR'!D14," EJERCICIO ",YEAR(EXPEDIENTE!F25)+3)</f>
        <v>GASTO DEL TRABAJADOR  EJERCICIO 2027</v>
      </c>
      <c r="C8" s="851" t="str">
        <f>CONCATENATE("TABLA DE COTIZACIONES ",YEAR(EXPEDIENTE!F25)+3)</f>
        <v>TABLA DE COTIZACIONES 2027</v>
      </c>
      <c r="D8" s="851"/>
      <c r="E8" s="851"/>
      <c r="F8" s="852"/>
      <c r="H8" s="89" t="s">
        <v>112</v>
      </c>
      <c r="I8" s="870" t="s">
        <v>115</v>
      </c>
      <c r="J8" s="870"/>
      <c r="K8" s="870"/>
      <c r="L8" s="870"/>
      <c r="M8" s="870"/>
      <c r="N8" s="870"/>
      <c r="O8" s="870"/>
      <c r="P8" s="870"/>
      <c r="Q8" s="870"/>
      <c r="R8" s="870"/>
      <c r="S8" s="870"/>
      <c r="T8" s="871"/>
      <c r="AM8" s="728" t="str">
        <f>CONCATENATE("GASTO DEL TRABAJADOR ",'IDENTIFICACIÓN TRABAJADOR'!$D$14," EJERCICIO ",YEAR(EXPEDIENTE!$F$25)+3)</f>
        <v>GASTO DEL TRABAJADOR  EJERCICIO 2027</v>
      </c>
      <c r="AN8" s="809" t="str">
        <f>CONCATENATE("COTIZACIONES ",YEAR(EXPEDIENTE!$F$25)+3)</f>
        <v>COTIZACIONES 2027</v>
      </c>
      <c r="AO8" s="809"/>
      <c r="AP8" s="809"/>
      <c r="AQ8" s="262"/>
      <c r="AR8" s="263" t="s">
        <v>271</v>
      </c>
      <c r="AS8" s="264" t="s">
        <v>246</v>
      </c>
      <c r="AT8" s="265" t="s">
        <v>272</v>
      </c>
      <c r="AU8" s="775" t="s">
        <v>270</v>
      </c>
      <c r="AV8" s="775"/>
      <c r="AW8" s="775"/>
      <c r="AX8" s="775"/>
      <c r="AY8" s="775"/>
      <c r="AZ8" s="775"/>
      <c r="BA8" s="775"/>
      <c r="BB8" s="775"/>
      <c r="BC8" s="775"/>
      <c r="BD8" s="775"/>
      <c r="BE8" s="775"/>
      <c r="BF8" s="775"/>
      <c r="BG8" s="776"/>
      <c r="BJ8" s="219"/>
      <c r="BK8" s="219"/>
      <c r="BL8" s="219"/>
      <c r="BM8" s="219"/>
      <c r="BN8" s="219"/>
      <c r="BO8" s="219"/>
      <c r="BP8" s="219"/>
      <c r="BQ8" s="219"/>
      <c r="BR8" s="219"/>
      <c r="BS8" s="219"/>
      <c r="BT8" s="219"/>
      <c r="BU8" s="219"/>
      <c r="BV8" s="219"/>
      <c r="BW8" s="219"/>
      <c r="BX8" s="219"/>
      <c r="BY8" s="219"/>
      <c r="BZ8" s="219"/>
      <c r="CA8" s="219"/>
      <c r="CB8" s="219"/>
      <c r="CY8" s="124"/>
      <c r="CZ8" s="6"/>
      <c r="DD8" s="88" t="s">
        <v>323</v>
      </c>
      <c r="DE8" s="88" t="s">
        <v>324</v>
      </c>
      <c r="DF8" s="88" t="s">
        <v>325</v>
      </c>
      <c r="DG8" s="88" t="s">
        <v>326</v>
      </c>
      <c r="DH8" s="88" t="s">
        <v>327</v>
      </c>
      <c r="DI8" s="88" t="s">
        <v>328</v>
      </c>
      <c r="DJ8" s="88" t="s">
        <v>329</v>
      </c>
      <c r="DK8" s="88" t="s">
        <v>330</v>
      </c>
      <c r="DL8" s="88" t="s">
        <v>331</v>
      </c>
      <c r="DM8" s="88" t="s">
        <v>332</v>
      </c>
      <c r="DN8" s="88" t="s">
        <v>333</v>
      </c>
      <c r="DO8" s="88" t="s">
        <v>334</v>
      </c>
      <c r="DP8" s="88" t="s">
        <v>335</v>
      </c>
      <c r="DQ8" s="88" t="s">
        <v>336</v>
      </c>
      <c r="DR8" s="88" t="s">
        <v>337</v>
      </c>
      <c r="DS8" s="88" t="s">
        <v>338</v>
      </c>
      <c r="DT8" s="88" t="s">
        <v>339</v>
      </c>
      <c r="DU8" s="88" t="s">
        <v>340</v>
      </c>
    </row>
    <row r="9" spans="1:128" ht="15" customHeight="1" thickTop="1" x14ac:dyDescent="0.25">
      <c r="B9" s="876"/>
      <c r="C9" s="92" t="s">
        <v>40</v>
      </c>
      <c r="D9" s="8"/>
      <c r="E9" s="8"/>
      <c r="F9" s="47"/>
      <c r="H9" s="94" t="s">
        <v>130</v>
      </c>
      <c r="I9" s="758" t="s">
        <v>114</v>
      </c>
      <c r="J9" s="758"/>
      <c r="K9" s="758"/>
      <c r="L9" s="758"/>
      <c r="M9" s="758"/>
      <c r="N9" s="758"/>
      <c r="O9" s="758"/>
      <c r="P9" s="758"/>
      <c r="Q9" s="758"/>
      <c r="R9" s="758"/>
      <c r="S9" s="758"/>
      <c r="T9" s="759"/>
      <c r="AM9" s="729"/>
      <c r="AN9" s="810" t="s">
        <v>40</v>
      </c>
      <c r="AO9" s="811"/>
      <c r="AP9" s="812"/>
      <c r="AQ9" s="266"/>
      <c r="AR9" s="267">
        <f>IF(F9="",0,F9)</f>
        <v>0</v>
      </c>
      <c r="AS9" s="268"/>
      <c r="AT9" s="269">
        <f>IF(AS9="",AR9,AS9)</f>
        <v>0</v>
      </c>
      <c r="AU9" s="814"/>
      <c r="AV9" s="814"/>
      <c r="AW9" s="814"/>
      <c r="AX9" s="814"/>
      <c r="AY9" s="814"/>
      <c r="AZ9" s="814"/>
      <c r="BA9" s="814"/>
      <c r="BB9" s="814"/>
      <c r="BC9" s="814"/>
      <c r="BD9" s="814"/>
      <c r="BE9" s="814"/>
      <c r="BF9" s="814"/>
      <c r="BG9" s="815"/>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5" customHeight="1" x14ac:dyDescent="0.25">
      <c r="B10" s="876"/>
      <c r="C10" s="93" t="s">
        <v>61</v>
      </c>
      <c r="D10" s="9"/>
      <c r="E10" s="10"/>
      <c r="F10" s="48"/>
      <c r="H10" s="95"/>
      <c r="I10" s="868" t="s">
        <v>113</v>
      </c>
      <c r="J10" s="868"/>
      <c r="K10" s="868"/>
      <c r="L10" s="868"/>
      <c r="M10" s="868"/>
      <c r="N10" s="868"/>
      <c r="O10" s="868"/>
      <c r="P10" s="868"/>
      <c r="Q10" s="868"/>
      <c r="R10" s="868"/>
      <c r="S10" s="868"/>
      <c r="T10" s="869"/>
      <c r="AM10" s="729"/>
      <c r="AN10" s="784" t="s">
        <v>61</v>
      </c>
      <c r="AO10" s="785"/>
      <c r="AP10" s="786"/>
      <c r="AQ10" s="270"/>
      <c r="AR10" s="271">
        <f>IF(F10="",0,F10)</f>
        <v>0</v>
      </c>
      <c r="AS10" s="272"/>
      <c r="AT10" s="273">
        <f t="shared" ref="AT10:AT13" si="0">IF(AS10="",AR10,AS10)</f>
        <v>0</v>
      </c>
      <c r="AU10" s="787"/>
      <c r="AV10" s="787"/>
      <c r="AW10" s="787"/>
      <c r="AX10" s="787"/>
      <c r="AY10" s="787"/>
      <c r="AZ10" s="787"/>
      <c r="BA10" s="787"/>
      <c r="BB10" s="787"/>
      <c r="BC10" s="787"/>
      <c r="BD10" s="787"/>
      <c r="BE10" s="787"/>
      <c r="BF10" s="787"/>
      <c r="BG10" s="788"/>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customHeight="1" thickBot="1" x14ac:dyDescent="0.3">
      <c r="B11" s="876"/>
      <c r="C11" s="93" t="s">
        <v>41</v>
      </c>
      <c r="D11" s="9"/>
      <c r="E11" s="10"/>
      <c r="F11" s="48"/>
      <c r="H11" s="96"/>
      <c r="I11" s="85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7"/>
      <c r="K11" s="857"/>
      <c r="L11" s="857"/>
      <c r="M11" s="857"/>
      <c r="N11" s="857"/>
      <c r="O11" s="857"/>
      <c r="P11" s="857"/>
      <c r="Q11" s="857"/>
      <c r="R11" s="857"/>
      <c r="S11" s="857"/>
      <c r="T11" s="858"/>
      <c r="AM11" s="729"/>
      <c r="AN11" s="784" t="s">
        <v>41</v>
      </c>
      <c r="AO11" s="785"/>
      <c r="AP11" s="786"/>
      <c r="AQ11" s="270"/>
      <c r="AR11" s="271">
        <f>IF(F11="",0,F11)</f>
        <v>0</v>
      </c>
      <c r="AS11" s="272"/>
      <c r="AT11" s="273">
        <f t="shared" si="0"/>
        <v>0</v>
      </c>
      <c r="AU11" s="787"/>
      <c r="AV11" s="787"/>
      <c r="AW11" s="787"/>
      <c r="AX11" s="787"/>
      <c r="AY11" s="787"/>
      <c r="AZ11" s="787"/>
      <c r="BA11" s="787"/>
      <c r="BB11" s="787"/>
      <c r="BC11" s="787"/>
      <c r="BD11" s="787"/>
      <c r="BE11" s="787"/>
      <c r="BF11" s="787"/>
      <c r="BG11" s="788"/>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5" customHeight="1" x14ac:dyDescent="0.25">
      <c r="B12" s="876"/>
      <c r="C12" s="93" t="s">
        <v>42</v>
      </c>
      <c r="D12" s="9"/>
      <c r="E12" s="10"/>
      <c r="F12" s="48"/>
      <c r="H12" s="756" t="s">
        <v>211</v>
      </c>
      <c r="I12" s="758" t="s">
        <v>291</v>
      </c>
      <c r="J12" s="758"/>
      <c r="K12" s="758"/>
      <c r="L12" s="758"/>
      <c r="M12" s="758"/>
      <c r="N12" s="758"/>
      <c r="O12" s="758"/>
      <c r="P12" s="758"/>
      <c r="Q12" s="758"/>
      <c r="R12" s="758"/>
      <c r="S12" s="758"/>
      <c r="T12" s="759"/>
      <c r="AM12" s="729"/>
      <c r="AN12" s="784" t="s">
        <v>42</v>
      </c>
      <c r="AO12" s="785"/>
      <c r="AP12" s="786"/>
      <c r="AQ12" s="270"/>
      <c r="AR12" s="271">
        <f>IF(F12="",0,F12)</f>
        <v>0</v>
      </c>
      <c r="AS12" s="272"/>
      <c r="AT12" s="273">
        <f t="shared" si="0"/>
        <v>0</v>
      </c>
      <c r="AU12" s="787"/>
      <c r="AV12" s="787"/>
      <c r="AW12" s="787"/>
      <c r="AX12" s="787"/>
      <c r="AY12" s="787"/>
      <c r="AZ12" s="787"/>
      <c r="BA12" s="787"/>
      <c r="BB12" s="787"/>
      <c r="BC12" s="787"/>
      <c r="BD12" s="787"/>
      <c r="BE12" s="787"/>
      <c r="BF12" s="787"/>
      <c r="BG12" s="788"/>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customHeight="1" thickBot="1" x14ac:dyDescent="0.3">
      <c r="B13" s="876"/>
      <c r="C13" s="93" t="s">
        <v>62</v>
      </c>
      <c r="D13" s="9"/>
      <c r="E13" s="10"/>
      <c r="F13" s="48"/>
      <c r="H13" s="757"/>
      <c r="I13" s="760"/>
      <c r="J13" s="760"/>
      <c r="K13" s="760"/>
      <c r="L13" s="760"/>
      <c r="M13" s="760"/>
      <c r="N13" s="760"/>
      <c r="O13" s="760"/>
      <c r="P13" s="760"/>
      <c r="Q13" s="760"/>
      <c r="R13" s="760"/>
      <c r="S13" s="760"/>
      <c r="T13" s="761"/>
      <c r="AM13" s="729"/>
      <c r="AN13" s="784" t="s">
        <v>62</v>
      </c>
      <c r="AO13" s="785"/>
      <c r="AP13" s="786"/>
      <c r="AQ13" s="270"/>
      <c r="AR13" s="271">
        <f>IF(F13="",0,F13)</f>
        <v>0</v>
      </c>
      <c r="AS13" s="272"/>
      <c r="AT13" s="273">
        <f t="shared" si="0"/>
        <v>0</v>
      </c>
      <c r="AU13" s="793"/>
      <c r="AV13" s="793"/>
      <c r="AW13" s="793"/>
      <c r="AX13" s="793"/>
      <c r="AY13" s="793"/>
      <c r="AZ13" s="793"/>
      <c r="BA13" s="793"/>
      <c r="BB13" s="793"/>
      <c r="BC13" s="793"/>
      <c r="BD13" s="793"/>
      <c r="BE13" s="793"/>
      <c r="BF13" s="793"/>
      <c r="BG13" s="794"/>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customHeight="1" thickBot="1" x14ac:dyDescent="0.3">
      <c r="B14" s="876"/>
      <c r="C14" s="93" t="s">
        <v>43</v>
      </c>
      <c r="D14" s="9"/>
      <c r="E14" s="10"/>
      <c r="F14" s="11">
        <f>SUM(F9:F13)</f>
        <v>0</v>
      </c>
      <c r="AM14" s="729"/>
      <c r="AN14" s="797" t="s">
        <v>43</v>
      </c>
      <c r="AO14" s="798"/>
      <c r="AP14" s="799"/>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87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2" t="s">
        <v>210</v>
      </c>
      <c r="AH15" s="762"/>
      <c r="AI15" s="762" t="s">
        <v>213</v>
      </c>
      <c r="AJ15" s="762" t="s">
        <v>214</v>
      </c>
      <c r="AK15" s="762" t="s">
        <v>214</v>
      </c>
      <c r="AL15" s="124"/>
      <c r="AM15" s="729"/>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2" t="s">
        <v>212</v>
      </c>
      <c r="DB15" s="762"/>
    </row>
    <row r="16" spans="1:128" ht="30" customHeight="1" thickTop="1" thickBot="1" x14ac:dyDescent="0.3">
      <c r="B16" s="876"/>
      <c r="C16" s="851" t="str">
        <f>CONCATENATE("NÓMINAS MENSUALES EJERCICIO ",YEAR(EXPEDIENTE!F25)+3)</f>
        <v>NÓMINAS MENSUALES EJERCICIO 2027</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2"/>
      <c r="AG16" s="762"/>
      <c r="AH16" s="762"/>
      <c r="AI16" s="691"/>
      <c r="AJ16" s="691"/>
      <c r="AK16" s="691"/>
      <c r="AM16" s="729"/>
      <c r="AN16" s="795" t="str">
        <f>CONCATENATE("NÓMINAS MENSUALES EJERCICIO ",YEAR(EXPEDIENTE!$F$25)+3)</f>
        <v>NÓMINAS MENSUALES EJERCICIO 2027</v>
      </c>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5"/>
      <c r="CU16" s="795"/>
      <c r="CV16" s="795"/>
      <c r="CW16" s="795"/>
      <c r="CX16" s="795"/>
      <c r="CY16" s="796"/>
      <c r="DA16" s="813"/>
      <c r="DB16" s="813"/>
    </row>
    <row r="17" spans="2:128" ht="20.100000000000001" customHeight="1" thickTop="1" thickBot="1" x14ac:dyDescent="0.3">
      <c r="B17" s="876"/>
      <c r="C17" s="859" t="s">
        <v>87</v>
      </c>
      <c r="D17" s="860"/>
      <c r="E17" s="861"/>
      <c r="F17" s="862" t="s">
        <v>85</v>
      </c>
      <c r="G17" s="863"/>
      <c r="H17" s="863"/>
      <c r="I17" s="863"/>
      <c r="J17" s="863"/>
      <c r="K17" s="863"/>
      <c r="L17" s="863"/>
      <c r="M17" s="864"/>
      <c r="N17" s="741" t="s">
        <v>88</v>
      </c>
      <c r="O17" s="742"/>
      <c r="P17" s="742"/>
      <c r="Q17" s="742"/>
      <c r="R17" s="742"/>
      <c r="S17" s="742"/>
      <c r="T17" s="742"/>
      <c r="U17" s="742"/>
      <c r="V17" s="743"/>
      <c r="W17" s="865" t="s">
        <v>79</v>
      </c>
      <c r="X17" s="747" t="s">
        <v>66</v>
      </c>
      <c r="Y17" s="744" t="s">
        <v>59</v>
      </c>
      <c r="Z17" s="744" t="s">
        <v>60</v>
      </c>
      <c r="AA17" s="744" t="s">
        <v>64</v>
      </c>
      <c r="AB17" s="790" t="s">
        <v>84</v>
      </c>
      <c r="AC17" s="747" t="s">
        <v>91</v>
      </c>
      <c r="AD17" s="790" t="s">
        <v>90</v>
      </c>
      <c r="AE17" s="872" t="s">
        <v>67</v>
      </c>
      <c r="AG17" s="763" t="s">
        <v>407</v>
      </c>
      <c r="AH17" s="705" t="s">
        <v>71</v>
      </c>
      <c r="AM17" s="729"/>
      <c r="AN17" s="733" t="s">
        <v>87</v>
      </c>
      <c r="AO17" s="734"/>
      <c r="AP17" s="734"/>
      <c r="AQ17" s="734"/>
      <c r="AR17" s="826" t="s">
        <v>313</v>
      </c>
      <c r="AS17" s="734"/>
      <c r="AT17" s="735"/>
      <c r="AU17" s="765" t="s">
        <v>85</v>
      </c>
      <c r="AV17" s="766"/>
      <c r="AW17" s="766"/>
      <c r="AX17" s="766"/>
      <c r="AY17" s="766"/>
      <c r="AZ17" s="766"/>
      <c r="BA17" s="766"/>
      <c r="BB17" s="766"/>
      <c r="BC17" s="766"/>
      <c r="BD17" s="766"/>
      <c r="BE17" s="766"/>
      <c r="BF17" s="766"/>
      <c r="BG17" s="766"/>
      <c r="BH17" s="766"/>
      <c r="BI17" s="766"/>
      <c r="BJ17" s="766"/>
      <c r="BK17" s="766"/>
      <c r="BL17" s="766"/>
      <c r="BM17" s="766"/>
      <c r="BN17" s="767"/>
      <c r="BO17" s="928" t="s">
        <v>408</v>
      </c>
      <c r="BP17" s="922"/>
      <c r="BQ17" s="922"/>
      <c r="BR17" s="922"/>
      <c r="BS17" s="922"/>
      <c r="BT17" s="922"/>
      <c r="BU17" s="922"/>
      <c r="BV17" s="922"/>
      <c r="BW17" s="922"/>
      <c r="BX17" s="922"/>
      <c r="BY17" s="922"/>
      <c r="BZ17" s="922"/>
      <c r="CA17" s="922"/>
      <c r="CB17" s="922"/>
      <c r="CC17" s="922"/>
      <c r="CD17" s="922"/>
      <c r="CE17" s="922"/>
      <c r="CF17" s="923"/>
      <c r="CG17" s="923"/>
      <c r="CH17" s="923"/>
      <c r="CI17" s="924"/>
      <c r="CJ17" s="828" t="s">
        <v>79</v>
      </c>
      <c r="CK17" s="696" t="s">
        <v>317</v>
      </c>
      <c r="CL17" s="697"/>
      <c r="CM17" s="698"/>
      <c r="CN17" s="715" t="s">
        <v>318</v>
      </c>
      <c r="CO17" s="716"/>
      <c r="CP17" s="717"/>
      <c r="CQ17" s="829" t="s">
        <v>60</v>
      </c>
      <c r="CR17" s="707" t="s">
        <v>320</v>
      </c>
      <c r="CS17" s="708"/>
      <c r="CT17" s="709"/>
      <c r="CU17" s="710" t="s">
        <v>319</v>
      </c>
      <c r="CV17" s="711"/>
      <c r="CW17" s="712"/>
      <c r="CX17" s="283"/>
      <c r="CY17" s="713" t="s">
        <v>321</v>
      </c>
      <c r="DA17" s="763" t="s">
        <v>407</v>
      </c>
      <c r="DB17" s="705" t="s">
        <v>71</v>
      </c>
    </row>
    <row r="18" spans="2:128" ht="15" customHeight="1" x14ac:dyDescent="0.25">
      <c r="B18" s="876"/>
      <c r="C18" s="880" t="s">
        <v>44</v>
      </c>
      <c r="D18" s="881"/>
      <c r="E18" s="853" t="s">
        <v>86</v>
      </c>
      <c r="F18" s="855" t="s">
        <v>57</v>
      </c>
      <c r="G18" s="754" t="s">
        <v>72</v>
      </c>
      <c r="H18" s="754"/>
      <c r="I18" s="754"/>
      <c r="J18" s="754"/>
      <c r="K18" s="754"/>
      <c r="L18" s="754"/>
      <c r="M18" s="750" t="s">
        <v>96</v>
      </c>
      <c r="N18" s="16"/>
      <c r="O18" s="789" t="s">
        <v>73</v>
      </c>
      <c r="P18" s="754"/>
      <c r="Q18" s="754"/>
      <c r="R18" s="754"/>
      <c r="S18" s="754"/>
      <c r="T18" s="754"/>
      <c r="U18" s="750" t="s">
        <v>89</v>
      </c>
      <c r="V18" s="17"/>
      <c r="W18" s="866"/>
      <c r="X18" s="748"/>
      <c r="Y18" s="745"/>
      <c r="Z18" s="745"/>
      <c r="AA18" s="745"/>
      <c r="AB18" s="791"/>
      <c r="AC18" s="748"/>
      <c r="AD18" s="791"/>
      <c r="AE18" s="873"/>
      <c r="AG18" s="706"/>
      <c r="AH18" s="706"/>
      <c r="AM18" s="729"/>
      <c r="AN18" s="816" t="s">
        <v>44</v>
      </c>
      <c r="AO18" s="817"/>
      <c r="AP18" s="777"/>
      <c r="AQ18" s="778"/>
      <c r="AR18" s="820" t="s">
        <v>271</v>
      </c>
      <c r="AS18" s="827" t="s">
        <v>246</v>
      </c>
      <c r="AT18" s="774" t="s">
        <v>272</v>
      </c>
      <c r="AU18" s="779" t="s">
        <v>273</v>
      </c>
      <c r="AV18" s="780"/>
      <c r="AW18" s="781"/>
      <c r="AX18" s="821" t="s">
        <v>72</v>
      </c>
      <c r="AY18" s="822"/>
      <c r="AZ18" s="822"/>
      <c r="BA18" s="822"/>
      <c r="BB18" s="822"/>
      <c r="BC18" s="822"/>
      <c r="BD18" s="822"/>
      <c r="BE18" s="822"/>
      <c r="BF18" s="822"/>
      <c r="BG18" s="822"/>
      <c r="BH18" s="822"/>
      <c r="BI18" s="822"/>
      <c r="BJ18" s="822"/>
      <c r="BK18" s="822"/>
      <c r="BL18" s="822"/>
      <c r="BM18" s="823"/>
      <c r="BN18" s="824" t="s">
        <v>274</v>
      </c>
      <c r="BO18" s="284"/>
      <c r="BP18" s="821" t="s">
        <v>409</v>
      </c>
      <c r="BQ18" s="925"/>
      <c r="BR18" s="925"/>
      <c r="BS18" s="822"/>
      <c r="BT18" s="822"/>
      <c r="BU18" s="822"/>
      <c r="BV18" s="822"/>
      <c r="BW18" s="822"/>
      <c r="BX18" s="822"/>
      <c r="BY18" s="822"/>
      <c r="BZ18" s="822"/>
      <c r="CA18" s="822"/>
      <c r="CB18" s="822"/>
      <c r="CC18" s="822"/>
      <c r="CD18" s="822"/>
      <c r="CE18" s="823"/>
      <c r="CF18" s="929" t="s">
        <v>410</v>
      </c>
      <c r="CG18" s="926"/>
      <c r="CH18" s="927"/>
      <c r="CI18" s="285"/>
      <c r="CJ18" s="739"/>
      <c r="CK18" s="699" t="s">
        <v>271</v>
      </c>
      <c r="CL18" s="701" t="s">
        <v>246</v>
      </c>
      <c r="CM18" s="703" t="s">
        <v>272</v>
      </c>
      <c r="CN18" s="699" t="s">
        <v>271</v>
      </c>
      <c r="CO18" s="701" t="s">
        <v>246</v>
      </c>
      <c r="CP18" s="703" t="s">
        <v>272</v>
      </c>
      <c r="CQ18" s="830"/>
      <c r="CR18" s="699" t="s">
        <v>271</v>
      </c>
      <c r="CS18" s="701" t="s">
        <v>246</v>
      </c>
      <c r="CT18" s="703" t="s">
        <v>272</v>
      </c>
      <c r="CU18" s="699" t="s">
        <v>271</v>
      </c>
      <c r="CV18" s="701" t="s">
        <v>246</v>
      </c>
      <c r="CW18" s="703" t="s">
        <v>272</v>
      </c>
      <c r="CX18" s="286"/>
      <c r="CY18" s="714"/>
      <c r="DA18" s="706"/>
      <c r="DB18" s="706"/>
    </row>
    <row r="19" spans="2:128" ht="45" customHeight="1" thickBot="1" x14ac:dyDescent="0.3">
      <c r="B19" s="876"/>
      <c r="C19" s="882"/>
      <c r="D19" s="883"/>
      <c r="E19" s="854"/>
      <c r="F19" s="856"/>
      <c r="G19" s="18" t="s">
        <v>97</v>
      </c>
      <c r="H19" s="18" t="s">
        <v>98</v>
      </c>
      <c r="I19" s="18" t="s">
        <v>99</v>
      </c>
      <c r="J19" s="18" t="s">
        <v>100</v>
      </c>
      <c r="K19" s="18" t="s">
        <v>101</v>
      </c>
      <c r="L19" s="19" t="s">
        <v>108</v>
      </c>
      <c r="M19" s="751"/>
      <c r="N19" s="20"/>
      <c r="O19" s="21" t="s">
        <v>102</v>
      </c>
      <c r="P19" s="18" t="s">
        <v>103</v>
      </c>
      <c r="Q19" s="18" t="s">
        <v>104</v>
      </c>
      <c r="R19" s="18" t="s">
        <v>105</v>
      </c>
      <c r="S19" s="18" t="s">
        <v>106</v>
      </c>
      <c r="T19" s="18" t="s">
        <v>107</v>
      </c>
      <c r="U19" s="751"/>
      <c r="V19" s="22"/>
      <c r="W19" s="867"/>
      <c r="X19" s="749"/>
      <c r="Y19" s="746"/>
      <c r="Z19" s="746"/>
      <c r="AA19" s="746"/>
      <c r="AB19" s="792"/>
      <c r="AC19" s="749"/>
      <c r="AD19" s="792"/>
      <c r="AE19" s="874"/>
      <c r="AG19" s="88">
        <f>SUM(AG20:AG31,AG37:AG44,AG49:AG60)</f>
        <v>0</v>
      </c>
      <c r="AH19" s="88">
        <f>SUM(AH20:AH31,AH37:AH44)</f>
        <v>0</v>
      </c>
      <c r="AM19" s="729"/>
      <c r="AN19" s="818"/>
      <c r="AO19" s="819"/>
      <c r="AP19" s="720"/>
      <c r="AQ19" s="721"/>
      <c r="AR19" s="700"/>
      <c r="AS19" s="702"/>
      <c r="AT19" s="704"/>
      <c r="AU19" s="287" t="s">
        <v>271</v>
      </c>
      <c r="AV19" s="288" t="s">
        <v>246</v>
      </c>
      <c r="AW19" s="289" t="s">
        <v>272</v>
      </c>
      <c r="AX19" s="290" t="s">
        <v>275</v>
      </c>
      <c r="AY19" s="291" t="s">
        <v>276</v>
      </c>
      <c r="AZ19" s="292" t="s">
        <v>277</v>
      </c>
      <c r="BA19" s="292" t="s">
        <v>278</v>
      </c>
      <c r="BB19" s="291" t="s">
        <v>279</v>
      </c>
      <c r="BC19" s="292" t="s">
        <v>280</v>
      </c>
      <c r="BD19" s="292" t="s">
        <v>281</v>
      </c>
      <c r="BE19" s="291" t="s">
        <v>282</v>
      </c>
      <c r="BF19" s="292" t="s">
        <v>283</v>
      </c>
      <c r="BG19" s="292" t="s">
        <v>284</v>
      </c>
      <c r="BH19" s="291" t="s">
        <v>285</v>
      </c>
      <c r="BI19" s="292" t="s">
        <v>286</v>
      </c>
      <c r="BJ19" s="292" t="s">
        <v>287</v>
      </c>
      <c r="BK19" s="291" t="s">
        <v>288</v>
      </c>
      <c r="BL19" s="292" t="s">
        <v>289</v>
      </c>
      <c r="BM19" s="293" t="s">
        <v>290</v>
      </c>
      <c r="BN19" s="825"/>
      <c r="BO19" s="294"/>
      <c r="BP19" s="290" t="s">
        <v>292</v>
      </c>
      <c r="BQ19" s="291" t="s">
        <v>293</v>
      </c>
      <c r="BR19" s="292" t="s">
        <v>294</v>
      </c>
      <c r="BS19" s="292" t="s">
        <v>295</v>
      </c>
      <c r="BT19" s="291" t="s">
        <v>296</v>
      </c>
      <c r="BU19" s="292" t="s">
        <v>297</v>
      </c>
      <c r="BV19" s="292" t="s">
        <v>298</v>
      </c>
      <c r="BW19" s="291" t="s">
        <v>299</v>
      </c>
      <c r="BX19" s="292" t="s">
        <v>300</v>
      </c>
      <c r="BY19" s="292" t="s">
        <v>301</v>
      </c>
      <c r="BZ19" s="291" t="s">
        <v>302</v>
      </c>
      <c r="CA19" s="292" t="s">
        <v>303</v>
      </c>
      <c r="CB19" s="292" t="s">
        <v>304</v>
      </c>
      <c r="CC19" s="291" t="s">
        <v>305</v>
      </c>
      <c r="CD19" s="292" t="s">
        <v>306</v>
      </c>
      <c r="CE19" s="293" t="s">
        <v>307</v>
      </c>
      <c r="CF19" s="295" t="s">
        <v>271</v>
      </c>
      <c r="CG19" s="296" t="s">
        <v>246</v>
      </c>
      <c r="CH19" s="297" t="s">
        <v>272</v>
      </c>
      <c r="CI19" s="298"/>
      <c r="CJ19" s="740"/>
      <c r="CK19" s="700"/>
      <c r="CL19" s="702"/>
      <c r="CM19" s="704"/>
      <c r="CN19" s="700"/>
      <c r="CO19" s="702"/>
      <c r="CP19" s="704"/>
      <c r="CQ19" s="831"/>
      <c r="CR19" s="700"/>
      <c r="CS19" s="702"/>
      <c r="CT19" s="704"/>
      <c r="CU19" s="700"/>
      <c r="CV19" s="702"/>
      <c r="CW19" s="704"/>
      <c r="CX19" s="299" t="s">
        <v>322</v>
      </c>
      <c r="CY19" s="300" t="s">
        <v>246</v>
      </c>
      <c r="DA19" s="88">
        <f>SUM(DA20:DA31,DA37:DA44,DA49:DA60)</f>
        <v>0</v>
      </c>
      <c r="DB19" s="88">
        <f>SUM(DB20:DB31,DB37:DB44)</f>
        <v>0</v>
      </c>
      <c r="DD19" s="88" t="s">
        <v>323</v>
      </c>
      <c r="DE19" s="88" t="s">
        <v>324</v>
      </c>
      <c r="DF19" s="88" t="s">
        <v>325</v>
      </c>
      <c r="DG19" s="88" t="s">
        <v>326</v>
      </c>
      <c r="DH19" s="88" t="s">
        <v>327</v>
      </c>
      <c r="DI19" s="88" t="s">
        <v>328</v>
      </c>
      <c r="DJ19" s="88" t="s">
        <v>329</v>
      </c>
      <c r="DK19" s="88" t="s">
        <v>330</v>
      </c>
      <c r="DL19" s="88" t="s">
        <v>331</v>
      </c>
      <c r="DM19" s="88" t="s">
        <v>332</v>
      </c>
      <c r="DN19" s="88" t="s">
        <v>333</v>
      </c>
      <c r="DO19" s="88" t="s">
        <v>334</v>
      </c>
      <c r="DP19" s="88" t="s">
        <v>335</v>
      </c>
      <c r="DQ19" s="88" t="s">
        <v>336</v>
      </c>
      <c r="DR19" s="88" t="s">
        <v>337</v>
      </c>
      <c r="DS19" s="88" t="s">
        <v>338</v>
      </c>
      <c r="DT19" s="88" t="s">
        <v>339</v>
      </c>
      <c r="DU19" s="88" t="s">
        <v>340</v>
      </c>
    </row>
    <row r="20" spans="2:128" ht="30" customHeight="1" x14ac:dyDescent="0.25">
      <c r="B20" s="876"/>
      <c r="C20" s="884" t="s">
        <v>45</v>
      </c>
      <c r="D20" s="88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IF(DATE(YEAR(EXPEDIENTE!$I$25)+3,MONTH(DATEVALUE($C20&amp;"1")),1)&gt;=DATE(YEAR(EXPEDIENTE!$I$25),MONTH(EXPEDIENTE!$I$25),1),0,1)</f>
        <v>0</v>
      </c>
      <c r="AJ20" s="6" t="e">
        <f>IF(DATE(YEAR(EXPEDIENTE!$I$25)+3,MONTH(DATEVALUE($C20&amp;"1")),1)&lt;=DATE(YEAR(EXPEDIENTE!$I$27),MONTH(EXPEDIENTE!$I$27),1),0,1)</f>
        <v>#VALUE!</v>
      </c>
      <c r="AK20" s="6" t="e">
        <f>SUM(AI20:AJ20)</f>
        <v>#VALUE!</v>
      </c>
      <c r="AM20" s="729"/>
      <c r="AN20" s="772" t="s">
        <v>45</v>
      </c>
      <c r="AO20" s="773"/>
      <c r="AP20" s="720"/>
      <c r="AQ20" s="721"/>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876"/>
      <c r="C21" s="886" t="s">
        <v>46</v>
      </c>
      <c r="D21" s="88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IF(DATE(YEAR(EXPEDIENTE!$I$25)+3,MONTH(DATEVALUE($C21&amp;"1")),1)&gt;=DATE(YEAR(EXPEDIENTE!$I$25),MONTH(EXPEDIENTE!$I$25),1),0,1)</f>
        <v>0</v>
      </c>
      <c r="AJ21" s="6" t="e">
        <f>IF(DATE(YEAR(EXPEDIENTE!$I$25)+3,MONTH(DATEVALUE($C21&amp;"1")),1)&lt;=DATE(YEAR(EXPEDIENTE!$I$27),MONTH(EXPEDIENTE!$I$27),1),0,1)</f>
        <v>#VALUE!</v>
      </c>
      <c r="AK21" s="6" t="e">
        <f t="shared" ref="AK21:AK31" si="27">SUM(AI21:AJ21)</f>
        <v>#VALUE!</v>
      </c>
      <c r="AM21" s="729"/>
      <c r="AN21" s="724" t="s">
        <v>46</v>
      </c>
      <c r="AO21" s="725"/>
      <c r="AP21" s="720"/>
      <c r="AQ21" s="721"/>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876"/>
      <c r="C22" s="886" t="s">
        <v>47</v>
      </c>
      <c r="D22" s="88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IF(DATE(YEAR(EXPEDIENTE!$I$25)+3,MONTH(DATEVALUE($C22&amp;"1")),1)&gt;=DATE(YEAR(EXPEDIENTE!$I$25),MONTH(EXPEDIENTE!$I$25),1),0,1)</f>
        <v>0</v>
      </c>
      <c r="AJ22" s="6" t="e">
        <f>IF(DATE(YEAR(EXPEDIENTE!$I$25)+3,MONTH(DATEVALUE($C22&amp;"1")),1)&lt;=DATE(YEAR(EXPEDIENTE!$I$27),MONTH(EXPEDIENTE!$I$27),1),0,1)</f>
        <v>#VALUE!</v>
      </c>
      <c r="AK22" s="6" t="e">
        <f t="shared" si="27"/>
        <v>#VALUE!</v>
      </c>
      <c r="AM22" s="729"/>
      <c r="AN22" s="724" t="s">
        <v>47</v>
      </c>
      <c r="AO22" s="725"/>
      <c r="AP22" s="720"/>
      <c r="AQ22" s="721"/>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876"/>
      <c r="C23" s="886" t="s">
        <v>48</v>
      </c>
      <c r="D23" s="88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IF(DATE(YEAR(EXPEDIENTE!$I$25)+3,MONTH(DATEVALUE($C23&amp;"1")),1)&gt;=DATE(YEAR(EXPEDIENTE!$I$25),MONTH(EXPEDIENTE!$I$25),1),0,1)</f>
        <v>0</v>
      </c>
      <c r="AJ23" s="6" t="e">
        <f>IF(DATE(YEAR(EXPEDIENTE!$I$25)+3,MONTH(DATEVALUE($C23&amp;"1")),1)&lt;=DATE(YEAR(EXPEDIENTE!$I$27),MONTH(EXPEDIENTE!$I$27),1),0,1)</f>
        <v>#VALUE!</v>
      </c>
      <c r="AK23" s="6" t="e">
        <f t="shared" si="27"/>
        <v>#VALUE!</v>
      </c>
      <c r="AM23" s="729"/>
      <c r="AN23" s="724" t="s">
        <v>48</v>
      </c>
      <c r="AO23" s="725"/>
      <c r="AP23" s="720"/>
      <c r="AQ23" s="721"/>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876"/>
      <c r="C24" s="886" t="s">
        <v>49</v>
      </c>
      <c r="D24" s="88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IF(DATE(YEAR(EXPEDIENTE!$I$25)+3,MONTH(DATEVALUE($C24&amp;"1")),1)&gt;=DATE(YEAR(EXPEDIENTE!$I$25),MONTH(EXPEDIENTE!$I$25),1),0,1)</f>
        <v>0</v>
      </c>
      <c r="AJ24" s="6" t="e">
        <f>IF(DATE(YEAR(EXPEDIENTE!$I$25)+3,MONTH(DATEVALUE($C24&amp;"1")),1)&lt;=DATE(YEAR(EXPEDIENTE!$I$27),MONTH(EXPEDIENTE!$I$27),1),0,1)</f>
        <v>#VALUE!</v>
      </c>
      <c r="AK24" s="6" t="e">
        <f t="shared" si="27"/>
        <v>#VALUE!</v>
      </c>
      <c r="AM24" s="729"/>
      <c r="AN24" s="724" t="s">
        <v>49</v>
      </c>
      <c r="AO24" s="725"/>
      <c r="AP24" s="720"/>
      <c r="AQ24" s="721"/>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876"/>
      <c r="C25" s="886" t="s">
        <v>50</v>
      </c>
      <c r="D25" s="88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IF(DATE(YEAR(EXPEDIENTE!$I$25)+3,MONTH(DATEVALUE($C25&amp;"1")),1)&gt;=DATE(YEAR(EXPEDIENTE!$I$25),MONTH(EXPEDIENTE!$I$25),1),0,1)</f>
        <v>0</v>
      </c>
      <c r="AJ25" s="6" t="e">
        <f>IF(DATE(YEAR(EXPEDIENTE!$I$25)+3,MONTH(DATEVALUE($C25&amp;"1")),1)&lt;=DATE(YEAR(EXPEDIENTE!$I$27),MONTH(EXPEDIENTE!$I$27),1),0,1)</f>
        <v>#VALUE!</v>
      </c>
      <c r="AK25" s="6" t="e">
        <f t="shared" si="27"/>
        <v>#VALUE!</v>
      </c>
      <c r="AM25" s="729"/>
      <c r="AN25" s="724" t="s">
        <v>50</v>
      </c>
      <c r="AO25" s="725"/>
      <c r="AP25" s="720"/>
      <c r="AQ25" s="721"/>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876"/>
      <c r="C26" s="886" t="s">
        <v>51</v>
      </c>
      <c r="D26" s="88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IF(DATE(YEAR(EXPEDIENTE!$I$25)+3,MONTH(DATEVALUE($C26&amp;"1")),1)&gt;=DATE(YEAR(EXPEDIENTE!$I$25),MONTH(EXPEDIENTE!$I$25),1),0,1)</f>
        <v>0</v>
      </c>
      <c r="AJ26" s="6" t="e">
        <f>IF(DATE(YEAR(EXPEDIENTE!$I$25)+3,MONTH(DATEVALUE($C26&amp;"1")),1)&lt;=DATE(YEAR(EXPEDIENTE!$I$27),MONTH(EXPEDIENTE!$I$27),1),0,1)</f>
        <v>#VALUE!</v>
      </c>
      <c r="AK26" s="6" t="e">
        <f t="shared" si="27"/>
        <v>#VALUE!</v>
      </c>
      <c r="AM26" s="729"/>
      <c r="AN26" s="724" t="s">
        <v>51</v>
      </c>
      <c r="AO26" s="725"/>
      <c r="AP26" s="720"/>
      <c r="AQ26" s="721"/>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876"/>
      <c r="C27" s="886" t="s">
        <v>52</v>
      </c>
      <c r="D27" s="88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IF(DATE(YEAR(EXPEDIENTE!$I$25)+3,MONTH(DATEVALUE($C27&amp;"1")),1)&gt;=DATE(YEAR(EXPEDIENTE!$I$25),MONTH(EXPEDIENTE!$I$25),1),0,1)</f>
        <v>0</v>
      </c>
      <c r="AJ27" s="6" t="e">
        <f>IF(DATE(YEAR(EXPEDIENTE!$I$25)+3,MONTH(DATEVALUE($C27&amp;"1")),1)&lt;=DATE(YEAR(EXPEDIENTE!$I$27),MONTH(EXPEDIENTE!$I$27),1),0,1)</f>
        <v>#VALUE!</v>
      </c>
      <c r="AK27" s="6" t="e">
        <f t="shared" si="27"/>
        <v>#VALUE!</v>
      </c>
      <c r="AM27" s="729"/>
      <c r="AN27" s="724" t="s">
        <v>52</v>
      </c>
      <c r="AO27" s="725"/>
      <c r="AP27" s="720"/>
      <c r="AQ27" s="721"/>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876"/>
      <c r="C28" s="886" t="s">
        <v>53</v>
      </c>
      <c r="D28" s="88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IF(DATE(YEAR(EXPEDIENTE!$I$25)+3,MONTH(DATEVALUE($C28&amp;"1")),1)&gt;=DATE(YEAR(EXPEDIENTE!$I$25),MONTH(EXPEDIENTE!$I$25),1),0,1)</f>
        <v>0</v>
      </c>
      <c r="AJ28" s="6" t="e">
        <f>IF(DATE(YEAR(EXPEDIENTE!$I$25)+3,MONTH(DATEVALUE($C28&amp;"1")),1)&lt;=DATE(YEAR(EXPEDIENTE!$I$27),MONTH(EXPEDIENTE!$I$27),1),0,1)</f>
        <v>#VALUE!</v>
      </c>
      <c r="AK28" s="6" t="e">
        <f t="shared" si="27"/>
        <v>#VALUE!</v>
      </c>
      <c r="AM28" s="729"/>
      <c r="AN28" s="724" t="s">
        <v>53</v>
      </c>
      <c r="AO28" s="725"/>
      <c r="AP28" s="720"/>
      <c r="AQ28" s="721"/>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876"/>
      <c r="C29" s="886" t="s">
        <v>54</v>
      </c>
      <c r="D29" s="88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IF(DATE(YEAR(EXPEDIENTE!$I$25)+3,MONTH(DATEVALUE($C29&amp;"1")),1)&gt;=DATE(YEAR(EXPEDIENTE!$I$25),MONTH(EXPEDIENTE!$I$25),1),0,1)</f>
        <v>0</v>
      </c>
      <c r="AJ29" s="6" t="e">
        <f>IF(DATE(YEAR(EXPEDIENTE!$I$25)+3,MONTH(DATEVALUE($C29&amp;"1")),1)&lt;=DATE(YEAR(EXPEDIENTE!$I$27),MONTH(EXPEDIENTE!$I$27),1),0,1)</f>
        <v>#VALUE!</v>
      </c>
      <c r="AK29" s="6" t="e">
        <f t="shared" si="27"/>
        <v>#VALUE!</v>
      </c>
      <c r="AM29" s="729"/>
      <c r="AN29" s="724" t="s">
        <v>54</v>
      </c>
      <c r="AO29" s="725"/>
      <c r="AP29" s="720"/>
      <c r="AQ29" s="721"/>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876"/>
      <c r="C30" s="886" t="s">
        <v>55</v>
      </c>
      <c r="D30" s="88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IF(DATE(YEAR(EXPEDIENTE!$I$25)+3,MONTH(DATEVALUE($C30&amp;"1")),1)&gt;=DATE(YEAR(EXPEDIENTE!$I$25),MONTH(EXPEDIENTE!$I$25),1),0,1)</f>
        <v>0</v>
      </c>
      <c r="AJ30" s="6" t="e">
        <f>IF(DATE(YEAR(EXPEDIENTE!$I$25)+3,MONTH(DATEVALUE($C30&amp;"1")),1)&lt;=DATE(YEAR(EXPEDIENTE!$I$27),MONTH(EXPEDIENTE!$I$27),1),0,1)</f>
        <v>#VALUE!</v>
      </c>
      <c r="AK30" s="6" t="e">
        <f t="shared" si="27"/>
        <v>#VALUE!</v>
      </c>
      <c r="AM30" s="729"/>
      <c r="AN30" s="724" t="s">
        <v>55</v>
      </c>
      <c r="AO30" s="725"/>
      <c r="AP30" s="720"/>
      <c r="AQ30" s="721"/>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876"/>
      <c r="C31" s="886" t="s">
        <v>56</v>
      </c>
      <c r="D31" s="887"/>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f>IF(DATE(YEAR(EXPEDIENTE!$I$25)+3,MONTH(DATEVALUE($C31&amp;"1")),1)&gt;=DATE(YEAR(EXPEDIENTE!$I$25),MONTH(EXPEDIENTE!$I$25),1),0,1)</f>
        <v>0</v>
      </c>
      <c r="AJ31" s="6" t="e">
        <f>IF(DATE(YEAR(EXPEDIENTE!$I$25)+3,MONTH(DATEVALUE($C31&amp;"1")),1)&lt;=DATE(YEAR(EXPEDIENTE!$I$27),MONTH(EXPEDIENTE!$I$27),1),0,1)</f>
        <v>#VALUE!</v>
      </c>
      <c r="AK31" s="6" t="e">
        <f t="shared" si="27"/>
        <v>#VALUE!</v>
      </c>
      <c r="AM31" s="729"/>
      <c r="AN31" s="782" t="s">
        <v>56</v>
      </c>
      <c r="AO31" s="783"/>
      <c r="AP31" s="722"/>
      <c r="AQ31" s="723"/>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876"/>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729"/>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876"/>
      <c r="C33" s="888" t="s">
        <v>186</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9"/>
      <c r="AG33" s="6"/>
      <c r="AH33" s="6"/>
      <c r="AI33" s="109"/>
      <c r="AJ33" s="109"/>
      <c r="AK33" s="109"/>
      <c r="AL33" s="353"/>
      <c r="AM33" s="729"/>
      <c r="AN33" s="752" t="s">
        <v>186</v>
      </c>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2"/>
      <c r="CN33" s="752"/>
      <c r="CO33" s="752"/>
      <c r="CP33" s="752"/>
      <c r="CQ33" s="752"/>
      <c r="CR33" s="752"/>
      <c r="CS33" s="752"/>
      <c r="CT33" s="752"/>
      <c r="CU33" s="752"/>
      <c r="CV33" s="752"/>
      <c r="CW33" s="752"/>
      <c r="CX33" s="752"/>
      <c r="CY33" s="7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6"/>
      <c r="C34" s="859" t="s">
        <v>87</v>
      </c>
      <c r="D34" s="860"/>
      <c r="E34" s="861"/>
      <c r="F34" s="862" t="s">
        <v>85</v>
      </c>
      <c r="G34" s="863"/>
      <c r="H34" s="863"/>
      <c r="I34" s="863"/>
      <c r="J34" s="863"/>
      <c r="K34" s="863"/>
      <c r="L34" s="863"/>
      <c r="M34" s="864"/>
      <c r="N34" s="741" t="s">
        <v>88</v>
      </c>
      <c r="O34" s="742"/>
      <c r="P34" s="742"/>
      <c r="Q34" s="742"/>
      <c r="R34" s="742"/>
      <c r="S34" s="742"/>
      <c r="T34" s="742"/>
      <c r="U34" s="742"/>
      <c r="V34" s="743"/>
      <c r="W34" s="865" t="s">
        <v>79</v>
      </c>
      <c r="X34" s="747" t="s">
        <v>66</v>
      </c>
      <c r="Y34" s="744" t="s">
        <v>59</v>
      </c>
      <c r="Z34" s="744" t="s">
        <v>60</v>
      </c>
      <c r="AA34" s="744" t="s">
        <v>64</v>
      </c>
      <c r="AB34" s="790" t="s">
        <v>84</v>
      </c>
      <c r="AC34" s="747" t="s">
        <v>91</v>
      </c>
      <c r="AD34" s="790" t="s">
        <v>90</v>
      </c>
      <c r="AE34" s="872" t="s">
        <v>67</v>
      </c>
      <c r="AM34" s="729"/>
      <c r="AN34" s="733" t="s">
        <v>87</v>
      </c>
      <c r="AO34" s="734"/>
      <c r="AP34" s="734"/>
      <c r="AQ34" s="734"/>
      <c r="AR34" s="734"/>
      <c r="AS34" s="734"/>
      <c r="AT34" s="735"/>
      <c r="AU34" s="911" t="s">
        <v>85</v>
      </c>
      <c r="AV34" s="912"/>
      <c r="AW34" s="912"/>
      <c r="AX34" s="912"/>
      <c r="AY34" s="912"/>
      <c r="AZ34" s="912"/>
      <c r="BA34" s="912"/>
      <c r="BB34" s="912"/>
      <c r="BC34" s="912"/>
      <c r="BD34" s="912"/>
      <c r="BE34" s="912"/>
      <c r="BF34" s="912"/>
      <c r="BG34" s="912"/>
      <c r="BH34" s="912"/>
      <c r="BI34" s="912"/>
      <c r="BJ34" s="912"/>
      <c r="BK34" s="912"/>
      <c r="BL34" s="912"/>
      <c r="BM34" s="912"/>
      <c r="BN34" s="913"/>
      <c r="BO34" s="928" t="s">
        <v>408</v>
      </c>
      <c r="BP34" s="922"/>
      <c r="BQ34" s="922"/>
      <c r="BR34" s="922"/>
      <c r="BS34" s="922"/>
      <c r="BT34" s="922"/>
      <c r="BU34" s="922"/>
      <c r="BV34" s="922"/>
      <c r="BW34" s="922"/>
      <c r="BX34" s="922"/>
      <c r="BY34" s="922"/>
      <c r="BZ34" s="922"/>
      <c r="CA34" s="922"/>
      <c r="CB34" s="922"/>
      <c r="CC34" s="922"/>
      <c r="CD34" s="922"/>
      <c r="CE34" s="922"/>
      <c r="CF34" s="922"/>
      <c r="CG34" s="923"/>
      <c r="CH34" s="923"/>
      <c r="CI34" s="924"/>
      <c r="CJ34" s="828" t="s">
        <v>79</v>
      </c>
      <c r="CK34" s="696" t="s">
        <v>317</v>
      </c>
      <c r="CL34" s="697"/>
      <c r="CM34" s="698"/>
      <c r="CN34" s="715" t="s">
        <v>318</v>
      </c>
      <c r="CO34" s="716"/>
      <c r="CP34" s="717"/>
      <c r="CQ34" s="829" t="s">
        <v>60</v>
      </c>
      <c r="CR34" s="707" t="s">
        <v>320</v>
      </c>
      <c r="CS34" s="708"/>
      <c r="CT34" s="709"/>
      <c r="CU34" s="710" t="s">
        <v>319</v>
      </c>
      <c r="CV34" s="711"/>
      <c r="CW34" s="712"/>
      <c r="CX34" s="283"/>
      <c r="CY34" s="713" t="s">
        <v>321</v>
      </c>
    </row>
    <row r="35" spans="2:128" ht="15" customHeight="1" x14ac:dyDescent="0.25">
      <c r="B35" s="876"/>
      <c r="C35" s="878" t="s">
        <v>70</v>
      </c>
      <c r="D35" s="754" t="s">
        <v>63</v>
      </c>
      <c r="E35" s="892"/>
      <c r="F35" s="855" t="s">
        <v>57</v>
      </c>
      <c r="G35" s="754" t="s">
        <v>72</v>
      </c>
      <c r="H35" s="754"/>
      <c r="I35" s="754"/>
      <c r="J35" s="754"/>
      <c r="K35" s="754"/>
      <c r="L35" s="755"/>
      <c r="M35" s="750" t="s">
        <v>96</v>
      </c>
      <c r="N35" s="16"/>
      <c r="O35" s="789" t="s">
        <v>73</v>
      </c>
      <c r="P35" s="754"/>
      <c r="Q35" s="754"/>
      <c r="R35" s="754"/>
      <c r="S35" s="754"/>
      <c r="T35" s="754"/>
      <c r="U35" s="750" t="s">
        <v>89</v>
      </c>
      <c r="V35" s="17"/>
      <c r="W35" s="866"/>
      <c r="X35" s="748"/>
      <c r="Y35" s="745"/>
      <c r="Z35" s="745"/>
      <c r="AA35" s="745"/>
      <c r="AB35" s="791"/>
      <c r="AC35" s="748"/>
      <c r="AD35" s="791"/>
      <c r="AE35" s="873"/>
      <c r="AM35" s="729"/>
      <c r="AN35" s="807" t="s">
        <v>70</v>
      </c>
      <c r="AO35" s="804" t="s">
        <v>63</v>
      </c>
      <c r="AP35" s="805"/>
      <c r="AQ35" s="806"/>
      <c r="AR35" s="804" t="s">
        <v>63</v>
      </c>
      <c r="AS35" s="805"/>
      <c r="AT35" s="806"/>
      <c r="AU35" s="779" t="s">
        <v>273</v>
      </c>
      <c r="AV35" s="780"/>
      <c r="AW35" s="781"/>
      <c r="AX35" s="821" t="s">
        <v>72</v>
      </c>
      <c r="AY35" s="822"/>
      <c r="AZ35" s="822"/>
      <c r="BA35" s="822"/>
      <c r="BB35" s="822"/>
      <c r="BC35" s="822"/>
      <c r="BD35" s="822"/>
      <c r="BE35" s="822"/>
      <c r="BF35" s="822"/>
      <c r="BG35" s="822"/>
      <c r="BH35" s="822"/>
      <c r="BI35" s="822"/>
      <c r="BJ35" s="822"/>
      <c r="BK35" s="822"/>
      <c r="BL35" s="822"/>
      <c r="BM35" s="823"/>
      <c r="BN35" s="824" t="s">
        <v>274</v>
      </c>
      <c r="BO35" s="284"/>
      <c r="BP35" s="821" t="s">
        <v>409</v>
      </c>
      <c r="BQ35" s="925"/>
      <c r="BR35" s="925"/>
      <c r="BS35" s="822"/>
      <c r="BT35" s="822"/>
      <c r="BU35" s="822"/>
      <c r="BV35" s="822"/>
      <c r="BW35" s="822"/>
      <c r="BX35" s="822"/>
      <c r="BY35" s="822"/>
      <c r="BZ35" s="822"/>
      <c r="CA35" s="822"/>
      <c r="CB35" s="822"/>
      <c r="CC35" s="822"/>
      <c r="CD35" s="822"/>
      <c r="CE35" s="823"/>
      <c r="CF35" s="929" t="s">
        <v>410</v>
      </c>
      <c r="CG35" s="926"/>
      <c r="CH35" s="927"/>
      <c r="CI35" s="285"/>
      <c r="CJ35" s="739"/>
      <c r="CK35" s="699" t="s">
        <v>271</v>
      </c>
      <c r="CL35" s="701" t="s">
        <v>246</v>
      </c>
      <c r="CM35" s="703" t="s">
        <v>272</v>
      </c>
      <c r="CN35" s="699" t="s">
        <v>271</v>
      </c>
      <c r="CO35" s="701" t="s">
        <v>246</v>
      </c>
      <c r="CP35" s="703" t="s">
        <v>272</v>
      </c>
      <c r="CQ35" s="830"/>
      <c r="CR35" s="699" t="s">
        <v>271</v>
      </c>
      <c r="CS35" s="701" t="s">
        <v>246</v>
      </c>
      <c r="CT35" s="703" t="s">
        <v>272</v>
      </c>
      <c r="CU35" s="699" t="s">
        <v>271</v>
      </c>
      <c r="CV35" s="701" t="s">
        <v>246</v>
      </c>
      <c r="CW35" s="703" t="s">
        <v>272</v>
      </c>
      <c r="CX35" s="286"/>
      <c r="CY35" s="714"/>
    </row>
    <row r="36" spans="2:128" ht="45" customHeight="1" thickBot="1" x14ac:dyDescent="0.3">
      <c r="B36" s="876"/>
      <c r="C36" s="879"/>
      <c r="D36" s="36" t="s">
        <v>68</v>
      </c>
      <c r="E36" s="37" t="s">
        <v>69</v>
      </c>
      <c r="F36" s="856"/>
      <c r="G36" s="18" t="s">
        <v>97</v>
      </c>
      <c r="H36" s="18" t="s">
        <v>98</v>
      </c>
      <c r="I36" s="18" t="s">
        <v>99</v>
      </c>
      <c r="J36" s="18" t="s">
        <v>100</v>
      </c>
      <c r="K36" s="18" t="s">
        <v>101</v>
      </c>
      <c r="L36" s="19" t="s">
        <v>108</v>
      </c>
      <c r="M36" s="751"/>
      <c r="N36" s="20"/>
      <c r="O36" s="21" t="s">
        <v>102</v>
      </c>
      <c r="P36" s="18" t="s">
        <v>103</v>
      </c>
      <c r="Q36" s="18" t="s">
        <v>104</v>
      </c>
      <c r="R36" s="18" t="s">
        <v>105</v>
      </c>
      <c r="S36" s="18" t="s">
        <v>106</v>
      </c>
      <c r="T36" s="18" t="s">
        <v>107</v>
      </c>
      <c r="U36" s="751"/>
      <c r="V36" s="22"/>
      <c r="W36" s="867"/>
      <c r="X36" s="749"/>
      <c r="Y36" s="746"/>
      <c r="Z36" s="746"/>
      <c r="AA36" s="746"/>
      <c r="AB36" s="792"/>
      <c r="AC36" s="749"/>
      <c r="AD36" s="792"/>
      <c r="AE36" s="874"/>
      <c r="AM36" s="729"/>
      <c r="AN36" s="808"/>
      <c r="AO36" s="287" t="s">
        <v>308</v>
      </c>
      <c r="AP36" s="354" t="s">
        <v>309</v>
      </c>
      <c r="AQ36" s="289" t="s">
        <v>272</v>
      </c>
      <c r="AR36" s="287" t="s">
        <v>311</v>
      </c>
      <c r="AS36" s="354" t="s">
        <v>312</v>
      </c>
      <c r="AT36" s="289" t="s">
        <v>272</v>
      </c>
      <c r="AU36" s="287" t="s">
        <v>271</v>
      </c>
      <c r="AV36" s="288" t="s">
        <v>246</v>
      </c>
      <c r="AW36" s="289" t="s">
        <v>272</v>
      </c>
      <c r="AX36" s="290" t="s">
        <v>275</v>
      </c>
      <c r="AY36" s="291" t="s">
        <v>276</v>
      </c>
      <c r="AZ36" s="292" t="s">
        <v>277</v>
      </c>
      <c r="BA36" s="292" t="s">
        <v>278</v>
      </c>
      <c r="BB36" s="291" t="s">
        <v>279</v>
      </c>
      <c r="BC36" s="292" t="s">
        <v>280</v>
      </c>
      <c r="BD36" s="292" t="s">
        <v>281</v>
      </c>
      <c r="BE36" s="291" t="s">
        <v>282</v>
      </c>
      <c r="BF36" s="292" t="s">
        <v>283</v>
      </c>
      <c r="BG36" s="292" t="s">
        <v>284</v>
      </c>
      <c r="BH36" s="291" t="s">
        <v>285</v>
      </c>
      <c r="BI36" s="292" t="s">
        <v>286</v>
      </c>
      <c r="BJ36" s="292" t="s">
        <v>287</v>
      </c>
      <c r="BK36" s="291" t="s">
        <v>288</v>
      </c>
      <c r="BL36" s="292" t="s">
        <v>289</v>
      </c>
      <c r="BM36" s="293" t="s">
        <v>290</v>
      </c>
      <c r="BN36" s="825"/>
      <c r="BO36" s="294"/>
      <c r="BP36" s="290" t="s">
        <v>292</v>
      </c>
      <c r="BQ36" s="291" t="s">
        <v>293</v>
      </c>
      <c r="BR36" s="292" t="s">
        <v>294</v>
      </c>
      <c r="BS36" s="292" t="s">
        <v>295</v>
      </c>
      <c r="BT36" s="291" t="s">
        <v>296</v>
      </c>
      <c r="BU36" s="292" t="s">
        <v>297</v>
      </c>
      <c r="BV36" s="292" t="s">
        <v>298</v>
      </c>
      <c r="BW36" s="291" t="s">
        <v>299</v>
      </c>
      <c r="BX36" s="292" t="s">
        <v>300</v>
      </c>
      <c r="BY36" s="292" t="s">
        <v>301</v>
      </c>
      <c r="BZ36" s="291" t="s">
        <v>302</v>
      </c>
      <c r="CA36" s="292" t="s">
        <v>303</v>
      </c>
      <c r="CB36" s="292" t="s">
        <v>304</v>
      </c>
      <c r="CC36" s="291" t="s">
        <v>305</v>
      </c>
      <c r="CD36" s="292" t="s">
        <v>306</v>
      </c>
      <c r="CE36" s="293" t="s">
        <v>307</v>
      </c>
      <c r="CF36" s="295" t="s">
        <v>271</v>
      </c>
      <c r="CG36" s="296" t="s">
        <v>246</v>
      </c>
      <c r="CH36" s="297" t="s">
        <v>272</v>
      </c>
      <c r="CI36" s="298"/>
      <c r="CJ36" s="740"/>
      <c r="CK36" s="700"/>
      <c r="CL36" s="702"/>
      <c r="CM36" s="704"/>
      <c r="CN36" s="700"/>
      <c r="CO36" s="702"/>
      <c r="CP36" s="704"/>
      <c r="CQ36" s="831"/>
      <c r="CR36" s="700"/>
      <c r="CS36" s="702"/>
      <c r="CT36" s="704"/>
      <c r="CU36" s="700"/>
      <c r="CV36" s="702"/>
      <c r="CW36" s="704"/>
      <c r="CX36" s="299" t="s">
        <v>322</v>
      </c>
      <c r="CY36" s="300" t="s">
        <v>246</v>
      </c>
      <c r="DD36" s="88" t="s">
        <v>323</v>
      </c>
      <c r="DE36" s="88" t="s">
        <v>324</v>
      </c>
      <c r="DF36" s="88" t="s">
        <v>325</v>
      </c>
      <c r="DG36" s="88" t="s">
        <v>326</v>
      </c>
      <c r="DH36" s="88" t="s">
        <v>327</v>
      </c>
      <c r="DI36" s="88" t="s">
        <v>328</v>
      </c>
      <c r="DJ36" s="88" t="s">
        <v>329</v>
      </c>
      <c r="DK36" s="88" t="s">
        <v>330</v>
      </c>
      <c r="DL36" s="88" t="s">
        <v>331</v>
      </c>
      <c r="DM36" s="88" t="s">
        <v>332</v>
      </c>
      <c r="DN36" s="88" t="s">
        <v>333</v>
      </c>
      <c r="DO36" s="88" t="s">
        <v>334</v>
      </c>
      <c r="DP36" s="88" t="s">
        <v>335</v>
      </c>
      <c r="DQ36" s="88" t="s">
        <v>336</v>
      </c>
      <c r="DR36" s="88" t="s">
        <v>337</v>
      </c>
      <c r="DS36" s="88" t="s">
        <v>338</v>
      </c>
      <c r="DT36" s="88" t="s">
        <v>339</v>
      </c>
      <c r="DU36" s="88" t="s">
        <v>340</v>
      </c>
    </row>
    <row r="37" spans="2:128" ht="30" customHeight="1" x14ac:dyDescent="0.25">
      <c r="B37" s="87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9"/>
      <c r="AN37" s="355" t="str">
        <f t="shared" ref="AN37:AO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87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9"/>
      <c r="AN38" s="361" t="str">
        <f t="shared" si="71"/>
        <v/>
      </c>
      <c r="AO38" s="318" t="str">
        <f t="shared" si="71"/>
        <v/>
      </c>
      <c r="AP38" s="239"/>
      <c r="AQ38" s="319" t="str">
        <f t="shared" ref="AQ38:AQ44" si="95">IF(AP38="",AO38,AP38)</f>
        <v/>
      </c>
      <c r="AR38" s="318" t="str">
        <f t="shared" si="72"/>
        <v/>
      </c>
      <c r="AS38" s="239"/>
      <c r="AT38" s="319" t="str">
        <f t="shared" ref="AT38:AT44" si="96">IF(AS38="",AR38,AS38)</f>
        <v/>
      </c>
      <c r="AU38" s="304">
        <f t="shared" si="73"/>
        <v>0</v>
      </c>
      <c r="AV38" s="531"/>
      <c r="AW38" s="325">
        <f t="shared" ref="AW38:AW44" si="97">IF(AV38="",AU38,AV38)</f>
        <v>0</v>
      </c>
      <c r="AX38" s="324">
        <f t="shared" si="74"/>
        <v>0</v>
      </c>
      <c r="AY38" s="532"/>
      <c r="AZ38" s="326">
        <f t="shared" ref="AZ38:AZ44" si="98">IF(AY38="",AX38,AY38)</f>
        <v>0</v>
      </c>
      <c r="BA38" s="326">
        <f t="shared" si="75"/>
        <v>0</v>
      </c>
      <c r="BB38" s="532"/>
      <c r="BC38" s="326">
        <f t="shared" ref="BC38:BC44" si="99">IF(BB38="",BA38,BB38)</f>
        <v>0</v>
      </c>
      <c r="BD38" s="326">
        <f t="shared" si="76"/>
        <v>0</v>
      </c>
      <c r="BE38" s="532"/>
      <c r="BF38" s="326">
        <f t="shared" ref="BF38:BF44" si="100">IF(BE38="",BD38,BE38)</f>
        <v>0</v>
      </c>
      <c r="BG38" s="326">
        <f t="shared" si="77"/>
        <v>0</v>
      </c>
      <c r="BH38" s="532"/>
      <c r="BI38" s="326">
        <f t="shared" ref="BI38:BI44" si="101">IF(BH38="",BG38,BH38)</f>
        <v>0</v>
      </c>
      <c r="BJ38" s="326">
        <f t="shared" si="78"/>
        <v>0</v>
      </c>
      <c r="BK38" s="532"/>
      <c r="BL38" s="326">
        <f t="shared" ref="BL38:BL44" si="102">IF(BK38="",BJ38,BK38)</f>
        <v>0</v>
      </c>
      <c r="BM38" s="307">
        <f t="shared" ref="BM38:BM44" si="103">AZ38+BC38+BF38+BI38+BL38</f>
        <v>0</v>
      </c>
      <c r="BN38" s="327">
        <f t="shared" ref="BN38:BN44" si="104">AW38+BM38</f>
        <v>0</v>
      </c>
      <c r="BO38" s="358"/>
      <c r="BP38" s="324">
        <f t="shared" si="79"/>
        <v>0</v>
      </c>
      <c r="BQ38" s="531"/>
      <c r="BR38" s="328">
        <f t="shared" ref="BR38:BR44" si="105">IF(BQ38="",BP38,BQ38)</f>
        <v>0</v>
      </c>
      <c r="BS38" s="326">
        <f t="shared" si="80"/>
        <v>0</v>
      </c>
      <c r="BT38" s="532"/>
      <c r="BU38" s="326">
        <f t="shared" ref="BU38:BU44" si="106">IF(BT38="",BS38,BT38)</f>
        <v>0</v>
      </c>
      <c r="BV38" s="326">
        <f t="shared" si="81"/>
        <v>0</v>
      </c>
      <c r="BW38" s="532"/>
      <c r="BX38" s="326">
        <f t="shared" ref="BX38:BX44" si="107">IF(BW38="",BV38,BW38)</f>
        <v>0</v>
      </c>
      <c r="BY38" s="326">
        <f t="shared" si="82"/>
        <v>0</v>
      </c>
      <c r="BZ38" s="532"/>
      <c r="CA38" s="326">
        <f t="shared" ref="CA38:CA44" si="108">IF(BZ38="",BY38,BZ38)</f>
        <v>0</v>
      </c>
      <c r="CB38" s="326">
        <f t="shared" si="83"/>
        <v>0</v>
      </c>
      <c r="CC38" s="532"/>
      <c r="CD38" s="326">
        <f t="shared" ref="CD38:CD44" si="109">IF(CC38="",CB38,CC38)</f>
        <v>0</v>
      </c>
      <c r="CE38" s="307">
        <f t="shared" ref="CE38:CE44" si="110">BR38+BU38+BX38+CA38+CD38</f>
        <v>0</v>
      </c>
      <c r="CF38" s="324">
        <f t="shared" si="84"/>
        <v>0</v>
      </c>
      <c r="CG38" s="532"/>
      <c r="CH38" s="329">
        <f t="shared" ref="CH38:CH44" si="111">IF(CG38="",CF38,CG38)</f>
        <v>0</v>
      </c>
      <c r="CI38" s="313"/>
      <c r="CJ38" s="330">
        <f t="shared" ref="CJ38:CJ44" si="112">BN38+CE38+CH38</f>
        <v>0</v>
      </c>
      <c r="CK38" s="324">
        <f t="shared" si="85"/>
        <v>0</v>
      </c>
      <c r="CL38" s="531"/>
      <c r="CM38" s="325">
        <f t="shared" ref="CM38:CM44" si="113">IF(CL38="",CK38,CL38)</f>
        <v>0</v>
      </c>
      <c r="CN38" s="324">
        <f t="shared" si="86"/>
        <v>0</v>
      </c>
      <c r="CO38" s="527"/>
      <c r="CP38" s="362">
        <f t="shared" ref="CP38:CP44" si="114">IF(CO38="",CN38,CO38)</f>
        <v>0</v>
      </c>
      <c r="CQ38" s="315">
        <f t="shared" ref="CQ38:CQ44" si="115">AW38+BM38+CE38+CH38-CM38-CP38</f>
        <v>0</v>
      </c>
      <c r="CR38" s="318" t="str">
        <f t="shared" si="87"/>
        <v/>
      </c>
      <c r="CS38" s="239"/>
      <c r="CT38" s="319" t="str">
        <f t="shared" ref="CT38:CT44" si="116">IF(CS38="",CR38,CS38)</f>
        <v/>
      </c>
      <c r="CU38" s="318" t="str">
        <f t="shared" si="88"/>
        <v/>
      </c>
      <c r="CV38" s="239"/>
      <c r="CW38" s="319" t="str">
        <f t="shared" ref="CW38:CW44" si="117">IF(CV38="",CU38,CV38)</f>
        <v/>
      </c>
      <c r="CX38" s="331" t="str">
        <f t="shared" ref="CX38:CX44" si="118">IF(DD38=0,"",DD38)</f>
        <v/>
      </c>
      <c r="CY38" s="533"/>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5" t="str">
        <f t="shared" si="90"/>
        <v/>
      </c>
    </row>
    <row r="39" spans="2:128" ht="30" customHeight="1" x14ac:dyDescent="0.25">
      <c r="B39" s="876"/>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9"/>
      <c r="AN39" s="361" t="str">
        <f t="shared" si="71"/>
        <v/>
      </c>
      <c r="AO39" s="318" t="str">
        <f t="shared" si="71"/>
        <v/>
      </c>
      <c r="AP39" s="239"/>
      <c r="AQ39" s="319" t="str">
        <f t="shared" si="95"/>
        <v/>
      </c>
      <c r="AR39" s="318" t="str">
        <f t="shared" si="72"/>
        <v/>
      </c>
      <c r="AS39" s="239"/>
      <c r="AT39" s="319" t="str">
        <f t="shared" si="96"/>
        <v/>
      </c>
      <c r="AU39" s="304">
        <f t="shared" si="73"/>
        <v>0</v>
      </c>
      <c r="AV39" s="531"/>
      <c r="AW39" s="325">
        <f t="shared" si="97"/>
        <v>0</v>
      </c>
      <c r="AX39" s="324">
        <f t="shared" si="74"/>
        <v>0</v>
      </c>
      <c r="AY39" s="532"/>
      <c r="AZ39" s="326">
        <f t="shared" si="98"/>
        <v>0</v>
      </c>
      <c r="BA39" s="326">
        <f t="shared" si="75"/>
        <v>0</v>
      </c>
      <c r="BB39" s="532"/>
      <c r="BC39" s="326">
        <f t="shared" si="99"/>
        <v>0</v>
      </c>
      <c r="BD39" s="326">
        <f t="shared" si="76"/>
        <v>0</v>
      </c>
      <c r="BE39" s="532"/>
      <c r="BF39" s="326">
        <f t="shared" si="100"/>
        <v>0</v>
      </c>
      <c r="BG39" s="326">
        <f t="shared" si="77"/>
        <v>0</v>
      </c>
      <c r="BH39" s="532"/>
      <c r="BI39" s="326">
        <f t="shared" si="101"/>
        <v>0</v>
      </c>
      <c r="BJ39" s="326">
        <f t="shared" si="78"/>
        <v>0</v>
      </c>
      <c r="BK39" s="532"/>
      <c r="BL39" s="326">
        <f t="shared" si="102"/>
        <v>0</v>
      </c>
      <c r="BM39" s="307">
        <f t="shared" si="103"/>
        <v>0</v>
      </c>
      <c r="BN39" s="327">
        <f t="shared" si="104"/>
        <v>0</v>
      </c>
      <c r="BO39" s="358"/>
      <c r="BP39" s="324">
        <f t="shared" si="79"/>
        <v>0</v>
      </c>
      <c r="BQ39" s="531"/>
      <c r="BR39" s="328">
        <f t="shared" si="105"/>
        <v>0</v>
      </c>
      <c r="BS39" s="326">
        <f t="shared" si="80"/>
        <v>0</v>
      </c>
      <c r="BT39" s="532"/>
      <c r="BU39" s="326">
        <f t="shared" si="106"/>
        <v>0</v>
      </c>
      <c r="BV39" s="326">
        <f t="shared" si="81"/>
        <v>0</v>
      </c>
      <c r="BW39" s="532"/>
      <c r="BX39" s="326">
        <f t="shared" si="107"/>
        <v>0</v>
      </c>
      <c r="BY39" s="326">
        <f t="shared" si="82"/>
        <v>0</v>
      </c>
      <c r="BZ39" s="532"/>
      <c r="CA39" s="326">
        <f t="shared" si="108"/>
        <v>0</v>
      </c>
      <c r="CB39" s="326">
        <f t="shared" si="83"/>
        <v>0</v>
      </c>
      <c r="CC39" s="532"/>
      <c r="CD39" s="326">
        <f t="shared" si="109"/>
        <v>0</v>
      </c>
      <c r="CE39" s="307">
        <f t="shared" si="110"/>
        <v>0</v>
      </c>
      <c r="CF39" s="324">
        <f t="shared" si="84"/>
        <v>0</v>
      </c>
      <c r="CG39" s="532"/>
      <c r="CH39" s="329">
        <f t="shared" si="111"/>
        <v>0</v>
      </c>
      <c r="CI39" s="313"/>
      <c r="CJ39" s="330">
        <f t="shared" si="112"/>
        <v>0</v>
      </c>
      <c r="CK39" s="324">
        <f t="shared" si="85"/>
        <v>0</v>
      </c>
      <c r="CL39" s="531"/>
      <c r="CM39" s="325">
        <f t="shared" si="113"/>
        <v>0</v>
      </c>
      <c r="CN39" s="324">
        <f t="shared" si="86"/>
        <v>0</v>
      </c>
      <c r="CO39" s="527"/>
      <c r="CP39" s="362">
        <f t="shared" si="114"/>
        <v>0</v>
      </c>
      <c r="CQ39" s="315">
        <f t="shared" si="115"/>
        <v>0</v>
      </c>
      <c r="CR39" s="318" t="str">
        <f t="shared" si="87"/>
        <v/>
      </c>
      <c r="CS39" s="239"/>
      <c r="CT39" s="319" t="str">
        <f t="shared" si="116"/>
        <v/>
      </c>
      <c r="CU39" s="318" t="str">
        <f t="shared" si="88"/>
        <v/>
      </c>
      <c r="CV39" s="239"/>
      <c r="CW39" s="319" t="str">
        <f t="shared" si="117"/>
        <v/>
      </c>
      <c r="CX39" s="331" t="str">
        <f t="shared" si="118"/>
        <v/>
      </c>
      <c r="CY39" s="533"/>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5" t="str">
        <f t="shared" si="90"/>
        <v/>
      </c>
    </row>
    <row r="40" spans="2:128" ht="30" customHeight="1" x14ac:dyDescent="0.25">
      <c r="B40" s="876"/>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9"/>
      <c r="AN40" s="361" t="str">
        <f t="shared" si="71"/>
        <v/>
      </c>
      <c r="AO40" s="318" t="str">
        <f t="shared" si="71"/>
        <v/>
      </c>
      <c r="AP40" s="239"/>
      <c r="AQ40" s="319" t="str">
        <f t="shared" si="95"/>
        <v/>
      </c>
      <c r="AR40" s="318" t="str">
        <f t="shared" si="72"/>
        <v/>
      </c>
      <c r="AS40" s="239"/>
      <c r="AT40" s="319" t="str">
        <f t="shared" si="96"/>
        <v/>
      </c>
      <c r="AU40" s="304">
        <f t="shared" si="73"/>
        <v>0</v>
      </c>
      <c r="AV40" s="531"/>
      <c r="AW40" s="325">
        <f t="shared" si="97"/>
        <v>0</v>
      </c>
      <c r="AX40" s="324">
        <f t="shared" si="74"/>
        <v>0</v>
      </c>
      <c r="AY40" s="532"/>
      <c r="AZ40" s="326">
        <f t="shared" si="98"/>
        <v>0</v>
      </c>
      <c r="BA40" s="326">
        <f t="shared" si="75"/>
        <v>0</v>
      </c>
      <c r="BB40" s="532"/>
      <c r="BC40" s="326">
        <f t="shared" si="99"/>
        <v>0</v>
      </c>
      <c r="BD40" s="326">
        <f t="shared" si="76"/>
        <v>0</v>
      </c>
      <c r="BE40" s="532"/>
      <c r="BF40" s="326">
        <f t="shared" si="100"/>
        <v>0</v>
      </c>
      <c r="BG40" s="326">
        <f t="shared" si="77"/>
        <v>0</v>
      </c>
      <c r="BH40" s="532"/>
      <c r="BI40" s="326">
        <f t="shared" si="101"/>
        <v>0</v>
      </c>
      <c r="BJ40" s="326">
        <f t="shared" si="78"/>
        <v>0</v>
      </c>
      <c r="BK40" s="532"/>
      <c r="BL40" s="326">
        <f t="shared" si="102"/>
        <v>0</v>
      </c>
      <c r="BM40" s="307">
        <f t="shared" si="103"/>
        <v>0</v>
      </c>
      <c r="BN40" s="327">
        <f t="shared" si="104"/>
        <v>0</v>
      </c>
      <c r="BO40" s="358"/>
      <c r="BP40" s="324">
        <f t="shared" si="79"/>
        <v>0</v>
      </c>
      <c r="BQ40" s="531"/>
      <c r="BR40" s="328">
        <f t="shared" si="105"/>
        <v>0</v>
      </c>
      <c r="BS40" s="326">
        <f t="shared" si="80"/>
        <v>0</v>
      </c>
      <c r="BT40" s="532"/>
      <c r="BU40" s="326">
        <f t="shared" si="106"/>
        <v>0</v>
      </c>
      <c r="BV40" s="326">
        <f t="shared" si="81"/>
        <v>0</v>
      </c>
      <c r="BW40" s="532"/>
      <c r="BX40" s="326">
        <f t="shared" si="107"/>
        <v>0</v>
      </c>
      <c r="BY40" s="326">
        <f t="shared" si="82"/>
        <v>0</v>
      </c>
      <c r="BZ40" s="532"/>
      <c r="CA40" s="326">
        <f t="shared" si="108"/>
        <v>0</v>
      </c>
      <c r="CB40" s="326">
        <f t="shared" si="83"/>
        <v>0</v>
      </c>
      <c r="CC40" s="532"/>
      <c r="CD40" s="326">
        <f t="shared" si="109"/>
        <v>0</v>
      </c>
      <c r="CE40" s="307">
        <f t="shared" si="110"/>
        <v>0</v>
      </c>
      <c r="CF40" s="324">
        <f t="shared" si="84"/>
        <v>0</v>
      </c>
      <c r="CG40" s="532"/>
      <c r="CH40" s="329">
        <f t="shared" si="111"/>
        <v>0</v>
      </c>
      <c r="CI40" s="313"/>
      <c r="CJ40" s="330">
        <f t="shared" si="112"/>
        <v>0</v>
      </c>
      <c r="CK40" s="324">
        <f t="shared" si="85"/>
        <v>0</v>
      </c>
      <c r="CL40" s="531"/>
      <c r="CM40" s="325">
        <f t="shared" si="113"/>
        <v>0</v>
      </c>
      <c r="CN40" s="324">
        <f t="shared" si="86"/>
        <v>0</v>
      </c>
      <c r="CO40" s="527"/>
      <c r="CP40" s="362">
        <f t="shared" si="114"/>
        <v>0</v>
      </c>
      <c r="CQ40" s="315">
        <f t="shared" si="115"/>
        <v>0</v>
      </c>
      <c r="CR40" s="318" t="str">
        <f t="shared" si="87"/>
        <v/>
      </c>
      <c r="CS40" s="239"/>
      <c r="CT40" s="319" t="str">
        <f t="shared" si="116"/>
        <v/>
      </c>
      <c r="CU40" s="318" t="str">
        <f t="shared" si="88"/>
        <v/>
      </c>
      <c r="CV40" s="239"/>
      <c r="CW40" s="319" t="str">
        <f t="shared" si="117"/>
        <v/>
      </c>
      <c r="CX40" s="331" t="str">
        <f t="shared" si="118"/>
        <v/>
      </c>
      <c r="CY40" s="533"/>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5" t="str">
        <f t="shared" si="90"/>
        <v/>
      </c>
    </row>
    <row r="41" spans="2:128" ht="30" customHeight="1" x14ac:dyDescent="0.25">
      <c r="B41" s="876"/>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9"/>
      <c r="AN41" s="361" t="str">
        <f t="shared" si="71"/>
        <v/>
      </c>
      <c r="AO41" s="318" t="str">
        <f t="shared" si="71"/>
        <v/>
      </c>
      <c r="AP41" s="239"/>
      <c r="AQ41" s="319" t="str">
        <f t="shared" si="95"/>
        <v/>
      </c>
      <c r="AR41" s="318" t="str">
        <f t="shared" si="72"/>
        <v/>
      </c>
      <c r="AS41" s="239"/>
      <c r="AT41" s="319" t="str">
        <f t="shared" si="96"/>
        <v/>
      </c>
      <c r="AU41" s="304">
        <f t="shared" si="73"/>
        <v>0</v>
      </c>
      <c r="AV41" s="531"/>
      <c r="AW41" s="325">
        <f t="shared" si="97"/>
        <v>0</v>
      </c>
      <c r="AX41" s="324">
        <f t="shared" si="74"/>
        <v>0</v>
      </c>
      <c r="AY41" s="532"/>
      <c r="AZ41" s="326">
        <f t="shared" si="98"/>
        <v>0</v>
      </c>
      <c r="BA41" s="326">
        <f t="shared" si="75"/>
        <v>0</v>
      </c>
      <c r="BB41" s="532"/>
      <c r="BC41" s="326">
        <f t="shared" si="99"/>
        <v>0</v>
      </c>
      <c r="BD41" s="326">
        <f t="shared" si="76"/>
        <v>0</v>
      </c>
      <c r="BE41" s="532"/>
      <c r="BF41" s="326">
        <f t="shared" si="100"/>
        <v>0</v>
      </c>
      <c r="BG41" s="326">
        <f t="shared" si="77"/>
        <v>0</v>
      </c>
      <c r="BH41" s="532"/>
      <c r="BI41" s="326">
        <f t="shared" si="101"/>
        <v>0</v>
      </c>
      <c r="BJ41" s="326">
        <f t="shared" si="78"/>
        <v>0</v>
      </c>
      <c r="BK41" s="532"/>
      <c r="BL41" s="326">
        <f t="shared" si="102"/>
        <v>0</v>
      </c>
      <c r="BM41" s="307">
        <f t="shared" si="103"/>
        <v>0</v>
      </c>
      <c r="BN41" s="327">
        <f t="shared" si="104"/>
        <v>0</v>
      </c>
      <c r="BO41" s="358"/>
      <c r="BP41" s="363">
        <f t="shared" si="79"/>
        <v>0</v>
      </c>
      <c r="BQ41" s="541"/>
      <c r="BR41" s="364">
        <f t="shared" si="105"/>
        <v>0</v>
      </c>
      <c r="BS41" s="365">
        <f t="shared" si="80"/>
        <v>0</v>
      </c>
      <c r="BT41" s="542"/>
      <c r="BU41" s="365">
        <f t="shared" si="106"/>
        <v>0</v>
      </c>
      <c r="BV41" s="365">
        <f t="shared" si="81"/>
        <v>0</v>
      </c>
      <c r="BW41" s="542"/>
      <c r="BX41" s="365">
        <f t="shared" si="107"/>
        <v>0</v>
      </c>
      <c r="BY41" s="365">
        <f t="shared" si="82"/>
        <v>0</v>
      </c>
      <c r="BZ41" s="542"/>
      <c r="CA41" s="365">
        <f t="shared" si="108"/>
        <v>0</v>
      </c>
      <c r="CB41" s="365">
        <f t="shared" si="83"/>
        <v>0</v>
      </c>
      <c r="CC41" s="542"/>
      <c r="CD41" s="365">
        <f t="shared" si="109"/>
        <v>0</v>
      </c>
      <c r="CE41" s="307">
        <f t="shared" si="110"/>
        <v>0</v>
      </c>
      <c r="CF41" s="324">
        <f t="shared" si="84"/>
        <v>0</v>
      </c>
      <c r="CG41" s="532"/>
      <c r="CH41" s="329">
        <f t="shared" si="111"/>
        <v>0</v>
      </c>
      <c r="CI41" s="313"/>
      <c r="CJ41" s="330">
        <f t="shared" si="112"/>
        <v>0</v>
      </c>
      <c r="CK41" s="324">
        <f t="shared" si="85"/>
        <v>0</v>
      </c>
      <c r="CL41" s="531"/>
      <c r="CM41" s="325">
        <f t="shared" si="113"/>
        <v>0</v>
      </c>
      <c r="CN41" s="324">
        <f t="shared" si="86"/>
        <v>0</v>
      </c>
      <c r="CO41" s="527"/>
      <c r="CP41" s="362">
        <f t="shared" si="114"/>
        <v>0</v>
      </c>
      <c r="CQ41" s="315">
        <f t="shared" si="115"/>
        <v>0</v>
      </c>
      <c r="CR41" s="318" t="str">
        <f t="shared" si="87"/>
        <v/>
      </c>
      <c r="CS41" s="239"/>
      <c r="CT41" s="319" t="str">
        <f t="shared" si="116"/>
        <v/>
      </c>
      <c r="CU41" s="318" t="str">
        <f t="shared" si="88"/>
        <v/>
      </c>
      <c r="CV41" s="239"/>
      <c r="CW41" s="319" t="str">
        <f t="shared" si="117"/>
        <v/>
      </c>
      <c r="CX41" s="331" t="str">
        <f t="shared" si="118"/>
        <v/>
      </c>
      <c r="CY41" s="533"/>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5" t="str">
        <f t="shared" si="90"/>
        <v/>
      </c>
    </row>
    <row r="42" spans="2:128" ht="30" customHeight="1" x14ac:dyDescent="0.25">
      <c r="B42" s="876"/>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9"/>
      <c r="AN42" s="361" t="str">
        <f t="shared" si="71"/>
        <v/>
      </c>
      <c r="AO42" s="318" t="str">
        <f t="shared" si="71"/>
        <v/>
      </c>
      <c r="AP42" s="239"/>
      <c r="AQ42" s="319" t="str">
        <f t="shared" si="95"/>
        <v/>
      </c>
      <c r="AR42" s="318" t="str">
        <f t="shared" si="72"/>
        <v/>
      </c>
      <c r="AS42" s="239"/>
      <c r="AT42" s="319" t="str">
        <f t="shared" si="96"/>
        <v/>
      </c>
      <c r="AU42" s="304">
        <f t="shared" si="73"/>
        <v>0</v>
      </c>
      <c r="AV42" s="531"/>
      <c r="AW42" s="325">
        <f t="shared" si="97"/>
        <v>0</v>
      </c>
      <c r="AX42" s="324">
        <f t="shared" si="74"/>
        <v>0</v>
      </c>
      <c r="AY42" s="532"/>
      <c r="AZ42" s="326">
        <f t="shared" si="98"/>
        <v>0</v>
      </c>
      <c r="BA42" s="326">
        <f t="shared" si="75"/>
        <v>0</v>
      </c>
      <c r="BB42" s="532"/>
      <c r="BC42" s="326">
        <f t="shared" si="99"/>
        <v>0</v>
      </c>
      <c r="BD42" s="326">
        <f t="shared" si="76"/>
        <v>0</v>
      </c>
      <c r="BE42" s="532"/>
      <c r="BF42" s="326">
        <f t="shared" si="100"/>
        <v>0</v>
      </c>
      <c r="BG42" s="326">
        <f t="shared" si="77"/>
        <v>0</v>
      </c>
      <c r="BH42" s="532"/>
      <c r="BI42" s="326">
        <f t="shared" si="101"/>
        <v>0</v>
      </c>
      <c r="BJ42" s="326">
        <f t="shared" si="78"/>
        <v>0</v>
      </c>
      <c r="BK42" s="532"/>
      <c r="BL42" s="326">
        <f t="shared" si="102"/>
        <v>0</v>
      </c>
      <c r="BM42" s="307">
        <f t="shared" si="103"/>
        <v>0</v>
      </c>
      <c r="BN42" s="327">
        <f t="shared" si="104"/>
        <v>0</v>
      </c>
      <c r="BO42" s="358"/>
      <c r="BP42" s="363">
        <f t="shared" si="79"/>
        <v>0</v>
      </c>
      <c r="BQ42" s="541"/>
      <c r="BR42" s="364">
        <f t="shared" si="105"/>
        <v>0</v>
      </c>
      <c r="BS42" s="365">
        <f t="shared" si="80"/>
        <v>0</v>
      </c>
      <c r="BT42" s="542"/>
      <c r="BU42" s="365">
        <f t="shared" si="106"/>
        <v>0</v>
      </c>
      <c r="BV42" s="365">
        <f t="shared" si="81"/>
        <v>0</v>
      </c>
      <c r="BW42" s="542"/>
      <c r="BX42" s="365">
        <f t="shared" si="107"/>
        <v>0</v>
      </c>
      <c r="BY42" s="365">
        <f t="shared" si="82"/>
        <v>0</v>
      </c>
      <c r="BZ42" s="542"/>
      <c r="CA42" s="365">
        <f t="shared" si="108"/>
        <v>0</v>
      </c>
      <c r="CB42" s="365">
        <f t="shared" si="83"/>
        <v>0</v>
      </c>
      <c r="CC42" s="542"/>
      <c r="CD42" s="365">
        <f t="shared" si="109"/>
        <v>0</v>
      </c>
      <c r="CE42" s="307">
        <f t="shared" si="110"/>
        <v>0</v>
      </c>
      <c r="CF42" s="324">
        <f t="shared" si="84"/>
        <v>0</v>
      </c>
      <c r="CG42" s="532"/>
      <c r="CH42" s="329">
        <f t="shared" si="111"/>
        <v>0</v>
      </c>
      <c r="CI42" s="313"/>
      <c r="CJ42" s="330">
        <f t="shared" si="112"/>
        <v>0</v>
      </c>
      <c r="CK42" s="324">
        <f t="shared" si="85"/>
        <v>0</v>
      </c>
      <c r="CL42" s="531"/>
      <c r="CM42" s="325">
        <f t="shared" si="113"/>
        <v>0</v>
      </c>
      <c r="CN42" s="324">
        <f t="shared" si="86"/>
        <v>0</v>
      </c>
      <c r="CO42" s="527"/>
      <c r="CP42" s="362">
        <f t="shared" si="114"/>
        <v>0</v>
      </c>
      <c r="CQ42" s="315">
        <f t="shared" si="115"/>
        <v>0</v>
      </c>
      <c r="CR42" s="318" t="str">
        <f t="shared" si="87"/>
        <v/>
      </c>
      <c r="CS42" s="239"/>
      <c r="CT42" s="319" t="str">
        <f t="shared" si="116"/>
        <v/>
      </c>
      <c r="CU42" s="318" t="str">
        <f t="shared" si="88"/>
        <v/>
      </c>
      <c r="CV42" s="239"/>
      <c r="CW42" s="319" t="str">
        <f t="shared" si="117"/>
        <v/>
      </c>
      <c r="CX42" s="331" t="str">
        <f t="shared" si="118"/>
        <v/>
      </c>
      <c r="CY42" s="533"/>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5" t="str">
        <f t="shared" si="90"/>
        <v/>
      </c>
    </row>
    <row r="43" spans="2:128" ht="30" customHeight="1" x14ac:dyDescent="0.25">
      <c r="B43" s="876"/>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9"/>
      <c r="AN43" s="361" t="str">
        <f t="shared" si="71"/>
        <v/>
      </c>
      <c r="AO43" s="318" t="str">
        <f t="shared" si="71"/>
        <v/>
      </c>
      <c r="AP43" s="239"/>
      <c r="AQ43" s="319" t="str">
        <f t="shared" si="95"/>
        <v/>
      </c>
      <c r="AR43" s="318" t="str">
        <f t="shared" si="72"/>
        <v/>
      </c>
      <c r="AS43" s="239"/>
      <c r="AT43" s="319" t="str">
        <f t="shared" si="96"/>
        <v/>
      </c>
      <c r="AU43" s="304">
        <f t="shared" si="73"/>
        <v>0</v>
      </c>
      <c r="AV43" s="531"/>
      <c r="AW43" s="325">
        <f t="shared" si="97"/>
        <v>0</v>
      </c>
      <c r="AX43" s="324">
        <f t="shared" si="74"/>
        <v>0</v>
      </c>
      <c r="AY43" s="532"/>
      <c r="AZ43" s="326">
        <f t="shared" si="98"/>
        <v>0</v>
      </c>
      <c r="BA43" s="326">
        <f t="shared" si="75"/>
        <v>0</v>
      </c>
      <c r="BB43" s="532"/>
      <c r="BC43" s="326">
        <f t="shared" si="99"/>
        <v>0</v>
      </c>
      <c r="BD43" s="326">
        <f t="shared" si="76"/>
        <v>0</v>
      </c>
      <c r="BE43" s="532"/>
      <c r="BF43" s="326">
        <f t="shared" si="100"/>
        <v>0</v>
      </c>
      <c r="BG43" s="326">
        <f t="shared" si="77"/>
        <v>0</v>
      </c>
      <c r="BH43" s="532"/>
      <c r="BI43" s="326">
        <f t="shared" si="101"/>
        <v>0</v>
      </c>
      <c r="BJ43" s="326">
        <f t="shared" si="78"/>
        <v>0</v>
      </c>
      <c r="BK43" s="532"/>
      <c r="BL43" s="326">
        <f t="shared" si="102"/>
        <v>0</v>
      </c>
      <c r="BM43" s="307">
        <f t="shared" si="103"/>
        <v>0</v>
      </c>
      <c r="BN43" s="327">
        <f t="shared" si="104"/>
        <v>0</v>
      </c>
      <c r="BO43" s="358"/>
      <c r="BP43" s="363">
        <f t="shared" si="79"/>
        <v>0</v>
      </c>
      <c r="BQ43" s="541"/>
      <c r="BR43" s="364">
        <f t="shared" si="105"/>
        <v>0</v>
      </c>
      <c r="BS43" s="365">
        <f t="shared" si="80"/>
        <v>0</v>
      </c>
      <c r="BT43" s="542"/>
      <c r="BU43" s="365">
        <f t="shared" si="106"/>
        <v>0</v>
      </c>
      <c r="BV43" s="365">
        <f t="shared" si="81"/>
        <v>0</v>
      </c>
      <c r="BW43" s="542"/>
      <c r="BX43" s="365">
        <f t="shared" si="107"/>
        <v>0</v>
      </c>
      <c r="BY43" s="365">
        <f t="shared" si="82"/>
        <v>0</v>
      </c>
      <c r="BZ43" s="542"/>
      <c r="CA43" s="365">
        <f t="shared" si="108"/>
        <v>0</v>
      </c>
      <c r="CB43" s="365">
        <f t="shared" si="83"/>
        <v>0</v>
      </c>
      <c r="CC43" s="542"/>
      <c r="CD43" s="365">
        <f t="shared" si="109"/>
        <v>0</v>
      </c>
      <c r="CE43" s="307">
        <f t="shared" si="110"/>
        <v>0</v>
      </c>
      <c r="CF43" s="324">
        <f t="shared" si="84"/>
        <v>0</v>
      </c>
      <c r="CG43" s="532"/>
      <c r="CH43" s="329">
        <f t="shared" si="111"/>
        <v>0</v>
      </c>
      <c r="CI43" s="313"/>
      <c r="CJ43" s="330">
        <f t="shared" si="112"/>
        <v>0</v>
      </c>
      <c r="CK43" s="324">
        <f t="shared" si="85"/>
        <v>0</v>
      </c>
      <c r="CL43" s="531"/>
      <c r="CM43" s="325">
        <f t="shared" si="113"/>
        <v>0</v>
      </c>
      <c r="CN43" s="324">
        <f t="shared" si="86"/>
        <v>0</v>
      </c>
      <c r="CO43" s="527"/>
      <c r="CP43" s="362">
        <f t="shared" si="114"/>
        <v>0</v>
      </c>
      <c r="CQ43" s="315">
        <f t="shared" si="115"/>
        <v>0</v>
      </c>
      <c r="CR43" s="318" t="str">
        <f t="shared" si="87"/>
        <v/>
      </c>
      <c r="CS43" s="239"/>
      <c r="CT43" s="319" t="str">
        <f t="shared" si="116"/>
        <v/>
      </c>
      <c r="CU43" s="318" t="str">
        <f t="shared" si="88"/>
        <v/>
      </c>
      <c r="CV43" s="239"/>
      <c r="CW43" s="319" t="str">
        <f t="shared" si="117"/>
        <v/>
      </c>
      <c r="CX43" s="331" t="str">
        <f t="shared" si="118"/>
        <v/>
      </c>
      <c r="CY43" s="533"/>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5" t="str">
        <f t="shared" si="90"/>
        <v/>
      </c>
    </row>
    <row r="44" spans="2:128" ht="30" customHeight="1" thickBot="1" x14ac:dyDescent="0.3">
      <c r="B44" s="876"/>
      <c r="C44" s="186"/>
      <c r="D44" s="187"/>
      <c r="E44" s="188"/>
      <c r="F44" s="55"/>
      <c r="G44" s="56"/>
      <c r="H44" s="56"/>
      <c r="I44" s="56"/>
      <c r="J44" s="56"/>
      <c r="K44" s="56"/>
      <c r="L44" s="30">
        <f t="shared" si="136"/>
        <v>0</v>
      </c>
      <c r="M44" s="189">
        <f t="shared" si="91"/>
        <v>0</v>
      </c>
      <c r="N44" s="40"/>
      <c r="O44" s="57"/>
      <c r="P44" s="58"/>
      <c r="Q44" s="58"/>
      <c r="R44" s="58"/>
      <c r="S44" s="58"/>
      <c r="T44" s="29">
        <f t="shared" si="92"/>
        <v>0</v>
      </c>
      <c r="U44" s="81"/>
      <c r="V44" s="27"/>
      <c r="W44" s="190">
        <f t="shared" si="93"/>
        <v>0</v>
      </c>
      <c r="X44" s="55"/>
      <c r="Y44" s="56"/>
      <c r="Z44" s="191">
        <f t="shared" si="94"/>
        <v>0</v>
      </c>
      <c r="AA44" s="178"/>
      <c r="AB44" s="176"/>
      <c r="AC44" s="72"/>
      <c r="AD44" s="73"/>
      <c r="AE44" s="192"/>
      <c r="AG44" s="6">
        <f>IF(AND(AA44&lt;&gt;"",OR(AA44&lt;EXPEDIENTE!$I$25,AA44&gt;EXPEDIENTE!$I$29)),1,0)</f>
        <v>0</v>
      </c>
      <c r="AH44" s="6">
        <f>IF(AND(AB44&lt;&gt;"",OR(AB44&lt;EXPEDIENTE!$I$25,AB44&gt;EXPEDIENTE!$I$29)),1,0)</f>
        <v>0</v>
      </c>
      <c r="AM44" s="729"/>
      <c r="AN44" s="366" t="str">
        <f t="shared" si="71"/>
        <v/>
      </c>
      <c r="AO44" s="343" t="str">
        <f t="shared" si="71"/>
        <v/>
      </c>
      <c r="AP44" s="251"/>
      <c r="AQ44" s="344" t="str">
        <f t="shared" si="95"/>
        <v/>
      </c>
      <c r="AR44" s="343" t="str">
        <f t="shared" si="72"/>
        <v/>
      </c>
      <c r="AS44" s="251"/>
      <c r="AT44" s="344" t="str">
        <f t="shared" si="96"/>
        <v/>
      </c>
      <c r="AU44" s="367">
        <f t="shared" si="73"/>
        <v>0</v>
      </c>
      <c r="AV44" s="535"/>
      <c r="AW44" s="335">
        <f t="shared" si="97"/>
        <v>0</v>
      </c>
      <c r="AX44" s="334">
        <f t="shared" si="74"/>
        <v>0</v>
      </c>
      <c r="AY44" s="536"/>
      <c r="AZ44" s="336">
        <f t="shared" si="98"/>
        <v>0</v>
      </c>
      <c r="BA44" s="336">
        <f t="shared" si="75"/>
        <v>0</v>
      </c>
      <c r="BB44" s="536"/>
      <c r="BC44" s="336">
        <f t="shared" si="99"/>
        <v>0</v>
      </c>
      <c r="BD44" s="336">
        <f t="shared" si="76"/>
        <v>0</v>
      </c>
      <c r="BE44" s="536"/>
      <c r="BF44" s="336">
        <f t="shared" si="100"/>
        <v>0</v>
      </c>
      <c r="BG44" s="336">
        <f t="shared" si="77"/>
        <v>0</v>
      </c>
      <c r="BH44" s="536"/>
      <c r="BI44" s="336">
        <f t="shared" si="101"/>
        <v>0</v>
      </c>
      <c r="BJ44" s="336">
        <f t="shared" si="78"/>
        <v>0</v>
      </c>
      <c r="BK44" s="536"/>
      <c r="BL44" s="336">
        <f t="shared" si="102"/>
        <v>0</v>
      </c>
      <c r="BM44" s="337">
        <f t="shared" si="103"/>
        <v>0</v>
      </c>
      <c r="BN44" s="338">
        <f t="shared" si="104"/>
        <v>0</v>
      </c>
      <c r="BO44" s="358"/>
      <c r="BP44" s="334">
        <f t="shared" si="79"/>
        <v>0</v>
      </c>
      <c r="BQ44" s="535"/>
      <c r="BR44" s="339">
        <f t="shared" si="105"/>
        <v>0</v>
      </c>
      <c r="BS44" s="336">
        <f t="shared" si="80"/>
        <v>0</v>
      </c>
      <c r="BT44" s="536"/>
      <c r="BU44" s="336">
        <f t="shared" si="106"/>
        <v>0</v>
      </c>
      <c r="BV44" s="336">
        <f t="shared" si="81"/>
        <v>0</v>
      </c>
      <c r="BW44" s="536"/>
      <c r="BX44" s="336">
        <f t="shared" si="107"/>
        <v>0</v>
      </c>
      <c r="BY44" s="336">
        <f t="shared" si="82"/>
        <v>0</v>
      </c>
      <c r="BZ44" s="536"/>
      <c r="CA44" s="336">
        <f t="shared" si="108"/>
        <v>0</v>
      </c>
      <c r="CB44" s="336">
        <f t="shared" si="83"/>
        <v>0</v>
      </c>
      <c r="CC44" s="536"/>
      <c r="CD44" s="336">
        <f t="shared" si="109"/>
        <v>0</v>
      </c>
      <c r="CE44" s="337">
        <f t="shared" si="110"/>
        <v>0</v>
      </c>
      <c r="CF44" s="334">
        <f t="shared" si="84"/>
        <v>0</v>
      </c>
      <c r="CG44" s="536"/>
      <c r="CH44" s="340">
        <f t="shared" si="111"/>
        <v>0</v>
      </c>
      <c r="CI44" s="313"/>
      <c r="CJ44" s="338">
        <f t="shared" si="112"/>
        <v>0</v>
      </c>
      <c r="CK44" s="334">
        <f t="shared" si="85"/>
        <v>0</v>
      </c>
      <c r="CL44" s="535"/>
      <c r="CM44" s="335">
        <f t="shared" si="113"/>
        <v>0</v>
      </c>
      <c r="CN44" s="334">
        <f t="shared" si="86"/>
        <v>0</v>
      </c>
      <c r="CO44" s="543"/>
      <c r="CP44" s="368">
        <f t="shared" si="114"/>
        <v>0</v>
      </c>
      <c r="CQ44" s="369">
        <f t="shared" si="115"/>
        <v>0</v>
      </c>
      <c r="CR44" s="343" t="str">
        <f t="shared" si="87"/>
        <v/>
      </c>
      <c r="CS44" s="251"/>
      <c r="CT44" s="344" t="str">
        <f t="shared" si="116"/>
        <v/>
      </c>
      <c r="CU44" s="343" t="str">
        <f t="shared" si="88"/>
        <v/>
      </c>
      <c r="CV44" s="251"/>
      <c r="CW44" s="344" t="str">
        <f t="shared" si="117"/>
        <v/>
      </c>
      <c r="CX44" s="345" t="str">
        <f t="shared" si="118"/>
        <v/>
      </c>
      <c r="CY44" s="538"/>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5" t="str">
        <f t="shared" si="90"/>
        <v/>
      </c>
    </row>
    <row r="45" spans="2:128" ht="9.9499999999999993" customHeight="1" thickBot="1" x14ac:dyDescent="0.3">
      <c r="B45" s="876"/>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729"/>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46"/>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876"/>
      <c r="C46" s="834" t="str">
        <f>CONCATENATE("SEGURIDAD SOCIAL EMPRESA EJERCICIO ",YEAR(EXPEDIENTE!F25)+3)</f>
        <v>SEGURIDAD SOCIAL EMPRESA EJERCICIO 2027</v>
      </c>
      <c r="D46" s="834"/>
      <c r="E46" s="834"/>
      <c r="F46" s="834"/>
      <c r="G46" s="834"/>
      <c r="H46" s="834"/>
      <c r="I46" s="834"/>
      <c r="J46" s="834"/>
      <c r="K46" s="834"/>
      <c r="L46" s="834"/>
      <c r="M46" s="835"/>
      <c r="AM46" s="729"/>
      <c r="AN46" s="809" t="str">
        <f>CONCATENATE("SEGURIDAD SOCIAL EMPRESA EJERCICIO ",YEAR(EXPEDIENTE!$F$25)+3)</f>
        <v>SEGURIDAD SOCIAL EMPRESA EJERCICIO 2027</v>
      </c>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97"/>
      <c r="CY46" s="124"/>
      <c r="CZ46" s="6"/>
      <c r="DB46" s="4"/>
    </row>
    <row r="47" spans="2:128" ht="20.100000000000001" customHeight="1" thickTop="1" thickBot="1" x14ac:dyDescent="0.3">
      <c r="B47" s="876"/>
      <c r="C47" s="840" t="s">
        <v>76</v>
      </c>
      <c r="D47" s="744" t="str">
        <f>IF(OR(SUM(T20:T31)&gt;0,SUM(T37:T44)&gt;0),"BASE
COTIZACIÓN
SUBVENCIO.","BASE
COTIZACIÓN")</f>
        <v>BASE
COTIZACIÓN</v>
      </c>
      <c r="E47" s="744" t="s">
        <v>187</v>
      </c>
      <c r="F47" s="744" t="s">
        <v>188</v>
      </c>
      <c r="G47" s="744" t="s">
        <v>74</v>
      </c>
      <c r="H47" s="744" t="s">
        <v>189</v>
      </c>
      <c r="I47" s="842" t="s">
        <v>75</v>
      </c>
      <c r="J47" s="845" t="s">
        <v>67</v>
      </c>
      <c r="K47" s="845"/>
      <c r="L47" s="845"/>
      <c r="M47" s="846"/>
      <c r="AM47" s="729"/>
      <c r="AN47" s="718" t="s">
        <v>76</v>
      </c>
      <c r="AO47" s="736" t="s">
        <v>310</v>
      </c>
      <c r="AP47" s="737"/>
      <c r="AQ47" s="738"/>
      <c r="AR47" s="739" t="s">
        <v>187</v>
      </c>
      <c r="AS47" s="720"/>
      <c r="AT47" s="721"/>
      <c r="AU47" s="898" t="s">
        <v>314</v>
      </c>
      <c r="AV47" s="899"/>
      <c r="AW47" s="900"/>
      <c r="AX47" s="901" t="s">
        <v>315</v>
      </c>
      <c r="AY47" s="902"/>
      <c r="AZ47" s="903"/>
      <c r="BA47" s="739" t="s">
        <v>189</v>
      </c>
      <c r="BB47" s="720"/>
      <c r="BC47" s="721"/>
      <c r="BD47" s="914" t="s">
        <v>316</v>
      </c>
      <c r="BE47" s="915"/>
      <c r="BF47" s="916"/>
      <c r="BG47" s="373"/>
      <c r="BH47" s="766"/>
      <c r="BI47" s="766"/>
      <c r="BJ47" s="766"/>
      <c r="BK47" s="766"/>
      <c r="BL47" s="766"/>
      <c r="BM47" s="766"/>
      <c r="BN47" s="766"/>
      <c r="BO47" s="766"/>
      <c r="BP47" s="766"/>
      <c r="BQ47" s="766"/>
      <c r="BR47" s="766"/>
      <c r="BS47" s="904"/>
      <c r="DA47" s="4"/>
      <c r="DB47" s="4"/>
      <c r="DC47" s="6"/>
    </row>
    <row r="48" spans="2:128" ht="50.1" customHeight="1" thickBot="1" x14ac:dyDescent="0.3">
      <c r="B48" s="876"/>
      <c r="C48" s="841"/>
      <c r="D48" s="746"/>
      <c r="E48" s="746"/>
      <c r="F48" s="746"/>
      <c r="G48" s="746"/>
      <c r="H48" s="746"/>
      <c r="I48" s="843"/>
      <c r="J48" s="848"/>
      <c r="K48" s="848"/>
      <c r="L48" s="848"/>
      <c r="M48" s="849"/>
      <c r="AM48" s="729"/>
      <c r="AN48" s="719"/>
      <c r="AO48" s="287" t="s">
        <v>271</v>
      </c>
      <c r="AP48" s="354" t="s">
        <v>246</v>
      </c>
      <c r="AQ48" s="289" t="s">
        <v>272</v>
      </c>
      <c r="AR48" s="740"/>
      <c r="AS48" s="720"/>
      <c r="AT48" s="721"/>
      <c r="AU48" s="374" t="s">
        <v>271</v>
      </c>
      <c r="AV48" s="375" t="s">
        <v>246</v>
      </c>
      <c r="AW48" s="376" t="s">
        <v>272</v>
      </c>
      <c r="AX48" s="374" t="s">
        <v>271</v>
      </c>
      <c r="AY48" s="377" t="s">
        <v>246</v>
      </c>
      <c r="AZ48" s="376" t="s">
        <v>272</v>
      </c>
      <c r="BA48" s="740"/>
      <c r="BB48" s="720"/>
      <c r="BC48" s="721"/>
      <c r="BD48" s="374" t="s">
        <v>271</v>
      </c>
      <c r="BE48" s="377" t="s">
        <v>246</v>
      </c>
      <c r="BF48" s="376" t="s">
        <v>272</v>
      </c>
      <c r="BG48" s="299" t="s">
        <v>322</v>
      </c>
      <c r="BH48" s="905" t="s">
        <v>344</v>
      </c>
      <c r="BI48" s="906"/>
      <c r="BJ48" s="906"/>
      <c r="BK48" s="906"/>
      <c r="BL48" s="906"/>
      <c r="BM48" s="906"/>
      <c r="BN48" s="906"/>
      <c r="BO48" s="906"/>
      <c r="BP48" s="906"/>
      <c r="BQ48" s="906"/>
      <c r="BR48" s="906"/>
      <c r="BS48" s="907"/>
      <c r="DA48" s="4"/>
      <c r="DB48" s="4"/>
      <c r="DD48" s="88" t="s">
        <v>323</v>
      </c>
      <c r="DE48" s="88" t="s">
        <v>341</v>
      </c>
      <c r="DF48" s="88" t="s">
        <v>325</v>
      </c>
      <c r="DG48" s="88" t="s">
        <v>326</v>
      </c>
      <c r="DH48" s="88" t="s">
        <v>328</v>
      </c>
      <c r="DU48" s="4"/>
    </row>
    <row r="49" spans="2:128" ht="30" customHeight="1" x14ac:dyDescent="0.25">
      <c r="B49" s="876"/>
      <c r="C49" s="45" t="s">
        <v>45</v>
      </c>
      <c r="D49" s="51"/>
      <c r="E49" s="23">
        <f>ROUND(D49*$F$14,2)</f>
        <v>0</v>
      </c>
      <c r="F49" s="51"/>
      <c r="G49" s="51"/>
      <c r="H49" s="106">
        <f>E49+F49-G49</f>
        <v>0</v>
      </c>
      <c r="I49" s="108"/>
      <c r="J49" s="921"/>
      <c r="K49" s="837"/>
      <c r="L49" s="837"/>
      <c r="M49" s="838"/>
      <c r="N49" s="731" t="str">
        <f>IF(OR(SUM(T20:T31)&gt;0,SUM(T37:T44)&gt;0),"NOTA:
Se ha minorado el importe subvencionable de alguna de las nóminas del ejercicio.
En consecuencia, en la columna:
''BASE
COTIZACIÓN
SUBVENCIO.''
se deberá reflejar la base de cotización mensual restándole dicha minoración.","")</f>
        <v/>
      </c>
      <c r="O49" s="732"/>
      <c r="P49" s="732"/>
      <c r="AG49" s="6">
        <f>IF(AND(I49&lt;&gt;"",OR(I49&lt;EXPEDIENTE!$I$25,I49&gt;EXPEDIENTE!$I$29)),1,0)</f>
        <v>0</v>
      </c>
      <c r="AI49" s="6">
        <f>IF(DATE(YEAR(EXPEDIENTE!$I$25)+3,MONTH(DATEVALUE($C49&amp;"1")),1)&gt;=DATE(YEAR(EXPEDIENTE!$I$25),MONTH(EXPEDIENTE!$I$25),1),0,1)</f>
        <v>0</v>
      </c>
      <c r="AJ49" s="6" t="e">
        <f>IF(DATE(YEAR(EXPEDIENTE!$I$25)+3,MONTH(DATEVALUE($C49&amp;"1")),1)&lt;=DATE(YEAR(EXPEDIENTE!$I$27),MONTH(EXPEDIENTE!$I$27),1),0,1)</f>
        <v>#VALUE!</v>
      </c>
      <c r="AK49" s="6" t="e">
        <f>SUM(AI49:AJ49)</f>
        <v>#VALUE!</v>
      </c>
      <c r="AM49" s="729"/>
      <c r="AN49" s="301" t="s">
        <v>45</v>
      </c>
      <c r="AO49" s="311">
        <f>IF(D49="",0,D49)</f>
        <v>0</v>
      </c>
      <c r="AP49" s="528"/>
      <c r="AQ49" s="312">
        <f>IF(AP49="",AO49,AP49)</f>
        <v>0</v>
      </c>
      <c r="AR49" s="314">
        <f t="shared" ref="AR49:AR60" si="139">IFERROR(ROUND(AQ49*$AT$14,2),0)</f>
        <v>0</v>
      </c>
      <c r="AS49" s="720"/>
      <c r="AT49" s="721"/>
      <c r="AU49" s="311">
        <f>IF(F49="",0,F49)</f>
        <v>0</v>
      </c>
      <c r="AV49" s="528"/>
      <c r="AW49" s="312">
        <f>IF(AV49="",AU49,AV49)</f>
        <v>0</v>
      </c>
      <c r="AX49" s="304">
        <f>IF(G49="",0,G49)</f>
        <v>0</v>
      </c>
      <c r="AY49" s="527"/>
      <c r="AZ49" s="362">
        <f>IF(AY49="",AX49,AY49)</f>
        <v>0</v>
      </c>
      <c r="BA49" s="378">
        <f t="shared" ref="BA49:BA60" si="140">IFERROR(AR49+AW49-AZ49,0)</f>
        <v>0</v>
      </c>
      <c r="BB49" s="720"/>
      <c r="BC49" s="721"/>
      <c r="BD49" s="356" t="str">
        <f t="shared" ref="BD49:BD60" si="141">IF(I49="","",I49)</f>
        <v/>
      </c>
      <c r="BE49" s="230"/>
      <c r="BF49" s="357" t="str">
        <f>IF(BE49="",BD49,BE49)</f>
        <v/>
      </c>
      <c r="BG49" s="320" t="str">
        <f>IF(DD49=0,"",DD49)</f>
        <v/>
      </c>
      <c r="BH49" s="908"/>
      <c r="BI49" s="909"/>
      <c r="BJ49" s="909"/>
      <c r="BK49" s="909"/>
      <c r="BL49" s="909"/>
      <c r="BM49" s="909"/>
      <c r="BN49" s="909"/>
      <c r="BO49" s="909"/>
      <c r="BP49" s="909"/>
      <c r="BQ49" s="909"/>
      <c r="BR49" s="909"/>
      <c r="BS49" s="910"/>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876"/>
      <c r="C50" s="46" t="s">
        <v>46</v>
      </c>
      <c r="D50" s="54"/>
      <c r="E50" s="23">
        <f t="shared" ref="E50:E60" si="144">ROUND(D50*$F$14,2)</f>
        <v>0</v>
      </c>
      <c r="F50" s="54"/>
      <c r="G50" s="54"/>
      <c r="H50" s="107">
        <f t="shared" ref="H50:H60" si="145">E50+F50-G50</f>
        <v>0</v>
      </c>
      <c r="I50" s="82"/>
      <c r="J50" s="917"/>
      <c r="K50" s="726"/>
      <c r="L50" s="726"/>
      <c r="M50" s="727"/>
      <c r="N50" s="731"/>
      <c r="O50" s="732"/>
      <c r="P50" s="732"/>
      <c r="AG50" s="6">
        <f>IF(AND(I50&lt;&gt;"",OR(I50&lt;EXPEDIENTE!$I$25,I50&gt;EXPEDIENTE!$I$29)),1,0)</f>
        <v>0</v>
      </c>
      <c r="AI50" s="6">
        <f>IF(DATE(YEAR(EXPEDIENTE!$I$25)+3,MONTH(DATEVALUE($C50&amp;"1")),1)&gt;=DATE(YEAR(EXPEDIENTE!$I$25),MONTH(EXPEDIENTE!$I$25),1),0,1)</f>
        <v>0</v>
      </c>
      <c r="AJ50" s="6" t="e">
        <f>IF(DATE(YEAR(EXPEDIENTE!$I$25)+3,MONTH(DATEVALUE($C50&amp;"1")),1)&lt;=DATE(YEAR(EXPEDIENTE!$I$27),MONTH(EXPEDIENTE!$I$27),1),0,1)</f>
        <v>#VALUE!</v>
      </c>
      <c r="AK50" s="6" t="e">
        <f t="shared" ref="AK50:AK60" si="146">SUM(AI50:AJ50)</f>
        <v>#VALUE!</v>
      </c>
      <c r="AM50" s="729"/>
      <c r="AN50" s="321" t="s">
        <v>46</v>
      </c>
      <c r="AO50" s="324">
        <f t="shared" ref="AO50:AO60" si="147">IF(D50="",0,D50)</f>
        <v>0</v>
      </c>
      <c r="AP50" s="532"/>
      <c r="AQ50" s="329">
        <f t="shared" ref="AQ50:AQ60" si="148">IF(AP50="",AO50,AP50)</f>
        <v>0</v>
      </c>
      <c r="AR50" s="330">
        <f t="shared" si="139"/>
        <v>0</v>
      </c>
      <c r="AS50" s="720"/>
      <c r="AT50" s="721"/>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0"/>
        <v>0</v>
      </c>
      <c r="BB50" s="720"/>
      <c r="BC50" s="721"/>
      <c r="BD50" s="316" t="str">
        <f t="shared" si="141"/>
        <v/>
      </c>
      <c r="BE50" s="539"/>
      <c r="BF50" s="317" t="str">
        <f t="shared" ref="BF50:BF60" si="153">IF(BE50="",BD50,BE50)</f>
        <v/>
      </c>
      <c r="BG50" s="380" t="str">
        <f t="shared" ref="BG50:BG60" si="154">IF(DD50=0,"",DD50)</f>
        <v/>
      </c>
      <c r="BH50" s="893"/>
      <c r="BI50" s="787"/>
      <c r="BJ50" s="787"/>
      <c r="BK50" s="787"/>
      <c r="BL50" s="787"/>
      <c r="BM50" s="787"/>
      <c r="BN50" s="787"/>
      <c r="BO50" s="787"/>
      <c r="BP50" s="787"/>
      <c r="BQ50" s="787"/>
      <c r="BR50" s="787"/>
      <c r="BS50" s="788"/>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5" t="str">
        <f t="shared" ref="DX50:DX60" si="158">IF(DW50=0,"",BH50)</f>
        <v/>
      </c>
    </row>
    <row r="51" spans="2:128" ht="30" customHeight="1" x14ac:dyDescent="0.25">
      <c r="B51" s="876"/>
      <c r="C51" s="46" t="s">
        <v>47</v>
      </c>
      <c r="D51" s="54"/>
      <c r="E51" s="23">
        <f t="shared" si="144"/>
        <v>0</v>
      </c>
      <c r="F51" s="54"/>
      <c r="G51" s="54"/>
      <c r="H51" s="107">
        <f t="shared" si="145"/>
        <v>0</v>
      </c>
      <c r="I51" s="82"/>
      <c r="J51" s="917"/>
      <c r="K51" s="726"/>
      <c r="L51" s="726"/>
      <c r="M51" s="727"/>
      <c r="N51" s="731"/>
      <c r="O51" s="732"/>
      <c r="P51" s="732"/>
      <c r="AG51" s="6">
        <f>IF(AND(I51&lt;&gt;"",OR(I51&lt;EXPEDIENTE!$I$25,I51&gt;EXPEDIENTE!$I$29)),1,0)</f>
        <v>0</v>
      </c>
      <c r="AI51" s="6">
        <f>IF(DATE(YEAR(EXPEDIENTE!$I$25)+3,MONTH(DATEVALUE($C51&amp;"1")),1)&gt;=DATE(YEAR(EXPEDIENTE!$I$25),MONTH(EXPEDIENTE!$I$25),1),0,1)</f>
        <v>0</v>
      </c>
      <c r="AJ51" s="6" t="e">
        <f>IF(DATE(YEAR(EXPEDIENTE!$I$25)+3,MONTH(DATEVALUE($C51&amp;"1")),1)&lt;=DATE(YEAR(EXPEDIENTE!$I$27),MONTH(EXPEDIENTE!$I$27),1),0,1)</f>
        <v>#VALUE!</v>
      </c>
      <c r="AK51" s="6" t="e">
        <f t="shared" si="146"/>
        <v>#VALUE!</v>
      </c>
      <c r="AM51" s="729"/>
      <c r="AN51" s="321" t="s">
        <v>47</v>
      </c>
      <c r="AO51" s="324">
        <f t="shared" si="147"/>
        <v>0</v>
      </c>
      <c r="AP51" s="532"/>
      <c r="AQ51" s="329">
        <f t="shared" si="148"/>
        <v>0</v>
      </c>
      <c r="AR51" s="330">
        <f t="shared" si="139"/>
        <v>0</v>
      </c>
      <c r="AS51" s="720"/>
      <c r="AT51" s="721"/>
      <c r="AU51" s="324">
        <f t="shared" si="149"/>
        <v>0</v>
      </c>
      <c r="AV51" s="532"/>
      <c r="AW51" s="329">
        <f t="shared" si="150"/>
        <v>0</v>
      </c>
      <c r="AX51" s="324">
        <f t="shared" si="151"/>
        <v>0</v>
      </c>
      <c r="AY51" s="532"/>
      <c r="AZ51" s="329">
        <f t="shared" si="152"/>
        <v>0</v>
      </c>
      <c r="BA51" s="379">
        <f t="shared" si="140"/>
        <v>0</v>
      </c>
      <c r="BB51" s="720"/>
      <c r="BC51" s="721"/>
      <c r="BD51" s="316" t="str">
        <f t="shared" si="141"/>
        <v/>
      </c>
      <c r="BE51" s="539"/>
      <c r="BF51" s="317" t="str">
        <f t="shared" si="153"/>
        <v/>
      </c>
      <c r="BG51" s="380" t="str">
        <f t="shared" si="154"/>
        <v/>
      </c>
      <c r="BH51" s="893"/>
      <c r="BI51" s="787"/>
      <c r="BJ51" s="787"/>
      <c r="BK51" s="787"/>
      <c r="BL51" s="787"/>
      <c r="BM51" s="787"/>
      <c r="BN51" s="787"/>
      <c r="BO51" s="787"/>
      <c r="BP51" s="787"/>
      <c r="BQ51" s="787"/>
      <c r="BR51" s="787"/>
      <c r="BS51" s="788"/>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5" t="str">
        <f t="shared" si="158"/>
        <v/>
      </c>
    </row>
    <row r="52" spans="2:128" ht="30" customHeight="1" x14ac:dyDescent="0.25">
      <c r="B52" s="876"/>
      <c r="C52" s="46" t="s">
        <v>48</v>
      </c>
      <c r="D52" s="54"/>
      <c r="E52" s="23">
        <f t="shared" si="144"/>
        <v>0</v>
      </c>
      <c r="F52" s="54"/>
      <c r="G52" s="54"/>
      <c r="H52" s="107">
        <f t="shared" si="145"/>
        <v>0</v>
      </c>
      <c r="I52" s="82"/>
      <c r="J52" s="917"/>
      <c r="K52" s="726"/>
      <c r="L52" s="726"/>
      <c r="M52" s="727"/>
      <c r="N52" s="731"/>
      <c r="O52" s="732"/>
      <c r="P52" s="732"/>
      <c r="AG52" s="6">
        <f>IF(AND(I52&lt;&gt;"",OR(I52&lt;EXPEDIENTE!$I$25,I52&gt;EXPEDIENTE!$I$29)),1,0)</f>
        <v>0</v>
      </c>
      <c r="AI52" s="6">
        <f>IF(DATE(YEAR(EXPEDIENTE!$I$25)+3,MONTH(DATEVALUE($C52&amp;"1")),1)&gt;=DATE(YEAR(EXPEDIENTE!$I$25),MONTH(EXPEDIENTE!$I$25),1),0,1)</f>
        <v>0</v>
      </c>
      <c r="AJ52" s="6" t="e">
        <f>IF(DATE(YEAR(EXPEDIENTE!$I$25)+3,MONTH(DATEVALUE($C52&amp;"1")),1)&lt;=DATE(YEAR(EXPEDIENTE!$I$27),MONTH(EXPEDIENTE!$I$27),1),0,1)</f>
        <v>#VALUE!</v>
      </c>
      <c r="AK52" s="6" t="e">
        <f t="shared" si="146"/>
        <v>#VALUE!</v>
      </c>
      <c r="AM52" s="729"/>
      <c r="AN52" s="321" t="s">
        <v>48</v>
      </c>
      <c r="AO52" s="324">
        <f t="shared" si="147"/>
        <v>0</v>
      </c>
      <c r="AP52" s="532"/>
      <c r="AQ52" s="329">
        <f t="shared" si="148"/>
        <v>0</v>
      </c>
      <c r="AR52" s="330">
        <f t="shared" si="139"/>
        <v>0</v>
      </c>
      <c r="AS52" s="720"/>
      <c r="AT52" s="721"/>
      <c r="AU52" s="324">
        <f t="shared" si="149"/>
        <v>0</v>
      </c>
      <c r="AV52" s="532"/>
      <c r="AW52" s="329">
        <f t="shared" si="150"/>
        <v>0</v>
      </c>
      <c r="AX52" s="324">
        <f t="shared" si="151"/>
        <v>0</v>
      </c>
      <c r="AY52" s="532"/>
      <c r="AZ52" s="329">
        <f t="shared" si="152"/>
        <v>0</v>
      </c>
      <c r="BA52" s="379">
        <f t="shared" si="140"/>
        <v>0</v>
      </c>
      <c r="BB52" s="720"/>
      <c r="BC52" s="721"/>
      <c r="BD52" s="316" t="str">
        <f t="shared" si="141"/>
        <v/>
      </c>
      <c r="BE52" s="539"/>
      <c r="BF52" s="317" t="str">
        <f t="shared" si="153"/>
        <v/>
      </c>
      <c r="BG52" s="380" t="str">
        <f t="shared" si="154"/>
        <v/>
      </c>
      <c r="BH52" s="893"/>
      <c r="BI52" s="787"/>
      <c r="BJ52" s="787"/>
      <c r="BK52" s="787"/>
      <c r="BL52" s="787"/>
      <c r="BM52" s="787"/>
      <c r="BN52" s="787"/>
      <c r="BO52" s="787"/>
      <c r="BP52" s="787"/>
      <c r="BQ52" s="787"/>
      <c r="BR52" s="787"/>
      <c r="BS52" s="788"/>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5" t="str">
        <f t="shared" si="158"/>
        <v/>
      </c>
    </row>
    <row r="53" spans="2:128" ht="30" customHeight="1" x14ac:dyDescent="0.25">
      <c r="B53" s="876"/>
      <c r="C53" s="46" t="s">
        <v>49</v>
      </c>
      <c r="D53" s="54"/>
      <c r="E53" s="23">
        <f t="shared" si="144"/>
        <v>0</v>
      </c>
      <c r="F53" s="54"/>
      <c r="G53" s="54"/>
      <c r="H53" s="107">
        <f t="shared" si="145"/>
        <v>0</v>
      </c>
      <c r="I53" s="82"/>
      <c r="J53" s="917"/>
      <c r="K53" s="726"/>
      <c r="L53" s="726"/>
      <c r="M53" s="727"/>
      <c r="N53" s="731"/>
      <c r="O53" s="732"/>
      <c r="P53" s="732"/>
      <c r="AG53" s="6">
        <f>IF(AND(I53&lt;&gt;"",OR(I53&lt;EXPEDIENTE!$I$25,I53&gt;EXPEDIENTE!$I$29)),1,0)</f>
        <v>0</v>
      </c>
      <c r="AI53" s="6">
        <f>IF(DATE(YEAR(EXPEDIENTE!$I$25)+3,MONTH(DATEVALUE($C53&amp;"1")),1)&gt;=DATE(YEAR(EXPEDIENTE!$I$25),MONTH(EXPEDIENTE!$I$25),1),0,1)</f>
        <v>0</v>
      </c>
      <c r="AJ53" s="6" t="e">
        <f>IF(DATE(YEAR(EXPEDIENTE!$I$25)+3,MONTH(DATEVALUE($C53&amp;"1")),1)&lt;=DATE(YEAR(EXPEDIENTE!$I$27),MONTH(EXPEDIENTE!$I$27),1),0,1)</f>
        <v>#VALUE!</v>
      </c>
      <c r="AK53" s="6" t="e">
        <f t="shared" si="146"/>
        <v>#VALUE!</v>
      </c>
      <c r="AM53" s="729"/>
      <c r="AN53" s="321" t="s">
        <v>49</v>
      </c>
      <c r="AO53" s="324">
        <f t="shared" si="147"/>
        <v>0</v>
      </c>
      <c r="AP53" s="532"/>
      <c r="AQ53" s="329">
        <f t="shared" si="148"/>
        <v>0</v>
      </c>
      <c r="AR53" s="330">
        <f t="shared" si="139"/>
        <v>0</v>
      </c>
      <c r="AS53" s="720"/>
      <c r="AT53" s="721"/>
      <c r="AU53" s="324">
        <f t="shared" si="149"/>
        <v>0</v>
      </c>
      <c r="AV53" s="532"/>
      <c r="AW53" s="329">
        <f t="shared" si="150"/>
        <v>0</v>
      </c>
      <c r="AX53" s="324">
        <f t="shared" si="151"/>
        <v>0</v>
      </c>
      <c r="AY53" s="532"/>
      <c r="AZ53" s="329">
        <f t="shared" si="152"/>
        <v>0</v>
      </c>
      <c r="BA53" s="379">
        <f t="shared" si="140"/>
        <v>0</v>
      </c>
      <c r="BB53" s="720"/>
      <c r="BC53" s="721"/>
      <c r="BD53" s="316" t="str">
        <f t="shared" si="141"/>
        <v/>
      </c>
      <c r="BE53" s="539"/>
      <c r="BF53" s="317" t="str">
        <f t="shared" si="153"/>
        <v/>
      </c>
      <c r="BG53" s="380" t="str">
        <f t="shared" si="154"/>
        <v/>
      </c>
      <c r="BH53" s="893"/>
      <c r="BI53" s="787"/>
      <c r="BJ53" s="787"/>
      <c r="BK53" s="787"/>
      <c r="BL53" s="787"/>
      <c r="BM53" s="787"/>
      <c r="BN53" s="787"/>
      <c r="BO53" s="787"/>
      <c r="BP53" s="787"/>
      <c r="BQ53" s="787"/>
      <c r="BR53" s="787"/>
      <c r="BS53" s="788"/>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5" t="str">
        <f t="shared" si="158"/>
        <v/>
      </c>
    </row>
    <row r="54" spans="2:128" ht="30" customHeight="1" x14ac:dyDescent="0.25">
      <c r="B54" s="876"/>
      <c r="C54" s="46" t="s">
        <v>50</v>
      </c>
      <c r="D54" s="54"/>
      <c r="E54" s="23">
        <f t="shared" si="144"/>
        <v>0</v>
      </c>
      <c r="F54" s="54"/>
      <c r="G54" s="54"/>
      <c r="H54" s="107">
        <f t="shared" si="145"/>
        <v>0</v>
      </c>
      <c r="I54" s="82"/>
      <c r="J54" s="917"/>
      <c r="K54" s="726"/>
      <c r="L54" s="726"/>
      <c r="M54" s="727"/>
      <c r="N54" s="731"/>
      <c r="O54" s="732"/>
      <c r="P54" s="732"/>
      <c r="AG54" s="6">
        <f>IF(AND(I54&lt;&gt;"",OR(I54&lt;EXPEDIENTE!$I$25,I54&gt;EXPEDIENTE!$I$29)),1,0)</f>
        <v>0</v>
      </c>
      <c r="AI54" s="6">
        <f>IF(DATE(YEAR(EXPEDIENTE!$I$25)+3,MONTH(DATEVALUE($C54&amp;"1")),1)&gt;=DATE(YEAR(EXPEDIENTE!$I$25),MONTH(EXPEDIENTE!$I$25),1),0,1)</f>
        <v>0</v>
      </c>
      <c r="AJ54" s="6" t="e">
        <f>IF(DATE(YEAR(EXPEDIENTE!$I$25)+3,MONTH(DATEVALUE($C54&amp;"1")),1)&lt;=DATE(YEAR(EXPEDIENTE!$I$27),MONTH(EXPEDIENTE!$I$27),1),0,1)</f>
        <v>#VALUE!</v>
      </c>
      <c r="AK54" s="6" t="e">
        <f t="shared" si="146"/>
        <v>#VALUE!</v>
      </c>
      <c r="AM54" s="729"/>
      <c r="AN54" s="321" t="s">
        <v>50</v>
      </c>
      <c r="AO54" s="324">
        <f t="shared" si="147"/>
        <v>0</v>
      </c>
      <c r="AP54" s="532"/>
      <c r="AQ54" s="329">
        <f t="shared" si="148"/>
        <v>0</v>
      </c>
      <c r="AR54" s="330">
        <f t="shared" si="139"/>
        <v>0</v>
      </c>
      <c r="AS54" s="720"/>
      <c r="AT54" s="721"/>
      <c r="AU54" s="324">
        <f t="shared" si="149"/>
        <v>0</v>
      </c>
      <c r="AV54" s="532"/>
      <c r="AW54" s="329">
        <f t="shared" si="150"/>
        <v>0</v>
      </c>
      <c r="AX54" s="324">
        <f t="shared" si="151"/>
        <v>0</v>
      </c>
      <c r="AY54" s="532"/>
      <c r="AZ54" s="329">
        <f t="shared" si="152"/>
        <v>0</v>
      </c>
      <c r="BA54" s="379">
        <f t="shared" si="140"/>
        <v>0</v>
      </c>
      <c r="BB54" s="720"/>
      <c r="BC54" s="721"/>
      <c r="BD54" s="316" t="str">
        <f t="shared" si="141"/>
        <v/>
      </c>
      <c r="BE54" s="539"/>
      <c r="BF54" s="317" t="str">
        <f t="shared" si="153"/>
        <v/>
      </c>
      <c r="BG54" s="380" t="str">
        <f t="shared" si="154"/>
        <v/>
      </c>
      <c r="BH54" s="893"/>
      <c r="BI54" s="787"/>
      <c r="BJ54" s="787"/>
      <c r="BK54" s="787"/>
      <c r="BL54" s="787"/>
      <c r="BM54" s="787"/>
      <c r="BN54" s="787"/>
      <c r="BO54" s="787"/>
      <c r="BP54" s="787"/>
      <c r="BQ54" s="787"/>
      <c r="BR54" s="787"/>
      <c r="BS54" s="788"/>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5" t="str">
        <f t="shared" si="158"/>
        <v/>
      </c>
    </row>
    <row r="55" spans="2:128" ht="30" customHeight="1" x14ac:dyDescent="0.25">
      <c r="B55" s="876"/>
      <c r="C55" s="46" t="s">
        <v>51</v>
      </c>
      <c r="D55" s="54"/>
      <c r="E55" s="23">
        <f t="shared" si="144"/>
        <v>0</v>
      </c>
      <c r="F55" s="54"/>
      <c r="G55" s="54"/>
      <c r="H55" s="107">
        <f t="shared" si="145"/>
        <v>0</v>
      </c>
      <c r="I55" s="82"/>
      <c r="J55" s="917"/>
      <c r="K55" s="726"/>
      <c r="L55" s="726"/>
      <c r="M55" s="727"/>
      <c r="N55" s="731"/>
      <c r="O55" s="732"/>
      <c r="P55" s="732"/>
      <c r="AG55" s="6">
        <f>IF(AND(I55&lt;&gt;"",OR(I55&lt;EXPEDIENTE!$I$25,I55&gt;EXPEDIENTE!$I$29)),1,0)</f>
        <v>0</v>
      </c>
      <c r="AI55" s="6">
        <f>IF(DATE(YEAR(EXPEDIENTE!$I$25)+3,MONTH(DATEVALUE($C55&amp;"1")),1)&gt;=DATE(YEAR(EXPEDIENTE!$I$25),MONTH(EXPEDIENTE!$I$25),1),0,1)</f>
        <v>0</v>
      </c>
      <c r="AJ55" s="6" t="e">
        <f>IF(DATE(YEAR(EXPEDIENTE!$I$25)+3,MONTH(DATEVALUE($C55&amp;"1")),1)&lt;=DATE(YEAR(EXPEDIENTE!$I$27),MONTH(EXPEDIENTE!$I$27),1),0,1)</f>
        <v>#VALUE!</v>
      </c>
      <c r="AK55" s="6" t="e">
        <f t="shared" si="146"/>
        <v>#VALUE!</v>
      </c>
      <c r="AM55" s="729"/>
      <c r="AN55" s="321" t="s">
        <v>51</v>
      </c>
      <c r="AO55" s="324">
        <f t="shared" si="147"/>
        <v>0</v>
      </c>
      <c r="AP55" s="532"/>
      <c r="AQ55" s="329">
        <f t="shared" si="148"/>
        <v>0</v>
      </c>
      <c r="AR55" s="330">
        <f t="shared" si="139"/>
        <v>0</v>
      </c>
      <c r="AS55" s="720"/>
      <c r="AT55" s="721"/>
      <c r="AU55" s="324">
        <f t="shared" si="149"/>
        <v>0</v>
      </c>
      <c r="AV55" s="532"/>
      <c r="AW55" s="329">
        <f t="shared" si="150"/>
        <v>0</v>
      </c>
      <c r="AX55" s="324">
        <f t="shared" si="151"/>
        <v>0</v>
      </c>
      <c r="AY55" s="532"/>
      <c r="AZ55" s="329">
        <f t="shared" si="152"/>
        <v>0</v>
      </c>
      <c r="BA55" s="379">
        <f t="shared" si="140"/>
        <v>0</v>
      </c>
      <c r="BB55" s="720"/>
      <c r="BC55" s="721"/>
      <c r="BD55" s="316" t="str">
        <f t="shared" si="141"/>
        <v/>
      </c>
      <c r="BE55" s="539"/>
      <c r="BF55" s="317" t="str">
        <f t="shared" si="153"/>
        <v/>
      </c>
      <c r="BG55" s="380" t="str">
        <f t="shared" si="154"/>
        <v/>
      </c>
      <c r="BH55" s="893"/>
      <c r="BI55" s="787"/>
      <c r="BJ55" s="787"/>
      <c r="BK55" s="787"/>
      <c r="BL55" s="787"/>
      <c r="BM55" s="787"/>
      <c r="BN55" s="787"/>
      <c r="BO55" s="787"/>
      <c r="BP55" s="787"/>
      <c r="BQ55" s="787"/>
      <c r="BR55" s="787"/>
      <c r="BS55" s="788"/>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5" t="str">
        <f t="shared" si="158"/>
        <v/>
      </c>
    </row>
    <row r="56" spans="2:128" ht="30" customHeight="1" x14ac:dyDescent="0.25">
      <c r="B56" s="876"/>
      <c r="C56" s="46" t="s">
        <v>52</v>
      </c>
      <c r="D56" s="54"/>
      <c r="E56" s="23">
        <f t="shared" si="144"/>
        <v>0</v>
      </c>
      <c r="F56" s="54"/>
      <c r="G56" s="54"/>
      <c r="H56" s="107">
        <f t="shared" si="145"/>
        <v>0</v>
      </c>
      <c r="I56" s="82"/>
      <c r="J56" s="917"/>
      <c r="K56" s="726"/>
      <c r="L56" s="726"/>
      <c r="M56" s="727"/>
      <c r="N56" s="731"/>
      <c r="O56" s="732"/>
      <c r="P56" s="732"/>
      <c r="AG56" s="6">
        <f>IF(AND(I56&lt;&gt;"",OR(I56&lt;EXPEDIENTE!$I$25,I56&gt;EXPEDIENTE!$I$29)),1,0)</f>
        <v>0</v>
      </c>
      <c r="AI56" s="6">
        <f>IF(DATE(YEAR(EXPEDIENTE!$I$25)+3,MONTH(DATEVALUE($C56&amp;"1")),1)&gt;=DATE(YEAR(EXPEDIENTE!$I$25),MONTH(EXPEDIENTE!$I$25),1),0,1)</f>
        <v>0</v>
      </c>
      <c r="AJ56" s="6" t="e">
        <f>IF(DATE(YEAR(EXPEDIENTE!$I$25)+3,MONTH(DATEVALUE($C56&amp;"1")),1)&lt;=DATE(YEAR(EXPEDIENTE!$I$27),MONTH(EXPEDIENTE!$I$27),1),0,1)</f>
        <v>#VALUE!</v>
      </c>
      <c r="AK56" s="6" t="e">
        <f t="shared" si="146"/>
        <v>#VALUE!</v>
      </c>
      <c r="AM56" s="729"/>
      <c r="AN56" s="321" t="s">
        <v>52</v>
      </c>
      <c r="AO56" s="324">
        <f t="shared" si="147"/>
        <v>0</v>
      </c>
      <c r="AP56" s="532"/>
      <c r="AQ56" s="329">
        <f t="shared" si="148"/>
        <v>0</v>
      </c>
      <c r="AR56" s="330">
        <f t="shared" si="139"/>
        <v>0</v>
      </c>
      <c r="AS56" s="720"/>
      <c r="AT56" s="721"/>
      <c r="AU56" s="324">
        <f t="shared" si="149"/>
        <v>0</v>
      </c>
      <c r="AV56" s="532"/>
      <c r="AW56" s="329">
        <f t="shared" si="150"/>
        <v>0</v>
      </c>
      <c r="AX56" s="324">
        <f t="shared" si="151"/>
        <v>0</v>
      </c>
      <c r="AY56" s="532"/>
      <c r="AZ56" s="329">
        <f t="shared" si="152"/>
        <v>0</v>
      </c>
      <c r="BA56" s="379">
        <f t="shared" si="140"/>
        <v>0</v>
      </c>
      <c r="BB56" s="720"/>
      <c r="BC56" s="721"/>
      <c r="BD56" s="316" t="str">
        <f t="shared" si="141"/>
        <v/>
      </c>
      <c r="BE56" s="539"/>
      <c r="BF56" s="317" t="str">
        <f t="shared" si="153"/>
        <v/>
      </c>
      <c r="BG56" s="380" t="str">
        <f t="shared" si="154"/>
        <v/>
      </c>
      <c r="BH56" s="893"/>
      <c r="BI56" s="787"/>
      <c r="BJ56" s="787"/>
      <c r="BK56" s="787"/>
      <c r="BL56" s="787"/>
      <c r="BM56" s="787"/>
      <c r="BN56" s="787"/>
      <c r="BO56" s="787"/>
      <c r="BP56" s="787"/>
      <c r="BQ56" s="787"/>
      <c r="BR56" s="787"/>
      <c r="BS56" s="788"/>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5" t="str">
        <f t="shared" si="158"/>
        <v/>
      </c>
    </row>
    <row r="57" spans="2:128" ht="30" customHeight="1" x14ac:dyDescent="0.25">
      <c r="B57" s="876"/>
      <c r="C57" s="46" t="s">
        <v>53</v>
      </c>
      <c r="D57" s="54"/>
      <c r="E57" s="23">
        <f t="shared" si="144"/>
        <v>0</v>
      </c>
      <c r="F57" s="54"/>
      <c r="G57" s="54"/>
      <c r="H57" s="107">
        <f t="shared" si="145"/>
        <v>0</v>
      </c>
      <c r="I57" s="82"/>
      <c r="J57" s="917"/>
      <c r="K57" s="726"/>
      <c r="L57" s="726"/>
      <c r="M57" s="727"/>
      <c r="N57" s="731"/>
      <c r="O57" s="732"/>
      <c r="P57" s="732"/>
      <c r="AG57" s="6">
        <f>IF(AND(I57&lt;&gt;"",OR(I57&lt;EXPEDIENTE!$I$25,I57&gt;EXPEDIENTE!$I$29)),1,0)</f>
        <v>0</v>
      </c>
      <c r="AI57" s="6">
        <f>IF(DATE(YEAR(EXPEDIENTE!$I$25)+3,MONTH(DATEVALUE($C57&amp;"1")),1)&gt;=DATE(YEAR(EXPEDIENTE!$I$25),MONTH(EXPEDIENTE!$I$25),1),0,1)</f>
        <v>0</v>
      </c>
      <c r="AJ57" s="6" t="e">
        <f>IF(DATE(YEAR(EXPEDIENTE!$I$25)+3,MONTH(DATEVALUE($C57&amp;"1")),1)&lt;=DATE(YEAR(EXPEDIENTE!$I$27),MONTH(EXPEDIENTE!$I$27),1),0,1)</f>
        <v>#VALUE!</v>
      </c>
      <c r="AK57" s="6" t="e">
        <f t="shared" si="146"/>
        <v>#VALUE!</v>
      </c>
      <c r="AM57" s="729"/>
      <c r="AN57" s="321" t="s">
        <v>53</v>
      </c>
      <c r="AO57" s="324">
        <f t="shared" si="147"/>
        <v>0</v>
      </c>
      <c r="AP57" s="532"/>
      <c r="AQ57" s="329">
        <f t="shared" si="148"/>
        <v>0</v>
      </c>
      <c r="AR57" s="330">
        <f t="shared" si="139"/>
        <v>0</v>
      </c>
      <c r="AS57" s="720"/>
      <c r="AT57" s="721"/>
      <c r="AU57" s="324">
        <f t="shared" si="149"/>
        <v>0</v>
      </c>
      <c r="AV57" s="532"/>
      <c r="AW57" s="329">
        <f t="shared" si="150"/>
        <v>0</v>
      </c>
      <c r="AX57" s="324">
        <f t="shared" si="151"/>
        <v>0</v>
      </c>
      <c r="AY57" s="532"/>
      <c r="AZ57" s="329">
        <f t="shared" si="152"/>
        <v>0</v>
      </c>
      <c r="BA57" s="379">
        <f t="shared" si="140"/>
        <v>0</v>
      </c>
      <c r="BB57" s="720"/>
      <c r="BC57" s="721"/>
      <c r="BD57" s="316" t="str">
        <f t="shared" si="141"/>
        <v/>
      </c>
      <c r="BE57" s="539"/>
      <c r="BF57" s="317" t="str">
        <f t="shared" si="153"/>
        <v/>
      </c>
      <c r="BG57" s="380" t="str">
        <f t="shared" si="154"/>
        <v/>
      </c>
      <c r="BH57" s="893"/>
      <c r="BI57" s="787"/>
      <c r="BJ57" s="787"/>
      <c r="BK57" s="787"/>
      <c r="BL57" s="787"/>
      <c r="BM57" s="787"/>
      <c r="BN57" s="787"/>
      <c r="BO57" s="787"/>
      <c r="BP57" s="787"/>
      <c r="BQ57" s="787"/>
      <c r="BR57" s="787"/>
      <c r="BS57" s="788"/>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5" t="str">
        <f t="shared" si="158"/>
        <v/>
      </c>
    </row>
    <row r="58" spans="2:128" ht="30" customHeight="1" x14ac:dyDescent="0.25">
      <c r="B58" s="876"/>
      <c r="C58" s="46" t="s">
        <v>54</v>
      </c>
      <c r="D58" s="54"/>
      <c r="E58" s="23">
        <f t="shared" si="144"/>
        <v>0</v>
      </c>
      <c r="F58" s="54"/>
      <c r="G58" s="54"/>
      <c r="H58" s="107">
        <f t="shared" si="145"/>
        <v>0</v>
      </c>
      <c r="I58" s="82"/>
      <c r="J58" s="917"/>
      <c r="K58" s="726"/>
      <c r="L58" s="726"/>
      <c r="M58" s="727"/>
      <c r="N58" s="731"/>
      <c r="O58" s="732"/>
      <c r="P58" s="732"/>
      <c r="AG58" s="6">
        <f>IF(AND(I58&lt;&gt;"",OR(I58&lt;EXPEDIENTE!$I$25,I58&gt;EXPEDIENTE!$I$29)),1,0)</f>
        <v>0</v>
      </c>
      <c r="AI58" s="6">
        <f>IF(DATE(YEAR(EXPEDIENTE!$I$25)+3,MONTH(DATEVALUE($C58&amp;"1")),1)&gt;=DATE(YEAR(EXPEDIENTE!$I$25),MONTH(EXPEDIENTE!$I$25),1),0,1)</f>
        <v>0</v>
      </c>
      <c r="AJ58" s="6" t="e">
        <f>IF(DATE(YEAR(EXPEDIENTE!$I$25)+3,MONTH(DATEVALUE($C58&amp;"1")),1)&lt;=DATE(YEAR(EXPEDIENTE!$I$27),MONTH(EXPEDIENTE!$I$27),1),0,1)</f>
        <v>#VALUE!</v>
      </c>
      <c r="AK58" s="6" t="e">
        <f t="shared" si="146"/>
        <v>#VALUE!</v>
      </c>
      <c r="AM58" s="729"/>
      <c r="AN58" s="321" t="s">
        <v>54</v>
      </c>
      <c r="AO58" s="324">
        <f t="shared" si="147"/>
        <v>0</v>
      </c>
      <c r="AP58" s="532"/>
      <c r="AQ58" s="329">
        <f t="shared" si="148"/>
        <v>0</v>
      </c>
      <c r="AR58" s="330">
        <f t="shared" si="139"/>
        <v>0</v>
      </c>
      <c r="AS58" s="720"/>
      <c r="AT58" s="721"/>
      <c r="AU58" s="324">
        <f t="shared" si="149"/>
        <v>0</v>
      </c>
      <c r="AV58" s="532"/>
      <c r="AW58" s="329">
        <f t="shared" si="150"/>
        <v>0</v>
      </c>
      <c r="AX58" s="324">
        <f t="shared" si="151"/>
        <v>0</v>
      </c>
      <c r="AY58" s="532"/>
      <c r="AZ58" s="329">
        <f t="shared" si="152"/>
        <v>0</v>
      </c>
      <c r="BA58" s="379">
        <f t="shared" si="140"/>
        <v>0</v>
      </c>
      <c r="BB58" s="720"/>
      <c r="BC58" s="721"/>
      <c r="BD58" s="316" t="str">
        <f t="shared" si="141"/>
        <v/>
      </c>
      <c r="BE58" s="539"/>
      <c r="BF58" s="317" t="str">
        <f t="shared" si="153"/>
        <v/>
      </c>
      <c r="BG58" s="380" t="str">
        <f t="shared" si="154"/>
        <v/>
      </c>
      <c r="BH58" s="893"/>
      <c r="BI58" s="787"/>
      <c r="BJ58" s="787"/>
      <c r="BK58" s="787"/>
      <c r="BL58" s="787"/>
      <c r="BM58" s="787"/>
      <c r="BN58" s="787"/>
      <c r="BO58" s="787"/>
      <c r="BP58" s="787"/>
      <c r="BQ58" s="787"/>
      <c r="BR58" s="787"/>
      <c r="BS58" s="788"/>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5" t="str">
        <f t="shared" si="158"/>
        <v/>
      </c>
    </row>
    <row r="59" spans="2:128" ht="30" customHeight="1" x14ac:dyDescent="0.25">
      <c r="B59" s="876"/>
      <c r="C59" s="46" t="s">
        <v>55</v>
      </c>
      <c r="D59" s="54"/>
      <c r="E59" s="23">
        <f t="shared" si="144"/>
        <v>0</v>
      </c>
      <c r="F59" s="54"/>
      <c r="G59" s="54"/>
      <c r="H59" s="107">
        <f t="shared" si="145"/>
        <v>0</v>
      </c>
      <c r="I59" s="82"/>
      <c r="J59" s="917"/>
      <c r="K59" s="726"/>
      <c r="L59" s="726"/>
      <c r="M59" s="727"/>
      <c r="N59" s="731"/>
      <c r="O59" s="732"/>
      <c r="P59" s="732"/>
      <c r="AG59" s="6">
        <f>IF(AND(I59&lt;&gt;"",OR(I59&lt;EXPEDIENTE!$I$25,I59&gt;EXPEDIENTE!$I$29)),1,0)</f>
        <v>0</v>
      </c>
      <c r="AI59" s="6">
        <f>IF(DATE(YEAR(EXPEDIENTE!$I$25)+3,MONTH(DATEVALUE($C59&amp;"1")),1)&gt;=DATE(YEAR(EXPEDIENTE!$I$25),MONTH(EXPEDIENTE!$I$25),1),0,1)</f>
        <v>0</v>
      </c>
      <c r="AJ59" s="6" t="e">
        <f>IF(DATE(YEAR(EXPEDIENTE!$I$25)+3,MONTH(DATEVALUE($C59&amp;"1")),1)&lt;=DATE(YEAR(EXPEDIENTE!$I$27),MONTH(EXPEDIENTE!$I$27),1),0,1)</f>
        <v>#VALUE!</v>
      </c>
      <c r="AK59" s="6" t="e">
        <f t="shared" si="146"/>
        <v>#VALUE!</v>
      </c>
      <c r="AM59" s="729"/>
      <c r="AN59" s="321" t="s">
        <v>55</v>
      </c>
      <c r="AO59" s="324">
        <f t="shared" si="147"/>
        <v>0</v>
      </c>
      <c r="AP59" s="532"/>
      <c r="AQ59" s="329">
        <f t="shared" si="148"/>
        <v>0</v>
      </c>
      <c r="AR59" s="330">
        <f t="shared" si="139"/>
        <v>0</v>
      </c>
      <c r="AS59" s="720"/>
      <c r="AT59" s="721"/>
      <c r="AU59" s="324">
        <f t="shared" si="149"/>
        <v>0</v>
      </c>
      <c r="AV59" s="532"/>
      <c r="AW59" s="329">
        <f t="shared" si="150"/>
        <v>0</v>
      </c>
      <c r="AX59" s="324">
        <f t="shared" si="151"/>
        <v>0</v>
      </c>
      <c r="AY59" s="532"/>
      <c r="AZ59" s="329">
        <f t="shared" si="152"/>
        <v>0</v>
      </c>
      <c r="BA59" s="379">
        <f t="shared" si="140"/>
        <v>0</v>
      </c>
      <c r="BB59" s="720"/>
      <c r="BC59" s="721"/>
      <c r="BD59" s="316" t="str">
        <f t="shared" si="141"/>
        <v/>
      </c>
      <c r="BE59" s="539"/>
      <c r="BF59" s="317" t="str">
        <f t="shared" si="153"/>
        <v/>
      </c>
      <c r="BG59" s="380" t="str">
        <f t="shared" si="154"/>
        <v/>
      </c>
      <c r="BH59" s="893"/>
      <c r="BI59" s="787"/>
      <c r="BJ59" s="787"/>
      <c r="BK59" s="787"/>
      <c r="BL59" s="787"/>
      <c r="BM59" s="787"/>
      <c r="BN59" s="787"/>
      <c r="BO59" s="787"/>
      <c r="BP59" s="787"/>
      <c r="BQ59" s="787"/>
      <c r="BR59" s="787"/>
      <c r="BS59" s="788"/>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5" t="str">
        <f t="shared" si="158"/>
        <v/>
      </c>
    </row>
    <row r="60" spans="2:128" ht="30" customHeight="1" thickBot="1" x14ac:dyDescent="0.3">
      <c r="B60" s="876"/>
      <c r="C60" s="194" t="s">
        <v>56</v>
      </c>
      <c r="D60" s="195"/>
      <c r="E60" s="30">
        <f t="shared" si="144"/>
        <v>0</v>
      </c>
      <c r="F60" s="56"/>
      <c r="G60" s="56"/>
      <c r="H60" s="196">
        <f t="shared" si="145"/>
        <v>0</v>
      </c>
      <c r="I60" s="197"/>
      <c r="J60" s="918"/>
      <c r="K60" s="919"/>
      <c r="L60" s="919"/>
      <c r="M60" s="920"/>
      <c r="N60" s="731"/>
      <c r="O60" s="732"/>
      <c r="P60" s="732"/>
      <c r="AG60" s="6">
        <f>IF(AND(I60&lt;&gt;"",OR(I60&lt;EXPEDIENTE!$I$25,I60&gt;EXPEDIENTE!$I$29)),1,0)</f>
        <v>0</v>
      </c>
      <c r="AI60" s="6">
        <f>IF(DATE(YEAR(EXPEDIENTE!$I$25)+3,MONTH(DATEVALUE($C60&amp;"1")),1)&gt;=DATE(YEAR(EXPEDIENTE!$I$25),MONTH(EXPEDIENTE!$I$25),1),0,1)</f>
        <v>0</v>
      </c>
      <c r="AJ60" s="6" t="e">
        <f>IF(DATE(YEAR(EXPEDIENTE!$I$25)+3,MONTH(DATEVALUE($C60&amp;"1")),1)&lt;=DATE(YEAR(EXPEDIENTE!$I$27),MONTH(EXPEDIENTE!$I$27),1),0,1)</f>
        <v>#VALUE!</v>
      </c>
      <c r="AK60" s="6" t="e">
        <f t="shared" si="146"/>
        <v>#VALUE!</v>
      </c>
      <c r="AM60" s="729"/>
      <c r="AN60" s="381" t="s">
        <v>56</v>
      </c>
      <c r="AO60" s="382">
        <f t="shared" si="147"/>
        <v>0</v>
      </c>
      <c r="AP60" s="544"/>
      <c r="AQ60" s="383">
        <f t="shared" si="148"/>
        <v>0</v>
      </c>
      <c r="AR60" s="338">
        <f t="shared" si="139"/>
        <v>0</v>
      </c>
      <c r="AS60" s="722"/>
      <c r="AT60" s="723"/>
      <c r="AU60" s="334">
        <f t="shared" si="149"/>
        <v>0</v>
      </c>
      <c r="AV60" s="536"/>
      <c r="AW60" s="340">
        <f t="shared" si="150"/>
        <v>0</v>
      </c>
      <c r="AX60" s="334">
        <f t="shared" si="151"/>
        <v>0</v>
      </c>
      <c r="AY60" s="536"/>
      <c r="AZ60" s="340">
        <f t="shared" si="152"/>
        <v>0</v>
      </c>
      <c r="BA60" s="384">
        <f t="shared" si="140"/>
        <v>0</v>
      </c>
      <c r="BB60" s="722"/>
      <c r="BC60" s="723"/>
      <c r="BD60" s="341" t="str">
        <f t="shared" si="141"/>
        <v/>
      </c>
      <c r="BE60" s="545"/>
      <c r="BF60" s="342" t="str">
        <f t="shared" si="153"/>
        <v/>
      </c>
      <c r="BG60" s="385" t="str">
        <f t="shared" si="154"/>
        <v/>
      </c>
      <c r="BH60" s="894"/>
      <c r="BI60" s="895"/>
      <c r="BJ60" s="895"/>
      <c r="BK60" s="895"/>
      <c r="BL60" s="895"/>
      <c r="BM60" s="895"/>
      <c r="BN60" s="895"/>
      <c r="BO60" s="895"/>
      <c r="BP60" s="895"/>
      <c r="BQ60" s="895"/>
      <c r="BR60" s="895"/>
      <c r="BS60" s="896"/>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5" t="str">
        <f t="shared" si="158"/>
        <v/>
      </c>
    </row>
    <row r="61" spans="2:128" ht="9.9499999999999993" customHeight="1" thickBot="1" x14ac:dyDescent="0.3">
      <c r="B61" s="877"/>
      <c r="C61" s="184"/>
      <c r="D61" s="184"/>
      <c r="E61" s="184"/>
      <c r="F61" s="184"/>
      <c r="G61" s="184"/>
      <c r="H61" s="184"/>
      <c r="I61" s="184"/>
      <c r="J61" s="184"/>
      <c r="K61" s="184"/>
      <c r="L61" s="184"/>
      <c r="M61" s="193"/>
      <c r="AM61" s="730"/>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MRLjimbpbejkciTD5rCOeHf6Ooo8JS/+CVE9IQ1uFhQypNBQG2OsjA7TDUmwQabYXibUXS2nvio5ez3NOi4pQA==" saltValue="TLRtK4Roynky8WzEvHgLeQ==" spinCount="100000" sheet="1"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AA34:AA36"/>
    <mergeCell ref="AB34:AB36"/>
    <mergeCell ref="AD34:AD36"/>
    <mergeCell ref="AE34:AE36"/>
    <mergeCell ref="AC34:AC36"/>
    <mergeCell ref="C35:C36"/>
    <mergeCell ref="D35:E35"/>
    <mergeCell ref="F35:F36"/>
    <mergeCell ref="G35:L35"/>
    <mergeCell ref="M35:M36"/>
    <mergeCell ref="O35:T35"/>
    <mergeCell ref="U35:U36"/>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$AG20&lt;&gt;0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O24" sqref="O24"/>
    </sheetView>
  </sheetViews>
  <sheetFormatPr baseColWidth="10" defaultColWidth="11.42578125" defaultRowHeight="13.5" x14ac:dyDescent="0.25"/>
  <cols>
    <col min="1" max="1" width="5.5703125" style="127" customWidth="1"/>
    <col min="2" max="2" width="12.5703125" style="127" customWidth="1"/>
    <col min="3" max="3" width="13.7109375" style="127" customWidth="1"/>
    <col min="4" max="4" width="15.5703125" style="127" customWidth="1"/>
    <col min="5" max="5" width="11.5703125" style="127" customWidth="1"/>
    <col min="6" max="6" width="15.5703125" style="127" customWidth="1"/>
    <col min="7" max="8" width="11.5703125" style="127" customWidth="1"/>
    <col min="9" max="9" width="15.5703125" style="127" customWidth="1"/>
    <col min="10" max="12" width="11.5703125" style="127" customWidth="1"/>
    <col min="13" max="13" width="15.5703125" style="127" customWidth="1"/>
    <col min="14" max="15" width="17.5703125" style="127" customWidth="1"/>
    <col min="16" max="16" width="5.7109375" style="127" customWidth="1"/>
    <col min="17" max="17" width="86.7109375" style="127" customWidth="1"/>
    <col min="18" max="18" width="5.7109375" style="127" hidden="1" customWidth="1"/>
    <col min="19" max="20" width="11.42578125" style="127" hidden="1" customWidth="1"/>
    <col min="21" max="21" width="52.42578125" style="127" hidden="1" customWidth="1"/>
    <col min="22" max="22" width="5.5703125" style="127" customWidth="1"/>
    <col min="23" max="23" width="12.5703125" style="127" customWidth="1"/>
    <col min="24" max="24" width="13.7109375" style="127" customWidth="1"/>
    <col min="25" max="25" width="15.5703125" style="127" customWidth="1"/>
    <col min="26" max="26" width="11.5703125" style="127" customWidth="1"/>
    <col min="27" max="27" width="15.5703125" style="127" customWidth="1"/>
    <col min="28" max="29" width="11.5703125" style="127" customWidth="1"/>
    <col min="30" max="30" width="15.5703125" style="127" customWidth="1"/>
    <col min="31" max="33" width="11.5703125" style="127" customWidth="1"/>
    <col min="34" max="34" width="15.5703125" style="127" customWidth="1"/>
    <col min="35" max="37" width="17.5703125" style="127" customWidth="1"/>
    <col min="38" max="38" width="5.7109375" style="127" customWidth="1"/>
    <col min="39" max="39" width="86.7109375" style="127" customWidth="1"/>
    <col min="40" max="40" width="5.7109375" style="127" customWidth="1"/>
    <col min="41" max="42" width="0" style="127" hidden="1" customWidth="1"/>
    <col min="43" max="43" width="52.42578125" style="127" hidden="1" customWidth="1"/>
    <col min="44" max="16384" width="11.42578125" style="127"/>
  </cols>
  <sheetData>
    <row r="1" spans="2:43" ht="20.100000000000001" customHeight="1" x14ac:dyDescent="0.25">
      <c r="T1" s="214"/>
      <c r="U1" s="215"/>
      <c r="AO1" s="214"/>
      <c r="AP1" s="214"/>
      <c r="AQ1" s="215"/>
    </row>
    <row r="2" spans="2:43" ht="20.100000000000001" customHeight="1" x14ac:dyDescent="0.25"/>
    <row r="3" spans="2:43" ht="20.100000000000001" customHeight="1" x14ac:dyDescent="0.25"/>
    <row r="4" spans="2:43" ht="20.100000000000001" customHeight="1" x14ac:dyDescent="0.25">
      <c r="D4" s="216" t="str">
        <f>'IDENTIFICACIÓN TRABAJADOR'!$F$4</f>
        <v>Nº DE EXPEDIENTE: 2024.07.PRIV.0000</v>
      </c>
      <c r="E4" s="128"/>
      <c r="F4" s="217"/>
      <c r="Y4" s="216" t="str">
        <f>'IDENTIFICACIÓN TRABAJADOR'!$F$4</f>
        <v>Nº DE EXPEDIENTE: 2024.07.PRIV.0000</v>
      </c>
      <c r="Z4" s="128"/>
      <c r="AA4" s="217"/>
    </row>
    <row r="5" spans="2:43" ht="20.100000000000001" customHeight="1" x14ac:dyDescent="0.25">
      <c r="E5" s="129"/>
      <c r="F5" s="211"/>
      <c r="Z5" s="129"/>
      <c r="AA5" s="211"/>
    </row>
    <row r="6" spans="2:43" ht="20.100000000000001" customHeight="1" x14ac:dyDescent="0.25">
      <c r="D6" s="218" t="str">
        <f>'% DEDICACIÓN'!$F$6</f>
        <v>TRABAJADOR:</v>
      </c>
      <c r="E6" s="132"/>
      <c r="F6" s="211"/>
      <c r="Y6" s="218" t="str">
        <f>'% DEDICACIÓN'!$F$6</f>
        <v>TRABAJADOR:</v>
      </c>
      <c r="Z6" s="132"/>
      <c r="AA6" s="211"/>
    </row>
    <row r="7" spans="2:43" ht="20.100000000000001" customHeight="1" x14ac:dyDescent="0.25">
      <c r="D7" s="218" t="str">
        <f>'% DEDICACIÓN'!$F$7</f>
        <v>ACRÓNIMO:</v>
      </c>
      <c r="E7" s="132"/>
      <c r="F7" s="211"/>
      <c r="U7" s="219"/>
      <c r="Y7" s="218" t="str">
        <f>'% DEDICACIÓN'!$F$7</f>
        <v>ACRÓNIMO:</v>
      </c>
      <c r="Z7" s="132"/>
      <c r="AA7" s="211"/>
      <c r="AQ7" s="219"/>
    </row>
    <row r="8" spans="2:43" ht="20.100000000000001" customHeight="1" thickBot="1" x14ac:dyDescent="0.3">
      <c r="D8" s="218"/>
      <c r="E8" s="132"/>
      <c r="F8" s="211"/>
      <c r="Y8" s="218"/>
      <c r="Z8" s="132"/>
      <c r="AA8" s="211"/>
    </row>
    <row r="9" spans="2:43" s="219" customFormat="1" ht="25.5" x14ac:dyDescent="0.25">
      <c r="B9" s="934">
        <f>YEAR(EXPEDIENTE!$F$25)</f>
        <v>2024</v>
      </c>
      <c r="C9" s="930" t="str">
        <f>CONCATENATE("PORCENTAJE
DEDICACIÓN
MENSUAL EJERCICIO ",B9)</f>
        <v>PORCENTAJE
DEDICACIÓN
MENSUAL EJERCICIO 2024</v>
      </c>
      <c r="D9" s="936" t="s">
        <v>116</v>
      </c>
      <c r="E9" s="937"/>
      <c r="F9" s="938"/>
      <c r="G9" s="939" t="s">
        <v>195</v>
      </c>
      <c r="H9" s="940"/>
      <c r="I9" s="941"/>
      <c r="J9" s="547" t="s">
        <v>117</v>
      </c>
      <c r="K9" s="936" t="s">
        <v>196</v>
      </c>
      <c r="L9" s="937"/>
      <c r="M9" s="938"/>
      <c r="N9" s="930" t="s">
        <v>161</v>
      </c>
      <c r="O9" s="932" t="s">
        <v>82</v>
      </c>
      <c r="S9" s="127"/>
      <c r="W9" s="942">
        <f>YEAR(EXPEDIENTE!$F$25)</f>
        <v>2024</v>
      </c>
      <c r="X9" s="944" t="str">
        <f>CONCATENATE("PORCENTAJE
DEDICACIÓN
MENSUAL EJERCICIO ",W9)</f>
        <v>PORCENTAJE
DEDICACIÓN
MENSUAL EJERCICIO 2024</v>
      </c>
      <c r="Y9" s="946" t="s">
        <v>116</v>
      </c>
      <c r="Z9" s="947"/>
      <c r="AA9" s="948"/>
      <c r="AB9" s="949" t="s">
        <v>195</v>
      </c>
      <c r="AC9" s="950"/>
      <c r="AD9" s="951"/>
      <c r="AE9" s="220" t="s">
        <v>117</v>
      </c>
      <c r="AF9" s="946" t="s">
        <v>196</v>
      </c>
      <c r="AG9" s="947"/>
      <c r="AH9" s="948"/>
      <c r="AI9" s="944" t="s">
        <v>161</v>
      </c>
      <c r="AJ9" s="952" t="s">
        <v>345</v>
      </c>
      <c r="AK9" s="932" t="s">
        <v>346</v>
      </c>
      <c r="AO9" s="127"/>
    </row>
    <row r="10" spans="2:43" s="215" customFormat="1" ht="65.099999999999994" customHeight="1" thickBot="1" x14ac:dyDescent="0.3">
      <c r="B10" s="935"/>
      <c r="C10" s="931"/>
      <c r="D10" s="548" t="s">
        <v>197</v>
      </c>
      <c r="E10" s="291" t="s">
        <v>64</v>
      </c>
      <c r="F10" s="549" t="s">
        <v>83</v>
      </c>
      <c r="G10" s="550" t="s">
        <v>77</v>
      </c>
      <c r="H10" s="291" t="s">
        <v>119</v>
      </c>
      <c r="I10" s="551" t="s">
        <v>78</v>
      </c>
      <c r="J10" s="552" t="s">
        <v>118</v>
      </c>
      <c r="K10" s="550" t="s">
        <v>198</v>
      </c>
      <c r="L10" s="291" t="s">
        <v>75</v>
      </c>
      <c r="M10" s="551" t="s">
        <v>80</v>
      </c>
      <c r="N10" s="931"/>
      <c r="O10" s="933"/>
      <c r="S10" s="389">
        <f>(1+('IDENTIFICACIÓN TRABAJADOR'!$B$45+'IDENTIFICACIÓN TRABAJADOR'!$F$45)/(360-'IDENTIFICACIÓN TRABAJADOR'!$B$45-'IDENTIFICACIÓN TRABAJADOR'!$F$45))</f>
        <v>1</v>
      </c>
      <c r="W10" s="943"/>
      <c r="X10" s="945"/>
      <c r="Y10" s="221" t="s">
        <v>197</v>
      </c>
      <c r="Z10" s="222" t="s">
        <v>64</v>
      </c>
      <c r="AA10" s="223" t="s">
        <v>83</v>
      </c>
      <c r="AB10" s="224" t="s">
        <v>77</v>
      </c>
      <c r="AC10" s="222" t="s">
        <v>119</v>
      </c>
      <c r="AD10" s="225" t="s">
        <v>78</v>
      </c>
      <c r="AE10" s="226" t="s">
        <v>118</v>
      </c>
      <c r="AF10" s="224" t="s">
        <v>198</v>
      </c>
      <c r="AG10" s="222" t="s">
        <v>75</v>
      </c>
      <c r="AH10" s="225" t="s">
        <v>80</v>
      </c>
      <c r="AI10" s="945"/>
      <c r="AJ10" s="953"/>
      <c r="AK10" s="933"/>
      <c r="AO10" s="121">
        <f>(1+('IDENTIFICACIÓN TRABAJADOR'!$B$45+'IDENTIFICACIÓN TRABAJADOR'!$F$45)/(360-'IDENTIFICACIÓN TRABAJADOR'!$B$45-'IDENTIFICACIÓN TRABAJADOR'!$F$45))</f>
        <v>1</v>
      </c>
    </row>
    <row r="11" spans="2:43" ht="15" customHeight="1" x14ac:dyDescent="0.25">
      <c r="B11" s="227" t="s">
        <v>45</v>
      </c>
      <c r="C11" s="228">
        <f>IFERROR(IF(OR(DATE($B$9,MONTH(DATEVALUE(B11&amp;"1")),1)&lt;DATE(YEAR(EXPEDIENTE!$I$25),MONTH(EXPEDIENTE!$I$25),1),DATE($B$9,MONTH(DATEVALUE(B11&amp;"1")),1)&gt;DATE(YEAR(EXPEDIENTE!$I$27),MONTH(EXPEDIENTE!$I$27)+1,1)-1),0,ROUND('% DEDICACIÓN'!G44,4)),0)</f>
        <v>0</v>
      </c>
      <c r="D11" s="229">
        <f>'GASTOS EJER. 1'!F20+'GASTOS EJER. 1'!L20-'GASTOS EJER. 1'!X20-'GASTOS EJER. 1'!Y20</f>
        <v>0</v>
      </c>
      <c r="E11" s="230" t="str">
        <f>IF('GASTOS EJER. 1'!AA20="","",'GASTOS EJER. 1'!AA20)</f>
        <v/>
      </c>
      <c r="F11" s="231">
        <f>IF(E11&lt;=EXPEDIENTE!$I$29,D11,0)</f>
        <v>0</v>
      </c>
      <c r="G11" s="232">
        <f>'GASTOS EJER. 1'!Y20</f>
        <v>0</v>
      </c>
      <c r="H11" s="230" t="str">
        <f>IF('GASTOS EJER. 1'!AB20="","",'GASTOS EJER. 1'!AB20)</f>
        <v/>
      </c>
      <c r="I11" s="231">
        <f>IF(H11&lt;=EXPEDIENTE!$I$29,G11,0)</f>
        <v>0</v>
      </c>
      <c r="J11" s="233">
        <f>AUXILIAR!BU23</f>
        <v>0</v>
      </c>
      <c r="K11" s="232">
        <f>AUXILIAR!FP23</f>
        <v>0</v>
      </c>
      <c r="L11" s="230" t="str">
        <f>IF('GASTOS EJER. 1'!I49="","",'GASTOS EJER. 1'!I49)</f>
        <v/>
      </c>
      <c r="M11" s="231">
        <f>IF(L11&lt;=EXPEDIENTE!$I$29,K11,0)</f>
        <v>0</v>
      </c>
      <c r="N11" s="233">
        <f>IF($U$18=0,0,IF(AND($U$20&gt;$U$18,$U$16=1100%),MIN(AUXILIAR!$P$17,ROUND($U$18/$U$20*(F11+I11+J11+M11)*(1+('IDENTIFICACIÓN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5">
        <f t="shared" ref="O11:O22" si="0">IF($U$24&gt;0,0,ROUND(C11*N11,2))</f>
        <v>0</v>
      </c>
      <c r="S11" s="212">
        <f>ROUND(C11*(F11+I11+J11+M11)*(1+('IDENTIFICACIÓN TRABAJADOR'!$B$45+'IDENTIFICACIÓN TRABAJADOR'!$F$45)/(360-'IDENTIFICACIÓN TRABAJADOR'!$B$45-'IDENTIFICACIÓN TRABAJADOR'!$F$45)),2)</f>
        <v>0</v>
      </c>
      <c r="T11" s="215"/>
      <c r="U11" s="215"/>
      <c r="W11" s="227" t="s">
        <v>45</v>
      </c>
      <c r="X11" s="228">
        <f>IFERROR(IF(OR(DATE($B$9,MONTH(DATEVALUE(W11&amp;"1")),1)&lt;DATE(YEAR(EXPEDIENTE!$I$25),MONTH(EXPEDIENTE!$I$25),1),DATE($B$9,MONTH(DATEVALUE(W11&amp;"1")),1)&gt;DATE(YEAR(EXPEDIENTE!$I$27),MONTH(EXPEDIENTE!$I$27)+1,1)-1),0,ROUND('% DEDICACIÓN'!G44,4)),0)</f>
        <v>0</v>
      </c>
      <c r="Y11" s="229">
        <f>'GASTOS EJER. 1'!AW20+'GASTOS EJER. 1'!BM20-'GASTOS EJER. 1'!CM20-'GASTOS EJER. 1'!CP20</f>
        <v>0</v>
      </c>
      <c r="Z11" s="230" t="str">
        <f>IF('GASTOS EJER. 1'!CT20="","",'GASTOS EJER. 1'!CT20)</f>
        <v/>
      </c>
      <c r="AA11" s="231">
        <f>IF(Z11&lt;=EXPEDIENTE!$I$29,Y11,0)</f>
        <v>0</v>
      </c>
      <c r="AB11" s="232">
        <f>'GASTOS EJER. 1'!CP20</f>
        <v>0</v>
      </c>
      <c r="AC11" s="230" t="str">
        <f>IF('GASTOS EJER. 1'!CW20="","",'GASTOS EJER. 1'!CW20)</f>
        <v/>
      </c>
      <c r="AD11" s="231">
        <f>IF(AC11&lt;=EXPEDIENTE!$I$29,AB11,0)</f>
        <v>0</v>
      </c>
      <c r="AE11" s="233">
        <f>AUXILIAR!DL23</f>
        <v>0</v>
      </c>
      <c r="AF11" s="232">
        <f>AUXILIAR!HU23</f>
        <v>0</v>
      </c>
      <c r="AG11" s="230" t="str">
        <f>IF('GASTOS EJER. 1'!BF49="","",'GASTOS EJER. 1'!BF49)</f>
        <v/>
      </c>
      <c r="AH11" s="231">
        <f>IF(AG11&lt;=EXPEDIENTE!$I$29,AF11,0)</f>
        <v>0</v>
      </c>
      <c r="AI11" s="233">
        <f>IF($AQ$18=0,0,IF(AND($AQ$20&gt;$AQ$18,$AQ$16=1100%),MIN(AUXILIAR!$P$17,ROUND($AQ$18/$AQ$20*(AA11+AD11+AE11+AH11)*(1+('IDENTIFICACIÓN TRABAJADOR'!$B$45+'IDENTIFICACIÓN TRABAJADOR'!$F$45)/(360-'IDENTIFICACIÓN TRABAJADOR'!$B$45-'IDENTIFICACIÓN TRABAJADOR'!$F$45)),2)),MIN(AUXILIAR!$P$17,ROUND((AA11+AD11+AE11+AH11)*(1+('IDENTIFICACIÓN TRABAJADOR'!$B$45+'IDENTIFICACIÓN TRABAJADOR'!$F$45)/(360-'IDENTIFICACIÓN TRABAJADOR'!$B$45-'IDENTIFICACIÓN TRABAJADOR'!$F$45)),2))))</f>
        <v>0</v>
      </c>
      <c r="AJ11" s="234">
        <f>IF($AQ$24&gt;0,0,ROUND(X11*AI11,2))</f>
        <v>0</v>
      </c>
      <c r="AK11" s="235">
        <f>O11</f>
        <v>0</v>
      </c>
      <c r="AO11" s="212">
        <f>ROUND(X11*(AA11+AD11+AE11+AH11)*(1+('IDENTIFICACIÓN TRABAJADOR'!$B$45+'IDENTIFICACIÓN TRABAJADOR'!$F$45)/(360-'IDENTIFICACIÓN TRABAJADOR'!$B$45-'IDENTIFICACIÓN TRABAJADOR'!$F$45)),2)</f>
        <v>0</v>
      </c>
      <c r="AP11" s="215"/>
      <c r="AQ11" s="215"/>
    </row>
    <row r="12" spans="2:43" ht="15" customHeight="1" x14ac:dyDescent="0.25">
      <c r="B12" s="236" t="s">
        <v>46</v>
      </c>
      <c r="C12" s="237">
        <f>IFERROR(IF(OR(DATE($B$9,MONTH(DATEVALUE(B12&amp;"1")),1)&lt;DATE(YEAR(EXPEDIENTE!$I$25),MONTH(EXPEDIENTE!$I$25),1),DATE($B$9,MONTH(DATEVALUE(B12&amp;"1")),1)&gt;DATE(YEAR(EXPEDIENTE!$I$27),MONTH(EXPEDIENTE!$I$27)+1,1)-1),0,ROUND('% DEDICACIÓN'!H44,4)),0)</f>
        <v>0</v>
      </c>
      <c r="D12" s="238">
        <f>'GASTOS EJER. 1'!F21+'GASTOS EJER. 1'!L21-'GASTOS EJER. 1'!X21-'GASTOS EJER. 1'!Y21</f>
        <v>0</v>
      </c>
      <c r="E12" s="239" t="str">
        <f>IF('GASTOS EJER. 1'!AA21="","",'GASTOS EJER. 1'!AA21)</f>
        <v/>
      </c>
      <c r="F12" s="240">
        <f>IF(E12&lt;=EXPEDIENTE!$I$29,D12,0)</f>
        <v>0</v>
      </c>
      <c r="G12" s="241">
        <f>'GASTOS EJER. 1'!Y21</f>
        <v>0</v>
      </c>
      <c r="H12" s="239" t="str">
        <f>IF('GASTOS EJER. 1'!AB21="","",'GASTOS EJER. 1'!AB21)</f>
        <v/>
      </c>
      <c r="I12" s="240">
        <f>IF(H12&lt;=EXPEDIENTE!$I$29,G12,0)</f>
        <v>0</v>
      </c>
      <c r="J12" s="242">
        <f>AUXILIAR!BU24</f>
        <v>0</v>
      </c>
      <c r="K12" s="241">
        <f>AUXILIAR!FP24</f>
        <v>0</v>
      </c>
      <c r="L12" s="239" t="str">
        <f>IF('GASTOS EJER. 1'!I50="","",'GASTOS EJER. 1'!I50)</f>
        <v/>
      </c>
      <c r="M12" s="240">
        <f>IF(L12&lt;=EXPEDIENTE!$I$29,K12,0)</f>
        <v>0</v>
      </c>
      <c r="N12" s="242">
        <f>IF($U$18=0,0,IF(AND($U$20&gt;$U$18,$U$16=1100%),MIN(AUXILIAR!$P$17,ROUND($U$18/$U$20*(F12+I12+J12+M12)*(1+('IDENTIFICACIÓN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4">
        <f t="shared" si="0"/>
        <v>0</v>
      </c>
      <c r="S12" s="212">
        <f>ROUND(C12*(F12+I12+J12+M12)*(1+('IDENTIFICACIÓN TRABAJADOR'!$B$45+'IDENTIFICACIÓN TRABAJADOR'!$F$45)/(360-'IDENTIFICACIÓN TRABAJADOR'!$B$45-'IDENTIFICACIÓN TRABAJADOR'!$F$45)),2)</f>
        <v>0</v>
      </c>
      <c r="T12" s="215"/>
      <c r="U12" s="215"/>
      <c r="W12" s="236" t="s">
        <v>46</v>
      </c>
      <c r="X12" s="237">
        <f>IFERROR(IF(OR(DATE($B$9,MONTH(DATEVALUE(W12&amp;"1")),1)&lt;DATE(YEAR(EXPEDIENTE!$I$25),MONTH(EXPEDIENTE!$I$25),1),DATE($B$9,MONTH(DATEVALUE(W12&amp;"1")),1)&gt;DATE(YEAR(EXPEDIENTE!$I$27),MONTH(EXPEDIENTE!$I$27)+1,1)-1),0,ROUND('% DEDICACIÓN'!H44,4)),0)</f>
        <v>0</v>
      </c>
      <c r="Y12" s="238">
        <f>'GASTOS EJER. 1'!AW21+'GASTOS EJER. 1'!BM21-'GASTOS EJER. 1'!CM21-'GASTOS EJER. 1'!CP21</f>
        <v>0</v>
      </c>
      <c r="Z12" s="239" t="str">
        <f>IF('GASTOS EJER. 1'!CT21="","",'GASTOS EJER. 1'!CT21)</f>
        <v/>
      </c>
      <c r="AA12" s="240">
        <f>IF(Z12&lt;=EXPEDIENTE!$I$29,Y12,0)</f>
        <v>0</v>
      </c>
      <c r="AB12" s="241">
        <f>'GASTOS EJER. 1'!CP21</f>
        <v>0</v>
      </c>
      <c r="AC12" s="239" t="str">
        <f>IF('GASTOS EJER. 1'!CW21="","",'GASTOS EJER. 1'!CW21)</f>
        <v/>
      </c>
      <c r="AD12" s="240">
        <f>IF(AC12&lt;=EXPEDIENTE!$I$29,AB12,0)</f>
        <v>0</v>
      </c>
      <c r="AE12" s="242">
        <f>AUXILIAR!DL24</f>
        <v>0</v>
      </c>
      <c r="AF12" s="241">
        <f>AUXILIAR!HU24</f>
        <v>0</v>
      </c>
      <c r="AG12" s="239" t="str">
        <f>IF('GASTOS EJER. 1'!BF50="","",'GASTOS EJER. 1'!BF50)</f>
        <v/>
      </c>
      <c r="AH12" s="240">
        <f>IF(AG12&lt;=EXPEDIENTE!$I$29,AF12,0)</f>
        <v>0</v>
      </c>
      <c r="AI12" s="242">
        <f>IF($AQ$18=0,0,IF(AND($AQ$20&gt;$AQ$18,$AQ$16=1100%),MIN(AUXILIAR!$P$17,ROUND($AQ$18/$AQ$20*(AA12+AD12+AE12+AH12)*(1+('IDENTIFICACIÓN TRABAJADOR'!$B$45+'IDENTIFICACIÓN TRABAJADOR'!$F$45)/(360-'IDENTIFICACIÓN TRABAJADOR'!$B$45-'IDENTIFICACIÓN TRABAJADOR'!$F$45)),2)),MIN(AUXILIAR!$P$17,ROUND((AA12+AD12+AE12+AH12)*(1+('IDENTIFICACIÓN TRABAJADOR'!$B$45+'IDENTIFICACIÓN TRABAJADOR'!$F$45)/(360-'IDENTIFICACIÓN TRABAJADOR'!$B$45-'IDENTIFICACIÓN TRABAJADOR'!$F$45)),2))))</f>
        <v>0</v>
      </c>
      <c r="AJ12" s="243">
        <f t="shared" ref="AJ12:AJ22" si="1">IF($AQ$24&gt;0,0,ROUND(X12*AI12,2))</f>
        <v>0</v>
      </c>
      <c r="AK12" s="244">
        <f t="shared" ref="AK12:AK22" si="2">O12</f>
        <v>0</v>
      </c>
      <c r="AO12" s="212">
        <f>ROUND(X12*(AA12+AD12+AE12+AH12)*(1+('IDENTIFICACIÓN TRABAJADOR'!$B$45+'IDENTIFICACIÓN TRABAJADOR'!$F$45)/(360-'IDENTIFICACIÓN TRABAJADOR'!$B$45-'IDENTIFICACIÓN TRABAJADOR'!$F$45)),2)</f>
        <v>0</v>
      </c>
      <c r="AP12" s="215"/>
      <c r="AQ12" s="215"/>
    </row>
    <row r="13" spans="2:43" ht="15" customHeight="1" x14ac:dyDescent="0.25">
      <c r="B13" s="236" t="s">
        <v>47</v>
      </c>
      <c r="C13" s="237">
        <f>IFERROR(IF(OR(DATE($B$9,MONTH(DATEVALUE(B13&amp;"1")),1)&lt;DATE(YEAR(EXPEDIENTE!$I$25),MONTH(EXPEDIENTE!$I$25),1),DATE($B$9,MONTH(DATEVALUE(B13&amp;"1")),1)&gt;DATE(YEAR(EXPEDIENTE!$I$27),MONTH(EXPEDIENTE!$I$27)+1,1)-1),0,ROUND('% DEDICACIÓN'!I44,4)),0)</f>
        <v>0</v>
      </c>
      <c r="D13" s="238">
        <f>'GASTOS EJER. 1'!F22+'GASTOS EJER. 1'!L22-'GASTOS EJER. 1'!X22-'GASTOS EJER. 1'!Y22</f>
        <v>0</v>
      </c>
      <c r="E13" s="239" t="str">
        <f>IF('GASTOS EJER. 1'!AA22="","",'GASTOS EJER. 1'!AA22)</f>
        <v/>
      </c>
      <c r="F13" s="240">
        <f>IF(E13&lt;=EXPEDIENTE!$I$29,D13,0)</f>
        <v>0</v>
      </c>
      <c r="G13" s="241">
        <f>'GASTOS EJER. 1'!Y22</f>
        <v>0</v>
      </c>
      <c r="H13" s="239" t="str">
        <f>IF('GASTOS EJER. 1'!AB22="","",'GASTOS EJER. 1'!AB22)</f>
        <v/>
      </c>
      <c r="I13" s="240">
        <f>IF(H13&lt;=EXPEDIENTE!$I$29,G13,0)</f>
        <v>0</v>
      </c>
      <c r="J13" s="242">
        <f>AUXILIAR!BU25</f>
        <v>0</v>
      </c>
      <c r="K13" s="241">
        <f>AUXILIAR!FP25</f>
        <v>0</v>
      </c>
      <c r="L13" s="239" t="str">
        <f>IF('GASTOS EJER. 1'!I51="","",'GASTOS EJER. 1'!I51)</f>
        <v/>
      </c>
      <c r="M13" s="240">
        <f>IF(L13&lt;=EXPEDIENTE!$I$29,K13,0)</f>
        <v>0</v>
      </c>
      <c r="N13" s="242">
        <f>IF($U$18=0,0,IF(AND($U$20&gt;$U$18,$U$16=1100%),MIN(AUXILIAR!$P$17,ROUND($U$18/$U$20*(F13+I13+J13+M13)*(1+('IDENTIFICACIÓN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4">
        <f t="shared" si="0"/>
        <v>0</v>
      </c>
      <c r="S13" s="212">
        <f>ROUND(C13*(F13+I13+J13+M13)*(1+('IDENTIFICACIÓN TRABAJADOR'!$B$45+'IDENTIFICACIÓN TRABAJADOR'!$F$45)/(360-'IDENTIFICACIÓN TRABAJADOR'!$B$45-'IDENTIFICACIÓN TRABAJADOR'!$F$45)),2)</f>
        <v>0</v>
      </c>
      <c r="T13" s="215"/>
      <c r="U13" s="215"/>
      <c r="W13" s="236" t="s">
        <v>47</v>
      </c>
      <c r="X13" s="237">
        <f>IFERROR(IF(OR(DATE($B$9,MONTH(DATEVALUE(W13&amp;"1")),1)&lt;DATE(YEAR(EXPEDIENTE!$I$25),MONTH(EXPEDIENTE!$I$25),1),DATE($B$9,MONTH(DATEVALUE(W13&amp;"1")),1)&gt;DATE(YEAR(EXPEDIENTE!$I$27),MONTH(EXPEDIENTE!$I$27)+1,1)-1),0,ROUND('% DEDICACIÓN'!I44,4)),0)</f>
        <v>0</v>
      </c>
      <c r="Y13" s="238">
        <f>'GASTOS EJER. 1'!AW22+'GASTOS EJER. 1'!BM22-'GASTOS EJER. 1'!CM22-'GASTOS EJER. 1'!CP22</f>
        <v>0</v>
      </c>
      <c r="Z13" s="239" t="str">
        <f>IF('GASTOS EJER. 1'!CT22="","",'GASTOS EJER. 1'!CT22)</f>
        <v/>
      </c>
      <c r="AA13" s="240">
        <f>IF(Z13&lt;=EXPEDIENTE!$I$29,Y13,0)</f>
        <v>0</v>
      </c>
      <c r="AB13" s="241">
        <f>'GASTOS EJER. 1'!CP22</f>
        <v>0</v>
      </c>
      <c r="AC13" s="239" t="str">
        <f>IF('GASTOS EJER. 1'!CW22="","",'GASTOS EJER. 1'!CW22)</f>
        <v/>
      </c>
      <c r="AD13" s="240">
        <f>IF(AC13&lt;=EXPEDIENTE!$I$29,AB13,0)</f>
        <v>0</v>
      </c>
      <c r="AE13" s="242">
        <f>AUXILIAR!DL25</f>
        <v>0</v>
      </c>
      <c r="AF13" s="241">
        <f>AUXILIAR!HU25</f>
        <v>0</v>
      </c>
      <c r="AG13" s="239" t="str">
        <f>IF('GASTOS EJER. 1'!BF51="","",'GASTOS EJER. 1'!BF51)</f>
        <v/>
      </c>
      <c r="AH13" s="240">
        <f>IF(AG13&lt;=EXPEDIENTE!$I$29,AF13,0)</f>
        <v>0</v>
      </c>
      <c r="AI13" s="242">
        <f>IF($AQ$18=0,0,IF(AND($AQ$20&gt;$AQ$18,$AQ$16=1100%),MIN(AUXILIAR!$P$17,ROUND($AQ$18/$AQ$20*(AA13+AD13+AE13+AH13)*(1+('IDENTIFICACIÓN TRABAJADOR'!$B$45+'IDENTIFICACIÓN TRABAJADOR'!$F$45)/(360-'IDENTIFICACIÓN TRABAJADOR'!$B$45-'IDENTIFICACIÓN TRABAJADOR'!$F$45)),2)),MIN(AUXILIAR!$P$17,ROUND((AA13+AD13+AE13+AH13)*(1+('IDENTIFICACIÓN TRABAJADOR'!$B$45+'IDENTIFICACIÓN TRABAJADOR'!$F$45)/(360-'IDENTIFICACIÓN TRABAJADOR'!$B$45-'IDENTIFICACIÓN TRABAJADOR'!$F$45)),2))))</f>
        <v>0</v>
      </c>
      <c r="AJ13" s="243">
        <f t="shared" si="1"/>
        <v>0</v>
      </c>
      <c r="AK13" s="244">
        <f t="shared" si="2"/>
        <v>0</v>
      </c>
      <c r="AO13" s="212">
        <f>ROUND(X13*(AA13+AD13+AE13+AH13)*(1+('IDENTIFICACIÓN TRABAJADOR'!$B$45+'IDENTIFICACIÓN TRABAJADOR'!$F$45)/(360-'IDENTIFICACIÓN TRABAJADOR'!$B$45-'IDENTIFICACIÓN TRABAJADOR'!$F$45)),2)</f>
        <v>0</v>
      </c>
      <c r="AP13" s="215"/>
      <c r="AQ13" s="215"/>
    </row>
    <row r="14" spans="2:43" ht="15" customHeight="1" x14ac:dyDescent="0.25">
      <c r="B14" s="236" t="s">
        <v>48</v>
      </c>
      <c r="C14" s="237">
        <f>IFERROR(IF(OR(DATE($B$9,MONTH(DATEVALUE(B14&amp;"1")),1)&lt;DATE(YEAR(EXPEDIENTE!$I$25),MONTH(EXPEDIENTE!$I$25),1),DATE($B$9,MONTH(DATEVALUE(B14&amp;"1")),1)&gt;DATE(YEAR(EXPEDIENTE!$I$27),MONTH(EXPEDIENTE!$I$27)+1,1)-1),0,ROUND('% DEDICACIÓN'!J44,4)),0)</f>
        <v>0</v>
      </c>
      <c r="D14" s="238">
        <f>'GASTOS EJER. 1'!F23+'GASTOS EJER. 1'!L23-'GASTOS EJER. 1'!X23-'GASTOS EJER. 1'!Y23</f>
        <v>0</v>
      </c>
      <c r="E14" s="239" t="str">
        <f>IF('GASTOS EJER. 1'!AA23="","",'GASTOS EJER. 1'!AA23)</f>
        <v/>
      </c>
      <c r="F14" s="240">
        <f>IF(E14&lt;=EXPEDIENTE!$I$29,D14,0)</f>
        <v>0</v>
      </c>
      <c r="G14" s="241">
        <f>'GASTOS EJER. 1'!Y23</f>
        <v>0</v>
      </c>
      <c r="H14" s="239" t="str">
        <f>IF('GASTOS EJER. 1'!AB23="","",'GASTOS EJER. 1'!AB23)</f>
        <v/>
      </c>
      <c r="I14" s="240">
        <f>IF(H14&lt;=EXPEDIENTE!$I$29,G14,0)</f>
        <v>0</v>
      </c>
      <c r="J14" s="242">
        <f>AUXILIAR!BU26</f>
        <v>0</v>
      </c>
      <c r="K14" s="241">
        <f>AUXILIAR!FP26</f>
        <v>0</v>
      </c>
      <c r="L14" s="239" t="str">
        <f>IF('GASTOS EJER. 1'!I52="","",'GASTOS EJER. 1'!I52)</f>
        <v/>
      </c>
      <c r="M14" s="240">
        <f>IF(L14&lt;=EXPEDIENTE!$I$29,K14,0)</f>
        <v>0</v>
      </c>
      <c r="N14" s="242">
        <f>IF($U$18=0,0,IF(AND($U$20&gt;$U$18,$U$16=1100%),MIN(AUXILIAR!$P$17,ROUND($U$18/$U$20*(F14+I14+J14+M14)*(1+('IDENTIFICACIÓN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4">
        <f t="shared" si="0"/>
        <v>0</v>
      </c>
      <c r="S14" s="212">
        <f>ROUND(C14*(F14+I14+J14+M14)*(1+('IDENTIFICACIÓN TRABAJADOR'!$B$45+'IDENTIFICACIÓN TRABAJADOR'!$F$45)/(360-'IDENTIFICACIÓN TRABAJADOR'!$B$45-'IDENTIFICACIÓN TRABAJADOR'!$F$45)),2)</f>
        <v>0</v>
      </c>
      <c r="T14" s="215"/>
      <c r="U14" s="215"/>
      <c r="W14" s="236" t="s">
        <v>48</v>
      </c>
      <c r="X14" s="237">
        <f>IFERROR(IF(OR(DATE($B$9,MONTH(DATEVALUE(W14&amp;"1")),1)&lt;DATE(YEAR(EXPEDIENTE!$I$25),MONTH(EXPEDIENTE!$I$25),1),DATE($B$9,MONTH(DATEVALUE(W14&amp;"1")),1)&gt;DATE(YEAR(EXPEDIENTE!$I$27),MONTH(EXPEDIENTE!$I$27)+1,1)-1),0,ROUND('% DEDICACIÓN'!J44,4)),0)</f>
        <v>0</v>
      </c>
      <c r="Y14" s="238">
        <f>'GASTOS EJER. 1'!AW23+'GASTOS EJER. 1'!BM23-'GASTOS EJER. 1'!CM23-'GASTOS EJER. 1'!CP23</f>
        <v>0</v>
      </c>
      <c r="Z14" s="239" t="str">
        <f>IF('GASTOS EJER. 1'!CT23="","",'GASTOS EJER. 1'!CT23)</f>
        <v/>
      </c>
      <c r="AA14" s="240">
        <f>IF(Z14&lt;=EXPEDIENTE!$I$29,Y14,0)</f>
        <v>0</v>
      </c>
      <c r="AB14" s="241">
        <f>'GASTOS EJER. 1'!CP23</f>
        <v>0</v>
      </c>
      <c r="AC14" s="239" t="str">
        <f>IF('GASTOS EJER. 1'!CW23="","",'GASTOS EJER. 1'!CW23)</f>
        <v/>
      </c>
      <c r="AD14" s="240">
        <f>IF(AC14&lt;=EXPEDIENTE!$I$29,AB14,0)</f>
        <v>0</v>
      </c>
      <c r="AE14" s="242">
        <f>AUXILIAR!DL26</f>
        <v>0</v>
      </c>
      <c r="AF14" s="241">
        <f>AUXILIAR!HU26</f>
        <v>0</v>
      </c>
      <c r="AG14" s="239" t="str">
        <f>IF('GASTOS EJER. 1'!BF52="","",'GASTOS EJER. 1'!BF52)</f>
        <v/>
      </c>
      <c r="AH14" s="240">
        <f>IF(AG14&lt;=EXPEDIENTE!$I$29,AF14,0)</f>
        <v>0</v>
      </c>
      <c r="AI14" s="242">
        <f>IF($AQ$18=0,0,IF(AND($AQ$20&gt;$AQ$18,$AQ$16=1100%),MIN(AUXILIAR!$P$17,ROUND($AQ$18/$AQ$20*(AA14+AD14+AE14+AH14)*(1+('IDENTIFICACIÓN TRABAJADOR'!$B$45+'IDENTIFICACIÓN TRABAJADOR'!$F$45)/(360-'IDENTIFICACIÓN TRABAJADOR'!$B$45-'IDENTIFICACIÓN TRABAJADOR'!$F$45)),2)),MIN(AUXILIAR!$P$17,ROUND((AA14+AD14+AE14+AH14)*(1+('IDENTIFICACIÓN TRABAJADOR'!$B$45+'IDENTIFICACIÓN TRABAJADOR'!$F$45)/(360-'IDENTIFICACIÓN TRABAJADOR'!$B$45-'IDENTIFICACIÓN TRABAJADOR'!$F$45)),2))))</f>
        <v>0</v>
      </c>
      <c r="AJ14" s="243">
        <f t="shared" si="1"/>
        <v>0</v>
      </c>
      <c r="AK14" s="244">
        <f t="shared" si="2"/>
        <v>0</v>
      </c>
      <c r="AO14" s="212">
        <f>ROUND(X14*(AA14+AD14+AE14+AH14)*(1+('IDENTIFICACIÓN TRABAJADOR'!$B$45+'IDENTIFICACIÓN TRABAJADOR'!$F$45)/(360-'IDENTIFICACIÓN TRABAJADOR'!$B$45-'IDENTIFICACIÓN TRABAJADOR'!$F$45)),2)</f>
        <v>0</v>
      </c>
      <c r="AP14" s="215"/>
      <c r="AQ14" s="215"/>
    </row>
    <row r="15" spans="2:43" ht="15" customHeight="1" x14ac:dyDescent="0.25">
      <c r="B15" s="236" t="s">
        <v>49</v>
      </c>
      <c r="C15" s="237">
        <f>IFERROR(IF(OR(DATE($B$9,MONTH(DATEVALUE(B15&amp;"1")),1)&lt;DATE(YEAR(EXPEDIENTE!$I$25),MONTH(EXPEDIENTE!$I$25),1),DATE($B$9,MONTH(DATEVALUE(B15&amp;"1")),1)&gt;DATE(YEAR(EXPEDIENTE!$I$27),MONTH(EXPEDIENTE!$I$27)+1,1)-1),0,ROUND('% DEDICACIÓN'!K44,4)),0)</f>
        <v>0</v>
      </c>
      <c r="D15" s="238">
        <f>'GASTOS EJER. 1'!F24+'GASTOS EJER. 1'!L24-'GASTOS EJER. 1'!X24-'GASTOS EJER. 1'!Y24</f>
        <v>0</v>
      </c>
      <c r="E15" s="239" t="str">
        <f>IF('GASTOS EJER. 1'!AA24="","",'GASTOS EJER. 1'!AA24)</f>
        <v/>
      </c>
      <c r="F15" s="240">
        <f>IF(E15&lt;=EXPEDIENTE!$I$29,D15,0)</f>
        <v>0</v>
      </c>
      <c r="G15" s="241">
        <f>'GASTOS EJER. 1'!Y24</f>
        <v>0</v>
      </c>
      <c r="H15" s="239" t="str">
        <f>IF('GASTOS EJER. 1'!AB24="","",'GASTOS EJER. 1'!AB24)</f>
        <v/>
      </c>
      <c r="I15" s="240">
        <f>IF(H15&lt;=EXPEDIENTE!$I$29,G15,0)</f>
        <v>0</v>
      </c>
      <c r="J15" s="242">
        <f>AUXILIAR!BU27</f>
        <v>0</v>
      </c>
      <c r="K15" s="241">
        <f>AUXILIAR!FP27</f>
        <v>0</v>
      </c>
      <c r="L15" s="239" t="str">
        <f>IF('GASTOS EJER. 1'!I53="","",'GASTOS EJER. 1'!I53)</f>
        <v/>
      </c>
      <c r="M15" s="240">
        <f>IF(L15&lt;=EXPEDIENTE!$I$29,K15,0)</f>
        <v>0</v>
      </c>
      <c r="N15" s="242">
        <f>IF($U$18=0,0,IF(AND($U$20&gt;$U$18,$U$16=1100%),MIN(AUXILIAR!$P$17,ROUND($U$18/$U$20*(F15+I15+J15+M15)*(1+('IDENTIFICACIÓN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4">
        <f t="shared" si="0"/>
        <v>0</v>
      </c>
      <c r="S15" s="212">
        <f>ROUND(C15*(F15+I15+J15+M15)*(1+('IDENTIFICACIÓN TRABAJADOR'!$B$45+'IDENTIFICACIÓN TRABAJADOR'!$F$45)/(360-'IDENTIFICACIÓN TRABAJADOR'!$B$45-'IDENTIFICACIÓN TRABAJADOR'!$F$45)),2)</f>
        <v>0</v>
      </c>
      <c r="T15" s="215"/>
      <c r="U15" s="211" t="s">
        <v>222</v>
      </c>
      <c r="W15" s="236" t="s">
        <v>49</v>
      </c>
      <c r="X15" s="237">
        <f>IFERROR(IF(OR(DATE($B$9,MONTH(DATEVALUE(W15&amp;"1")),1)&lt;DATE(YEAR(EXPEDIENTE!$I$25),MONTH(EXPEDIENTE!$I$25),1),DATE($B$9,MONTH(DATEVALUE(W15&amp;"1")),1)&gt;DATE(YEAR(EXPEDIENTE!$I$27),MONTH(EXPEDIENTE!$I$27)+1,1)-1),0,ROUND('% DEDICACIÓN'!K44,4)),0)</f>
        <v>0</v>
      </c>
      <c r="Y15" s="238">
        <f>'GASTOS EJER. 1'!AW24+'GASTOS EJER. 1'!BM24-'GASTOS EJER. 1'!CM24-'GASTOS EJER. 1'!CP24</f>
        <v>0</v>
      </c>
      <c r="Z15" s="239" t="str">
        <f>IF('GASTOS EJER. 1'!CT24="","",'GASTOS EJER. 1'!CT24)</f>
        <v/>
      </c>
      <c r="AA15" s="240">
        <f>IF(Z15&lt;=EXPEDIENTE!$I$29,Y15,0)</f>
        <v>0</v>
      </c>
      <c r="AB15" s="241">
        <f>'GASTOS EJER. 1'!CP24</f>
        <v>0</v>
      </c>
      <c r="AC15" s="239" t="str">
        <f>IF('GASTOS EJER. 1'!CW24="","",'GASTOS EJER. 1'!CW24)</f>
        <v/>
      </c>
      <c r="AD15" s="240">
        <f>IF(AC15&lt;=EXPEDIENTE!$I$29,AB15,0)</f>
        <v>0</v>
      </c>
      <c r="AE15" s="242">
        <f>AUXILIAR!DL27</f>
        <v>0</v>
      </c>
      <c r="AF15" s="241">
        <f>AUXILIAR!HU27</f>
        <v>0</v>
      </c>
      <c r="AG15" s="239" t="str">
        <f>IF('GASTOS EJER. 1'!BF53="","",'GASTOS EJER. 1'!BF53)</f>
        <v/>
      </c>
      <c r="AH15" s="240">
        <f>IF(AG15&lt;=EXPEDIENTE!$I$29,AF15,0)</f>
        <v>0</v>
      </c>
      <c r="AI15" s="242">
        <f>IF($AQ$18=0,0,IF(AND($AQ$20&gt;$AQ$18,$AQ$16=1100%),MIN(AUXILIAR!$P$17,ROUND($AQ$18/$AQ$20*(AA15+AD15+AE15+AH15)*(1+('IDENTIFICACIÓN TRABAJADOR'!$B$45+'IDENTIFICACIÓN TRABAJADOR'!$F$45)/(360-'IDENTIFICACIÓN TRABAJADOR'!$B$45-'IDENTIFICACIÓN TRABAJADOR'!$F$45)),2)),MIN(AUXILIAR!$P$17,ROUND((AA15+AD15+AE15+AH15)*(1+('IDENTIFICACIÓN TRABAJADOR'!$B$45+'IDENTIFICACIÓN TRABAJADOR'!$F$45)/(360-'IDENTIFICACIÓN TRABAJADOR'!$B$45-'IDENTIFICACIÓN TRABAJADOR'!$F$45)),2))))</f>
        <v>0</v>
      </c>
      <c r="AJ15" s="243">
        <f t="shared" si="1"/>
        <v>0</v>
      </c>
      <c r="AK15" s="244">
        <f t="shared" si="2"/>
        <v>0</v>
      </c>
      <c r="AO15" s="212">
        <f>ROUND(X15*(AA15+AD15+AE15+AH15)*(1+('IDENTIFICACIÓN TRABAJADOR'!$B$45+'IDENTIFICACIÓN TRABAJADOR'!$F$45)/(360-'IDENTIFICACIÓN TRABAJADOR'!$B$45-'IDENTIFICACIÓN TRABAJADOR'!$F$45)),2)</f>
        <v>0</v>
      </c>
      <c r="AP15" s="215"/>
      <c r="AQ15" s="211" t="s">
        <v>222</v>
      </c>
    </row>
    <row r="16" spans="2:43" ht="15" customHeight="1" x14ac:dyDescent="0.25">
      <c r="B16" s="236" t="s">
        <v>50</v>
      </c>
      <c r="C16" s="237">
        <f>IFERROR(IF(OR(DATE($B$9,MONTH(DATEVALUE(B16&amp;"1")),1)&lt;DATE(YEAR(EXPEDIENTE!$I$25),MONTH(EXPEDIENTE!$I$25),1),DATE($B$9,MONTH(DATEVALUE(B16&amp;"1")),1)&gt;DATE(YEAR(EXPEDIENTE!$I$27),MONTH(EXPEDIENTE!$I$27)+1,1)-1),0,ROUND('% DEDICACIÓN'!L44,4)),0)</f>
        <v>0</v>
      </c>
      <c r="D16" s="238">
        <f>'GASTOS EJER. 1'!F25+'GASTOS EJER. 1'!L25-'GASTOS EJER. 1'!X25-'GASTOS EJER. 1'!Y25</f>
        <v>0</v>
      </c>
      <c r="E16" s="239" t="str">
        <f>IF('GASTOS EJER. 1'!AA25="","",'GASTOS EJER. 1'!AA25)</f>
        <v/>
      </c>
      <c r="F16" s="240">
        <f>IF(E16&lt;=EXPEDIENTE!$I$29,D16,0)</f>
        <v>0</v>
      </c>
      <c r="G16" s="241">
        <f>'GASTOS EJER. 1'!Y25</f>
        <v>0</v>
      </c>
      <c r="H16" s="239" t="str">
        <f>IF('GASTOS EJER. 1'!AB25="","",'GASTOS EJER. 1'!AB25)</f>
        <v/>
      </c>
      <c r="I16" s="240">
        <f>IF(H16&lt;=EXPEDIENTE!$I$29,G16,0)</f>
        <v>0</v>
      </c>
      <c r="J16" s="242">
        <f>AUXILIAR!BU28</f>
        <v>0</v>
      </c>
      <c r="K16" s="241">
        <f>AUXILIAR!FP28</f>
        <v>0</v>
      </c>
      <c r="L16" s="239" t="str">
        <f>IF('GASTOS EJER. 1'!I54="","",'GASTOS EJER. 1'!I54)</f>
        <v/>
      </c>
      <c r="M16" s="240">
        <f>IF(L16&lt;=EXPEDIENTE!$I$29,K16,0)</f>
        <v>0</v>
      </c>
      <c r="N16" s="242">
        <f>IF($U$18=0,0,IF(AND($U$20&gt;$U$18,$U$16=1100%),MIN(AUXILIAR!$P$17,ROUND($U$18/$U$20*(F16+I16+J16+M16)*(1+('IDENTIFICACIÓN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4">
        <f t="shared" si="0"/>
        <v>0</v>
      </c>
      <c r="S16" s="212">
        <f>ROUND(C16*(F16+I16+J16+M16)*(1+('IDENTIFICACIÓN TRABAJADOR'!$B$45+'IDENTIFICACIÓN TRABAJADOR'!$F$45)/(360-'IDENTIFICACIÓN TRABAJADOR'!$B$45-'IDENTIFICACIÓN TRABAJADOR'!$F$45)),2)</f>
        <v>0</v>
      </c>
      <c r="T16" s="245"/>
      <c r="U16" s="246">
        <f>SUM('% DEDICACIÓN'!$G$44:$R$44)</f>
        <v>0</v>
      </c>
      <c r="W16" s="236" t="s">
        <v>50</v>
      </c>
      <c r="X16" s="237">
        <f>IFERROR(IF(OR(DATE($B$9,MONTH(DATEVALUE(W16&amp;"1")),1)&lt;DATE(YEAR(EXPEDIENTE!$I$25),MONTH(EXPEDIENTE!$I$25),1),DATE($B$9,MONTH(DATEVALUE(W16&amp;"1")),1)&gt;DATE(YEAR(EXPEDIENTE!$I$27),MONTH(EXPEDIENTE!$I$27)+1,1)-1),0,ROUND('% DEDICACIÓN'!L44,4)),0)</f>
        <v>0</v>
      </c>
      <c r="Y16" s="238">
        <f>'GASTOS EJER. 1'!AW25+'GASTOS EJER. 1'!BM25-'GASTOS EJER. 1'!CM25-'GASTOS EJER. 1'!CP25</f>
        <v>0</v>
      </c>
      <c r="Z16" s="239" t="str">
        <f>IF('GASTOS EJER. 1'!CT25="","",'GASTOS EJER. 1'!CT25)</f>
        <v/>
      </c>
      <c r="AA16" s="240">
        <f>IF(Z16&lt;=EXPEDIENTE!$I$29,Y16,0)</f>
        <v>0</v>
      </c>
      <c r="AB16" s="241">
        <f>'GASTOS EJER. 1'!CP25</f>
        <v>0</v>
      </c>
      <c r="AC16" s="239" t="str">
        <f>IF('GASTOS EJER. 1'!CW25="","",'GASTOS EJER. 1'!CW25)</f>
        <v/>
      </c>
      <c r="AD16" s="240">
        <f>IF(AC16&lt;=EXPEDIENTE!$I$29,AB16,0)</f>
        <v>0</v>
      </c>
      <c r="AE16" s="242">
        <f>AUXILIAR!DL28</f>
        <v>0</v>
      </c>
      <c r="AF16" s="241">
        <f>AUXILIAR!HU28</f>
        <v>0</v>
      </c>
      <c r="AG16" s="239" t="str">
        <f>IF('GASTOS EJER. 1'!BF54="","",'GASTOS EJER. 1'!BF54)</f>
        <v/>
      </c>
      <c r="AH16" s="240">
        <f>IF(AG16&lt;=EXPEDIENTE!$I$29,AF16,0)</f>
        <v>0</v>
      </c>
      <c r="AI16" s="242">
        <f>IF($AQ$18=0,0,IF(AND($AQ$20&gt;$AQ$18,$AQ$16=1100%),MIN(AUXILIAR!$P$17,ROUND($AQ$18/$AQ$20*(AA16+AD16+AE16+AH16)*(1+('IDENTIFICACIÓN TRABAJADOR'!$B$45+'IDENTIFICACIÓN TRABAJADOR'!$F$45)/(360-'IDENTIFICACIÓN TRABAJADOR'!$B$45-'IDENTIFICACIÓN TRABAJADOR'!$F$45)),2)),MIN(AUXILIAR!$P$17,ROUND((AA16+AD16+AE16+AH16)*(1+('IDENTIFICACIÓN TRABAJADOR'!$B$45+'IDENTIFICACIÓN TRABAJADOR'!$F$45)/(360-'IDENTIFICACIÓN TRABAJADOR'!$B$45-'IDENTIFICACIÓN TRABAJADOR'!$F$45)),2))))</f>
        <v>0</v>
      </c>
      <c r="AJ16" s="243">
        <f t="shared" si="1"/>
        <v>0</v>
      </c>
      <c r="AK16" s="244">
        <f t="shared" si="2"/>
        <v>0</v>
      </c>
      <c r="AO16" s="212">
        <f>ROUND(X16*(AA16+AD16+AE16+AH16)*(1+('IDENTIFICACIÓN TRABAJADOR'!$B$45+'IDENTIFICACIÓN TRABAJADOR'!$F$45)/(360-'IDENTIFICACIÓN TRABAJADOR'!$B$45-'IDENTIFICACIÓN TRABAJADOR'!$F$45)),2)</f>
        <v>0</v>
      </c>
      <c r="AP16" s="245"/>
      <c r="AQ16" s="246">
        <f>SUM('% DEDICACIÓN'!$G$44:$R$44)</f>
        <v>0</v>
      </c>
    </row>
    <row r="17" spans="2:43" ht="15" customHeight="1" x14ac:dyDescent="0.25">
      <c r="B17" s="236" t="s">
        <v>51</v>
      </c>
      <c r="C17" s="237">
        <f>IFERROR(IF(OR(DATE($B$9,MONTH(DATEVALUE(B17&amp;"1")),1)&lt;DATE(YEAR(EXPEDIENTE!$I$25),MONTH(EXPEDIENTE!$I$25),1),DATE($B$9,MONTH(DATEVALUE(B17&amp;"1")),1)&gt;DATE(YEAR(EXPEDIENTE!$I$27),MONTH(EXPEDIENTE!$I$27)+1,1)-1),0,ROUND('% DEDICACIÓN'!M44,4)),0)</f>
        <v>0</v>
      </c>
      <c r="D17" s="238">
        <f>'GASTOS EJER. 1'!F26+'GASTOS EJER. 1'!L26-'GASTOS EJER. 1'!X26-'GASTOS EJER. 1'!Y26</f>
        <v>0</v>
      </c>
      <c r="E17" s="239" t="str">
        <f>IF('GASTOS EJER. 1'!AA26="","",'GASTOS EJER. 1'!AA26)</f>
        <v/>
      </c>
      <c r="F17" s="240">
        <f>IF(E17&lt;=EXPEDIENTE!$I$29,D17,0)</f>
        <v>0</v>
      </c>
      <c r="G17" s="241">
        <f>'GASTOS EJER. 1'!Y26</f>
        <v>0</v>
      </c>
      <c r="H17" s="239" t="str">
        <f>IF('GASTOS EJER. 1'!AB26="","",'GASTOS EJER. 1'!AB26)</f>
        <v/>
      </c>
      <c r="I17" s="240">
        <f>IF(H17&lt;=EXPEDIENTE!$I$29,G17,0)</f>
        <v>0</v>
      </c>
      <c r="J17" s="242">
        <f>AUXILIAR!BU29</f>
        <v>0</v>
      </c>
      <c r="K17" s="241">
        <f>AUXILIAR!FP29</f>
        <v>0</v>
      </c>
      <c r="L17" s="239" t="str">
        <f>IF('GASTOS EJER. 1'!I55="","",'GASTOS EJER. 1'!I55)</f>
        <v/>
      </c>
      <c r="M17" s="240">
        <f>IF(L17&lt;=EXPEDIENTE!$I$29,K17,0)</f>
        <v>0</v>
      </c>
      <c r="N17" s="242">
        <f>IF($U$18=0,0,IF(AND($U$20&gt;$U$18,$U$16=1100%),MIN(AUXILIAR!$P$17,ROUND($U$18/$U$20*(F17+I17+J17+M17)*(1+('IDENTIFICACIÓN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4">
        <f t="shared" si="0"/>
        <v>0</v>
      </c>
      <c r="S17" s="212">
        <f>ROUND(C17*(F17+I17+J17+M17)*(1+('IDENTIFICACIÓN TRABAJADOR'!$B$45+'IDENTIFICACIÓN TRABAJADOR'!$F$45)/(360-'IDENTIFICACIÓN TRABAJADOR'!$B$45-'IDENTIFICACIÓN TRABAJADOR'!$F$45)),2)</f>
        <v>0</v>
      </c>
      <c r="T17" s="245"/>
      <c r="U17" s="211" t="s">
        <v>223</v>
      </c>
      <c r="W17" s="236" t="s">
        <v>51</v>
      </c>
      <c r="X17" s="237">
        <f>IFERROR(IF(OR(DATE($B$9,MONTH(DATEVALUE(W17&amp;"1")),1)&lt;DATE(YEAR(EXPEDIENTE!$I$25),MONTH(EXPEDIENTE!$I$25),1),DATE($B$9,MONTH(DATEVALUE(W17&amp;"1")),1)&gt;DATE(YEAR(EXPEDIENTE!$I$27),MONTH(EXPEDIENTE!$I$27)+1,1)-1),0,ROUND('% DEDICACIÓN'!M44,4)),0)</f>
        <v>0</v>
      </c>
      <c r="Y17" s="238">
        <f>'GASTOS EJER. 1'!AW26+'GASTOS EJER. 1'!BM26-'GASTOS EJER. 1'!CM26-'GASTOS EJER. 1'!CP26</f>
        <v>0</v>
      </c>
      <c r="Z17" s="239" t="str">
        <f>IF('GASTOS EJER. 1'!CT26="","",'GASTOS EJER. 1'!CT26)</f>
        <v/>
      </c>
      <c r="AA17" s="240">
        <f>IF(Z17&lt;=EXPEDIENTE!$I$29,Y17,0)</f>
        <v>0</v>
      </c>
      <c r="AB17" s="241">
        <f>'GASTOS EJER. 1'!CP26</f>
        <v>0</v>
      </c>
      <c r="AC17" s="239" t="str">
        <f>IF('GASTOS EJER. 1'!CW26="","",'GASTOS EJER. 1'!CW26)</f>
        <v/>
      </c>
      <c r="AD17" s="240">
        <f>IF(AC17&lt;=EXPEDIENTE!$I$29,AB17,0)</f>
        <v>0</v>
      </c>
      <c r="AE17" s="242">
        <f>AUXILIAR!DL29</f>
        <v>0</v>
      </c>
      <c r="AF17" s="241">
        <f>AUXILIAR!HU29</f>
        <v>0</v>
      </c>
      <c r="AG17" s="239" t="str">
        <f>IF('GASTOS EJER. 1'!BF55="","",'GASTOS EJER. 1'!BF55)</f>
        <v/>
      </c>
      <c r="AH17" s="240">
        <f>IF(AG17&lt;=EXPEDIENTE!$I$29,AF17,0)</f>
        <v>0</v>
      </c>
      <c r="AI17" s="242">
        <f>IF($AQ$18=0,0,IF(AND($AQ$20&gt;$AQ$18,$AQ$16=1100%),MIN(AUXILIAR!$P$17,ROUND($AQ$18/$AQ$20*(AA17+AD17+AE17+AH17)*(1+('IDENTIFICACIÓN TRABAJADOR'!$B$45+'IDENTIFICACIÓN TRABAJADOR'!$F$45)/(360-'IDENTIFICACIÓN TRABAJADOR'!$B$45-'IDENTIFICACIÓN TRABAJADOR'!$F$45)),2)),MIN(AUXILIAR!$P$17,ROUND((AA17+AD17+AE17+AH17)*(1+('IDENTIFICACIÓN TRABAJADOR'!$B$45+'IDENTIFICACIÓN TRABAJADOR'!$F$45)/(360-'IDENTIFICACIÓN TRABAJADOR'!$B$45-'IDENTIFICACIÓN TRABAJADOR'!$F$45)),2))))</f>
        <v>0</v>
      </c>
      <c r="AJ17" s="243">
        <f t="shared" si="1"/>
        <v>0</v>
      </c>
      <c r="AK17" s="244">
        <f t="shared" si="2"/>
        <v>0</v>
      </c>
      <c r="AO17" s="212">
        <f>ROUND(X17*(AA17+AD17+AE17+AH17)*(1+('IDENTIFICACIÓN TRABAJADOR'!$B$45+'IDENTIFICACIÓN TRABAJADOR'!$F$45)/(360-'IDENTIFICACIÓN TRABAJADOR'!$B$45-'IDENTIFICACIÓN TRABAJADOR'!$F$45)),2)</f>
        <v>0</v>
      </c>
      <c r="AP17" s="245"/>
      <c r="AQ17" s="211" t="s">
        <v>223</v>
      </c>
    </row>
    <row r="18" spans="2:43" ht="15" customHeight="1" x14ac:dyDescent="0.25">
      <c r="B18" s="236" t="s">
        <v>52</v>
      </c>
      <c r="C18" s="237">
        <f>IFERROR(IF(OR(DATE($B$9,MONTH(DATEVALUE(B18&amp;"1")),1)&lt;DATE(YEAR(EXPEDIENTE!$I$25),MONTH(EXPEDIENTE!$I$25),1),DATE($B$9,MONTH(DATEVALUE(B18&amp;"1")),1)&gt;DATE(YEAR(EXPEDIENTE!$I$27),MONTH(EXPEDIENTE!$I$27)+1,1)-1),0,ROUND('% DEDICACIÓN'!N44,4)),0)</f>
        <v>0</v>
      </c>
      <c r="D18" s="238">
        <f>'GASTOS EJER. 1'!F27+'GASTOS EJER. 1'!L27-'GASTOS EJER. 1'!X27-'GASTOS EJER. 1'!Y27</f>
        <v>0</v>
      </c>
      <c r="E18" s="239" t="str">
        <f>IF('GASTOS EJER. 1'!AA27="","",'GASTOS EJER. 1'!AA27)</f>
        <v/>
      </c>
      <c r="F18" s="240">
        <f>IF(E18&lt;=EXPEDIENTE!$I$29,D18,0)</f>
        <v>0</v>
      </c>
      <c r="G18" s="241">
        <f>'GASTOS EJER. 1'!Y27</f>
        <v>0</v>
      </c>
      <c r="H18" s="239" t="str">
        <f>IF('GASTOS EJER. 1'!AB27="","",'GASTOS EJER. 1'!AB27)</f>
        <v/>
      </c>
      <c r="I18" s="240">
        <f>IF(H18&lt;=EXPEDIENTE!$I$29,G18,0)</f>
        <v>0</v>
      </c>
      <c r="J18" s="242">
        <f>AUXILIAR!BU30</f>
        <v>0</v>
      </c>
      <c r="K18" s="241">
        <f>AUXILIAR!FP30</f>
        <v>0</v>
      </c>
      <c r="L18" s="239" t="str">
        <f>IF('GASTOS EJER. 1'!I56="","",'GASTOS EJER. 1'!I56)</f>
        <v/>
      </c>
      <c r="M18" s="240">
        <f>IF(L18&lt;=EXPEDIENTE!$I$29,K18,0)</f>
        <v>0</v>
      </c>
      <c r="N18" s="242">
        <f>IF($U$18=0,0,IF(AND($U$20&gt;$U$18,$U$16=1100%),MIN(AUXILIAR!$P$17,ROUND($U$18/$U$20*(F18+I18+J18+M18)*(1+('IDENTIFICACIÓN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4">
        <f t="shared" si="0"/>
        <v>0</v>
      </c>
      <c r="S18" s="212">
        <f>ROUND(C18*(F18+I18+J18+M18)*(1+('IDENTIFICACIÓN TRABAJADOR'!$B$45+'IDENTIFICACIÓN TRABAJADOR'!$F$45)/(360-'IDENTIFICACIÓN TRABAJADOR'!$B$45-'IDENTIFICACIÓN TRABAJADOR'!$F$45)),2)</f>
        <v>0</v>
      </c>
      <c r="T18" s="245"/>
      <c r="U18" s="247">
        <f>SUM(F11:F22)+SUM(I11:I22)+SUM(J11:J22)+SUM(M11:M22)</f>
        <v>0</v>
      </c>
      <c r="W18" s="236" t="s">
        <v>52</v>
      </c>
      <c r="X18" s="237">
        <f>IFERROR(IF(OR(DATE($B$9,MONTH(DATEVALUE(W18&amp;"1")),1)&lt;DATE(YEAR(EXPEDIENTE!$I$25),MONTH(EXPEDIENTE!$I$25),1),DATE($B$9,MONTH(DATEVALUE(W18&amp;"1")),1)&gt;DATE(YEAR(EXPEDIENTE!$I$27),MONTH(EXPEDIENTE!$I$27)+1,1)-1),0,ROUND('% DEDICACIÓN'!N44,4)),0)</f>
        <v>0</v>
      </c>
      <c r="Y18" s="238">
        <f>'GASTOS EJER. 1'!AW27+'GASTOS EJER. 1'!BM27-'GASTOS EJER. 1'!CM27-'GASTOS EJER. 1'!CP27</f>
        <v>0</v>
      </c>
      <c r="Z18" s="239" t="str">
        <f>IF('GASTOS EJER. 1'!CT27="","",'GASTOS EJER. 1'!CT27)</f>
        <v/>
      </c>
      <c r="AA18" s="240">
        <f>IF(Z18&lt;=EXPEDIENTE!$I$29,Y18,0)</f>
        <v>0</v>
      </c>
      <c r="AB18" s="241">
        <f>'GASTOS EJER. 1'!CP27</f>
        <v>0</v>
      </c>
      <c r="AC18" s="239" t="str">
        <f>IF('GASTOS EJER. 1'!CW27="","",'GASTOS EJER. 1'!CW27)</f>
        <v/>
      </c>
      <c r="AD18" s="240">
        <f>IF(AC18&lt;=EXPEDIENTE!$I$29,AB18,0)</f>
        <v>0</v>
      </c>
      <c r="AE18" s="242">
        <f>AUXILIAR!DL30</f>
        <v>0</v>
      </c>
      <c r="AF18" s="241">
        <f>AUXILIAR!HU30</f>
        <v>0</v>
      </c>
      <c r="AG18" s="239" t="str">
        <f>IF('GASTOS EJER. 1'!BF56="","",'GASTOS EJER. 1'!BF56)</f>
        <v/>
      </c>
      <c r="AH18" s="240">
        <f>IF(AG18&lt;=EXPEDIENTE!$I$29,AF18,0)</f>
        <v>0</v>
      </c>
      <c r="AI18" s="242">
        <f>IF($AQ$18=0,0,IF(AND($AQ$20&gt;$AQ$18,$AQ$16=1100%),MIN(AUXILIAR!$P$17,ROUND($AQ$18/$AQ$20*(AA18+AD18+AE18+AH18)*(1+('IDENTIFICACIÓN TRABAJADOR'!$B$45+'IDENTIFICACIÓN TRABAJADOR'!$F$45)/(360-'IDENTIFICACIÓN TRABAJADOR'!$B$45-'IDENTIFICACIÓN TRABAJADOR'!$F$45)),2)),MIN(AUXILIAR!$P$17,ROUND((AA18+AD18+AE18+AH18)*(1+('IDENTIFICACIÓN TRABAJADOR'!$B$45+'IDENTIFICACIÓN TRABAJADOR'!$F$45)/(360-'IDENTIFICACIÓN TRABAJADOR'!$B$45-'IDENTIFICACIÓN TRABAJADOR'!$F$45)),2))))</f>
        <v>0</v>
      </c>
      <c r="AJ18" s="243">
        <f t="shared" si="1"/>
        <v>0</v>
      </c>
      <c r="AK18" s="244">
        <f t="shared" si="2"/>
        <v>0</v>
      </c>
      <c r="AO18" s="212">
        <f>ROUND(X18*(AA18+AD18+AE18+AH18)*(1+('IDENTIFICACIÓN TRABAJADOR'!$B$45+'IDENTIFICACIÓN TRABAJADOR'!$F$45)/(360-'IDENTIFICACIÓN TRABAJADOR'!$B$45-'IDENTIFICACIÓN TRABAJADOR'!$F$45)),2)</f>
        <v>0</v>
      </c>
      <c r="AP18" s="245"/>
      <c r="AQ18" s="247">
        <f>SUM(AA11:AA22)+SUM(AD11:AD22)+SUM(AE11:AE22)+SUM(AH11:AH22)</f>
        <v>0</v>
      </c>
    </row>
    <row r="19" spans="2:43" ht="15" customHeight="1" x14ac:dyDescent="0.25">
      <c r="B19" s="236" t="s">
        <v>53</v>
      </c>
      <c r="C19" s="237">
        <f>IFERROR(IF(OR(DATE($B$9,MONTH(DATEVALUE(B19&amp;"1")),1)&lt;DATE(YEAR(EXPEDIENTE!$I$25),MONTH(EXPEDIENTE!$I$25),1),DATE($B$9,MONTH(DATEVALUE(B19&amp;"1")),1)&gt;DATE(YEAR(EXPEDIENTE!$I$27),MONTH(EXPEDIENTE!$I$27)+1,1)-1),0,ROUND('% DEDICACIÓN'!O44,4)),0)</f>
        <v>0</v>
      </c>
      <c r="D19" s="238">
        <f>'GASTOS EJER. 1'!F28+'GASTOS EJER. 1'!L28-'GASTOS EJER. 1'!X28-'GASTOS EJER. 1'!Y28</f>
        <v>0</v>
      </c>
      <c r="E19" s="239" t="str">
        <f>IF('GASTOS EJER. 1'!AA28="","",'GASTOS EJER. 1'!AA28)</f>
        <v/>
      </c>
      <c r="F19" s="240">
        <f>IF(E19&lt;=EXPEDIENTE!$I$29,D19,0)</f>
        <v>0</v>
      </c>
      <c r="G19" s="241">
        <f>'GASTOS EJER. 1'!Y28</f>
        <v>0</v>
      </c>
      <c r="H19" s="239" t="str">
        <f>IF('GASTOS EJER. 1'!AB28="","",'GASTOS EJER. 1'!AB28)</f>
        <v/>
      </c>
      <c r="I19" s="240">
        <f>IF(H19&lt;=EXPEDIENTE!$I$29,G19,0)</f>
        <v>0</v>
      </c>
      <c r="J19" s="242">
        <f>AUXILIAR!BU31</f>
        <v>0</v>
      </c>
      <c r="K19" s="241">
        <f>AUXILIAR!FP31</f>
        <v>0</v>
      </c>
      <c r="L19" s="239" t="str">
        <f>IF('GASTOS EJER. 1'!I57="","",'GASTOS EJER. 1'!I57)</f>
        <v/>
      </c>
      <c r="M19" s="240">
        <f>IF(L19&lt;=EXPEDIENTE!$I$29,K19,0)</f>
        <v>0</v>
      </c>
      <c r="N19" s="242">
        <f>IF($U$18=0,0,IF(AND($U$20&gt;$U$18,$U$16=1100%),MIN(AUXILIAR!$P$17,ROUND($U$18/$U$20*(F19+I19+J19+M19)*(1+('IDENTIFICACIÓN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4">
        <f t="shared" si="0"/>
        <v>0</v>
      </c>
      <c r="S19" s="212">
        <f>ROUND(C19*(F19+I19+J19+M19)*(1+('IDENTIFICACIÓN TRABAJADOR'!$B$45+'IDENTIFICACIÓN TRABAJADOR'!$F$45)/(360-'IDENTIFICACIÓN TRABAJADOR'!$B$45-'IDENTIFICACIÓN TRABAJADOR'!$F$45)),2)</f>
        <v>0</v>
      </c>
      <c r="T19" s="245"/>
      <c r="U19" s="211" t="s">
        <v>224</v>
      </c>
      <c r="W19" s="236" t="s">
        <v>53</v>
      </c>
      <c r="X19" s="237">
        <f>IFERROR(IF(OR(DATE($B$9,MONTH(DATEVALUE(W19&amp;"1")),1)&lt;DATE(YEAR(EXPEDIENTE!$I$25),MONTH(EXPEDIENTE!$I$25),1),DATE($B$9,MONTH(DATEVALUE(W19&amp;"1")),1)&gt;DATE(YEAR(EXPEDIENTE!$I$27),MONTH(EXPEDIENTE!$I$27)+1,1)-1),0,ROUND('% DEDICACIÓN'!O44,4)),0)</f>
        <v>0</v>
      </c>
      <c r="Y19" s="238">
        <f>'GASTOS EJER. 1'!AW28+'GASTOS EJER. 1'!BM28-'GASTOS EJER. 1'!CM28-'GASTOS EJER. 1'!CP28</f>
        <v>0</v>
      </c>
      <c r="Z19" s="239" t="str">
        <f>IF('GASTOS EJER. 1'!CT28="","",'GASTOS EJER. 1'!CT28)</f>
        <v/>
      </c>
      <c r="AA19" s="240">
        <f>IF(Z19&lt;=EXPEDIENTE!$I$29,Y19,0)</f>
        <v>0</v>
      </c>
      <c r="AB19" s="241">
        <f>'GASTOS EJER. 1'!CP28</f>
        <v>0</v>
      </c>
      <c r="AC19" s="239" t="str">
        <f>IF('GASTOS EJER. 1'!CW28="","",'GASTOS EJER. 1'!CW28)</f>
        <v/>
      </c>
      <c r="AD19" s="240">
        <f>IF(AC19&lt;=EXPEDIENTE!$I$29,AB19,0)</f>
        <v>0</v>
      </c>
      <c r="AE19" s="242">
        <f>AUXILIAR!DL31</f>
        <v>0</v>
      </c>
      <c r="AF19" s="241">
        <f>AUXILIAR!HU31</f>
        <v>0</v>
      </c>
      <c r="AG19" s="239" t="str">
        <f>IF('GASTOS EJER. 1'!BF57="","",'GASTOS EJER. 1'!BF57)</f>
        <v/>
      </c>
      <c r="AH19" s="240">
        <f>IF(AG19&lt;=EXPEDIENTE!$I$29,AF19,0)</f>
        <v>0</v>
      </c>
      <c r="AI19" s="242">
        <f>IF($AQ$18=0,0,IF(AND($AQ$20&gt;$AQ$18,$AQ$16=1100%),MIN(AUXILIAR!$P$17,ROUND($AQ$18/$AQ$20*(AA19+AD19+AE19+AH19)*(1+('IDENTIFICACIÓN TRABAJADOR'!$B$45+'IDENTIFICACIÓN TRABAJADOR'!$F$45)/(360-'IDENTIFICACIÓN TRABAJADOR'!$B$45-'IDENTIFICACIÓN TRABAJADOR'!$F$45)),2)),MIN(AUXILIAR!$P$17,ROUND((AA19+AD19+AE19+AH19)*(1+('IDENTIFICACIÓN TRABAJADOR'!$B$45+'IDENTIFICACIÓN TRABAJADOR'!$F$45)/(360-'IDENTIFICACIÓN TRABAJADOR'!$B$45-'IDENTIFICACIÓN TRABAJADOR'!$F$45)),2))))</f>
        <v>0</v>
      </c>
      <c r="AJ19" s="243">
        <f t="shared" si="1"/>
        <v>0</v>
      </c>
      <c r="AK19" s="244">
        <f t="shared" si="2"/>
        <v>0</v>
      </c>
      <c r="AO19" s="212">
        <f>ROUND(X19*(AA19+AD19+AE19+AH19)*(1+('IDENTIFICACIÓN TRABAJADOR'!$B$45+'IDENTIFICACIÓN TRABAJADOR'!$F$45)/(360-'IDENTIFICACIÓN TRABAJADOR'!$B$45-'IDENTIFICACIÓN TRABAJADOR'!$F$45)),2)</f>
        <v>0</v>
      </c>
      <c r="AP19" s="245"/>
      <c r="AQ19" s="211" t="s">
        <v>224</v>
      </c>
    </row>
    <row r="20" spans="2:43" ht="15" customHeight="1" x14ac:dyDescent="0.25">
      <c r="B20" s="236" t="s">
        <v>54</v>
      </c>
      <c r="C20" s="237">
        <f>IFERROR(IF(OR(DATE($B$9,MONTH(DATEVALUE(B20&amp;"1")),1)&lt;DATE(YEAR(EXPEDIENTE!$I$25),MONTH(EXPEDIENTE!$I$25),1),DATE($B$9,MONTH(DATEVALUE(B20&amp;"1")),1)&gt;DATE(YEAR(EXPEDIENTE!$I$27),MONTH(EXPEDIENTE!$I$27)+1,1)-1),0,ROUND('% DEDICACIÓN'!P44,4)),0)</f>
        <v>0</v>
      </c>
      <c r="D20" s="238">
        <f>'GASTOS EJER. 1'!F29+'GASTOS EJER. 1'!L29-'GASTOS EJER. 1'!X29-'GASTOS EJER. 1'!Y29</f>
        <v>0</v>
      </c>
      <c r="E20" s="239" t="str">
        <f>IF('GASTOS EJER. 1'!AA29="","",'GASTOS EJER. 1'!AA29)</f>
        <v/>
      </c>
      <c r="F20" s="240">
        <f>IF(E20&lt;=EXPEDIENTE!$I$29,D20,0)</f>
        <v>0</v>
      </c>
      <c r="G20" s="241">
        <f>'GASTOS EJER. 1'!Y29</f>
        <v>0</v>
      </c>
      <c r="H20" s="239" t="str">
        <f>IF('GASTOS EJER. 1'!AB29="","",'GASTOS EJER. 1'!AB29)</f>
        <v/>
      </c>
      <c r="I20" s="240">
        <f>IF(H20&lt;=EXPEDIENTE!$I$29,G20,0)</f>
        <v>0</v>
      </c>
      <c r="J20" s="242">
        <f>AUXILIAR!BU32</f>
        <v>0</v>
      </c>
      <c r="K20" s="241">
        <f>AUXILIAR!FP32</f>
        <v>0</v>
      </c>
      <c r="L20" s="239" t="str">
        <f>IF('GASTOS EJER. 1'!I58="","",'GASTOS EJER. 1'!I58)</f>
        <v/>
      </c>
      <c r="M20" s="240">
        <f>IF(L20&lt;=EXPEDIENTE!$I$29,K20,0)</f>
        <v>0</v>
      </c>
      <c r="N20" s="242">
        <f>IF($U$18=0,0,IF(AND($U$20&gt;$U$18,$U$16=1100%),MIN(AUXILIAR!$P$17,ROUND($U$18/$U$20*(F20+I20+J20+M20)*(1+('IDENTIFICACIÓN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4">
        <f t="shared" si="0"/>
        <v>0</v>
      </c>
      <c r="S20" s="212">
        <f>ROUND(C20*(F20+I20+J20+M20)*(1+('IDENTIFICACIÓN TRABAJADOR'!$B$45+'IDENTIFICACIÓN TRABAJADOR'!$F$45)/(360-'IDENTIFICACIÓN TRABAJADOR'!$B$45-'IDENTIFICACIÓN TRABAJADOR'!$F$45)),2)</f>
        <v>0</v>
      </c>
      <c r="T20" s="245"/>
      <c r="U20" s="247">
        <f>SUM(S11:S22)</f>
        <v>0</v>
      </c>
      <c r="W20" s="236" t="s">
        <v>54</v>
      </c>
      <c r="X20" s="237">
        <f>IFERROR(IF(OR(DATE($B$9,MONTH(DATEVALUE(W20&amp;"1")),1)&lt;DATE(YEAR(EXPEDIENTE!$I$25),MONTH(EXPEDIENTE!$I$25),1),DATE($B$9,MONTH(DATEVALUE(W20&amp;"1")),1)&gt;DATE(YEAR(EXPEDIENTE!$I$27),MONTH(EXPEDIENTE!$I$27)+1,1)-1),0,ROUND('% DEDICACIÓN'!P44,4)),0)</f>
        <v>0</v>
      </c>
      <c r="Y20" s="238">
        <f>'GASTOS EJER. 1'!AW29+'GASTOS EJER. 1'!BM29-'GASTOS EJER. 1'!CM29-'GASTOS EJER. 1'!CP29</f>
        <v>0</v>
      </c>
      <c r="Z20" s="239" t="str">
        <f>IF('GASTOS EJER. 1'!CT29="","",'GASTOS EJER. 1'!CT29)</f>
        <v/>
      </c>
      <c r="AA20" s="240">
        <f>IF(Z20&lt;=EXPEDIENTE!$I$29,Y20,0)</f>
        <v>0</v>
      </c>
      <c r="AB20" s="241">
        <f>'GASTOS EJER. 1'!CP29</f>
        <v>0</v>
      </c>
      <c r="AC20" s="239" t="str">
        <f>IF('GASTOS EJER. 1'!CW29="","",'GASTOS EJER. 1'!CW29)</f>
        <v/>
      </c>
      <c r="AD20" s="240">
        <f>IF(AC20&lt;=EXPEDIENTE!$I$29,AB20,0)</f>
        <v>0</v>
      </c>
      <c r="AE20" s="242">
        <f>AUXILIAR!DL32</f>
        <v>0</v>
      </c>
      <c r="AF20" s="241">
        <f>AUXILIAR!HU32</f>
        <v>0</v>
      </c>
      <c r="AG20" s="239" t="str">
        <f>IF('GASTOS EJER. 1'!BF58="","",'GASTOS EJER. 1'!BF58)</f>
        <v/>
      </c>
      <c r="AH20" s="240">
        <f>IF(AG20&lt;=EXPEDIENTE!$I$29,AF20,0)</f>
        <v>0</v>
      </c>
      <c r="AI20" s="242">
        <f>IF($AQ$18=0,0,IF(AND($AQ$20&gt;$AQ$18,$AQ$16=1100%),MIN(AUXILIAR!$P$17,ROUND($AQ$18/$AQ$20*(AA20+AD20+AE20+AH20)*(1+('IDENTIFICACIÓN TRABAJADOR'!$B$45+'IDENTIFICACIÓN TRABAJADOR'!$F$45)/(360-'IDENTIFICACIÓN TRABAJADOR'!$B$45-'IDENTIFICACIÓN TRABAJADOR'!$F$45)),2)),MIN(AUXILIAR!$P$17,ROUND((AA20+AD20+AE20+AH20)*(1+('IDENTIFICACIÓN TRABAJADOR'!$B$45+'IDENTIFICACIÓN TRABAJADOR'!$F$45)/(360-'IDENTIFICACIÓN TRABAJADOR'!$B$45-'IDENTIFICACIÓN TRABAJADOR'!$F$45)),2))))</f>
        <v>0</v>
      </c>
      <c r="AJ20" s="243">
        <f t="shared" si="1"/>
        <v>0</v>
      </c>
      <c r="AK20" s="244">
        <f t="shared" si="2"/>
        <v>0</v>
      </c>
      <c r="AO20" s="212">
        <f>ROUND(X20*(AA20+AD20+AE20+AH20)*(1+('IDENTIFICACIÓN TRABAJADOR'!$B$45+'IDENTIFICACIÓN TRABAJADOR'!$F$45)/(360-'IDENTIFICACIÓN TRABAJADOR'!$B$45-'IDENTIFICACIÓN TRABAJADOR'!$F$45)),2)</f>
        <v>0</v>
      </c>
      <c r="AP20" s="245"/>
      <c r="AQ20" s="247">
        <f>SUM(AO11:AO22)</f>
        <v>0</v>
      </c>
    </row>
    <row r="21" spans="2:43" ht="15" customHeight="1" x14ac:dyDescent="0.25">
      <c r="B21" s="236" t="s">
        <v>55</v>
      </c>
      <c r="C21" s="237">
        <f>IFERROR(IF(OR(DATE($B$9,MONTH(DATEVALUE(B21&amp;"1")),1)&lt;DATE(YEAR(EXPEDIENTE!$I$25),MONTH(EXPEDIENTE!$I$25),1),DATE($B$9,MONTH(DATEVALUE(B21&amp;"1")),1)&gt;DATE(YEAR(EXPEDIENTE!$I$27),MONTH(EXPEDIENTE!$I$27)+1,1)-1),0,ROUND('% DEDICACIÓN'!Q44,4)),0)</f>
        <v>0</v>
      </c>
      <c r="D21" s="238">
        <f>'GASTOS EJER. 1'!F30+'GASTOS EJER. 1'!L30-'GASTOS EJER. 1'!X30-'GASTOS EJER. 1'!Y30</f>
        <v>0</v>
      </c>
      <c r="E21" s="239" t="str">
        <f>IF('GASTOS EJER. 1'!AA30="","",'GASTOS EJER. 1'!AA30)</f>
        <v/>
      </c>
      <c r="F21" s="240">
        <f>IF(E21&lt;=EXPEDIENTE!$I$29,D21,0)</f>
        <v>0</v>
      </c>
      <c r="G21" s="241">
        <f>'GASTOS EJER. 1'!Y30</f>
        <v>0</v>
      </c>
      <c r="H21" s="239" t="str">
        <f>IF('GASTOS EJER. 1'!AB30="","",'GASTOS EJER. 1'!AB30)</f>
        <v/>
      </c>
      <c r="I21" s="240">
        <f>IF(H21&lt;=EXPEDIENTE!$I$29,G21,0)</f>
        <v>0</v>
      </c>
      <c r="J21" s="242">
        <f>AUXILIAR!BU33</f>
        <v>0</v>
      </c>
      <c r="K21" s="241">
        <f>AUXILIAR!FP33</f>
        <v>0</v>
      </c>
      <c r="L21" s="239" t="str">
        <f>IF('GASTOS EJER. 1'!I59="","",'GASTOS EJER. 1'!I59)</f>
        <v/>
      </c>
      <c r="M21" s="240">
        <f>IF(L21&lt;=EXPEDIENTE!$I$29,K21,0)</f>
        <v>0</v>
      </c>
      <c r="N21" s="242">
        <f>IF($U$18=0,0,IF(AND($U$20&gt;$U$18,$U$16=1100%),MIN(AUXILIAR!$P$17,ROUND($U$18/$U$20*(F21+I21+J21+M21)*(1+('IDENTIFICACIÓN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4">
        <f t="shared" si="0"/>
        <v>0</v>
      </c>
      <c r="S21" s="212">
        <f>ROUND(C21*(F21+I21+J21+M21)*(1+('IDENTIFICACIÓN TRABAJADOR'!$B$45+'IDENTIFICACIÓN TRABAJADOR'!$F$45)/(360-'IDENTIFICACIÓN TRABAJADOR'!$B$45-'IDENTIFICACIÓN TRABAJADOR'!$F$45)),2)</f>
        <v>0</v>
      </c>
      <c r="T21" s="245"/>
      <c r="U21" s="211" t="s">
        <v>225</v>
      </c>
      <c r="W21" s="236" t="s">
        <v>55</v>
      </c>
      <c r="X21" s="237">
        <f>IFERROR(IF(OR(DATE($B$9,MONTH(DATEVALUE(W21&amp;"1")),1)&lt;DATE(YEAR(EXPEDIENTE!$I$25),MONTH(EXPEDIENTE!$I$25),1),DATE($B$9,MONTH(DATEVALUE(W21&amp;"1")),1)&gt;DATE(YEAR(EXPEDIENTE!$I$27),MONTH(EXPEDIENTE!$I$27)+1,1)-1),0,ROUND('% DEDICACIÓN'!Q44,4)),0)</f>
        <v>0</v>
      </c>
      <c r="Y21" s="238">
        <f>'GASTOS EJER. 1'!AW30+'GASTOS EJER. 1'!BM30-'GASTOS EJER. 1'!CM30-'GASTOS EJER. 1'!CP30</f>
        <v>0</v>
      </c>
      <c r="Z21" s="239" t="str">
        <f>IF('GASTOS EJER. 1'!CT30="","",'GASTOS EJER. 1'!CT30)</f>
        <v/>
      </c>
      <c r="AA21" s="240">
        <f>IF(Z21&lt;=EXPEDIENTE!$I$29,Y21,0)</f>
        <v>0</v>
      </c>
      <c r="AB21" s="241">
        <f>'GASTOS EJER. 1'!CP30</f>
        <v>0</v>
      </c>
      <c r="AC21" s="239" t="str">
        <f>IF('GASTOS EJER. 1'!CW30="","",'GASTOS EJER. 1'!CW30)</f>
        <v/>
      </c>
      <c r="AD21" s="240">
        <f>IF(AC21&lt;=EXPEDIENTE!$I$29,AB21,0)</f>
        <v>0</v>
      </c>
      <c r="AE21" s="242">
        <f>AUXILIAR!DL33</f>
        <v>0</v>
      </c>
      <c r="AF21" s="241">
        <f>AUXILIAR!HU33</f>
        <v>0</v>
      </c>
      <c r="AG21" s="239" t="str">
        <f>IF('GASTOS EJER. 1'!BF59="","",'GASTOS EJER. 1'!BF59)</f>
        <v/>
      </c>
      <c r="AH21" s="240">
        <f>IF(AG21&lt;=EXPEDIENTE!$I$29,AF21,0)</f>
        <v>0</v>
      </c>
      <c r="AI21" s="242">
        <f>IF($AQ$18=0,0,IF(AND($AQ$20&gt;$AQ$18,$AQ$16=1100%),MIN(AUXILIAR!$P$17,ROUND($AQ$18/$AQ$20*(AA21+AD21+AE21+AH21)*(1+('IDENTIFICACIÓN TRABAJADOR'!$B$45+'IDENTIFICACIÓN TRABAJADOR'!$F$45)/(360-'IDENTIFICACIÓN TRABAJADOR'!$B$45-'IDENTIFICACIÓN TRABAJADOR'!$F$45)),2)),MIN(AUXILIAR!$P$17,ROUND((AA21+AD21+AE21+AH21)*(1+('IDENTIFICACIÓN TRABAJADOR'!$B$45+'IDENTIFICACIÓN TRABAJADOR'!$F$45)/(360-'IDENTIFICACIÓN TRABAJADOR'!$B$45-'IDENTIFICACIÓN TRABAJADOR'!$F$45)),2))))</f>
        <v>0</v>
      </c>
      <c r="AJ21" s="243">
        <f t="shared" si="1"/>
        <v>0</v>
      </c>
      <c r="AK21" s="244">
        <f t="shared" si="2"/>
        <v>0</v>
      </c>
      <c r="AO21" s="212">
        <f>ROUND(X21*(AA21+AD21+AE21+AH21)*(1+('IDENTIFICACIÓN TRABAJADOR'!$B$45+'IDENTIFICACIÓN TRABAJADOR'!$F$45)/(360-'IDENTIFICACIÓN TRABAJADOR'!$B$45-'IDENTIFICACIÓN TRABAJADOR'!$F$45)),2)</f>
        <v>0</v>
      </c>
      <c r="AP21" s="245"/>
      <c r="AQ21" s="211" t="s">
        <v>225</v>
      </c>
    </row>
    <row r="22" spans="2:43" ht="15" customHeight="1" thickBot="1" x14ac:dyDescent="0.3">
      <c r="B22" s="248" t="s">
        <v>56</v>
      </c>
      <c r="C22" s="249">
        <f>IFERROR(IF(OR(DATE($B$9,MONTH(DATEVALUE(B22&amp;"1")),1)&lt;DATE(YEAR(EXPEDIENTE!$I$25),MONTH(EXPEDIENTE!$I$25),1),DATE($B$9,MONTH(DATEVALUE(B22&amp;"1")),1)&gt;DATE(YEAR(EXPEDIENTE!$I$27),MONTH(EXPEDIENTE!$I$27)+1,1)-1),0,ROUND('% DEDICACIÓN'!R44,4)),0)</f>
        <v>0</v>
      </c>
      <c r="D22" s="250">
        <f>'GASTOS EJER. 1'!F31+'GASTOS EJER. 1'!L31-'GASTOS EJER. 1'!X31-'GASTOS EJER. 1'!Y31</f>
        <v>0</v>
      </c>
      <c r="E22" s="251" t="str">
        <f>IF('GASTOS EJER. 1'!AA31="","",'GASTOS EJER. 1'!AA31)</f>
        <v/>
      </c>
      <c r="F22" s="252">
        <f>IF(E22&lt;=EXPEDIENTE!$I$29,D22,0)</f>
        <v>0</v>
      </c>
      <c r="G22" s="253">
        <f>'GASTOS EJER. 1'!Y31</f>
        <v>0</v>
      </c>
      <c r="H22" s="251" t="str">
        <f>IF('GASTOS EJER. 1'!AB31="","",'GASTOS EJER. 1'!AB31)</f>
        <v/>
      </c>
      <c r="I22" s="252">
        <f>IF(H22&lt;=EXPEDIENTE!$I$29,G22,0)</f>
        <v>0</v>
      </c>
      <c r="J22" s="254">
        <f>AUXILIAR!BU34</f>
        <v>0</v>
      </c>
      <c r="K22" s="253">
        <f>AUXILIAR!FP34</f>
        <v>0</v>
      </c>
      <c r="L22" s="251" t="str">
        <f>IF('GASTOS EJER. 1'!I60="","",'GASTOS EJER. 1'!I60)</f>
        <v/>
      </c>
      <c r="M22" s="252">
        <f>IF(L22&lt;=EXPEDIENTE!$I$29,K22,0)</f>
        <v>0</v>
      </c>
      <c r="N22" s="254">
        <f>IF($U$18=0,0,IF(AND($U$20&gt;$U$18,$U$16=1100%),MIN(AUXILIAR!$P$17,ROUND($U$18/$U$20*(F22+I22+J22+M22)*(1+('IDENTIFICACIÓN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6">
        <f t="shared" si="0"/>
        <v>0</v>
      </c>
      <c r="S22" s="212">
        <f>ROUND(C22*(F22+I22+J22+M22)*(1+('IDENTIFICACIÓN TRABAJADOR'!$B$45+'IDENTIFICACIÓN TRABAJADOR'!$F$45)/(360-'IDENTIFICACIÓN TRABAJADOR'!$B$45-'IDENTIFICACIÓN TRABAJADOR'!$F$45)),2)</f>
        <v>0</v>
      </c>
      <c r="T22" s="245"/>
      <c r="U22" s="211" t="str">
        <f>IF(U20=0,"",U18/U20)</f>
        <v/>
      </c>
      <c r="W22" s="248" t="s">
        <v>56</v>
      </c>
      <c r="X22" s="249">
        <f>IFERROR(IF(OR(DATE($B$9,MONTH(DATEVALUE(W22&amp;"1")),1)&lt;DATE(YEAR(EXPEDIENTE!$I$25),MONTH(EXPEDIENTE!$I$25),1),DATE($B$9,MONTH(DATEVALUE(W22&amp;"1")),1)&gt;DATE(YEAR(EXPEDIENTE!$I$27),MONTH(EXPEDIENTE!$I$27)+1,1)-1),0,ROUND('% DEDICACIÓN'!R44,4)),0)</f>
        <v>0</v>
      </c>
      <c r="Y22" s="250">
        <f>'GASTOS EJER. 1'!AW31+'GASTOS EJER. 1'!BM31-'GASTOS EJER. 1'!CM31-'GASTOS EJER. 1'!CP31</f>
        <v>0</v>
      </c>
      <c r="Z22" s="251" t="str">
        <f>IF('GASTOS EJER. 1'!CT31="","",'GASTOS EJER. 1'!CT31)</f>
        <v/>
      </c>
      <c r="AA22" s="252">
        <f>IF(Z22&lt;=EXPEDIENTE!$I$29,Y22,0)</f>
        <v>0</v>
      </c>
      <c r="AB22" s="253">
        <f>'GASTOS EJER. 1'!CP31</f>
        <v>0</v>
      </c>
      <c r="AC22" s="251" t="str">
        <f>IF('GASTOS EJER. 1'!CW31="","",'GASTOS EJER. 1'!CW31)</f>
        <v/>
      </c>
      <c r="AD22" s="252">
        <f>IF(AC22&lt;=EXPEDIENTE!$I$29,AB22,0)</f>
        <v>0</v>
      </c>
      <c r="AE22" s="254">
        <f>AUXILIAR!DL34</f>
        <v>0</v>
      </c>
      <c r="AF22" s="253">
        <f>AUXILIAR!HU34</f>
        <v>0</v>
      </c>
      <c r="AG22" s="251" t="str">
        <f>IF('GASTOS EJER. 1'!BF60="","",'GASTOS EJER. 1'!BF60)</f>
        <v/>
      </c>
      <c r="AH22" s="252">
        <f>IF(AG22&lt;=EXPEDIENTE!$I$29,AF22,0)</f>
        <v>0</v>
      </c>
      <c r="AI22" s="254">
        <f>IF($AQ$18=0,0,IF(AND($AQ$20&gt;$AQ$18,$AQ$16=1100%),MIN(AUXILIAR!$P$17,ROUND($AQ$18/$AQ$20*(AA22+AD22+AE22+AH22)*(1+('IDENTIFICACIÓN TRABAJADOR'!$B$45+'IDENTIFICACIÓN TRABAJADOR'!$F$45)/(360-'IDENTIFICACIÓN TRABAJADOR'!$B$45-'IDENTIFICACIÓN TRABAJADOR'!$F$45)),2)),MIN(AUXILIAR!$P$17,ROUND((AA22+AD22+AE22+AH22)*(1+('IDENTIFICACIÓN TRABAJADOR'!$B$45+'IDENTIFICACIÓN TRABAJADOR'!$F$45)/(360-'IDENTIFICACIÓN TRABAJADOR'!$B$45-'IDENTIFICACIÓN TRABAJADOR'!$F$45)),2))))</f>
        <v>0</v>
      </c>
      <c r="AJ22" s="255">
        <f t="shared" si="1"/>
        <v>0</v>
      </c>
      <c r="AK22" s="256">
        <f t="shared" si="2"/>
        <v>0</v>
      </c>
      <c r="AO22" s="212">
        <f>ROUND(X22*(AA22+AD22+AE22+AH22)*(1+('IDENTIFICACIÓN TRABAJADOR'!$B$45+'IDENTIFICACIÓN TRABAJADOR'!$F$45)/(360-'IDENTIFICACIÓN TRABAJADOR'!$B$45-'IDENTIFICACIÓN TRABAJADOR'!$F$45)),2)</f>
        <v>0</v>
      </c>
      <c r="AP22" s="245"/>
      <c r="AQ22" s="211" t="str">
        <f>IF(AQ20=0,"",AQ18/AQ20)</f>
        <v/>
      </c>
    </row>
    <row r="23" spans="2:43" ht="14.25" thickBot="1" x14ac:dyDescent="0.3">
      <c r="M23" s="257"/>
      <c r="N23" s="257"/>
      <c r="O23" s="257"/>
      <c r="U23" s="211" t="s">
        <v>170</v>
      </c>
      <c r="AH23" s="257"/>
      <c r="AI23" s="257"/>
      <c r="AJ23" s="257"/>
      <c r="AK23" s="257"/>
      <c r="AQ23" s="211" t="s">
        <v>170</v>
      </c>
    </row>
    <row r="24" spans="2:43" ht="20.100000000000001" customHeight="1" thickBot="1" x14ac:dyDescent="0.3">
      <c r="G24" s="258"/>
      <c r="M24" s="259"/>
      <c r="N24" s="260" t="str">
        <f>CONCATENATE("TOTAL EJERCICIO ",B9)</f>
        <v>TOTAL EJERCICIO 2024</v>
      </c>
      <c r="O24" s="134">
        <f>SUM(O11:O22)</f>
        <v>0</v>
      </c>
      <c r="Q24" s="127" t="str">
        <f>IF(U24&gt;0,"EXISTE ALGÚN % DE DEDICACIÓN SUPERIOR AL 100% EN ESTE EJERCICIO","")</f>
        <v/>
      </c>
      <c r="T24" s="124"/>
      <c r="U24" s="211">
        <f>'% DEDICACIÓN'!$B$44</f>
        <v>0</v>
      </c>
      <c r="AB24" s="258"/>
      <c r="AH24" s="259"/>
      <c r="AI24" s="260" t="str">
        <f>CONCATENATE("TOTAL EJERCICIO ",W9)</f>
        <v>TOTAL EJERCICIO 2024</v>
      </c>
      <c r="AJ24" s="134">
        <f>SUM(AJ11:AJ22)</f>
        <v>0</v>
      </c>
      <c r="AK24" s="134">
        <f>SUM(AK11:AK22)</f>
        <v>0</v>
      </c>
      <c r="AM24" s="127" t="str">
        <f>IF(AQ24&gt;0,"EXISTE ALGÚN % DE DEDICACIÓN SUPERIOR AL 100% EN ESTE EJERCICIO","")</f>
        <v/>
      </c>
      <c r="AP24" s="124"/>
      <c r="AQ24" s="211">
        <f>'% DEDICACIÓN'!$B$44</f>
        <v>0</v>
      </c>
    </row>
    <row r="25" spans="2:43" ht="19.5" customHeight="1" x14ac:dyDescent="0.25">
      <c r="S25" s="214"/>
      <c r="T25" s="214"/>
      <c r="U25" s="215"/>
      <c r="AO25" s="214"/>
      <c r="AP25" s="214"/>
      <c r="AQ25" s="215"/>
    </row>
    <row r="26" spans="2:43" ht="19.5" customHeight="1" x14ac:dyDescent="0.25">
      <c r="S26" s="214"/>
      <c r="T26" s="214"/>
      <c r="U26" s="215"/>
      <c r="AO26" s="214"/>
      <c r="AP26" s="214"/>
      <c r="AQ26" s="215"/>
    </row>
    <row r="27" spans="2:43" ht="20.100000000000001" customHeight="1" x14ac:dyDescent="0.25">
      <c r="S27" s="214"/>
      <c r="T27" s="214"/>
      <c r="U27" s="215"/>
      <c r="AO27" s="214"/>
      <c r="AP27" s="214"/>
      <c r="AQ27" s="215"/>
    </row>
    <row r="28" spans="2:43" ht="20.100000000000001" customHeight="1" x14ac:dyDescent="0.25">
      <c r="D28" s="216" t="str">
        <f>D4</f>
        <v>Nº DE EXPEDIENTE: 2024.07.PRIV.0000</v>
      </c>
      <c r="E28" s="128"/>
      <c r="F28" s="217"/>
      <c r="S28" s="214"/>
      <c r="T28" s="214"/>
      <c r="U28" s="215"/>
      <c r="Y28" s="216" t="str">
        <f>Y4</f>
        <v>Nº DE EXPEDIENTE: 2024.07.PRIV.0000</v>
      </c>
      <c r="Z28" s="128"/>
      <c r="AA28" s="217"/>
      <c r="AO28" s="214"/>
      <c r="AP28" s="214"/>
      <c r="AQ28" s="215"/>
    </row>
    <row r="29" spans="2:43" ht="20.100000000000001" customHeight="1" x14ac:dyDescent="0.25">
      <c r="E29" s="129"/>
      <c r="F29" s="211"/>
      <c r="S29" s="214"/>
      <c r="T29" s="214"/>
      <c r="U29" s="215"/>
      <c r="Z29" s="129"/>
      <c r="AA29" s="211"/>
      <c r="AO29" s="214"/>
      <c r="AP29" s="214"/>
      <c r="AQ29" s="215"/>
    </row>
    <row r="30" spans="2:43" ht="20.100000000000001" customHeight="1" x14ac:dyDescent="0.25">
      <c r="D30" s="218" t="str">
        <f>D6</f>
        <v>TRABAJADOR:</v>
      </c>
      <c r="E30" s="132"/>
      <c r="F30" s="211"/>
      <c r="S30" s="214"/>
      <c r="T30" s="214"/>
      <c r="U30" s="215"/>
      <c r="Y30" s="218" t="str">
        <f>Y6</f>
        <v>TRABAJADOR:</v>
      </c>
      <c r="Z30" s="132"/>
      <c r="AA30" s="211"/>
      <c r="AO30" s="214"/>
      <c r="AP30" s="214"/>
      <c r="AQ30" s="215"/>
    </row>
    <row r="31" spans="2:43" ht="20.100000000000001" customHeight="1" x14ac:dyDescent="0.25">
      <c r="D31" s="218" t="str">
        <f>D7</f>
        <v>ACRÓNIMO:</v>
      </c>
      <c r="E31" s="132"/>
      <c r="F31" s="211"/>
      <c r="S31" s="214"/>
      <c r="T31" s="214"/>
      <c r="U31" s="215"/>
      <c r="Y31" s="218" t="str">
        <f>Y7</f>
        <v>ACRÓNIMO:</v>
      </c>
      <c r="Z31" s="132"/>
      <c r="AA31" s="211"/>
      <c r="AO31" s="214"/>
      <c r="AP31" s="214"/>
      <c r="AQ31" s="215"/>
    </row>
    <row r="32" spans="2:43" ht="20.100000000000001" customHeight="1" thickBot="1" x14ac:dyDescent="0.3">
      <c r="D32" s="218"/>
      <c r="E32" s="132"/>
      <c r="F32" s="211"/>
      <c r="S32" s="214"/>
      <c r="T32" s="214"/>
      <c r="U32" s="215"/>
      <c r="Y32" s="218"/>
      <c r="Z32" s="132"/>
      <c r="AA32" s="211"/>
      <c r="AO32" s="214"/>
      <c r="AP32" s="214"/>
      <c r="AQ32" s="215"/>
    </row>
    <row r="33" spans="2:43" s="219" customFormat="1" ht="25.5" customHeight="1" x14ac:dyDescent="0.25">
      <c r="B33" s="934">
        <f>$B$9+1</f>
        <v>2025</v>
      </c>
      <c r="C33" s="930" t="str">
        <f>CONCATENATE("PORCENTAJE
DEDICACIÓN
MENSUAL EJERCICIO ",B33)</f>
        <v>PORCENTAJE
DEDICACIÓN
MENSUAL EJERCICIO 2025</v>
      </c>
      <c r="D33" s="936" t="s">
        <v>116</v>
      </c>
      <c r="E33" s="937"/>
      <c r="F33" s="938"/>
      <c r="G33" s="939" t="s">
        <v>195</v>
      </c>
      <c r="H33" s="940"/>
      <c r="I33" s="941"/>
      <c r="J33" s="547" t="s">
        <v>117</v>
      </c>
      <c r="K33" s="936" t="s">
        <v>196</v>
      </c>
      <c r="L33" s="937"/>
      <c r="M33" s="938"/>
      <c r="N33" s="930" t="s">
        <v>161</v>
      </c>
      <c r="O33" s="932" t="s">
        <v>82</v>
      </c>
      <c r="R33" s="214"/>
      <c r="S33" s="214"/>
      <c r="W33" s="942">
        <f>$B$9+1</f>
        <v>2025</v>
      </c>
      <c r="X33" s="944" t="str">
        <f>CONCATENATE("PORCENTAJE
DEDICACIÓN
MENSUAL EJERCICIO ",W33)</f>
        <v>PORCENTAJE
DEDICACIÓN
MENSUAL EJERCICIO 2025</v>
      </c>
      <c r="Y33" s="946" t="s">
        <v>116</v>
      </c>
      <c r="Z33" s="947"/>
      <c r="AA33" s="948"/>
      <c r="AB33" s="949" t="s">
        <v>195</v>
      </c>
      <c r="AC33" s="950"/>
      <c r="AD33" s="951"/>
      <c r="AE33" s="220" t="s">
        <v>117</v>
      </c>
      <c r="AF33" s="946" t="s">
        <v>196</v>
      </c>
      <c r="AG33" s="947"/>
      <c r="AH33" s="948"/>
      <c r="AI33" s="944" t="s">
        <v>161</v>
      </c>
      <c r="AJ33" s="952" t="s">
        <v>345</v>
      </c>
      <c r="AK33" s="932" t="s">
        <v>346</v>
      </c>
      <c r="AN33" s="214"/>
      <c r="AO33" s="214"/>
    </row>
    <row r="34" spans="2:43" s="215" customFormat="1" ht="65.099999999999994" customHeight="1" thickBot="1" x14ac:dyDescent="0.3">
      <c r="B34" s="935"/>
      <c r="C34" s="931"/>
      <c r="D34" s="548" t="s">
        <v>197</v>
      </c>
      <c r="E34" s="291" t="s">
        <v>64</v>
      </c>
      <c r="F34" s="549" t="s">
        <v>83</v>
      </c>
      <c r="G34" s="550" t="s">
        <v>77</v>
      </c>
      <c r="H34" s="291" t="s">
        <v>119</v>
      </c>
      <c r="I34" s="551" t="s">
        <v>78</v>
      </c>
      <c r="J34" s="552" t="s">
        <v>118</v>
      </c>
      <c r="K34" s="550" t="s">
        <v>198</v>
      </c>
      <c r="L34" s="291" t="s">
        <v>75</v>
      </c>
      <c r="M34" s="551" t="s">
        <v>80</v>
      </c>
      <c r="N34" s="931"/>
      <c r="O34" s="933"/>
      <c r="R34" s="214"/>
      <c r="S34" s="121">
        <f>(1+('IDENTIFICACIÓN TRABAJADOR'!$H$45+'IDENTIFICACIÓN TRABAJADOR'!$L$45)/(360-'IDENTIFICACIÓN TRABAJADOR'!$H$45-'IDENTIFICACIÓN TRABAJADOR'!$L$45))</f>
        <v>1</v>
      </c>
      <c r="W34" s="943"/>
      <c r="X34" s="945"/>
      <c r="Y34" s="221" t="s">
        <v>197</v>
      </c>
      <c r="Z34" s="222" t="s">
        <v>64</v>
      </c>
      <c r="AA34" s="223" t="s">
        <v>83</v>
      </c>
      <c r="AB34" s="224" t="s">
        <v>77</v>
      </c>
      <c r="AC34" s="222" t="s">
        <v>119</v>
      </c>
      <c r="AD34" s="225" t="s">
        <v>78</v>
      </c>
      <c r="AE34" s="226" t="s">
        <v>118</v>
      </c>
      <c r="AF34" s="224" t="s">
        <v>198</v>
      </c>
      <c r="AG34" s="222" t="s">
        <v>75</v>
      </c>
      <c r="AH34" s="225" t="s">
        <v>80</v>
      </c>
      <c r="AI34" s="945"/>
      <c r="AJ34" s="953"/>
      <c r="AK34" s="933"/>
      <c r="AN34" s="214"/>
      <c r="AO34" s="121">
        <f>(1+('IDENTIFICACIÓN TRABAJADOR'!$H$45+'IDENTIFICACIÓN TRABAJADOR'!$L$45)/(360-'IDENTIFICACIÓN TRABAJADOR'!$H$45-'IDENTIFICACIÓN TRABAJADOR'!$L$45))</f>
        <v>1</v>
      </c>
    </row>
    <row r="35" spans="2:43" ht="15" customHeight="1" x14ac:dyDescent="0.25">
      <c r="B35" s="227" t="s">
        <v>45</v>
      </c>
      <c r="C35" s="228">
        <f>IFERROR(IF(OR(DATE($B$33,MONTH(DATEVALUE(B35&amp;"1")),1)&lt;DATE(YEAR(EXPEDIENTE!$I$25),MONTH(EXPEDIENTE!$I$25),1),DATE($B$33,MONTH(DATEVALUE(B35&amp;"1")),1)&gt;DATE(YEAR(EXPEDIENTE!$I$27),MONTH(EXPEDIENTE!$I$27)+1,1)-1),0,ROUND('% DEDICACIÓN'!G45,4)),0)</f>
        <v>0</v>
      </c>
      <c r="D35" s="232">
        <f>'GASTOS EJER. 2'!F20+'GASTOS EJER. 2'!L20-'GASTOS EJER. 2'!X20-'GASTOS EJER. 2'!Y20</f>
        <v>0</v>
      </c>
      <c r="E35" s="230" t="str">
        <f>IF('GASTOS EJER. 2'!AA20="","",'GASTOS EJER. 2'!AA20)</f>
        <v/>
      </c>
      <c r="F35" s="231">
        <f>IF(E35&lt;=EXPEDIENTE!$I$29,D35,0)</f>
        <v>0</v>
      </c>
      <c r="G35" s="232">
        <f>'GASTOS EJER. 2'!Y20</f>
        <v>0</v>
      </c>
      <c r="H35" s="230" t="str">
        <f>IF('GASTOS EJER. 2'!AB20="","",'GASTOS EJER. 2'!AB20)</f>
        <v/>
      </c>
      <c r="I35" s="231">
        <f>IF(H35&lt;=EXPEDIENTE!$I$29,G35,0)</f>
        <v>0</v>
      </c>
      <c r="J35" s="233">
        <f>AUXILIAR!BU39</f>
        <v>0</v>
      </c>
      <c r="K35" s="232">
        <f>AUXILIAR!FP39</f>
        <v>0</v>
      </c>
      <c r="L35" s="230" t="str">
        <f>IF('GASTOS EJER. 2'!I49="","",'GASTOS EJER. 2'!I49)</f>
        <v/>
      </c>
      <c r="M35" s="231">
        <f>IF(L35&lt;=EXPEDIENTE!$I$29,K35,0)</f>
        <v>0</v>
      </c>
      <c r="N35" s="233">
        <f>IF($U$42=0,0,IF(AND($U$44&gt;$U$42,$U$40=1100%),MIN(AUXILIAR!$P$17,ROUND($U$42/$U$44*(F35+I35+J35+M35)*(1+('IDENTIFICACIÓN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5">
        <f t="shared" ref="O35:O46" si="3">IF($U$48&gt;0,0,ROUND(C35*N35,2))</f>
        <v>0</v>
      </c>
      <c r="P35" s="215"/>
      <c r="R35" s="214"/>
      <c r="S35" s="212">
        <f>ROUND(C35*(F35+I35+J35+M35)*(1+('IDENTIFICACIÓN TRABAJADOR'!$H$45+'IDENTIFICACIÓN TRABAJADOR'!$L$45)/(360-'IDENTIFICACIÓN TRABAJADOR'!$H$45-'IDENTIFICACIÓN TRABAJADOR'!$L$45)),2)</f>
        <v>0</v>
      </c>
      <c r="T35" s="215"/>
      <c r="U35" s="215"/>
      <c r="W35" s="227" t="s">
        <v>45</v>
      </c>
      <c r="X35" s="228">
        <f>IFERROR(IF(OR(DATE($B$33,MONTH(DATEVALUE(W35&amp;"1")),1)&lt;DATE(YEAR(EXPEDIENTE!$I$25),MONTH(EXPEDIENTE!$I$25),1),DATE($B$33,MONTH(DATEVALUE(W35&amp;"1")),1)&gt;DATE(YEAR(EXPEDIENTE!$I$27),MONTH(EXPEDIENTE!$I$27)+1,1)-1),0,ROUND('% DEDICACIÓN'!G45,4)),0)</f>
        <v>0</v>
      </c>
      <c r="Y35" s="232">
        <f>'GASTOS EJER. 2'!AW20+'GASTOS EJER. 2'!BM20-'GASTOS EJER. 2'!CM20-'GASTOS EJER. 2'!CP20</f>
        <v>0</v>
      </c>
      <c r="Z35" s="230" t="str">
        <f>IF('GASTOS EJER. 2'!CT20="","",'GASTOS EJER. 2'!CT20)</f>
        <v/>
      </c>
      <c r="AA35" s="231">
        <f>IF(Z35&lt;=EXPEDIENTE!$I$29,Y35,0)</f>
        <v>0</v>
      </c>
      <c r="AB35" s="232">
        <f>'GASTOS EJER. 2'!CP20</f>
        <v>0</v>
      </c>
      <c r="AC35" s="230" t="str">
        <f>IF('GASTOS EJER. 2'!CW20="","",'GASTOS EJER. 2'!CW20)</f>
        <v/>
      </c>
      <c r="AD35" s="231">
        <f>IF(AC35&lt;=EXPEDIENTE!$I$29,AB35,0)</f>
        <v>0</v>
      </c>
      <c r="AE35" s="233">
        <f>AUXILIAR!DL39</f>
        <v>0</v>
      </c>
      <c r="AF35" s="232">
        <f>AUXILIAR!HU39</f>
        <v>0</v>
      </c>
      <c r="AG35" s="230" t="str">
        <f>IF('GASTOS EJER. 2'!BF49="","",'GASTOS EJER. 2'!BF49)</f>
        <v/>
      </c>
      <c r="AH35" s="231">
        <f>IF(AG35&lt;=EXPEDIENTE!$I$29,AF35,0)</f>
        <v>0</v>
      </c>
      <c r="AI35" s="233">
        <f>IF($AQ$42=0,0,IF(AND($AQ$44&gt;$AQ$42,$AQ$40=1100%),MIN(AUXILIAR!$P$17,ROUND($AQ$42/$AQ$44*(AA35+AD35+AE35+AH35)*(1+('IDENTIFICACIÓN TRABAJADOR'!$H$45+'IDENTIFICACIÓN TRABAJADOR'!$L$45)/(360-'IDENTIFICACIÓN TRABAJADOR'!$H$45-'IDENTIFICACIÓN TRABAJADOR'!$L$45)),2)),MIN(AUXILIAR!$P$17,ROUND((AA35+AD35+AE35+AH35)*(1+('IDENTIFICACIÓN TRABAJADOR'!$H$45+'IDENTIFICACIÓN TRABAJADOR'!$L$45)/(360-'IDENTIFICACIÓN TRABAJADOR'!$H$45-'IDENTIFICACIÓN TRABAJADOR'!$L$45)),2))))</f>
        <v>0</v>
      </c>
      <c r="AJ35" s="234">
        <f>IF($AQ$48&gt;0,0,ROUND(X35*AI35,2))</f>
        <v>0</v>
      </c>
      <c r="AK35" s="235">
        <f>O35</f>
        <v>0</v>
      </c>
      <c r="AL35" s="215"/>
      <c r="AN35" s="214"/>
      <c r="AO35" s="212">
        <f>ROUND(X35*(AA35+AD35+AE35+AH35)*(1+('IDENTIFICACIÓN TRABAJADOR'!$H$45+'IDENTIFICACIÓN TRABAJADOR'!$L$45)/(360-'IDENTIFICACIÓN TRABAJADOR'!$H$45-'IDENTIFICACIÓN TRABAJADOR'!$L$45)),2)</f>
        <v>0</v>
      </c>
      <c r="AP35" s="215"/>
      <c r="AQ35" s="215"/>
    </row>
    <row r="36" spans="2:43" ht="15" customHeight="1" x14ac:dyDescent="0.25">
      <c r="B36" s="236" t="s">
        <v>46</v>
      </c>
      <c r="C36" s="237">
        <f>IFERROR(IF(OR(DATE($B$33,MONTH(DATEVALUE(B36&amp;"1")),1)&lt;DATE(YEAR(EXPEDIENTE!$I$25),MONTH(EXPEDIENTE!$I$25),1),DATE($B$33,MONTH(DATEVALUE(B36&amp;"1")),1)&gt;DATE(YEAR(EXPEDIENTE!$I$27),MONTH(EXPEDIENTE!$I$27)+1,1)-1),0,ROUND('% DEDICACIÓN'!H45,4)),0)</f>
        <v>0</v>
      </c>
      <c r="D36" s="241">
        <f>'GASTOS EJER. 2'!F21+'GASTOS EJER. 2'!L21-'GASTOS EJER. 2'!X21-'GASTOS EJER. 2'!Y21</f>
        <v>0</v>
      </c>
      <c r="E36" s="239" t="str">
        <f>IF('GASTOS EJER. 2'!AA21="","",'GASTOS EJER. 2'!AA21)</f>
        <v/>
      </c>
      <c r="F36" s="240">
        <f>IF(E36&lt;=EXPEDIENTE!$I$29,D36,0)</f>
        <v>0</v>
      </c>
      <c r="G36" s="241">
        <f>'GASTOS EJER. 2'!Y21</f>
        <v>0</v>
      </c>
      <c r="H36" s="239" t="str">
        <f>IF('GASTOS EJER. 2'!AB21="","",'GASTOS EJER. 2'!AB21)</f>
        <v/>
      </c>
      <c r="I36" s="240">
        <f>IF(H36&lt;=EXPEDIENTE!$I$29,G36,0)</f>
        <v>0</v>
      </c>
      <c r="J36" s="242">
        <f>AUXILIAR!BU40</f>
        <v>0</v>
      </c>
      <c r="K36" s="241">
        <f>AUXILIAR!FP40</f>
        <v>0</v>
      </c>
      <c r="L36" s="239" t="str">
        <f>IF('GASTOS EJER. 2'!I50="","",'GASTOS EJER. 2'!I50)</f>
        <v/>
      </c>
      <c r="M36" s="240">
        <f>IF(L36&lt;=EXPEDIENTE!$I$29,K36,0)</f>
        <v>0</v>
      </c>
      <c r="N36" s="242">
        <f>IF($U$42=0,0,IF(AND($U$44&gt;$U$42,$U$40=1100%),MIN(AUXILIAR!$P$17,ROUND($U$42/$U$44*(F36+I36+J36+M36)*(1+('IDENTIFICACIÓN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4">
        <f t="shared" si="3"/>
        <v>0</v>
      </c>
      <c r="P36" s="215"/>
      <c r="R36" s="214"/>
      <c r="S36" s="212">
        <f>ROUND(C36*(F36+I36+J36+M36)*(1+('IDENTIFICACIÓN TRABAJADOR'!$H$45+'IDENTIFICACIÓN TRABAJADOR'!$L$45)/(360-'IDENTIFICACIÓN TRABAJADOR'!$H$45-'IDENTIFICACIÓN TRABAJADOR'!$L$45)),2)</f>
        <v>0</v>
      </c>
      <c r="T36" s="215"/>
      <c r="U36" s="215"/>
      <c r="W36" s="236" t="s">
        <v>46</v>
      </c>
      <c r="X36" s="237">
        <f>IFERROR(IF(OR(DATE($B$33,MONTH(DATEVALUE(W36&amp;"1")),1)&lt;DATE(YEAR(EXPEDIENTE!$I$25),MONTH(EXPEDIENTE!$I$25),1),DATE($B$33,MONTH(DATEVALUE(W36&amp;"1")),1)&gt;DATE(YEAR(EXPEDIENTE!$I$27),MONTH(EXPEDIENTE!$I$27)+1,1)-1),0,ROUND('% DEDICACIÓN'!H45,4)),0)</f>
        <v>0</v>
      </c>
      <c r="Y36" s="241">
        <f>'GASTOS EJER. 2'!AW21+'GASTOS EJER. 2'!BM21-'GASTOS EJER. 2'!CM21-'GASTOS EJER. 2'!CP21</f>
        <v>0</v>
      </c>
      <c r="Z36" s="239" t="str">
        <f>IF('GASTOS EJER. 2'!CT21="","",'GASTOS EJER. 2'!CT21)</f>
        <v/>
      </c>
      <c r="AA36" s="240">
        <f>IF(Z36&lt;=EXPEDIENTE!$I$29,Y36,0)</f>
        <v>0</v>
      </c>
      <c r="AB36" s="241">
        <f>'GASTOS EJER. 2'!CP21</f>
        <v>0</v>
      </c>
      <c r="AC36" s="239" t="str">
        <f>IF('GASTOS EJER. 2'!CW21="","",'GASTOS EJER. 2'!CW21)</f>
        <v/>
      </c>
      <c r="AD36" s="240">
        <f>IF(AC36&lt;=EXPEDIENTE!$I$29,AB36,0)</f>
        <v>0</v>
      </c>
      <c r="AE36" s="242">
        <f>AUXILIAR!DL40</f>
        <v>0</v>
      </c>
      <c r="AF36" s="241">
        <f>AUXILIAR!HU40</f>
        <v>0</v>
      </c>
      <c r="AG36" s="239" t="str">
        <f>IF('GASTOS EJER. 2'!BF50="","",'GASTOS EJER. 2'!BF50)</f>
        <v/>
      </c>
      <c r="AH36" s="240">
        <f>IF(AG36&lt;=EXPEDIENTE!$I$29,AF36,0)</f>
        <v>0</v>
      </c>
      <c r="AI36" s="242">
        <f>IF($AQ$42=0,0,IF(AND($AQ$44&gt;$AQ$42,$AQ$40=1100%),MIN(AUXILIAR!$P$17,ROUND($AQ$42/$AQ$44*(AA36+AD36+AE36+AH36)*(1+('IDENTIFICACIÓN TRABAJADOR'!$H$45+'IDENTIFICACIÓN TRABAJADOR'!$L$45)/(360-'IDENTIFICACIÓN TRABAJADOR'!$H$45-'IDENTIFICACIÓN TRABAJADOR'!$L$45)),2)),MIN(AUXILIAR!$P$17,ROUND((AA36+AD36+AE36+AH36)*(1+('IDENTIFICACIÓN TRABAJADOR'!$H$45+'IDENTIFICACIÓN TRABAJADOR'!$L$45)/(360-'IDENTIFICACIÓN TRABAJADOR'!$H$45-'IDENTIFICACIÓN TRABAJADOR'!$L$45)),2))))</f>
        <v>0</v>
      </c>
      <c r="AJ36" s="243">
        <f t="shared" ref="AJ36:AJ46" si="4">IF($AQ$48&gt;0,0,ROUND(X36*AI36,2))</f>
        <v>0</v>
      </c>
      <c r="AK36" s="244">
        <f t="shared" ref="AK36:AK46" si="5">O36</f>
        <v>0</v>
      </c>
      <c r="AL36" s="215"/>
      <c r="AN36" s="214"/>
      <c r="AO36" s="212">
        <f>ROUND(X36*(AA36+AD36+AE36+AH36)*(1+('IDENTIFICACIÓN TRABAJADOR'!$H$45+'IDENTIFICACIÓN TRABAJADOR'!$L$45)/(360-'IDENTIFICACIÓN TRABAJADOR'!$H$45-'IDENTIFICACIÓN TRABAJADOR'!$L$45)),2)</f>
        <v>0</v>
      </c>
      <c r="AP36" s="215"/>
      <c r="AQ36" s="215"/>
    </row>
    <row r="37" spans="2:43" ht="15" customHeight="1" x14ac:dyDescent="0.25">
      <c r="B37" s="236" t="s">
        <v>47</v>
      </c>
      <c r="C37" s="237">
        <f>IFERROR(IF(OR(DATE($B$33,MONTH(DATEVALUE(B37&amp;"1")),1)&lt;DATE(YEAR(EXPEDIENTE!$I$25),MONTH(EXPEDIENTE!$I$25),1),DATE($B$33,MONTH(DATEVALUE(B37&amp;"1")),1)&gt;DATE(YEAR(EXPEDIENTE!$I$27),MONTH(EXPEDIENTE!$I$27)+1,1)-1),0,ROUND('% DEDICACIÓN'!I45,4)),0)</f>
        <v>0</v>
      </c>
      <c r="D37" s="241">
        <f>'GASTOS EJER. 2'!F22+'GASTOS EJER. 2'!L22-'GASTOS EJER. 2'!X22-'GASTOS EJER. 2'!Y22</f>
        <v>0</v>
      </c>
      <c r="E37" s="239" t="str">
        <f>IF('GASTOS EJER. 2'!AA22="","",'GASTOS EJER. 2'!AA22)</f>
        <v/>
      </c>
      <c r="F37" s="240">
        <f>IF(E37&lt;=EXPEDIENTE!$I$29,D37,0)</f>
        <v>0</v>
      </c>
      <c r="G37" s="241">
        <f>'GASTOS EJER. 2'!Y22</f>
        <v>0</v>
      </c>
      <c r="H37" s="239" t="str">
        <f>IF('GASTOS EJER. 2'!AB22="","",'GASTOS EJER. 2'!AB22)</f>
        <v/>
      </c>
      <c r="I37" s="240">
        <f>IF(H37&lt;=EXPEDIENTE!$I$29,G37,0)</f>
        <v>0</v>
      </c>
      <c r="J37" s="242">
        <f>AUXILIAR!BU41</f>
        <v>0</v>
      </c>
      <c r="K37" s="241">
        <f>AUXILIAR!FP41</f>
        <v>0</v>
      </c>
      <c r="L37" s="239" t="str">
        <f>IF('GASTOS EJER. 2'!I51="","",'GASTOS EJER. 2'!I51)</f>
        <v/>
      </c>
      <c r="M37" s="240">
        <f>IF(L37&lt;=EXPEDIENTE!$I$29,K37,0)</f>
        <v>0</v>
      </c>
      <c r="N37" s="242">
        <f>IF($U$42=0,0,IF(AND($U$44&gt;$U$42,$U$40=1100%),MIN(AUXILIAR!$P$17,ROUND($U$42/$U$44*(F37+I37+J37+M37)*(1+('IDENTIFICACIÓN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4">
        <f t="shared" si="3"/>
        <v>0</v>
      </c>
      <c r="P37" s="215"/>
      <c r="R37" s="214"/>
      <c r="S37" s="212">
        <f>ROUND(C37*(F37+I37+J37+M37)*(1+('IDENTIFICACIÓN TRABAJADOR'!$H$45+'IDENTIFICACIÓN TRABAJADOR'!$L$45)/(360-'IDENTIFICACIÓN TRABAJADOR'!$H$45-'IDENTIFICACIÓN TRABAJADOR'!$L$45)),2)</f>
        <v>0</v>
      </c>
      <c r="T37" s="215"/>
      <c r="U37" s="215"/>
      <c r="W37" s="236" t="s">
        <v>47</v>
      </c>
      <c r="X37" s="237">
        <f>IFERROR(IF(OR(DATE($B$33,MONTH(DATEVALUE(W37&amp;"1")),1)&lt;DATE(YEAR(EXPEDIENTE!$I$25),MONTH(EXPEDIENTE!$I$25),1),DATE($B$33,MONTH(DATEVALUE(W37&amp;"1")),1)&gt;DATE(YEAR(EXPEDIENTE!$I$27),MONTH(EXPEDIENTE!$I$27)+1,1)-1),0,ROUND('% DEDICACIÓN'!I45,4)),0)</f>
        <v>0</v>
      </c>
      <c r="Y37" s="241">
        <f>'GASTOS EJER. 2'!AW22+'GASTOS EJER. 2'!BM22-'GASTOS EJER. 2'!CM22-'GASTOS EJER. 2'!CP22</f>
        <v>0</v>
      </c>
      <c r="Z37" s="239" t="str">
        <f>IF('GASTOS EJER. 2'!CT22="","",'GASTOS EJER. 2'!CT22)</f>
        <v/>
      </c>
      <c r="AA37" s="240">
        <f>IF(Z37&lt;=EXPEDIENTE!$I$29,Y37,0)</f>
        <v>0</v>
      </c>
      <c r="AB37" s="241">
        <f>'GASTOS EJER. 2'!CP22</f>
        <v>0</v>
      </c>
      <c r="AC37" s="239" t="str">
        <f>IF('GASTOS EJER. 2'!CW22="","",'GASTOS EJER. 2'!CW22)</f>
        <v/>
      </c>
      <c r="AD37" s="240">
        <f>IF(AC37&lt;=EXPEDIENTE!$I$29,AB37,0)</f>
        <v>0</v>
      </c>
      <c r="AE37" s="242">
        <f>AUXILIAR!DL41</f>
        <v>0</v>
      </c>
      <c r="AF37" s="241">
        <f>AUXILIAR!HU41</f>
        <v>0</v>
      </c>
      <c r="AG37" s="239" t="str">
        <f>IF('GASTOS EJER. 2'!BF51="","",'GASTOS EJER. 2'!BF51)</f>
        <v/>
      </c>
      <c r="AH37" s="240">
        <f>IF(AG37&lt;=EXPEDIENTE!$I$29,AF37,0)</f>
        <v>0</v>
      </c>
      <c r="AI37" s="242">
        <f>IF($AQ$42=0,0,IF(AND($AQ$44&gt;$AQ$42,$AQ$40=1100%),MIN(AUXILIAR!$P$17,ROUND($AQ$42/$AQ$44*(AA37+AD37+AE37+AH37)*(1+('IDENTIFICACIÓN TRABAJADOR'!$H$45+'IDENTIFICACIÓN TRABAJADOR'!$L$45)/(360-'IDENTIFICACIÓN TRABAJADOR'!$H$45-'IDENTIFICACIÓN TRABAJADOR'!$L$45)),2)),MIN(AUXILIAR!$P$17,ROUND((AA37+AD37+AE37+AH37)*(1+('IDENTIFICACIÓN TRABAJADOR'!$H$45+'IDENTIFICACIÓN TRABAJADOR'!$L$45)/(360-'IDENTIFICACIÓN TRABAJADOR'!$H$45-'IDENTIFICACIÓN TRABAJADOR'!$L$45)),2))))</f>
        <v>0</v>
      </c>
      <c r="AJ37" s="243">
        <f t="shared" si="4"/>
        <v>0</v>
      </c>
      <c r="AK37" s="244">
        <f t="shared" si="5"/>
        <v>0</v>
      </c>
      <c r="AL37" s="215"/>
      <c r="AN37" s="214"/>
      <c r="AO37" s="212">
        <f>ROUND(X37*(AA37+AD37+AE37+AH37)*(1+('IDENTIFICACIÓN TRABAJADOR'!$H$45+'IDENTIFICACIÓN TRABAJADOR'!$L$45)/(360-'IDENTIFICACIÓN TRABAJADOR'!$H$45-'IDENTIFICACIÓN TRABAJADOR'!$L$45)),2)</f>
        <v>0</v>
      </c>
      <c r="AP37" s="215"/>
      <c r="AQ37" s="215"/>
    </row>
    <row r="38" spans="2:43" ht="15" customHeight="1" x14ac:dyDescent="0.25">
      <c r="B38" s="236" t="s">
        <v>48</v>
      </c>
      <c r="C38" s="237">
        <f>IFERROR(IF(OR(DATE($B$33,MONTH(DATEVALUE(B38&amp;"1")),1)&lt;DATE(YEAR(EXPEDIENTE!$I$25),MONTH(EXPEDIENTE!$I$25),1),DATE($B$33,MONTH(DATEVALUE(B38&amp;"1")),1)&gt;DATE(YEAR(EXPEDIENTE!$I$27),MONTH(EXPEDIENTE!$I$27)+1,1)-1),0,ROUND('% DEDICACIÓN'!J45,4)),0)</f>
        <v>0</v>
      </c>
      <c r="D38" s="241">
        <f>'GASTOS EJER. 2'!F23+'GASTOS EJER. 2'!L23-'GASTOS EJER. 2'!X23-'GASTOS EJER. 2'!Y23</f>
        <v>0</v>
      </c>
      <c r="E38" s="239" t="str">
        <f>IF('GASTOS EJER. 2'!AA23="","",'GASTOS EJER. 2'!AA23)</f>
        <v/>
      </c>
      <c r="F38" s="240">
        <f>IF(E38&lt;=EXPEDIENTE!$I$29,D38,0)</f>
        <v>0</v>
      </c>
      <c r="G38" s="241">
        <f>'GASTOS EJER. 2'!Y23</f>
        <v>0</v>
      </c>
      <c r="H38" s="239" t="str">
        <f>IF('GASTOS EJER. 2'!AB23="","",'GASTOS EJER. 2'!AB23)</f>
        <v/>
      </c>
      <c r="I38" s="240">
        <f>IF(H38&lt;=EXPEDIENTE!$I$29,G38,0)</f>
        <v>0</v>
      </c>
      <c r="J38" s="242">
        <f>AUXILIAR!BU42</f>
        <v>0</v>
      </c>
      <c r="K38" s="241">
        <f>AUXILIAR!FP42</f>
        <v>0</v>
      </c>
      <c r="L38" s="239" t="str">
        <f>IF('GASTOS EJER. 2'!I52="","",'GASTOS EJER. 2'!I52)</f>
        <v/>
      </c>
      <c r="M38" s="240">
        <f>IF(L38&lt;=EXPEDIENTE!$I$29,K38,0)</f>
        <v>0</v>
      </c>
      <c r="N38" s="242">
        <f>IF($U$42=0,0,IF(AND($U$44&gt;$U$42,$U$40=1100%),MIN(AUXILIAR!$P$17,ROUND($U$42/$U$44*(F38+I38+J38+M38)*(1+('IDENTIFICACIÓN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4">
        <f t="shared" si="3"/>
        <v>0</v>
      </c>
      <c r="P38" s="215"/>
      <c r="R38" s="214"/>
      <c r="S38" s="212">
        <f>ROUND(C38*(F38+I38+J38+M38)*(1+('IDENTIFICACIÓN TRABAJADOR'!$H$45+'IDENTIFICACIÓN TRABAJADOR'!$L$45)/(360-'IDENTIFICACIÓN TRABAJADOR'!$H$45-'IDENTIFICACIÓN TRABAJADOR'!$L$45)),2)</f>
        <v>0</v>
      </c>
      <c r="T38" s="215"/>
      <c r="U38" s="215"/>
      <c r="W38" s="236" t="s">
        <v>48</v>
      </c>
      <c r="X38" s="237">
        <f>IFERROR(IF(OR(DATE($B$33,MONTH(DATEVALUE(W38&amp;"1")),1)&lt;DATE(YEAR(EXPEDIENTE!$I$25),MONTH(EXPEDIENTE!$I$25),1),DATE($B$33,MONTH(DATEVALUE(W38&amp;"1")),1)&gt;DATE(YEAR(EXPEDIENTE!$I$27),MONTH(EXPEDIENTE!$I$27)+1,1)-1),0,ROUND('% DEDICACIÓN'!J45,4)),0)</f>
        <v>0</v>
      </c>
      <c r="Y38" s="241">
        <f>'GASTOS EJER. 2'!AW23+'GASTOS EJER. 2'!BM23-'GASTOS EJER. 2'!CM23-'GASTOS EJER. 2'!CP23</f>
        <v>0</v>
      </c>
      <c r="Z38" s="239" t="str">
        <f>IF('GASTOS EJER. 2'!CT23="","",'GASTOS EJER. 2'!CT23)</f>
        <v/>
      </c>
      <c r="AA38" s="240">
        <f>IF(Z38&lt;=EXPEDIENTE!$I$29,Y38,0)</f>
        <v>0</v>
      </c>
      <c r="AB38" s="241">
        <f>'GASTOS EJER. 2'!CP23</f>
        <v>0</v>
      </c>
      <c r="AC38" s="239" t="str">
        <f>IF('GASTOS EJER. 2'!CW23="","",'GASTOS EJER. 2'!CW23)</f>
        <v/>
      </c>
      <c r="AD38" s="240">
        <f>IF(AC38&lt;=EXPEDIENTE!$I$29,AB38,0)</f>
        <v>0</v>
      </c>
      <c r="AE38" s="242">
        <f>AUXILIAR!DL42</f>
        <v>0</v>
      </c>
      <c r="AF38" s="241">
        <f>AUXILIAR!HU42</f>
        <v>0</v>
      </c>
      <c r="AG38" s="239" t="str">
        <f>IF('GASTOS EJER. 2'!BF52="","",'GASTOS EJER. 2'!BF52)</f>
        <v/>
      </c>
      <c r="AH38" s="240">
        <f>IF(AG38&lt;=EXPEDIENTE!$I$29,AF38,0)</f>
        <v>0</v>
      </c>
      <c r="AI38" s="242">
        <f>IF($AQ$42=0,0,IF(AND($AQ$44&gt;$AQ$42,$AQ$40=1100%),MIN(AUXILIAR!$P$17,ROUND($AQ$42/$AQ$44*(AA38+AD38+AE38+AH38)*(1+('IDENTIFICACIÓN TRABAJADOR'!$H$45+'IDENTIFICACIÓN TRABAJADOR'!$L$45)/(360-'IDENTIFICACIÓN TRABAJADOR'!$H$45-'IDENTIFICACIÓN TRABAJADOR'!$L$45)),2)),MIN(AUXILIAR!$P$17,ROUND((AA38+AD38+AE38+AH38)*(1+('IDENTIFICACIÓN TRABAJADOR'!$H$45+'IDENTIFICACIÓN TRABAJADOR'!$L$45)/(360-'IDENTIFICACIÓN TRABAJADOR'!$H$45-'IDENTIFICACIÓN TRABAJADOR'!$L$45)),2))))</f>
        <v>0</v>
      </c>
      <c r="AJ38" s="243">
        <f t="shared" si="4"/>
        <v>0</v>
      </c>
      <c r="AK38" s="244">
        <f t="shared" si="5"/>
        <v>0</v>
      </c>
      <c r="AL38" s="215"/>
      <c r="AN38" s="214"/>
      <c r="AO38" s="212">
        <f>ROUND(X38*(AA38+AD38+AE38+AH38)*(1+('IDENTIFICACIÓN TRABAJADOR'!$H$45+'IDENTIFICACIÓN TRABAJADOR'!$L$45)/(360-'IDENTIFICACIÓN TRABAJADOR'!$H$45-'IDENTIFICACIÓN TRABAJADOR'!$L$45)),2)</f>
        <v>0</v>
      </c>
      <c r="AP38" s="215"/>
      <c r="AQ38" s="215"/>
    </row>
    <row r="39" spans="2:43" ht="15" customHeight="1" x14ac:dyDescent="0.25">
      <c r="B39" s="236" t="s">
        <v>49</v>
      </c>
      <c r="C39" s="237">
        <f>IFERROR(IF(OR(DATE($B$33,MONTH(DATEVALUE(B39&amp;"1")),1)&lt;DATE(YEAR(EXPEDIENTE!$I$25),MONTH(EXPEDIENTE!$I$25),1),DATE($B$33,MONTH(DATEVALUE(B39&amp;"1")),1)&gt;DATE(YEAR(EXPEDIENTE!$I$27),MONTH(EXPEDIENTE!$I$27)+1,1)-1),0,ROUND('% DEDICACIÓN'!K45,4)),0)</f>
        <v>0</v>
      </c>
      <c r="D39" s="241">
        <f>'GASTOS EJER. 2'!F24+'GASTOS EJER. 2'!L24-'GASTOS EJER. 2'!X24-'GASTOS EJER. 2'!Y24</f>
        <v>0</v>
      </c>
      <c r="E39" s="239" t="str">
        <f>IF('GASTOS EJER. 2'!AA24="","",'GASTOS EJER. 2'!AA24)</f>
        <v/>
      </c>
      <c r="F39" s="240">
        <f>IF(E39&lt;=EXPEDIENTE!$I$29,D39,0)</f>
        <v>0</v>
      </c>
      <c r="G39" s="241">
        <f>'GASTOS EJER. 2'!Y24</f>
        <v>0</v>
      </c>
      <c r="H39" s="239" t="str">
        <f>IF('GASTOS EJER. 2'!AB24="","",'GASTOS EJER. 2'!AB24)</f>
        <v/>
      </c>
      <c r="I39" s="240">
        <f>IF(H39&lt;=EXPEDIENTE!$I$29,G39,0)</f>
        <v>0</v>
      </c>
      <c r="J39" s="242">
        <f>AUXILIAR!BU43</f>
        <v>0</v>
      </c>
      <c r="K39" s="241">
        <f>AUXILIAR!FP43</f>
        <v>0</v>
      </c>
      <c r="L39" s="239" t="str">
        <f>IF('GASTOS EJER. 2'!I53="","",'GASTOS EJER. 2'!I53)</f>
        <v/>
      </c>
      <c r="M39" s="240">
        <f>IF(L39&lt;=EXPEDIENTE!$I$29,K39,0)</f>
        <v>0</v>
      </c>
      <c r="N39" s="242">
        <f>IF($U$42=0,0,IF(AND($U$44&gt;$U$42,$U$40=1100%),MIN(AUXILIAR!$P$17,ROUND($U$42/$U$44*(F39+I39+J39+M39)*(1+('IDENTIFICACIÓN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4">
        <f t="shared" si="3"/>
        <v>0</v>
      </c>
      <c r="P39" s="215"/>
      <c r="R39" s="214"/>
      <c r="S39" s="212">
        <f>ROUND(C39*(F39+I39+J39+M39)*(1+('IDENTIFICACIÓN TRABAJADOR'!$H$45+'IDENTIFICACIÓN TRABAJADOR'!$L$45)/(360-'IDENTIFICACIÓN TRABAJADOR'!$H$45-'IDENTIFICACIÓN TRABAJADOR'!$L$45)),2)</f>
        <v>0</v>
      </c>
      <c r="T39" s="215"/>
      <c r="U39" s="211" t="s">
        <v>222</v>
      </c>
      <c r="W39" s="236" t="s">
        <v>49</v>
      </c>
      <c r="X39" s="237">
        <f>IFERROR(IF(OR(DATE($B$33,MONTH(DATEVALUE(W39&amp;"1")),1)&lt;DATE(YEAR(EXPEDIENTE!$I$25),MONTH(EXPEDIENTE!$I$25),1),DATE($B$33,MONTH(DATEVALUE(W39&amp;"1")),1)&gt;DATE(YEAR(EXPEDIENTE!$I$27),MONTH(EXPEDIENTE!$I$27)+1,1)-1),0,ROUND('% DEDICACIÓN'!K45,4)),0)</f>
        <v>0</v>
      </c>
      <c r="Y39" s="241">
        <f>'GASTOS EJER. 2'!AW24+'GASTOS EJER. 2'!BM24-'GASTOS EJER. 2'!CM24-'GASTOS EJER. 2'!CP24</f>
        <v>0</v>
      </c>
      <c r="Z39" s="239" t="str">
        <f>IF('GASTOS EJER. 2'!CT24="","",'GASTOS EJER. 2'!CT24)</f>
        <v/>
      </c>
      <c r="AA39" s="240">
        <f>IF(Z39&lt;=EXPEDIENTE!$I$29,Y39,0)</f>
        <v>0</v>
      </c>
      <c r="AB39" s="241">
        <f>'GASTOS EJER. 2'!CP24</f>
        <v>0</v>
      </c>
      <c r="AC39" s="239" t="str">
        <f>IF('GASTOS EJER. 2'!CW24="","",'GASTOS EJER. 2'!CW24)</f>
        <v/>
      </c>
      <c r="AD39" s="240">
        <f>IF(AC39&lt;=EXPEDIENTE!$I$29,AB39,0)</f>
        <v>0</v>
      </c>
      <c r="AE39" s="242">
        <f>AUXILIAR!DL43</f>
        <v>0</v>
      </c>
      <c r="AF39" s="241">
        <f>AUXILIAR!HU43</f>
        <v>0</v>
      </c>
      <c r="AG39" s="239" t="str">
        <f>IF('GASTOS EJER. 2'!BF53="","",'GASTOS EJER. 2'!BF53)</f>
        <v/>
      </c>
      <c r="AH39" s="240">
        <f>IF(AG39&lt;=EXPEDIENTE!$I$29,AF39,0)</f>
        <v>0</v>
      </c>
      <c r="AI39" s="242">
        <f>IF($AQ$42=0,0,IF(AND($AQ$44&gt;$AQ$42,$AQ$40=1100%),MIN(AUXILIAR!$P$17,ROUND($AQ$42/$AQ$44*(AA39+AD39+AE39+AH39)*(1+('IDENTIFICACIÓN TRABAJADOR'!$H$45+'IDENTIFICACIÓN TRABAJADOR'!$L$45)/(360-'IDENTIFICACIÓN TRABAJADOR'!$H$45-'IDENTIFICACIÓN TRABAJADOR'!$L$45)),2)),MIN(AUXILIAR!$P$17,ROUND((AA39+AD39+AE39+AH39)*(1+('IDENTIFICACIÓN TRABAJADOR'!$H$45+'IDENTIFICACIÓN TRABAJADOR'!$L$45)/(360-'IDENTIFICACIÓN TRABAJADOR'!$H$45-'IDENTIFICACIÓN TRABAJADOR'!$L$45)),2))))</f>
        <v>0</v>
      </c>
      <c r="AJ39" s="243">
        <f t="shared" si="4"/>
        <v>0</v>
      </c>
      <c r="AK39" s="244">
        <f t="shared" si="5"/>
        <v>0</v>
      </c>
      <c r="AL39" s="215"/>
      <c r="AN39" s="214"/>
      <c r="AO39" s="212">
        <f>ROUND(X39*(AA39+AD39+AE39+AH39)*(1+('IDENTIFICACIÓN TRABAJADOR'!$H$45+'IDENTIFICACIÓN TRABAJADOR'!$L$45)/(360-'IDENTIFICACIÓN TRABAJADOR'!$H$45-'IDENTIFICACIÓN TRABAJADOR'!$L$45)),2)</f>
        <v>0</v>
      </c>
      <c r="AP39" s="215"/>
      <c r="AQ39" s="211" t="s">
        <v>222</v>
      </c>
    </row>
    <row r="40" spans="2:43" ht="15" customHeight="1" x14ac:dyDescent="0.25">
      <c r="B40" s="236" t="s">
        <v>50</v>
      </c>
      <c r="C40" s="237">
        <f>IFERROR(IF(OR(DATE($B$33,MONTH(DATEVALUE(B40&amp;"1")),1)&lt;DATE(YEAR(EXPEDIENTE!$I$25),MONTH(EXPEDIENTE!$I$25),1),DATE($B$33,MONTH(DATEVALUE(B40&amp;"1")),1)&gt;DATE(YEAR(EXPEDIENTE!$I$27),MONTH(EXPEDIENTE!$I$27)+1,1)-1),0,ROUND('% DEDICACIÓN'!L45,4)),0)</f>
        <v>0</v>
      </c>
      <c r="D40" s="241">
        <f>'GASTOS EJER. 2'!F25+'GASTOS EJER. 2'!L25-'GASTOS EJER. 2'!X25-'GASTOS EJER. 2'!Y25</f>
        <v>0</v>
      </c>
      <c r="E40" s="239" t="str">
        <f>IF('GASTOS EJER. 2'!AA25="","",'GASTOS EJER. 2'!AA25)</f>
        <v/>
      </c>
      <c r="F40" s="240">
        <f>IF(E40&lt;=EXPEDIENTE!$I$29,D40,0)</f>
        <v>0</v>
      </c>
      <c r="G40" s="241">
        <f>'GASTOS EJER. 2'!Y25</f>
        <v>0</v>
      </c>
      <c r="H40" s="239" t="str">
        <f>IF('GASTOS EJER. 2'!AB25="","",'GASTOS EJER. 2'!AB25)</f>
        <v/>
      </c>
      <c r="I40" s="240">
        <f>IF(H40&lt;=EXPEDIENTE!$I$29,G40,0)</f>
        <v>0</v>
      </c>
      <c r="J40" s="242">
        <f>AUXILIAR!BU44</f>
        <v>0</v>
      </c>
      <c r="K40" s="241">
        <f>AUXILIAR!FP44</f>
        <v>0</v>
      </c>
      <c r="L40" s="239" t="str">
        <f>IF('GASTOS EJER. 2'!I54="","",'GASTOS EJER. 2'!I54)</f>
        <v/>
      </c>
      <c r="M40" s="240">
        <f>IF(L40&lt;=EXPEDIENTE!$I$29,K40,0)</f>
        <v>0</v>
      </c>
      <c r="N40" s="242">
        <f>IF($U$42=0,0,IF(AND($U$44&gt;$U$42,$U$40=1100%),MIN(AUXILIAR!$P$17,ROUND($U$42/$U$44*(F40+I40+J40+M40)*(1+('IDENTIFICACIÓN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4">
        <f t="shared" si="3"/>
        <v>0</v>
      </c>
      <c r="P40" s="215"/>
      <c r="R40" s="214"/>
      <c r="S40" s="212">
        <f>ROUND(C40*(F40+I40+J40+M40)*(1+('IDENTIFICACIÓN TRABAJADOR'!$H$45+'IDENTIFICACIÓN TRABAJADOR'!$L$45)/(360-'IDENTIFICACIÓN TRABAJADOR'!$H$45-'IDENTIFICACIÓN TRABAJADOR'!$L$45)),2)</f>
        <v>0</v>
      </c>
      <c r="T40" s="245"/>
      <c r="U40" s="246">
        <f>SUM('% DEDICACIÓN'!$G$45:$R$45)</f>
        <v>0</v>
      </c>
      <c r="W40" s="236" t="s">
        <v>50</v>
      </c>
      <c r="X40" s="237">
        <f>IFERROR(IF(OR(DATE($B$33,MONTH(DATEVALUE(W40&amp;"1")),1)&lt;DATE(YEAR(EXPEDIENTE!$I$25),MONTH(EXPEDIENTE!$I$25),1),DATE($B$33,MONTH(DATEVALUE(W40&amp;"1")),1)&gt;DATE(YEAR(EXPEDIENTE!$I$27),MONTH(EXPEDIENTE!$I$27)+1,1)-1),0,ROUND('% DEDICACIÓN'!L45,4)),0)</f>
        <v>0</v>
      </c>
      <c r="Y40" s="241">
        <f>'GASTOS EJER. 2'!AW25+'GASTOS EJER. 2'!BM25-'GASTOS EJER. 2'!CM25-'GASTOS EJER. 2'!CP25</f>
        <v>0</v>
      </c>
      <c r="Z40" s="239" t="str">
        <f>IF('GASTOS EJER. 2'!CT25="","",'GASTOS EJER. 2'!CT25)</f>
        <v/>
      </c>
      <c r="AA40" s="240">
        <f>IF(Z40&lt;=EXPEDIENTE!$I$29,Y40,0)</f>
        <v>0</v>
      </c>
      <c r="AB40" s="241">
        <f>'GASTOS EJER. 2'!CP25</f>
        <v>0</v>
      </c>
      <c r="AC40" s="239" t="str">
        <f>IF('GASTOS EJER. 2'!CW25="","",'GASTOS EJER. 2'!CW25)</f>
        <v/>
      </c>
      <c r="AD40" s="240">
        <f>IF(AC40&lt;=EXPEDIENTE!$I$29,AB40,0)</f>
        <v>0</v>
      </c>
      <c r="AE40" s="242">
        <f>AUXILIAR!DL44</f>
        <v>0</v>
      </c>
      <c r="AF40" s="241">
        <f>AUXILIAR!HU44</f>
        <v>0</v>
      </c>
      <c r="AG40" s="239" t="str">
        <f>IF('GASTOS EJER. 2'!BF54="","",'GASTOS EJER. 2'!BF54)</f>
        <v/>
      </c>
      <c r="AH40" s="240">
        <f>IF(AG40&lt;=EXPEDIENTE!$I$29,AF40,0)</f>
        <v>0</v>
      </c>
      <c r="AI40" s="242">
        <f>IF($AQ$42=0,0,IF(AND($AQ$44&gt;$AQ$42,$AQ$40=1100%),MIN(AUXILIAR!$P$17,ROUND($AQ$42/$AQ$44*(AA40+AD40+AE40+AH40)*(1+('IDENTIFICACIÓN TRABAJADOR'!$H$45+'IDENTIFICACIÓN TRABAJADOR'!$L$45)/(360-'IDENTIFICACIÓN TRABAJADOR'!$H$45-'IDENTIFICACIÓN TRABAJADOR'!$L$45)),2)),MIN(AUXILIAR!$P$17,ROUND((AA40+AD40+AE40+AH40)*(1+('IDENTIFICACIÓN TRABAJADOR'!$H$45+'IDENTIFICACIÓN TRABAJADOR'!$L$45)/(360-'IDENTIFICACIÓN TRABAJADOR'!$H$45-'IDENTIFICACIÓN TRABAJADOR'!$L$45)),2))))</f>
        <v>0</v>
      </c>
      <c r="AJ40" s="243">
        <f t="shared" si="4"/>
        <v>0</v>
      </c>
      <c r="AK40" s="244">
        <f t="shared" si="5"/>
        <v>0</v>
      </c>
      <c r="AL40" s="215"/>
      <c r="AN40" s="214"/>
      <c r="AO40" s="212">
        <f>ROUND(X40*(AA40+AD40+AE40+AH40)*(1+('IDENTIFICACIÓN TRABAJADOR'!$H$45+'IDENTIFICACIÓN TRABAJADOR'!$L$45)/(360-'IDENTIFICACIÓN TRABAJADOR'!$H$45-'IDENTIFICACIÓN TRABAJADOR'!$L$45)),2)</f>
        <v>0</v>
      </c>
      <c r="AP40" s="245"/>
      <c r="AQ40" s="246">
        <f>SUM('% DEDICACIÓN'!$G$45:$R$45)</f>
        <v>0</v>
      </c>
    </row>
    <row r="41" spans="2:43" ht="15" customHeight="1" x14ac:dyDescent="0.25">
      <c r="B41" s="236" t="s">
        <v>51</v>
      </c>
      <c r="C41" s="237">
        <f>IFERROR(IF(OR(DATE($B$33,MONTH(DATEVALUE(B41&amp;"1")),1)&lt;DATE(YEAR(EXPEDIENTE!$I$25),MONTH(EXPEDIENTE!$I$25),1),DATE($B$33,MONTH(DATEVALUE(B41&amp;"1")),1)&gt;DATE(YEAR(EXPEDIENTE!$I$27),MONTH(EXPEDIENTE!$I$27)+1,1)-1),0,ROUND('% DEDICACIÓN'!M45,4)),0)</f>
        <v>0</v>
      </c>
      <c r="D41" s="241">
        <f>'GASTOS EJER. 2'!F26+'GASTOS EJER. 2'!L26-'GASTOS EJER. 2'!X26-'GASTOS EJER. 2'!Y26</f>
        <v>0</v>
      </c>
      <c r="E41" s="239" t="str">
        <f>IF('GASTOS EJER. 2'!AA26="","",'GASTOS EJER. 2'!AA26)</f>
        <v/>
      </c>
      <c r="F41" s="240">
        <f>IF(E41&lt;=EXPEDIENTE!$I$29,D41,0)</f>
        <v>0</v>
      </c>
      <c r="G41" s="241">
        <f>'GASTOS EJER. 2'!Y26</f>
        <v>0</v>
      </c>
      <c r="H41" s="239" t="str">
        <f>IF('GASTOS EJER. 2'!AB26="","",'GASTOS EJER. 2'!AB26)</f>
        <v/>
      </c>
      <c r="I41" s="240">
        <f>IF(H41&lt;=EXPEDIENTE!$I$29,G41,0)</f>
        <v>0</v>
      </c>
      <c r="J41" s="242">
        <f>AUXILIAR!BU45</f>
        <v>0</v>
      </c>
      <c r="K41" s="241">
        <f>AUXILIAR!FP45</f>
        <v>0</v>
      </c>
      <c r="L41" s="239" t="str">
        <f>IF('GASTOS EJER. 2'!I55="","",'GASTOS EJER. 2'!I55)</f>
        <v/>
      </c>
      <c r="M41" s="240">
        <f>IF(L41&lt;=EXPEDIENTE!$I$29,K41,0)</f>
        <v>0</v>
      </c>
      <c r="N41" s="242">
        <f>IF($U$42=0,0,IF(AND($U$44&gt;$U$42,$U$40=1100%),MIN(AUXILIAR!$P$17,ROUND($U$42/$U$44*(F41+I41+J41+M41)*(1+('IDENTIFICACIÓN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4">
        <f t="shared" si="3"/>
        <v>0</v>
      </c>
      <c r="P41" s="215"/>
      <c r="S41" s="212">
        <f>ROUND(C41*(F41+I41+J41+M41)*(1+('IDENTIFICACIÓN TRABAJADOR'!$H$45+'IDENTIFICACIÓN TRABAJADOR'!$L$45)/(360-'IDENTIFICACIÓN TRABAJADOR'!$H$45-'IDENTIFICACIÓN TRABAJADOR'!$L$45)),2)</f>
        <v>0</v>
      </c>
      <c r="T41" s="245"/>
      <c r="U41" s="211" t="s">
        <v>223</v>
      </c>
      <c r="W41" s="236" t="s">
        <v>51</v>
      </c>
      <c r="X41" s="237">
        <f>IFERROR(IF(OR(DATE($B$33,MONTH(DATEVALUE(W41&amp;"1")),1)&lt;DATE(YEAR(EXPEDIENTE!$I$25),MONTH(EXPEDIENTE!$I$25),1),DATE($B$33,MONTH(DATEVALUE(W41&amp;"1")),1)&gt;DATE(YEAR(EXPEDIENTE!$I$27),MONTH(EXPEDIENTE!$I$27)+1,1)-1),0,ROUND('% DEDICACIÓN'!M45,4)),0)</f>
        <v>0</v>
      </c>
      <c r="Y41" s="241">
        <f>'GASTOS EJER. 2'!AW26+'GASTOS EJER. 2'!BM26-'GASTOS EJER. 2'!CM26-'GASTOS EJER. 2'!CP26</f>
        <v>0</v>
      </c>
      <c r="Z41" s="239" t="str">
        <f>IF('GASTOS EJER. 2'!CT26="","",'GASTOS EJER. 2'!CT26)</f>
        <v/>
      </c>
      <c r="AA41" s="240">
        <f>IF(Z41&lt;=EXPEDIENTE!$I$29,Y41,0)</f>
        <v>0</v>
      </c>
      <c r="AB41" s="241">
        <f>'GASTOS EJER. 2'!CP26</f>
        <v>0</v>
      </c>
      <c r="AC41" s="239" t="str">
        <f>IF('GASTOS EJER. 2'!CW26="","",'GASTOS EJER. 2'!CW26)</f>
        <v/>
      </c>
      <c r="AD41" s="240">
        <f>IF(AC41&lt;=EXPEDIENTE!$I$29,AB41,0)</f>
        <v>0</v>
      </c>
      <c r="AE41" s="242">
        <f>AUXILIAR!DL45</f>
        <v>0</v>
      </c>
      <c r="AF41" s="241">
        <f>AUXILIAR!HU45</f>
        <v>0</v>
      </c>
      <c r="AG41" s="239" t="str">
        <f>IF('GASTOS EJER. 2'!BF55="","",'GASTOS EJER. 2'!BF55)</f>
        <v/>
      </c>
      <c r="AH41" s="240">
        <f>IF(AG41&lt;=EXPEDIENTE!$I$29,AF41,0)</f>
        <v>0</v>
      </c>
      <c r="AI41" s="242">
        <f>IF($AQ$42=0,0,IF(AND($AQ$44&gt;$AQ$42,$AQ$40=1100%),MIN(AUXILIAR!$P$17,ROUND($AQ$42/$AQ$44*(AA41+AD41+AE41+AH41)*(1+('IDENTIFICACIÓN TRABAJADOR'!$H$45+'IDENTIFICACIÓN TRABAJADOR'!$L$45)/(360-'IDENTIFICACIÓN TRABAJADOR'!$H$45-'IDENTIFICACIÓN TRABAJADOR'!$L$45)),2)),MIN(AUXILIAR!$P$17,ROUND((AA41+AD41+AE41+AH41)*(1+('IDENTIFICACIÓN TRABAJADOR'!$H$45+'IDENTIFICACIÓN TRABAJADOR'!$L$45)/(360-'IDENTIFICACIÓN TRABAJADOR'!$H$45-'IDENTIFICACIÓN TRABAJADOR'!$L$45)),2))))</f>
        <v>0</v>
      </c>
      <c r="AJ41" s="243">
        <f t="shared" si="4"/>
        <v>0</v>
      </c>
      <c r="AK41" s="244">
        <f t="shared" si="5"/>
        <v>0</v>
      </c>
      <c r="AL41" s="215"/>
      <c r="AO41" s="212">
        <f>ROUND(X41*(AA41+AD41+AE41+AH41)*(1+('IDENTIFICACIÓN TRABAJADOR'!$H$45+'IDENTIFICACIÓN TRABAJADOR'!$L$45)/(360-'IDENTIFICACIÓN TRABAJADOR'!$H$45-'IDENTIFICACIÓN TRABAJADOR'!$L$45)),2)</f>
        <v>0</v>
      </c>
      <c r="AP41" s="245"/>
      <c r="AQ41" s="211" t="s">
        <v>223</v>
      </c>
    </row>
    <row r="42" spans="2:43" ht="15" customHeight="1" x14ac:dyDescent="0.25">
      <c r="B42" s="236" t="s">
        <v>52</v>
      </c>
      <c r="C42" s="237">
        <f>IFERROR(IF(OR(DATE($B$33,MONTH(DATEVALUE(B42&amp;"1")),1)&lt;DATE(YEAR(EXPEDIENTE!$I$25),MONTH(EXPEDIENTE!$I$25),1),DATE($B$33,MONTH(DATEVALUE(B42&amp;"1")),1)&gt;DATE(YEAR(EXPEDIENTE!$I$27),MONTH(EXPEDIENTE!$I$27)+1,1)-1),0,ROUND('% DEDICACIÓN'!N45,4)),0)</f>
        <v>0</v>
      </c>
      <c r="D42" s="241">
        <f>'GASTOS EJER. 2'!F27+'GASTOS EJER. 2'!L27-'GASTOS EJER. 2'!X27-'GASTOS EJER. 2'!Y27</f>
        <v>0</v>
      </c>
      <c r="E42" s="239" t="str">
        <f>IF('GASTOS EJER. 2'!AA27="","",'GASTOS EJER. 2'!AA27)</f>
        <v/>
      </c>
      <c r="F42" s="240">
        <f>IF(E42&lt;=EXPEDIENTE!$I$29,D42,0)</f>
        <v>0</v>
      </c>
      <c r="G42" s="241">
        <f>'GASTOS EJER. 2'!Y27</f>
        <v>0</v>
      </c>
      <c r="H42" s="239" t="str">
        <f>IF('GASTOS EJER. 2'!AB27="","",'GASTOS EJER. 2'!AB27)</f>
        <v/>
      </c>
      <c r="I42" s="240">
        <f>IF(H42&lt;=EXPEDIENTE!$I$29,G42,0)</f>
        <v>0</v>
      </c>
      <c r="J42" s="242">
        <f>AUXILIAR!BU46</f>
        <v>0</v>
      </c>
      <c r="K42" s="241">
        <f>AUXILIAR!FP46</f>
        <v>0</v>
      </c>
      <c r="L42" s="239" t="str">
        <f>IF('GASTOS EJER. 2'!I56="","",'GASTOS EJER. 2'!I56)</f>
        <v/>
      </c>
      <c r="M42" s="240">
        <f>IF(L42&lt;=EXPEDIENTE!$I$29,K42,0)</f>
        <v>0</v>
      </c>
      <c r="N42" s="242">
        <f>IF($U$42=0,0,IF(AND($U$44&gt;$U$42,$U$40=1100%),MIN(AUXILIAR!$P$17,ROUND($U$42/$U$44*(F42+I42+J42+M42)*(1+('IDENTIFICACIÓN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4">
        <f t="shared" si="3"/>
        <v>0</v>
      </c>
      <c r="P42" s="215"/>
      <c r="S42" s="212">
        <f>ROUND(C42*(F42+I42+J42+M42)*(1+('IDENTIFICACIÓN TRABAJADOR'!$H$45+'IDENTIFICACIÓN TRABAJADOR'!$L$45)/(360-'IDENTIFICACIÓN TRABAJADOR'!$H$45-'IDENTIFICACIÓN TRABAJADOR'!$L$45)),2)</f>
        <v>0</v>
      </c>
      <c r="T42" s="245"/>
      <c r="U42" s="247">
        <f>SUM(F35:F46)+SUM(I35:I46)+SUM(J35:J46)+SUM(M35:M46)</f>
        <v>0</v>
      </c>
      <c r="W42" s="236" t="s">
        <v>52</v>
      </c>
      <c r="X42" s="237">
        <f>IFERROR(IF(OR(DATE($B$33,MONTH(DATEVALUE(W42&amp;"1")),1)&lt;DATE(YEAR(EXPEDIENTE!$I$25),MONTH(EXPEDIENTE!$I$25),1),DATE($B$33,MONTH(DATEVALUE(W42&amp;"1")),1)&gt;DATE(YEAR(EXPEDIENTE!$I$27),MONTH(EXPEDIENTE!$I$27)+1,1)-1),0,ROUND('% DEDICACIÓN'!N45,4)),0)</f>
        <v>0</v>
      </c>
      <c r="Y42" s="241">
        <f>'GASTOS EJER. 2'!AW27+'GASTOS EJER. 2'!BM27-'GASTOS EJER. 2'!CM27-'GASTOS EJER. 2'!CP27</f>
        <v>0</v>
      </c>
      <c r="Z42" s="239" t="str">
        <f>IF('GASTOS EJER. 2'!CT27="","",'GASTOS EJER. 2'!CT27)</f>
        <v/>
      </c>
      <c r="AA42" s="240">
        <f>IF(Z42&lt;=EXPEDIENTE!$I$29,Y42,0)</f>
        <v>0</v>
      </c>
      <c r="AB42" s="241">
        <f>'GASTOS EJER. 2'!CP27</f>
        <v>0</v>
      </c>
      <c r="AC42" s="239" t="str">
        <f>IF('GASTOS EJER. 2'!CW27="","",'GASTOS EJER. 2'!CW27)</f>
        <v/>
      </c>
      <c r="AD42" s="240">
        <f>IF(AC42&lt;=EXPEDIENTE!$I$29,AB42,0)</f>
        <v>0</v>
      </c>
      <c r="AE42" s="242">
        <f>AUXILIAR!DL46</f>
        <v>0</v>
      </c>
      <c r="AF42" s="241">
        <f>AUXILIAR!HU46</f>
        <v>0</v>
      </c>
      <c r="AG42" s="239" t="str">
        <f>IF('GASTOS EJER. 2'!BF56="","",'GASTOS EJER. 2'!BF56)</f>
        <v/>
      </c>
      <c r="AH42" s="240">
        <f>IF(AG42&lt;=EXPEDIENTE!$I$29,AF42,0)</f>
        <v>0</v>
      </c>
      <c r="AI42" s="242">
        <f>IF($AQ$42=0,0,IF(AND($AQ$44&gt;$AQ$42,$AQ$40=1100%),MIN(AUXILIAR!$P$17,ROUND($AQ$42/$AQ$44*(AA42+AD42+AE42+AH42)*(1+('IDENTIFICACIÓN TRABAJADOR'!$H$45+'IDENTIFICACIÓN TRABAJADOR'!$L$45)/(360-'IDENTIFICACIÓN TRABAJADOR'!$H$45-'IDENTIFICACIÓN TRABAJADOR'!$L$45)),2)),MIN(AUXILIAR!$P$17,ROUND((AA42+AD42+AE42+AH42)*(1+('IDENTIFICACIÓN TRABAJADOR'!$H$45+'IDENTIFICACIÓN TRABAJADOR'!$L$45)/(360-'IDENTIFICACIÓN TRABAJADOR'!$H$45-'IDENTIFICACIÓN TRABAJADOR'!$L$45)),2))))</f>
        <v>0</v>
      </c>
      <c r="AJ42" s="243">
        <f t="shared" si="4"/>
        <v>0</v>
      </c>
      <c r="AK42" s="244">
        <f t="shared" si="5"/>
        <v>0</v>
      </c>
      <c r="AL42" s="215"/>
      <c r="AO42" s="212">
        <f>ROUND(X42*(AA42+AD42+AE42+AH42)*(1+('IDENTIFICACIÓN TRABAJADOR'!$H$45+'IDENTIFICACIÓN TRABAJADOR'!$L$45)/(360-'IDENTIFICACIÓN TRABAJADOR'!$H$45-'IDENTIFICACIÓN TRABAJADOR'!$L$45)),2)</f>
        <v>0</v>
      </c>
      <c r="AP42" s="245"/>
      <c r="AQ42" s="247">
        <f>SUM(AA35:AA46)+SUM(AD35:AD46)+SUM(AE35:AE46)+SUM(AH35:AH46)</f>
        <v>0</v>
      </c>
    </row>
    <row r="43" spans="2:43" ht="15" customHeight="1" x14ac:dyDescent="0.25">
      <c r="B43" s="236" t="s">
        <v>53</v>
      </c>
      <c r="C43" s="237">
        <f>IFERROR(IF(OR(DATE($B$33,MONTH(DATEVALUE(B43&amp;"1")),1)&lt;DATE(YEAR(EXPEDIENTE!$I$25),MONTH(EXPEDIENTE!$I$25),1),DATE($B$33,MONTH(DATEVALUE(B43&amp;"1")),1)&gt;DATE(YEAR(EXPEDIENTE!$I$27),MONTH(EXPEDIENTE!$I$27)+1,1)-1),0,ROUND('% DEDICACIÓN'!O45,4)),0)</f>
        <v>0</v>
      </c>
      <c r="D43" s="241">
        <f>'GASTOS EJER. 2'!F28+'GASTOS EJER. 2'!L28-'GASTOS EJER. 2'!X28-'GASTOS EJER. 2'!Y28</f>
        <v>0</v>
      </c>
      <c r="E43" s="239" t="str">
        <f>IF('GASTOS EJER. 2'!AA28="","",'GASTOS EJER. 2'!AA28)</f>
        <v/>
      </c>
      <c r="F43" s="240">
        <f>IF(E43&lt;=EXPEDIENTE!$I$29,D43,0)</f>
        <v>0</v>
      </c>
      <c r="G43" s="241">
        <f>'GASTOS EJER. 2'!Y28</f>
        <v>0</v>
      </c>
      <c r="H43" s="239" t="str">
        <f>IF('GASTOS EJER. 2'!AB28="","",'GASTOS EJER. 2'!AB28)</f>
        <v/>
      </c>
      <c r="I43" s="240">
        <f>IF(H43&lt;=EXPEDIENTE!$I$29,G43,0)</f>
        <v>0</v>
      </c>
      <c r="J43" s="242">
        <f>AUXILIAR!BU47</f>
        <v>0</v>
      </c>
      <c r="K43" s="241">
        <f>AUXILIAR!FP47</f>
        <v>0</v>
      </c>
      <c r="L43" s="239" t="str">
        <f>IF('GASTOS EJER. 2'!I57="","",'GASTOS EJER. 2'!I57)</f>
        <v/>
      </c>
      <c r="M43" s="240">
        <f>IF(L43&lt;=EXPEDIENTE!$I$29,K43,0)</f>
        <v>0</v>
      </c>
      <c r="N43" s="242">
        <f>IF($U$42=0,0,IF(AND($U$44&gt;$U$42,$U$40=1100%),MIN(AUXILIAR!$P$17,ROUND($U$42/$U$44*(F43+I43+J43+M43)*(1+('IDENTIFICACIÓN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4">
        <f t="shared" si="3"/>
        <v>0</v>
      </c>
      <c r="P43" s="215"/>
      <c r="S43" s="212">
        <f>ROUND(C43*(F43+I43+J43+M43)*(1+('IDENTIFICACIÓN TRABAJADOR'!$H$45+'IDENTIFICACIÓN TRABAJADOR'!$L$45)/(360-'IDENTIFICACIÓN TRABAJADOR'!$H$45-'IDENTIFICACIÓN TRABAJADOR'!$L$45)),2)</f>
        <v>0</v>
      </c>
      <c r="T43" s="245"/>
      <c r="U43" s="211" t="s">
        <v>224</v>
      </c>
      <c r="W43" s="236" t="s">
        <v>53</v>
      </c>
      <c r="X43" s="237">
        <f>IFERROR(IF(OR(DATE($B$33,MONTH(DATEVALUE(W43&amp;"1")),1)&lt;DATE(YEAR(EXPEDIENTE!$I$25),MONTH(EXPEDIENTE!$I$25),1),DATE($B$33,MONTH(DATEVALUE(W43&amp;"1")),1)&gt;DATE(YEAR(EXPEDIENTE!$I$27),MONTH(EXPEDIENTE!$I$27)+1,1)-1),0,ROUND('% DEDICACIÓN'!O45,4)),0)</f>
        <v>0</v>
      </c>
      <c r="Y43" s="241">
        <f>'GASTOS EJER. 2'!AW28+'GASTOS EJER. 2'!BM28-'GASTOS EJER. 2'!CM28-'GASTOS EJER. 2'!CP28</f>
        <v>0</v>
      </c>
      <c r="Z43" s="239" t="str">
        <f>IF('GASTOS EJER. 2'!CT28="","",'GASTOS EJER. 2'!CT28)</f>
        <v/>
      </c>
      <c r="AA43" s="240">
        <f>IF(Z43&lt;=EXPEDIENTE!$I$29,Y43,0)</f>
        <v>0</v>
      </c>
      <c r="AB43" s="241">
        <f>'GASTOS EJER. 2'!CP28</f>
        <v>0</v>
      </c>
      <c r="AC43" s="239" t="str">
        <f>IF('GASTOS EJER. 2'!CW28="","",'GASTOS EJER. 2'!CW28)</f>
        <v/>
      </c>
      <c r="AD43" s="240">
        <f>IF(AC43&lt;=EXPEDIENTE!$I$29,AB43,0)</f>
        <v>0</v>
      </c>
      <c r="AE43" s="242">
        <f>AUXILIAR!DL47</f>
        <v>0</v>
      </c>
      <c r="AF43" s="241">
        <f>AUXILIAR!HU47</f>
        <v>0</v>
      </c>
      <c r="AG43" s="239" t="str">
        <f>IF('GASTOS EJER. 2'!BF57="","",'GASTOS EJER. 2'!BF57)</f>
        <v/>
      </c>
      <c r="AH43" s="240">
        <f>IF(AG43&lt;=EXPEDIENTE!$I$29,AF43,0)</f>
        <v>0</v>
      </c>
      <c r="AI43" s="242">
        <f>IF($AQ$42=0,0,IF(AND($AQ$44&gt;$AQ$42,$AQ$40=1100%),MIN(AUXILIAR!$P$17,ROUND($AQ$42/$AQ$44*(AA43+AD43+AE43+AH43)*(1+('IDENTIFICACIÓN TRABAJADOR'!$H$45+'IDENTIFICACIÓN TRABAJADOR'!$L$45)/(360-'IDENTIFICACIÓN TRABAJADOR'!$H$45-'IDENTIFICACIÓN TRABAJADOR'!$L$45)),2)),MIN(AUXILIAR!$P$17,ROUND((AA43+AD43+AE43+AH43)*(1+('IDENTIFICACIÓN TRABAJADOR'!$H$45+'IDENTIFICACIÓN TRABAJADOR'!$L$45)/(360-'IDENTIFICACIÓN TRABAJADOR'!$H$45-'IDENTIFICACIÓN TRABAJADOR'!$L$45)),2))))</f>
        <v>0</v>
      </c>
      <c r="AJ43" s="243">
        <f t="shared" si="4"/>
        <v>0</v>
      </c>
      <c r="AK43" s="244">
        <f t="shared" si="5"/>
        <v>0</v>
      </c>
      <c r="AL43" s="215"/>
      <c r="AO43" s="212">
        <f>ROUND(X43*(AA43+AD43+AE43+AH43)*(1+('IDENTIFICACIÓN TRABAJADOR'!$H$45+'IDENTIFICACIÓN TRABAJADOR'!$L$45)/(360-'IDENTIFICACIÓN TRABAJADOR'!$H$45-'IDENTIFICACIÓN TRABAJADOR'!$L$45)),2)</f>
        <v>0</v>
      </c>
      <c r="AP43" s="245"/>
      <c r="AQ43" s="211" t="s">
        <v>224</v>
      </c>
    </row>
    <row r="44" spans="2:43" ht="15" customHeight="1" x14ac:dyDescent="0.25">
      <c r="B44" s="236" t="s">
        <v>54</v>
      </c>
      <c r="C44" s="237">
        <f>IFERROR(IF(OR(DATE($B$33,MONTH(DATEVALUE(B44&amp;"1")),1)&lt;DATE(YEAR(EXPEDIENTE!$I$25),MONTH(EXPEDIENTE!$I$25),1),DATE($B$33,MONTH(DATEVALUE(B44&amp;"1")),1)&gt;DATE(YEAR(EXPEDIENTE!$I$27),MONTH(EXPEDIENTE!$I$27)+1,1)-1),0,ROUND('% DEDICACIÓN'!P45,4)),0)</f>
        <v>0</v>
      </c>
      <c r="D44" s="241">
        <f>'GASTOS EJER. 2'!F29+'GASTOS EJER. 2'!L29-'GASTOS EJER. 2'!X29-'GASTOS EJER. 2'!Y29</f>
        <v>0</v>
      </c>
      <c r="E44" s="239" t="str">
        <f>IF('GASTOS EJER. 2'!AA29="","",'GASTOS EJER. 2'!AA29)</f>
        <v/>
      </c>
      <c r="F44" s="240">
        <f>IF(E44&lt;=EXPEDIENTE!$I$29,D44,0)</f>
        <v>0</v>
      </c>
      <c r="G44" s="241">
        <f>'GASTOS EJER. 2'!Y29</f>
        <v>0</v>
      </c>
      <c r="H44" s="239" t="str">
        <f>IF('GASTOS EJER. 2'!AB29="","",'GASTOS EJER. 2'!AB29)</f>
        <v/>
      </c>
      <c r="I44" s="240">
        <f>IF(H44&lt;=EXPEDIENTE!$I$29,G44,0)</f>
        <v>0</v>
      </c>
      <c r="J44" s="242">
        <f>AUXILIAR!BU48</f>
        <v>0</v>
      </c>
      <c r="K44" s="241">
        <f>AUXILIAR!FP48</f>
        <v>0</v>
      </c>
      <c r="L44" s="239" t="str">
        <f>IF('GASTOS EJER. 2'!I58="","",'GASTOS EJER. 2'!I58)</f>
        <v/>
      </c>
      <c r="M44" s="240">
        <f>IF(L44&lt;=EXPEDIENTE!$I$29,K44,0)</f>
        <v>0</v>
      </c>
      <c r="N44" s="242">
        <f>IF($U$42=0,0,IF(AND($U$44&gt;$U$42,$U$40=1100%),MIN(AUXILIAR!$P$17,ROUND($U$42/$U$44*(F44+I44+J44+M44)*(1+('IDENTIFICACIÓN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4">
        <f t="shared" si="3"/>
        <v>0</v>
      </c>
      <c r="P44" s="215"/>
      <c r="S44" s="212">
        <f>ROUND(C44*(F44+I44+J44+M44)*(1+('IDENTIFICACIÓN TRABAJADOR'!$H$45+'IDENTIFICACIÓN TRABAJADOR'!$L$45)/(360-'IDENTIFICACIÓN TRABAJADOR'!$H$45-'IDENTIFICACIÓN TRABAJADOR'!$L$45)),2)</f>
        <v>0</v>
      </c>
      <c r="T44" s="245"/>
      <c r="U44" s="247">
        <f>SUM(S35:S46)</f>
        <v>0</v>
      </c>
      <c r="W44" s="236" t="s">
        <v>54</v>
      </c>
      <c r="X44" s="237">
        <f>IFERROR(IF(OR(DATE($B$33,MONTH(DATEVALUE(W44&amp;"1")),1)&lt;DATE(YEAR(EXPEDIENTE!$I$25),MONTH(EXPEDIENTE!$I$25),1),DATE($B$33,MONTH(DATEVALUE(W44&amp;"1")),1)&gt;DATE(YEAR(EXPEDIENTE!$I$27),MONTH(EXPEDIENTE!$I$27)+1,1)-1),0,ROUND('% DEDICACIÓN'!P45,4)),0)</f>
        <v>0</v>
      </c>
      <c r="Y44" s="241">
        <f>'GASTOS EJER. 2'!AW29+'GASTOS EJER. 2'!BM29-'GASTOS EJER. 2'!CM29-'GASTOS EJER. 2'!CP29</f>
        <v>0</v>
      </c>
      <c r="Z44" s="239" t="str">
        <f>IF('GASTOS EJER. 2'!CT29="","",'GASTOS EJER. 2'!CT29)</f>
        <v/>
      </c>
      <c r="AA44" s="240">
        <f>IF(Z44&lt;=EXPEDIENTE!$I$29,Y44,0)</f>
        <v>0</v>
      </c>
      <c r="AB44" s="241">
        <f>'GASTOS EJER. 2'!CP29</f>
        <v>0</v>
      </c>
      <c r="AC44" s="239" t="str">
        <f>IF('GASTOS EJER. 2'!CW29="","",'GASTOS EJER. 2'!CW29)</f>
        <v/>
      </c>
      <c r="AD44" s="240">
        <f>IF(AC44&lt;=EXPEDIENTE!$I$29,AB44,0)</f>
        <v>0</v>
      </c>
      <c r="AE44" s="242">
        <f>AUXILIAR!DL48</f>
        <v>0</v>
      </c>
      <c r="AF44" s="241">
        <f>AUXILIAR!HU48</f>
        <v>0</v>
      </c>
      <c r="AG44" s="239" t="str">
        <f>IF('GASTOS EJER. 2'!BF58="","",'GASTOS EJER. 2'!BF58)</f>
        <v/>
      </c>
      <c r="AH44" s="240">
        <f>IF(AG44&lt;=EXPEDIENTE!$I$29,AF44,0)</f>
        <v>0</v>
      </c>
      <c r="AI44" s="242">
        <f>IF($AQ$42=0,0,IF(AND($AQ$44&gt;$AQ$42,$AQ$40=1100%),MIN(AUXILIAR!$P$17,ROUND($AQ$42/$AQ$44*(AA44+AD44+AE44+AH44)*(1+('IDENTIFICACIÓN TRABAJADOR'!$H$45+'IDENTIFICACIÓN TRABAJADOR'!$L$45)/(360-'IDENTIFICACIÓN TRABAJADOR'!$H$45-'IDENTIFICACIÓN TRABAJADOR'!$L$45)),2)),MIN(AUXILIAR!$P$17,ROUND((AA44+AD44+AE44+AH44)*(1+('IDENTIFICACIÓN TRABAJADOR'!$H$45+'IDENTIFICACIÓN TRABAJADOR'!$L$45)/(360-'IDENTIFICACIÓN TRABAJADOR'!$H$45-'IDENTIFICACIÓN TRABAJADOR'!$L$45)),2))))</f>
        <v>0</v>
      </c>
      <c r="AJ44" s="243">
        <f t="shared" si="4"/>
        <v>0</v>
      </c>
      <c r="AK44" s="244">
        <f t="shared" si="5"/>
        <v>0</v>
      </c>
      <c r="AL44" s="215"/>
      <c r="AO44" s="212">
        <f>ROUND(X44*(AA44+AD44+AE44+AH44)*(1+('IDENTIFICACIÓN TRABAJADOR'!$H$45+'IDENTIFICACIÓN TRABAJADOR'!$L$45)/(360-'IDENTIFICACIÓN TRABAJADOR'!$H$45-'IDENTIFICACIÓN TRABAJADOR'!$L$45)),2)</f>
        <v>0</v>
      </c>
      <c r="AP44" s="245"/>
      <c r="AQ44" s="247">
        <f>SUM(AO35:AO46)</f>
        <v>0</v>
      </c>
    </row>
    <row r="45" spans="2:43" ht="15" customHeight="1" x14ac:dyDescent="0.25">
      <c r="B45" s="236" t="s">
        <v>55</v>
      </c>
      <c r="C45" s="237">
        <f>IFERROR(IF(OR(DATE($B$33,MONTH(DATEVALUE(B45&amp;"1")),1)&lt;DATE(YEAR(EXPEDIENTE!$I$25),MONTH(EXPEDIENTE!$I$25),1),DATE($B$33,MONTH(DATEVALUE(B45&amp;"1")),1)&gt;DATE(YEAR(EXPEDIENTE!$I$27),MONTH(EXPEDIENTE!$I$27)+1,1)-1),0,ROUND('% DEDICACIÓN'!Q45,4)),0)</f>
        <v>0</v>
      </c>
      <c r="D45" s="241">
        <f>'GASTOS EJER. 2'!F30+'GASTOS EJER. 2'!L30-'GASTOS EJER. 2'!X30-'GASTOS EJER. 2'!Y30</f>
        <v>0</v>
      </c>
      <c r="E45" s="239" t="str">
        <f>IF('GASTOS EJER. 2'!AA30="","",'GASTOS EJER. 2'!AA30)</f>
        <v/>
      </c>
      <c r="F45" s="240">
        <f>IF(E45&lt;=EXPEDIENTE!$I$29,D45,0)</f>
        <v>0</v>
      </c>
      <c r="G45" s="241">
        <f>'GASTOS EJER. 2'!Y30</f>
        <v>0</v>
      </c>
      <c r="H45" s="239" t="str">
        <f>IF('GASTOS EJER. 2'!AB30="","",'GASTOS EJER. 2'!AB30)</f>
        <v/>
      </c>
      <c r="I45" s="240">
        <f>IF(H45&lt;=EXPEDIENTE!$I$29,G45,0)</f>
        <v>0</v>
      </c>
      <c r="J45" s="242">
        <f>AUXILIAR!BU49</f>
        <v>0</v>
      </c>
      <c r="K45" s="241">
        <f>AUXILIAR!FP49</f>
        <v>0</v>
      </c>
      <c r="L45" s="239" t="str">
        <f>IF('GASTOS EJER. 2'!I59="","",'GASTOS EJER. 2'!I59)</f>
        <v/>
      </c>
      <c r="M45" s="240">
        <f>IF(L45&lt;=EXPEDIENTE!$I$29,K45,0)</f>
        <v>0</v>
      </c>
      <c r="N45" s="242">
        <f>IF($U$42=0,0,IF(AND($U$44&gt;$U$42,$U$40=1100%),MIN(AUXILIAR!$P$17,ROUND($U$42/$U$44*(F45+I45+J45+M45)*(1+('IDENTIFICACIÓN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4">
        <f t="shared" si="3"/>
        <v>0</v>
      </c>
      <c r="P45" s="215"/>
      <c r="S45" s="212">
        <f>ROUND(C45*(F45+I45+J45+M45)*(1+('IDENTIFICACIÓN TRABAJADOR'!$H$45+'IDENTIFICACIÓN TRABAJADOR'!$L$45)/(360-'IDENTIFICACIÓN TRABAJADOR'!$H$45-'IDENTIFICACIÓN TRABAJADOR'!$L$45)),2)</f>
        <v>0</v>
      </c>
      <c r="T45" s="245"/>
      <c r="U45" s="211" t="s">
        <v>225</v>
      </c>
      <c r="W45" s="236" t="s">
        <v>55</v>
      </c>
      <c r="X45" s="237">
        <f>IFERROR(IF(OR(DATE($B$33,MONTH(DATEVALUE(W45&amp;"1")),1)&lt;DATE(YEAR(EXPEDIENTE!$I$25),MONTH(EXPEDIENTE!$I$25),1),DATE($B$33,MONTH(DATEVALUE(W45&amp;"1")),1)&gt;DATE(YEAR(EXPEDIENTE!$I$27),MONTH(EXPEDIENTE!$I$27)+1,1)-1),0,ROUND('% DEDICACIÓN'!Q45,4)),0)</f>
        <v>0</v>
      </c>
      <c r="Y45" s="241">
        <f>'GASTOS EJER. 2'!AW30+'GASTOS EJER. 2'!BM30-'GASTOS EJER. 2'!CM30-'GASTOS EJER. 2'!CP30</f>
        <v>0</v>
      </c>
      <c r="Z45" s="239" t="str">
        <f>IF('GASTOS EJER. 2'!CT30="","",'GASTOS EJER. 2'!CT30)</f>
        <v/>
      </c>
      <c r="AA45" s="240">
        <f>IF(Z45&lt;=EXPEDIENTE!$I$29,Y45,0)</f>
        <v>0</v>
      </c>
      <c r="AB45" s="241">
        <f>'GASTOS EJER. 2'!CP30</f>
        <v>0</v>
      </c>
      <c r="AC45" s="239" t="str">
        <f>IF('GASTOS EJER. 2'!CW30="","",'GASTOS EJER. 2'!CW30)</f>
        <v/>
      </c>
      <c r="AD45" s="240">
        <f>IF(AC45&lt;=EXPEDIENTE!$I$29,AB45,0)</f>
        <v>0</v>
      </c>
      <c r="AE45" s="242">
        <f>AUXILIAR!DL49</f>
        <v>0</v>
      </c>
      <c r="AF45" s="241">
        <f>AUXILIAR!HU49</f>
        <v>0</v>
      </c>
      <c r="AG45" s="239" t="str">
        <f>IF('GASTOS EJER. 2'!BF59="","",'GASTOS EJER. 2'!BF59)</f>
        <v/>
      </c>
      <c r="AH45" s="240">
        <f>IF(AG45&lt;=EXPEDIENTE!$I$29,AF45,0)</f>
        <v>0</v>
      </c>
      <c r="AI45" s="242">
        <f>IF($AQ$42=0,0,IF(AND($AQ$44&gt;$AQ$42,$AQ$40=1100%),MIN(AUXILIAR!$P$17,ROUND($AQ$42/$AQ$44*(AA45+AD45+AE45+AH45)*(1+('IDENTIFICACIÓN TRABAJADOR'!$H$45+'IDENTIFICACIÓN TRABAJADOR'!$L$45)/(360-'IDENTIFICACIÓN TRABAJADOR'!$H$45-'IDENTIFICACIÓN TRABAJADOR'!$L$45)),2)),MIN(AUXILIAR!$P$17,ROUND((AA45+AD45+AE45+AH45)*(1+('IDENTIFICACIÓN TRABAJADOR'!$H$45+'IDENTIFICACIÓN TRABAJADOR'!$L$45)/(360-'IDENTIFICACIÓN TRABAJADOR'!$H$45-'IDENTIFICACIÓN TRABAJADOR'!$L$45)),2))))</f>
        <v>0</v>
      </c>
      <c r="AJ45" s="243">
        <f t="shared" si="4"/>
        <v>0</v>
      </c>
      <c r="AK45" s="244">
        <f t="shared" si="5"/>
        <v>0</v>
      </c>
      <c r="AL45" s="215"/>
      <c r="AO45" s="212">
        <f>ROUND(X45*(AA45+AD45+AE45+AH45)*(1+('IDENTIFICACIÓN TRABAJADOR'!$H$45+'IDENTIFICACIÓN TRABAJADOR'!$L$45)/(360-'IDENTIFICACIÓN TRABAJADOR'!$H$45-'IDENTIFICACIÓN TRABAJADOR'!$L$45)),2)</f>
        <v>0</v>
      </c>
      <c r="AP45" s="245"/>
      <c r="AQ45" s="211" t="s">
        <v>225</v>
      </c>
    </row>
    <row r="46" spans="2:43" ht="15" customHeight="1" thickBot="1" x14ac:dyDescent="0.3">
      <c r="B46" s="248" t="s">
        <v>56</v>
      </c>
      <c r="C46" s="249">
        <f>IFERROR(IF(OR(DATE($B$33,MONTH(DATEVALUE(B46&amp;"1")),1)&lt;DATE(YEAR(EXPEDIENTE!$I$25),MONTH(EXPEDIENTE!$I$25),1),DATE($B$33,MONTH(DATEVALUE(B46&amp;"1")),1)&gt;DATE(YEAR(EXPEDIENTE!$I$27),MONTH(EXPEDIENTE!$I$27)+1,1)-1),0,ROUND('% DEDICACIÓN'!R45,4)),0)</f>
        <v>0</v>
      </c>
      <c r="D46" s="253">
        <f>'GASTOS EJER. 2'!F31+'GASTOS EJER. 2'!L31-'GASTOS EJER. 2'!X31-'GASTOS EJER. 2'!Y31</f>
        <v>0</v>
      </c>
      <c r="E46" s="251" t="str">
        <f>IF('GASTOS EJER. 2'!AA31="","",'GASTOS EJER. 2'!AA31)</f>
        <v/>
      </c>
      <c r="F46" s="252">
        <f>IF(E46&lt;=EXPEDIENTE!$I$29,D46,0)</f>
        <v>0</v>
      </c>
      <c r="G46" s="253">
        <f>'GASTOS EJER. 2'!Y31</f>
        <v>0</v>
      </c>
      <c r="H46" s="251" t="str">
        <f>IF('GASTOS EJER. 2'!AB31="","",'GASTOS EJER. 2'!AB31)</f>
        <v/>
      </c>
      <c r="I46" s="252">
        <f>IF(H46&lt;=EXPEDIENTE!$I$29,G46,0)</f>
        <v>0</v>
      </c>
      <c r="J46" s="254">
        <f>AUXILIAR!BU50</f>
        <v>0</v>
      </c>
      <c r="K46" s="253">
        <f>AUXILIAR!FP50</f>
        <v>0</v>
      </c>
      <c r="L46" s="251" t="str">
        <f>IF('GASTOS EJER. 2'!I60="","",'GASTOS EJER. 2'!I60)</f>
        <v/>
      </c>
      <c r="M46" s="252">
        <f>IF(L46&lt;=EXPEDIENTE!$I$29,K46,0)</f>
        <v>0</v>
      </c>
      <c r="N46" s="254">
        <f>IF($U$42=0,0,IF(AND($U$44&gt;$U$42,$U$40=1100%),MIN(AUXILIAR!$P$17,ROUND($U$42/$U$44*(F46+I46+J46+M46)*(1+('IDENTIFICACIÓN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6">
        <f t="shared" si="3"/>
        <v>0</v>
      </c>
      <c r="P46" s="215"/>
      <c r="S46" s="212">
        <f>ROUND(C46*(F46+I46+J46+M46)*(1+('IDENTIFICACIÓN TRABAJADOR'!$H$45+'IDENTIFICACIÓN TRABAJADOR'!$L$45)/(360-'IDENTIFICACIÓN TRABAJADOR'!$H$45-'IDENTIFICACIÓN TRABAJADOR'!$L$45)),2)</f>
        <v>0</v>
      </c>
      <c r="T46" s="245"/>
      <c r="U46" s="211" t="str">
        <f>IF(U44=0,"",U42/U44)</f>
        <v/>
      </c>
      <c r="W46" s="248" t="s">
        <v>56</v>
      </c>
      <c r="X46" s="249">
        <f>IFERROR(IF(OR(DATE($B$33,MONTH(DATEVALUE(W46&amp;"1")),1)&lt;DATE(YEAR(EXPEDIENTE!$I$25),MONTH(EXPEDIENTE!$I$25),1),DATE($B$33,MONTH(DATEVALUE(W46&amp;"1")),1)&gt;DATE(YEAR(EXPEDIENTE!$I$27),MONTH(EXPEDIENTE!$I$27)+1,1)-1),0,ROUND('% DEDICACIÓN'!R45,4)),0)</f>
        <v>0</v>
      </c>
      <c r="Y46" s="253">
        <f>'GASTOS EJER. 2'!AW31+'GASTOS EJER. 2'!BM31-'GASTOS EJER. 2'!CM31-'GASTOS EJER. 2'!CP31</f>
        <v>0</v>
      </c>
      <c r="Z46" s="251" t="str">
        <f>IF('GASTOS EJER. 2'!CT31="","",'GASTOS EJER. 2'!CT31)</f>
        <v/>
      </c>
      <c r="AA46" s="252">
        <f>IF(Z46&lt;=EXPEDIENTE!$I$29,Y46,0)</f>
        <v>0</v>
      </c>
      <c r="AB46" s="253">
        <f>'GASTOS EJER. 2'!CP31</f>
        <v>0</v>
      </c>
      <c r="AC46" s="251" t="str">
        <f>IF('GASTOS EJER. 2'!CW31="","",'GASTOS EJER. 2'!CW31)</f>
        <v/>
      </c>
      <c r="AD46" s="252">
        <f>IF(AC46&lt;=EXPEDIENTE!$I$29,AB46,0)</f>
        <v>0</v>
      </c>
      <c r="AE46" s="254">
        <f>AUXILIAR!DL50</f>
        <v>0</v>
      </c>
      <c r="AF46" s="253">
        <f>AUXILIAR!HU50</f>
        <v>0</v>
      </c>
      <c r="AG46" s="251" t="str">
        <f>IF('GASTOS EJER. 2'!BF60="","",'GASTOS EJER. 2'!BF60)</f>
        <v/>
      </c>
      <c r="AH46" s="252">
        <f>IF(AG46&lt;=EXPEDIENTE!$I$29,AF46,0)</f>
        <v>0</v>
      </c>
      <c r="AI46" s="254">
        <f>IF($AQ$42=0,0,IF(AND($AQ$44&gt;$AQ$42,$AQ$40=1100%),MIN(AUXILIAR!$P$17,ROUND($AQ$42/$AQ$44*(AA46+AD46+AE46+AH46)*(1+('IDENTIFICACIÓN TRABAJADOR'!$H$45+'IDENTIFICACIÓN TRABAJADOR'!$L$45)/(360-'IDENTIFICACIÓN TRABAJADOR'!$H$45-'IDENTIFICACIÓN TRABAJADOR'!$L$45)),2)),MIN(AUXILIAR!$P$17,ROUND((AA46+AD46+AE46+AH46)*(1+('IDENTIFICACIÓN TRABAJADOR'!$H$45+'IDENTIFICACIÓN TRABAJADOR'!$L$45)/(360-'IDENTIFICACIÓN TRABAJADOR'!$H$45-'IDENTIFICACIÓN TRABAJADOR'!$L$45)),2))))</f>
        <v>0</v>
      </c>
      <c r="AJ46" s="255">
        <f t="shared" si="4"/>
        <v>0</v>
      </c>
      <c r="AK46" s="256">
        <f t="shared" si="5"/>
        <v>0</v>
      </c>
      <c r="AL46" s="215"/>
      <c r="AO46" s="212">
        <f>ROUND(X46*(AA46+AD46+AE46+AH46)*(1+('IDENTIFICACIÓN TRABAJADOR'!$H$45+'IDENTIFICACIÓN TRABAJADOR'!$L$45)/(360-'IDENTIFICACIÓN TRABAJADOR'!$H$45-'IDENTIFICACIÓN TRABAJADOR'!$L$45)),2)</f>
        <v>0</v>
      </c>
      <c r="AP46" s="245"/>
      <c r="AQ46" s="211" t="str">
        <f>IF(AQ44=0,"",AQ42/AQ44)</f>
        <v/>
      </c>
    </row>
    <row r="47" spans="2:43" ht="14.25" thickBot="1" x14ac:dyDescent="0.3">
      <c r="M47" s="257"/>
      <c r="N47" s="257"/>
      <c r="O47" s="257"/>
      <c r="T47" s="215"/>
      <c r="U47" s="211" t="s">
        <v>170</v>
      </c>
      <c r="AH47" s="257"/>
      <c r="AI47" s="257"/>
      <c r="AJ47" s="257"/>
      <c r="AK47" s="257"/>
      <c r="AP47" s="215"/>
      <c r="AQ47" s="211" t="s">
        <v>170</v>
      </c>
    </row>
    <row r="48" spans="2:43" ht="20.100000000000001" customHeight="1" thickBot="1" x14ac:dyDescent="0.3">
      <c r="G48" s="258"/>
      <c r="M48" s="259"/>
      <c r="N48" s="260" t="str">
        <f>CONCATENATE("TOTAL EJERCICIO ",B33)</f>
        <v>TOTAL EJERCICIO 2025</v>
      </c>
      <c r="O48" s="134">
        <f>SUM(O35:O46)</f>
        <v>0</v>
      </c>
      <c r="Q48" s="127" t="str">
        <f>IF(U48&gt;0,"EXISTE ALGÚN % DE DEDICACIÓN SUPERIOR AL 100% EN ESTE EJERCICIO","")</f>
        <v/>
      </c>
      <c r="T48" s="215"/>
      <c r="U48" s="211">
        <f>'% DEDICACIÓN'!$B$45</f>
        <v>0</v>
      </c>
      <c r="AB48" s="258"/>
      <c r="AH48" s="259"/>
      <c r="AI48" s="260" t="str">
        <f>CONCATENATE("TOTAL EJERCICIO ",W33)</f>
        <v>TOTAL EJERCICIO 2025</v>
      </c>
      <c r="AJ48" s="134">
        <f>SUM(AJ35:AJ46)</f>
        <v>0</v>
      </c>
      <c r="AK48" s="134">
        <f>SUM(AK35:AK46)</f>
        <v>0</v>
      </c>
      <c r="AM48" s="127" t="str">
        <f>IF(AQ48&gt;0,"EXISTE ALGÚN % DE DEDICACIÓN SUPERIOR AL 100% EN ESTE EJERCICIO","")</f>
        <v/>
      </c>
      <c r="AP48" s="215"/>
      <c r="AQ48" s="211">
        <f>'% DEDICACIÓN'!$B$45</f>
        <v>0</v>
      </c>
    </row>
    <row r="49" spans="2:43" ht="20.100000000000001" customHeight="1" x14ac:dyDescent="0.25">
      <c r="T49" s="215"/>
      <c r="U49" s="215"/>
      <c r="AP49" s="215"/>
      <c r="AQ49" s="215"/>
    </row>
    <row r="50" spans="2:43" ht="20.100000000000001" customHeight="1" x14ac:dyDescent="0.25">
      <c r="T50" s="215"/>
      <c r="U50" s="215"/>
      <c r="AP50" s="215"/>
      <c r="AQ50" s="215"/>
    </row>
    <row r="51" spans="2:43" ht="20.100000000000001" customHeight="1" x14ac:dyDescent="0.25">
      <c r="T51" s="215"/>
      <c r="U51" s="215"/>
      <c r="AP51" s="215"/>
      <c r="AQ51" s="215"/>
    </row>
    <row r="52" spans="2:43" ht="20.100000000000001" customHeight="1" x14ac:dyDescent="0.25">
      <c r="D52" s="216" t="str">
        <f>D4</f>
        <v>Nº DE EXPEDIENTE: 2024.07.PRIV.0000</v>
      </c>
      <c r="E52" s="128"/>
      <c r="F52" s="217"/>
      <c r="T52" s="215"/>
      <c r="U52" s="215"/>
      <c r="Y52" s="216" t="str">
        <f>Y4</f>
        <v>Nº DE EXPEDIENTE: 2024.07.PRIV.0000</v>
      </c>
      <c r="Z52" s="128"/>
      <c r="AA52" s="217"/>
      <c r="AP52" s="215"/>
      <c r="AQ52" s="215"/>
    </row>
    <row r="53" spans="2:43" ht="20.100000000000001" customHeight="1" x14ac:dyDescent="0.25">
      <c r="E53" s="129"/>
      <c r="F53" s="211"/>
      <c r="T53" s="215"/>
      <c r="U53" s="215"/>
      <c r="Z53" s="129"/>
      <c r="AA53" s="211"/>
      <c r="AP53" s="215"/>
      <c r="AQ53" s="215"/>
    </row>
    <row r="54" spans="2:43" ht="20.100000000000001" customHeight="1" x14ac:dyDescent="0.25">
      <c r="D54" s="218" t="str">
        <f>D6</f>
        <v>TRABAJADOR:</v>
      </c>
      <c r="E54" s="132"/>
      <c r="F54" s="211"/>
      <c r="T54" s="215"/>
      <c r="U54" s="215"/>
      <c r="Y54" s="218" t="str">
        <f>Y6</f>
        <v>TRABAJADOR:</v>
      </c>
      <c r="Z54" s="132"/>
      <c r="AA54" s="211"/>
      <c r="AP54" s="215"/>
      <c r="AQ54" s="215"/>
    </row>
    <row r="55" spans="2:43" ht="20.100000000000001" customHeight="1" x14ac:dyDescent="0.25">
      <c r="D55" s="218" t="str">
        <f>D7</f>
        <v>ACRÓNIMO:</v>
      </c>
      <c r="E55" s="132"/>
      <c r="F55" s="211"/>
      <c r="T55" s="215"/>
      <c r="U55" s="215"/>
      <c r="Y55" s="218" t="str">
        <f>Y7</f>
        <v>ACRÓNIMO:</v>
      </c>
      <c r="Z55" s="132"/>
      <c r="AA55" s="211"/>
      <c r="AP55" s="215"/>
      <c r="AQ55" s="215"/>
    </row>
    <row r="56" spans="2:43" ht="20.100000000000001" customHeight="1" thickBot="1" x14ac:dyDescent="0.3">
      <c r="D56" s="218"/>
      <c r="E56" s="132"/>
      <c r="F56" s="211"/>
      <c r="T56" s="215"/>
      <c r="U56" s="215"/>
      <c r="Y56" s="218"/>
      <c r="Z56" s="132"/>
      <c r="AA56" s="211"/>
      <c r="AP56" s="215"/>
      <c r="AQ56" s="215"/>
    </row>
    <row r="57" spans="2:43" s="219" customFormat="1" ht="25.5" customHeight="1" x14ac:dyDescent="0.25">
      <c r="B57" s="934">
        <f>$B$9+2</f>
        <v>2026</v>
      </c>
      <c r="C57" s="930" t="str">
        <f>CONCATENATE("PORCENTAJE
DEDICACIÓN
MENSUAL EJERCICIO ",B57)</f>
        <v>PORCENTAJE
DEDICACIÓN
MENSUAL EJERCICIO 2026</v>
      </c>
      <c r="D57" s="936" t="s">
        <v>116</v>
      </c>
      <c r="E57" s="937"/>
      <c r="F57" s="938"/>
      <c r="G57" s="939" t="s">
        <v>195</v>
      </c>
      <c r="H57" s="940"/>
      <c r="I57" s="941"/>
      <c r="J57" s="547" t="s">
        <v>117</v>
      </c>
      <c r="K57" s="936" t="s">
        <v>196</v>
      </c>
      <c r="L57" s="937"/>
      <c r="M57" s="938"/>
      <c r="N57" s="930" t="s">
        <v>161</v>
      </c>
      <c r="O57" s="932" t="s">
        <v>82</v>
      </c>
      <c r="R57" s="127"/>
      <c r="S57" s="127"/>
      <c r="T57" s="215"/>
      <c r="U57" s="215"/>
      <c r="W57" s="942">
        <f>$B$9+2</f>
        <v>2026</v>
      </c>
      <c r="X57" s="944" t="str">
        <f>CONCATENATE("PORCENTAJE
DEDICACIÓN
MENSUAL EJERCICIO ",W57)</f>
        <v>PORCENTAJE
DEDICACIÓN
MENSUAL EJERCICIO 2026</v>
      </c>
      <c r="Y57" s="946" t="s">
        <v>116</v>
      </c>
      <c r="Z57" s="947"/>
      <c r="AA57" s="948"/>
      <c r="AB57" s="949" t="s">
        <v>195</v>
      </c>
      <c r="AC57" s="950"/>
      <c r="AD57" s="951"/>
      <c r="AE57" s="220" t="s">
        <v>117</v>
      </c>
      <c r="AF57" s="946" t="s">
        <v>196</v>
      </c>
      <c r="AG57" s="947"/>
      <c r="AH57" s="948"/>
      <c r="AI57" s="944" t="s">
        <v>161</v>
      </c>
      <c r="AJ57" s="952" t="s">
        <v>345</v>
      </c>
      <c r="AK57" s="932" t="s">
        <v>346</v>
      </c>
      <c r="AN57" s="127"/>
      <c r="AO57" s="127"/>
      <c r="AP57" s="215"/>
      <c r="AQ57" s="215"/>
    </row>
    <row r="58" spans="2:43" s="215" customFormat="1" ht="65.099999999999994" customHeight="1" thickBot="1" x14ac:dyDescent="0.3">
      <c r="B58" s="935"/>
      <c r="C58" s="931"/>
      <c r="D58" s="548" t="s">
        <v>197</v>
      </c>
      <c r="E58" s="291" t="s">
        <v>64</v>
      </c>
      <c r="F58" s="549" t="s">
        <v>83</v>
      </c>
      <c r="G58" s="550" t="s">
        <v>77</v>
      </c>
      <c r="H58" s="291" t="s">
        <v>119</v>
      </c>
      <c r="I58" s="551" t="s">
        <v>78</v>
      </c>
      <c r="J58" s="552" t="s">
        <v>118</v>
      </c>
      <c r="K58" s="550" t="s">
        <v>198</v>
      </c>
      <c r="L58" s="291" t="s">
        <v>75</v>
      </c>
      <c r="M58" s="551" t="s">
        <v>80</v>
      </c>
      <c r="N58" s="931"/>
      <c r="O58" s="933"/>
      <c r="R58" s="127"/>
      <c r="S58" s="121">
        <f>(1+('IDENTIFICACIÓN TRABAJADOR'!$N$45+'IDENTIFICACIÓN TRABAJADOR'!$R$45)/(360-'IDENTIFICACIÓN TRABAJADOR'!$N$45-'IDENTIFICACIÓN TRABAJADOR'!$R$45))</f>
        <v>1</v>
      </c>
      <c r="W58" s="943"/>
      <c r="X58" s="945"/>
      <c r="Y58" s="221" t="s">
        <v>197</v>
      </c>
      <c r="Z58" s="222" t="s">
        <v>64</v>
      </c>
      <c r="AA58" s="223" t="s">
        <v>83</v>
      </c>
      <c r="AB58" s="224" t="s">
        <v>77</v>
      </c>
      <c r="AC58" s="222" t="s">
        <v>119</v>
      </c>
      <c r="AD58" s="225" t="s">
        <v>78</v>
      </c>
      <c r="AE58" s="226" t="s">
        <v>118</v>
      </c>
      <c r="AF58" s="224" t="s">
        <v>198</v>
      </c>
      <c r="AG58" s="222" t="s">
        <v>75</v>
      </c>
      <c r="AH58" s="225" t="s">
        <v>80</v>
      </c>
      <c r="AI58" s="945"/>
      <c r="AJ58" s="953"/>
      <c r="AK58" s="933"/>
      <c r="AN58" s="127"/>
      <c r="AO58" s="121">
        <f>(1+('IDENTIFICACIÓN TRABAJADOR'!$N$45+'IDENTIFICACIÓN TRABAJADOR'!$R$45)/(360-'IDENTIFICACIÓN TRABAJADOR'!$N$45-'IDENTIFICACIÓN TRABAJADOR'!$R$45))</f>
        <v>1</v>
      </c>
    </row>
    <row r="59" spans="2:43" ht="15" customHeight="1" x14ac:dyDescent="0.25">
      <c r="B59" s="227" t="s">
        <v>45</v>
      </c>
      <c r="C59" s="228">
        <f>IFERROR(IF(OR(DATE($B$57,MONTH(DATEVALUE(B59&amp;"1")),1)&lt;DATE(YEAR(EXPEDIENTE!$I$25),MONTH(EXPEDIENTE!$I$25),1),DATE($B$57,MONTH(DATEVALUE(B59&amp;"1")),1)&gt;DATE(YEAR(EXPEDIENTE!$I$27),MONTH(EXPEDIENTE!$I$27)+1,1)-1),0,ROUND('% DEDICACIÓN'!G46,4)),0)</f>
        <v>0</v>
      </c>
      <c r="D59" s="232">
        <f>'GASTOS EJER, 3'!F20+'GASTOS EJER, 3'!L20-'GASTOS EJER, 3'!X20-'GASTOS EJER, 3'!Y20</f>
        <v>0</v>
      </c>
      <c r="E59" s="230" t="str">
        <f>IF('GASTOS EJER, 3'!AA20="","",'GASTOS EJER, 3'!AA20)</f>
        <v/>
      </c>
      <c r="F59" s="231">
        <f>IF(E59&lt;=EXPEDIENTE!$I$29,D59,0)</f>
        <v>0</v>
      </c>
      <c r="G59" s="232">
        <f>'GASTOS EJER, 3'!Y20</f>
        <v>0</v>
      </c>
      <c r="H59" s="230" t="str">
        <f>IF('GASTOS EJER, 3'!AB20="","",'GASTOS EJER, 3'!AB20)</f>
        <v/>
      </c>
      <c r="I59" s="231">
        <f>IF(H59&lt;=EXPEDIENTE!$I$29,G59,0)</f>
        <v>0</v>
      </c>
      <c r="J59" s="233">
        <f>AUXILIAR!BU55</f>
        <v>0</v>
      </c>
      <c r="K59" s="232">
        <f>AUXILIAR!FP55</f>
        <v>0</v>
      </c>
      <c r="L59" s="230" t="str">
        <f>IF('GASTOS EJER, 3'!I49="","",'GASTOS EJER, 3'!I49)</f>
        <v/>
      </c>
      <c r="M59" s="231">
        <f>IF(L59&lt;=EXPEDIENTE!$I$29,K59,0)</f>
        <v>0</v>
      </c>
      <c r="N59" s="233">
        <f>IF($U$66=0,0,IF(AND($U$68&gt;$U$66,$U$64=1100%),MIN(AUXILIAR!$P$17,ROUND($U$66/$U$68*(F59+I59+J59+M59)*(1+('IDENTIFICACIÓN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5">
        <f t="shared" ref="O59:O70" si="6">IF($U$72&gt;0,0,ROUND(C59*N59,2))</f>
        <v>0</v>
      </c>
      <c r="P59" s="215"/>
      <c r="S59" s="212">
        <f>ROUND(C59*(F59+I59+J59+M59)*(1+('IDENTIFICACIÓN TRABAJADOR'!$N$45+'IDENTIFICACIÓN TRABAJADOR'!$R$45)/(360-'IDENTIFICACIÓN TRABAJADOR'!$N$45-'IDENTIFICACIÓN TRABAJADOR'!$R$45)),2)</f>
        <v>0</v>
      </c>
      <c r="T59" s="215"/>
      <c r="U59" s="215"/>
      <c r="W59" s="227" t="s">
        <v>45</v>
      </c>
      <c r="X59" s="228">
        <f>IFERROR(IF(OR(DATE($B$57,MONTH(DATEVALUE(W59&amp;"1")),1)&lt;DATE(YEAR(EXPEDIENTE!$I$25),MONTH(EXPEDIENTE!$I$25),1),DATE($B$57,MONTH(DATEVALUE(W59&amp;"1")),1)&gt;DATE(YEAR(EXPEDIENTE!$I$27),MONTH(EXPEDIENTE!$I$27)+1,1)-1),0,ROUND('% DEDICACIÓN'!G46,4)),0)</f>
        <v>0</v>
      </c>
      <c r="Y59" s="232">
        <f>'GASTOS EJER, 3'!AW20+'GASTOS EJER, 3'!BM20-'GASTOS EJER, 3'!CM20-'GASTOS EJER, 3'!CP20</f>
        <v>0</v>
      </c>
      <c r="Z59" s="230" t="str">
        <f>IF('GASTOS EJER, 3'!CT20="","",'GASTOS EJER, 3'!CT20)</f>
        <v/>
      </c>
      <c r="AA59" s="231">
        <f>IF(Z59&lt;=EXPEDIENTE!$I$29,Y59,0)</f>
        <v>0</v>
      </c>
      <c r="AB59" s="232">
        <f>'GASTOS EJER, 3'!CP20</f>
        <v>0</v>
      </c>
      <c r="AC59" s="230" t="str">
        <f>IF('GASTOS EJER, 3'!CW20="","",'GASTOS EJER, 3'!CW20)</f>
        <v/>
      </c>
      <c r="AD59" s="231">
        <f>IF(AC59&lt;=EXPEDIENTE!$I$29,AB59,0)</f>
        <v>0</v>
      </c>
      <c r="AE59" s="233">
        <f>AUXILIAR!DL55</f>
        <v>0</v>
      </c>
      <c r="AF59" s="232">
        <f>AUXILIAR!HU55</f>
        <v>0</v>
      </c>
      <c r="AG59" s="230" t="str">
        <f>IF('GASTOS EJER, 3'!BF49="","",'GASTOS EJER, 3'!BF49)</f>
        <v/>
      </c>
      <c r="AH59" s="231">
        <f>IF(AG59&lt;=EXPEDIENTE!$I$29,AF59,0)</f>
        <v>0</v>
      </c>
      <c r="AI59" s="233">
        <f>IF($AQ$66=0,0,IF(AND($AQ$68&gt;$AQ$66,$AQ$64=1100%),MIN(AUXILIAR!$P$17,ROUND($AQ$66/$AQ$68*(AA59+AD59+AE59+AH59)*(1+('IDENTIFICACIÓN TRABAJADOR'!$N$45+'IDENTIFICACIÓN TRABAJADOR'!$R$45)/(360-'IDENTIFICACIÓN TRABAJADOR'!$N$45-'IDENTIFICACIÓN TRABAJADOR'!$R$45)),2)),MIN(AUXILIAR!$P$17,ROUND((AA59+AD59+AE59+AH59)*(1+('IDENTIFICACIÓN TRABAJADOR'!$N$45+'IDENTIFICACIÓN TRABAJADOR'!$R$45)/(360-'IDENTIFICACIÓN TRABAJADOR'!$N$45-'IDENTIFICACIÓN TRABAJADOR'!$R$45)),2))))</f>
        <v>0</v>
      </c>
      <c r="AJ59" s="234">
        <f>IF($AQ$72&gt;0,0,ROUND(X59*AI59,2))</f>
        <v>0</v>
      </c>
      <c r="AK59" s="235">
        <f>O59</f>
        <v>0</v>
      </c>
      <c r="AL59" s="215"/>
      <c r="AO59" s="212">
        <f>ROUND(X59*(AA59+AD59+AE59+AH59)*(1+('IDENTIFICACIÓN TRABAJADOR'!$N$45+'IDENTIFICACIÓN TRABAJADOR'!$R$45)/(360-'IDENTIFICACIÓN TRABAJADOR'!$N$45-'IDENTIFICACIÓN TRABAJADOR'!$R$45)),2)</f>
        <v>0</v>
      </c>
      <c r="AP59" s="215"/>
      <c r="AQ59" s="215"/>
    </row>
    <row r="60" spans="2:43" ht="15" customHeight="1" x14ac:dyDescent="0.25">
      <c r="B60" s="236" t="s">
        <v>46</v>
      </c>
      <c r="C60" s="237">
        <f>IFERROR(IF(OR(DATE($B$57,MONTH(DATEVALUE(B60&amp;"1")),1)&lt;DATE(YEAR(EXPEDIENTE!$I$25),MONTH(EXPEDIENTE!$I$25),1),DATE($B$57,MONTH(DATEVALUE(B60&amp;"1")),1)&gt;DATE(YEAR(EXPEDIENTE!$I$27),MONTH(EXPEDIENTE!$I$27)+1,1)-1),0,ROUND('% DEDICACIÓN'!H46,4)),0)</f>
        <v>0</v>
      </c>
      <c r="D60" s="241">
        <f>'GASTOS EJER, 3'!F21+'GASTOS EJER, 3'!L21-'GASTOS EJER, 3'!X21-'GASTOS EJER, 3'!Y21</f>
        <v>0</v>
      </c>
      <c r="E60" s="239" t="str">
        <f>IF('GASTOS EJER, 3'!AA21="","",'GASTOS EJER, 3'!AA21)</f>
        <v/>
      </c>
      <c r="F60" s="240">
        <f>IF(E60&lt;=EXPEDIENTE!$I$29,D60,0)</f>
        <v>0</v>
      </c>
      <c r="G60" s="241">
        <f>'GASTOS EJER, 3'!Y21</f>
        <v>0</v>
      </c>
      <c r="H60" s="239" t="str">
        <f>IF('GASTOS EJER, 3'!AB21="","",'GASTOS EJER, 3'!AB21)</f>
        <v/>
      </c>
      <c r="I60" s="240">
        <f>IF(H60&lt;=EXPEDIENTE!$I$29,G60,0)</f>
        <v>0</v>
      </c>
      <c r="J60" s="242">
        <f>AUXILIAR!BU56</f>
        <v>0</v>
      </c>
      <c r="K60" s="241">
        <f>AUXILIAR!FP56</f>
        <v>0</v>
      </c>
      <c r="L60" s="239" t="str">
        <f>IF('GASTOS EJER, 3'!I50="","",'GASTOS EJER, 3'!I50)</f>
        <v/>
      </c>
      <c r="M60" s="240">
        <f>IF(L60&lt;=EXPEDIENTE!$I$29,K60,0)</f>
        <v>0</v>
      </c>
      <c r="N60" s="242">
        <f>IF($U$66=0,0,IF(AND($U$68&gt;$U$66,$U$64=1100%),MIN(AUXILIAR!$P$17,ROUND($U$66/$U$68*(F60+I60+J60+M60)*(1+('IDENTIFICACIÓN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4">
        <f t="shared" si="6"/>
        <v>0</v>
      </c>
      <c r="P60" s="215"/>
      <c r="S60" s="212">
        <f>ROUND(C60*(F60+I60+J60+M60)*(1+('IDENTIFICACIÓN TRABAJADOR'!$N$45+'IDENTIFICACIÓN TRABAJADOR'!$R$45)/(360-'IDENTIFICACIÓN TRABAJADOR'!$N$45-'IDENTIFICACIÓN TRABAJADOR'!$R$45)),2)</f>
        <v>0</v>
      </c>
      <c r="T60" s="215"/>
      <c r="U60" s="215"/>
      <c r="W60" s="236" t="s">
        <v>46</v>
      </c>
      <c r="X60" s="237">
        <f>IFERROR(IF(OR(DATE($B$57,MONTH(DATEVALUE(W60&amp;"1")),1)&lt;DATE(YEAR(EXPEDIENTE!$I$25),MONTH(EXPEDIENTE!$I$25),1),DATE($B$57,MONTH(DATEVALUE(W60&amp;"1")),1)&gt;DATE(YEAR(EXPEDIENTE!$I$27),MONTH(EXPEDIENTE!$I$27)+1,1)-1),0,ROUND('% DEDICACIÓN'!H46,4)),0)</f>
        <v>0</v>
      </c>
      <c r="Y60" s="241">
        <f>'GASTOS EJER, 3'!AW21+'GASTOS EJER, 3'!BM21-'GASTOS EJER, 3'!CM21-'GASTOS EJER, 3'!CP21</f>
        <v>0</v>
      </c>
      <c r="Z60" s="239" t="str">
        <f>IF('GASTOS EJER, 3'!CT21="","",'GASTOS EJER, 3'!CT21)</f>
        <v/>
      </c>
      <c r="AA60" s="240">
        <f>IF(Z60&lt;=EXPEDIENTE!$I$29,Y60,0)</f>
        <v>0</v>
      </c>
      <c r="AB60" s="241">
        <f>'GASTOS EJER, 3'!CP21</f>
        <v>0</v>
      </c>
      <c r="AC60" s="239" t="str">
        <f>IF('GASTOS EJER, 3'!CW21="","",'GASTOS EJER, 3'!CW21)</f>
        <v/>
      </c>
      <c r="AD60" s="240">
        <f>IF(AC60&lt;=EXPEDIENTE!$I$29,AB60,0)</f>
        <v>0</v>
      </c>
      <c r="AE60" s="242">
        <f>AUXILIAR!DL56</f>
        <v>0</v>
      </c>
      <c r="AF60" s="241">
        <f>AUXILIAR!HU56</f>
        <v>0</v>
      </c>
      <c r="AG60" s="239" t="str">
        <f>IF('GASTOS EJER, 3'!BF50="","",'GASTOS EJER, 3'!BF50)</f>
        <v/>
      </c>
      <c r="AH60" s="240">
        <f>IF(AG60&lt;=EXPEDIENTE!$I$29,AF60,0)</f>
        <v>0</v>
      </c>
      <c r="AI60" s="242">
        <f>IF($AQ$66=0,0,IF(AND($AQ$68&gt;$AQ$66,$AQ$64=1100%),MIN(AUXILIAR!$P$17,ROUND($AQ$66/$AQ$68*(AA60+AD60+AE60+AH60)*(1+('IDENTIFICACIÓN TRABAJADOR'!$N$45+'IDENTIFICACIÓN TRABAJADOR'!$R$45)/(360-'IDENTIFICACIÓN TRABAJADOR'!$N$45-'IDENTIFICACIÓN TRABAJADOR'!$R$45)),2)),MIN(AUXILIAR!$P$17,ROUND((AA60+AD60+AE60+AH60)*(1+('IDENTIFICACIÓN TRABAJADOR'!$N$45+'IDENTIFICACIÓN TRABAJADOR'!$R$45)/(360-'IDENTIFICACIÓN TRABAJADOR'!$N$45-'IDENTIFICACIÓN TRABAJADOR'!$R$45)),2))))</f>
        <v>0</v>
      </c>
      <c r="AJ60" s="243">
        <f t="shared" ref="AJ60:AJ70" si="7">IF($AQ$72&gt;0,0,ROUND(X60*AI60,2))</f>
        <v>0</v>
      </c>
      <c r="AK60" s="244">
        <f t="shared" ref="AK60:AK70" si="8">O60</f>
        <v>0</v>
      </c>
      <c r="AL60" s="215"/>
      <c r="AO60" s="212">
        <f>ROUND(X60*(AA60+AD60+AE60+AH60)*(1+('IDENTIFICACIÓN TRABAJADOR'!$N$45+'IDENTIFICACIÓN TRABAJADOR'!$R$45)/(360-'IDENTIFICACIÓN TRABAJADOR'!$N$45-'IDENTIFICACIÓN TRABAJADOR'!$R$45)),2)</f>
        <v>0</v>
      </c>
      <c r="AP60" s="215"/>
      <c r="AQ60" s="215"/>
    </row>
    <row r="61" spans="2:43" ht="15" customHeight="1" x14ac:dyDescent="0.25">
      <c r="B61" s="236" t="s">
        <v>47</v>
      </c>
      <c r="C61" s="237">
        <f>IFERROR(IF(OR(DATE($B$57,MONTH(DATEVALUE(B61&amp;"1")),1)&lt;DATE(YEAR(EXPEDIENTE!$I$25),MONTH(EXPEDIENTE!$I$25),1),DATE($B$57,MONTH(DATEVALUE(B61&amp;"1")),1)&gt;DATE(YEAR(EXPEDIENTE!$I$27),MONTH(EXPEDIENTE!$I$27)+1,1)-1),0,ROUND('% DEDICACIÓN'!I46,4)),0)</f>
        <v>0</v>
      </c>
      <c r="D61" s="241">
        <f>'GASTOS EJER, 3'!F22+'GASTOS EJER, 3'!L22-'GASTOS EJER, 3'!X22-'GASTOS EJER, 3'!Y22</f>
        <v>0</v>
      </c>
      <c r="E61" s="239" t="str">
        <f>IF('GASTOS EJER, 3'!AA22="","",'GASTOS EJER, 3'!AA22)</f>
        <v/>
      </c>
      <c r="F61" s="240">
        <f>IF(E61&lt;=EXPEDIENTE!$I$29,D61,0)</f>
        <v>0</v>
      </c>
      <c r="G61" s="241">
        <f>'GASTOS EJER, 3'!Y22</f>
        <v>0</v>
      </c>
      <c r="H61" s="239" t="str">
        <f>IF('GASTOS EJER, 3'!AB22="","",'GASTOS EJER, 3'!AB22)</f>
        <v/>
      </c>
      <c r="I61" s="240">
        <f>IF(H61&lt;=EXPEDIENTE!$I$29,G61,0)</f>
        <v>0</v>
      </c>
      <c r="J61" s="242">
        <f>AUXILIAR!BU57</f>
        <v>0</v>
      </c>
      <c r="K61" s="241">
        <f>AUXILIAR!FP57</f>
        <v>0</v>
      </c>
      <c r="L61" s="239" t="str">
        <f>IF('GASTOS EJER, 3'!I51="","",'GASTOS EJER, 3'!I51)</f>
        <v/>
      </c>
      <c r="M61" s="240">
        <f>IF(L61&lt;=EXPEDIENTE!$I$29,K61,0)</f>
        <v>0</v>
      </c>
      <c r="N61" s="242">
        <f>IF($U$66=0,0,IF(AND($U$68&gt;$U$66,$U$64=1100%),MIN(AUXILIAR!$P$17,ROUND($U$66/$U$68*(F61+I61+J61+M61)*(1+('IDENTIFICACIÓN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4">
        <f t="shared" si="6"/>
        <v>0</v>
      </c>
      <c r="P61" s="215"/>
      <c r="S61" s="212">
        <f>ROUND(C61*(F61+I61+J61+M61)*(1+('IDENTIFICACIÓN TRABAJADOR'!$N$45+'IDENTIFICACIÓN TRABAJADOR'!$R$45)/(360-'IDENTIFICACIÓN TRABAJADOR'!$N$45-'IDENTIFICACIÓN TRABAJADOR'!$R$45)),2)</f>
        <v>0</v>
      </c>
      <c r="T61" s="215"/>
      <c r="U61" s="215"/>
      <c r="W61" s="236" t="s">
        <v>47</v>
      </c>
      <c r="X61" s="237">
        <f>IFERROR(IF(OR(DATE($B$57,MONTH(DATEVALUE(W61&amp;"1")),1)&lt;DATE(YEAR(EXPEDIENTE!$I$25),MONTH(EXPEDIENTE!$I$25),1),DATE($B$57,MONTH(DATEVALUE(W61&amp;"1")),1)&gt;DATE(YEAR(EXPEDIENTE!$I$27),MONTH(EXPEDIENTE!$I$27)+1,1)-1),0,ROUND('% DEDICACIÓN'!I46,4)),0)</f>
        <v>0</v>
      </c>
      <c r="Y61" s="241">
        <f>'GASTOS EJER, 3'!AW22+'GASTOS EJER, 3'!BM22-'GASTOS EJER, 3'!CM22-'GASTOS EJER, 3'!CP22</f>
        <v>0</v>
      </c>
      <c r="Z61" s="239" t="str">
        <f>IF('GASTOS EJER, 3'!CT22="","",'GASTOS EJER, 3'!CT22)</f>
        <v/>
      </c>
      <c r="AA61" s="240">
        <f>IF(Z61&lt;=EXPEDIENTE!$I$29,Y61,0)</f>
        <v>0</v>
      </c>
      <c r="AB61" s="241">
        <f>'GASTOS EJER, 3'!CP22</f>
        <v>0</v>
      </c>
      <c r="AC61" s="239" t="str">
        <f>IF('GASTOS EJER, 3'!CW22="","",'GASTOS EJER, 3'!CW22)</f>
        <v/>
      </c>
      <c r="AD61" s="240">
        <f>IF(AC61&lt;=EXPEDIENTE!$I$29,AB61,0)</f>
        <v>0</v>
      </c>
      <c r="AE61" s="242">
        <f>AUXILIAR!DL57</f>
        <v>0</v>
      </c>
      <c r="AF61" s="241">
        <f>AUXILIAR!HU57</f>
        <v>0</v>
      </c>
      <c r="AG61" s="239" t="str">
        <f>IF('GASTOS EJER, 3'!BF51="","",'GASTOS EJER, 3'!BF51)</f>
        <v/>
      </c>
      <c r="AH61" s="240">
        <f>IF(AG61&lt;=EXPEDIENTE!$I$29,AF61,0)</f>
        <v>0</v>
      </c>
      <c r="AI61" s="242">
        <f>IF($AQ$66=0,0,IF(AND($AQ$68&gt;$AQ$66,$AQ$64=1100%),MIN(AUXILIAR!$P$17,ROUND($AQ$66/$AQ$68*(AA61+AD61+AE61+AH61)*(1+('IDENTIFICACIÓN TRABAJADOR'!$N$45+'IDENTIFICACIÓN TRABAJADOR'!$R$45)/(360-'IDENTIFICACIÓN TRABAJADOR'!$N$45-'IDENTIFICACIÓN TRABAJADOR'!$R$45)),2)),MIN(AUXILIAR!$P$17,ROUND((AA61+AD61+AE61+AH61)*(1+('IDENTIFICACIÓN TRABAJADOR'!$N$45+'IDENTIFICACIÓN TRABAJADOR'!$R$45)/(360-'IDENTIFICACIÓN TRABAJADOR'!$N$45-'IDENTIFICACIÓN TRABAJADOR'!$R$45)),2))))</f>
        <v>0</v>
      </c>
      <c r="AJ61" s="243">
        <f t="shared" si="7"/>
        <v>0</v>
      </c>
      <c r="AK61" s="244">
        <f t="shared" si="8"/>
        <v>0</v>
      </c>
      <c r="AL61" s="215"/>
      <c r="AO61" s="212">
        <f>ROUND(X61*(AA61+AD61+AE61+AH61)*(1+('IDENTIFICACIÓN TRABAJADOR'!$N$45+'IDENTIFICACIÓN TRABAJADOR'!$R$45)/(360-'IDENTIFICACIÓN TRABAJADOR'!$N$45-'IDENTIFICACIÓN TRABAJADOR'!$R$45)),2)</f>
        <v>0</v>
      </c>
      <c r="AP61" s="215"/>
      <c r="AQ61" s="215"/>
    </row>
    <row r="62" spans="2:43" ht="15" customHeight="1" x14ac:dyDescent="0.25">
      <c r="B62" s="236" t="s">
        <v>48</v>
      </c>
      <c r="C62" s="237">
        <f>IFERROR(IF(OR(DATE($B$57,MONTH(DATEVALUE(B62&amp;"1")),1)&lt;DATE(YEAR(EXPEDIENTE!$I$25),MONTH(EXPEDIENTE!$I$25),1),DATE($B$57,MONTH(DATEVALUE(B62&amp;"1")),1)&gt;DATE(YEAR(EXPEDIENTE!$I$27),MONTH(EXPEDIENTE!$I$27)+1,1)-1),0,ROUND('% DEDICACIÓN'!J46,4)),0)</f>
        <v>0</v>
      </c>
      <c r="D62" s="241">
        <f>'GASTOS EJER, 3'!F23+'GASTOS EJER, 3'!L23-'GASTOS EJER, 3'!X23-'GASTOS EJER, 3'!Y23</f>
        <v>0</v>
      </c>
      <c r="E62" s="239" t="str">
        <f>IF('GASTOS EJER, 3'!AA23="","",'GASTOS EJER, 3'!AA23)</f>
        <v/>
      </c>
      <c r="F62" s="240">
        <f>IF(E62&lt;=EXPEDIENTE!$I$29,D62,0)</f>
        <v>0</v>
      </c>
      <c r="G62" s="241">
        <f>'GASTOS EJER, 3'!Y23</f>
        <v>0</v>
      </c>
      <c r="H62" s="239" t="str">
        <f>IF('GASTOS EJER, 3'!AB23="","",'GASTOS EJER, 3'!AB23)</f>
        <v/>
      </c>
      <c r="I62" s="240">
        <f>IF(H62&lt;=EXPEDIENTE!$I$29,G62,0)</f>
        <v>0</v>
      </c>
      <c r="J62" s="242">
        <f>AUXILIAR!BU58</f>
        <v>0</v>
      </c>
      <c r="K62" s="241">
        <f>AUXILIAR!FP58</f>
        <v>0</v>
      </c>
      <c r="L62" s="239" t="str">
        <f>IF('GASTOS EJER, 3'!I52="","",'GASTOS EJER, 3'!I52)</f>
        <v/>
      </c>
      <c r="M62" s="240">
        <f>IF(L62&lt;=EXPEDIENTE!$I$29,K62,0)</f>
        <v>0</v>
      </c>
      <c r="N62" s="242">
        <f>IF($U$66=0,0,IF(AND($U$68&gt;$U$66,$U$64=1100%),MIN(AUXILIAR!$P$17,ROUND($U$66/$U$68*(F62+I62+J62+M62)*(1+('IDENTIFICACIÓN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4">
        <f t="shared" si="6"/>
        <v>0</v>
      </c>
      <c r="P62" s="215"/>
      <c r="S62" s="212">
        <f>ROUND(C62*(F62+I62+J62+M62)*(1+('IDENTIFICACIÓN TRABAJADOR'!$N$45+'IDENTIFICACIÓN TRABAJADOR'!$R$45)/(360-'IDENTIFICACIÓN TRABAJADOR'!$N$45-'IDENTIFICACIÓN TRABAJADOR'!$R$45)),2)</f>
        <v>0</v>
      </c>
      <c r="T62" s="215"/>
      <c r="U62" s="215"/>
      <c r="W62" s="236" t="s">
        <v>48</v>
      </c>
      <c r="X62" s="237">
        <f>IFERROR(IF(OR(DATE($B$57,MONTH(DATEVALUE(W62&amp;"1")),1)&lt;DATE(YEAR(EXPEDIENTE!$I$25),MONTH(EXPEDIENTE!$I$25),1),DATE($B$57,MONTH(DATEVALUE(W62&amp;"1")),1)&gt;DATE(YEAR(EXPEDIENTE!$I$27),MONTH(EXPEDIENTE!$I$27)+1,1)-1),0,ROUND('% DEDICACIÓN'!J46,4)),0)</f>
        <v>0</v>
      </c>
      <c r="Y62" s="241">
        <f>'GASTOS EJER, 3'!AW23+'GASTOS EJER, 3'!BM23-'GASTOS EJER, 3'!CM23-'GASTOS EJER, 3'!CP23</f>
        <v>0</v>
      </c>
      <c r="Z62" s="239" t="str">
        <f>IF('GASTOS EJER, 3'!CT23="","",'GASTOS EJER, 3'!CT23)</f>
        <v/>
      </c>
      <c r="AA62" s="240">
        <f>IF(Z62&lt;=EXPEDIENTE!$I$29,Y62,0)</f>
        <v>0</v>
      </c>
      <c r="AB62" s="241">
        <f>'GASTOS EJER, 3'!CP23</f>
        <v>0</v>
      </c>
      <c r="AC62" s="239" t="str">
        <f>IF('GASTOS EJER, 3'!CW23="","",'GASTOS EJER, 3'!CW23)</f>
        <v/>
      </c>
      <c r="AD62" s="240">
        <f>IF(AC62&lt;=EXPEDIENTE!$I$29,AB62,0)</f>
        <v>0</v>
      </c>
      <c r="AE62" s="242">
        <f>AUXILIAR!DL58</f>
        <v>0</v>
      </c>
      <c r="AF62" s="241">
        <f>AUXILIAR!HU58</f>
        <v>0</v>
      </c>
      <c r="AG62" s="239" t="str">
        <f>IF('GASTOS EJER, 3'!BF52="","",'GASTOS EJER, 3'!BF52)</f>
        <v/>
      </c>
      <c r="AH62" s="240">
        <f>IF(AG62&lt;=EXPEDIENTE!$I$29,AF62,0)</f>
        <v>0</v>
      </c>
      <c r="AI62" s="242">
        <f>IF($AQ$66=0,0,IF(AND($AQ$68&gt;$AQ$66,$AQ$64=1100%),MIN(AUXILIAR!$P$17,ROUND($AQ$66/$AQ$68*(AA62+AD62+AE62+AH62)*(1+('IDENTIFICACIÓN TRABAJADOR'!$N$45+'IDENTIFICACIÓN TRABAJADOR'!$R$45)/(360-'IDENTIFICACIÓN TRABAJADOR'!$N$45-'IDENTIFICACIÓN TRABAJADOR'!$R$45)),2)),MIN(AUXILIAR!$P$17,ROUND((AA62+AD62+AE62+AH62)*(1+('IDENTIFICACIÓN TRABAJADOR'!$N$45+'IDENTIFICACIÓN TRABAJADOR'!$R$45)/(360-'IDENTIFICACIÓN TRABAJADOR'!$N$45-'IDENTIFICACIÓN TRABAJADOR'!$R$45)),2))))</f>
        <v>0</v>
      </c>
      <c r="AJ62" s="243">
        <f t="shared" si="7"/>
        <v>0</v>
      </c>
      <c r="AK62" s="244">
        <f t="shared" si="8"/>
        <v>0</v>
      </c>
      <c r="AL62" s="215"/>
      <c r="AO62" s="212">
        <f>ROUND(X62*(AA62+AD62+AE62+AH62)*(1+('IDENTIFICACIÓN TRABAJADOR'!$N$45+'IDENTIFICACIÓN TRABAJADOR'!$R$45)/(360-'IDENTIFICACIÓN TRABAJADOR'!$N$45-'IDENTIFICACIÓN TRABAJADOR'!$R$45)),2)</f>
        <v>0</v>
      </c>
      <c r="AP62" s="215"/>
      <c r="AQ62" s="215"/>
    </row>
    <row r="63" spans="2:43" ht="15" customHeight="1" x14ac:dyDescent="0.25">
      <c r="B63" s="236" t="s">
        <v>49</v>
      </c>
      <c r="C63" s="237">
        <f>IFERROR(IF(OR(DATE($B$57,MONTH(DATEVALUE(B63&amp;"1")),1)&lt;DATE(YEAR(EXPEDIENTE!$I$25),MONTH(EXPEDIENTE!$I$25),1),DATE($B$57,MONTH(DATEVALUE(B63&amp;"1")),1)&gt;DATE(YEAR(EXPEDIENTE!$I$27),MONTH(EXPEDIENTE!$I$27)+1,1)-1),0,ROUND('% DEDICACIÓN'!K46,4)),0)</f>
        <v>0</v>
      </c>
      <c r="D63" s="241">
        <f>'GASTOS EJER, 3'!F24+'GASTOS EJER, 3'!L24-'GASTOS EJER, 3'!X24-'GASTOS EJER, 3'!Y24</f>
        <v>0</v>
      </c>
      <c r="E63" s="239" t="str">
        <f>IF('GASTOS EJER, 3'!AA24="","",'GASTOS EJER, 3'!AA24)</f>
        <v/>
      </c>
      <c r="F63" s="240">
        <f>IF(E63&lt;=EXPEDIENTE!$I$29,D63,0)</f>
        <v>0</v>
      </c>
      <c r="G63" s="241">
        <f>'GASTOS EJER, 3'!Y24</f>
        <v>0</v>
      </c>
      <c r="H63" s="239" t="str">
        <f>IF('GASTOS EJER, 3'!AB24="","",'GASTOS EJER, 3'!AB24)</f>
        <v/>
      </c>
      <c r="I63" s="240">
        <f>IF(H63&lt;=EXPEDIENTE!$I$29,G63,0)</f>
        <v>0</v>
      </c>
      <c r="J63" s="242">
        <f>AUXILIAR!BU59</f>
        <v>0</v>
      </c>
      <c r="K63" s="241">
        <f>AUXILIAR!FP59</f>
        <v>0</v>
      </c>
      <c r="L63" s="239" t="str">
        <f>IF('GASTOS EJER, 3'!I53="","",'GASTOS EJER, 3'!I53)</f>
        <v/>
      </c>
      <c r="M63" s="240">
        <f>IF(L63&lt;=EXPEDIENTE!$I$29,K63,0)</f>
        <v>0</v>
      </c>
      <c r="N63" s="242">
        <f>IF($U$66=0,0,IF(AND($U$68&gt;$U$66,$U$64=1100%),MIN(AUXILIAR!$P$17,ROUND($U$66/$U$68*(F63+I63+J63+M63)*(1+('IDENTIFICACIÓN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4">
        <f t="shared" si="6"/>
        <v>0</v>
      </c>
      <c r="P63" s="215"/>
      <c r="S63" s="212">
        <f>ROUND(C63*(F63+I63+J63+M63)*(1+('IDENTIFICACIÓN TRABAJADOR'!$N$45+'IDENTIFICACIÓN TRABAJADOR'!$R$45)/(360-'IDENTIFICACIÓN TRABAJADOR'!$N$45-'IDENTIFICACIÓN TRABAJADOR'!$R$45)),2)</f>
        <v>0</v>
      </c>
      <c r="T63" s="215"/>
      <c r="U63" s="211" t="s">
        <v>222</v>
      </c>
      <c r="W63" s="236" t="s">
        <v>49</v>
      </c>
      <c r="X63" s="237">
        <f>IFERROR(IF(OR(DATE($B$57,MONTH(DATEVALUE(W63&amp;"1")),1)&lt;DATE(YEAR(EXPEDIENTE!$I$25),MONTH(EXPEDIENTE!$I$25),1),DATE($B$57,MONTH(DATEVALUE(W63&amp;"1")),1)&gt;DATE(YEAR(EXPEDIENTE!$I$27),MONTH(EXPEDIENTE!$I$27)+1,1)-1),0,ROUND('% DEDICACIÓN'!K46,4)),0)</f>
        <v>0</v>
      </c>
      <c r="Y63" s="241">
        <f>'GASTOS EJER, 3'!AW24+'GASTOS EJER, 3'!BM24-'GASTOS EJER, 3'!CM24-'GASTOS EJER, 3'!CP24</f>
        <v>0</v>
      </c>
      <c r="Z63" s="239" t="str">
        <f>IF('GASTOS EJER, 3'!CT24="","",'GASTOS EJER, 3'!CT24)</f>
        <v/>
      </c>
      <c r="AA63" s="240">
        <f>IF(Z63&lt;=EXPEDIENTE!$I$29,Y63,0)</f>
        <v>0</v>
      </c>
      <c r="AB63" s="241">
        <f>'GASTOS EJER, 3'!CP24</f>
        <v>0</v>
      </c>
      <c r="AC63" s="239" t="str">
        <f>IF('GASTOS EJER, 3'!CW24="","",'GASTOS EJER, 3'!CW24)</f>
        <v/>
      </c>
      <c r="AD63" s="240">
        <f>IF(AC63&lt;=EXPEDIENTE!$I$29,AB63,0)</f>
        <v>0</v>
      </c>
      <c r="AE63" s="242">
        <f>AUXILIAR!DL59</f>
        <v>0</v>
      </c>
      <c r="AF63" s="241">
        <f>AUXILIAR!HU59</f>
        <v>0</v>
      </c>
      <c r="AG63" s="239" t="str">
        <f>IF('GASTOS EJER, 3'!BF53="","",'GASTOS EJER, 3'!BF53)</f>
        <v/>
      </c>
      <c r="AH63" s="240">
        <f>IF(AG63&lt;=EXPEDIENTE!$I$29,AF63,0)</f>
        <v>0</v>
      </c>
      <c r="AI63" s="242">
        <f>IF($AQ$66=0,0,IF(AND($AQ$68&gt;$AQ$66,$AQ$64=1100%),MIN(AUXILIAR!$P$17,ROUND($AQ$66/$AQ$68*(AA63+AD63+AE63+AH63)*(1+('IDENTIFICACIÓN TRABAJADOR'!$N$45+'IDENTIFICACIÓN TRABAJADOR'!$R$45)/(360-'IDENTIFICACIÓN TRABAJADOR'!$N$45-'IDENTIFICACIÓN TRABAJADOR'!$R$45)),2)),MIN(AUXILIAR!$P$17,ROUND((AA63+AD63+AE63+AH63)*(1+('IDENTIFICACIÓN TRABAJADOR'!$N$45+'IDENTIFICACIÓN TRABAJADOR'!$R$45)/(360-'IDENTIFICACIÓN TRABAJADOR'!$N$45-'IDENTIFICACIÓN TRABAJADOR'!$R$45)),2))))</f>
        <v>0</v>
      </c>
      <c r="AJ63" s="243">
        <f t="shared" si="7"/>
        <v>0</v>
      </c>
      <c r="AK63" s="244">
        <f t="shared" si="8"/>
        <v>0</v>
      </c>
      <c r="AL63" s="215"/>
      <c r="AO63" s="212">
        <f>ROUND(X63*(AA63+AD63+AE63+AH63)*(1+('IDENTIFICACIÓN TRABAJADOR'!$N$45+'IDENTIFICACIÓN TRABAJADOR'!$R$45)/(360-'IDENTIFICACIÓN TRABAJADOR'!$N$45-'IDENTIFICACIÓN TRABAJADOR'!$R$45)),2)</f>
        <v>0</v>
      </c>
      <c r="AP63" s="215"/>
      <c r="AQ63" s="211" t="s">
        <v>222</v>
      </c>
    </row>
    <row r="64" spans="2:43" ht="15" customHeight="1" x14ac:dyDescent="0.25">
      <c r="B64" s="236" t="s">
        <v>50</v>
      </c>
      <c r="C64" s="237">
        <f>IFERROR(IF(OR(DATE($B$57,MONTH(DATEVALUE(B64&amp;"1")),1)&lt;DATE(YEAR(EXPEDIENTE!$I$25),MONTH(EXPEDIENTE!$I$25),1),DATE($B$57,MONTH(DATEVALUE(B64&amp;"1")),1)&gt;DATE(YEAR(EXPEDIENTE!$I$27),MONTH(EXPEDIENTE!$I$27)+1,1)-1),0,ROUND('% DEDICACIÓN'!L46,4)),0)</f>
        <v>0</v>
      </c>
      <c r="D64" s="241">
        <f>'GASTOS EJER, 3'!F25+'GASTOS EJER, 3'!L25-'GASTOS EJER, 3'!X25-'GASTOS EJER, 3'!Y25</f>
        <v>0</v>
      </c>
      <c r="E64" s="239" t="str">
        <f>IF('GASTOS EJER, 3'!AA25="","",'GASTOS EJER, 3'!AA25)</f>
        <v/>
      </c>
      <c r="F64" s="240">
        <f>IF(E64&lt;=EXPEDIENTE!$I$29,D64,0)</f>
        <v>0</v>
      </c>
      <c r="G64" s="241">
        <f>'GASTOS EJER, 3'!Y25</f>
        <v>0</v>
      </c>
      <c r="H64" s="239" t="str">
        <f>IF('GASTOS EJER, 3'!AB25="","",'GASTOS EJER, 3'!AB25)</f>
        <v/>
      </c>
      <c r="I64" s="240">
        <f>IF(H64&lt;=EXPEDIENTE!$I$29,G64,0)</f>
        <v>0</v>
      </c>
      <c r="J64" s="242">
        <f>AUXILIAR!BU60</f>
        <v>0</v>
      </c>
      <c r="K64" s="241">
        <f>AUXILIAR!FP60</f>
        <v>0</v>
      </c>
      <c r="L64" s="239" t="str">
        <f>IF('GASTOS EJER, 3'!I54="","",'GASTOS EJER, 3'!I54)</f>
        <v/>
      </c>
      <c r="M64" s="240">
        <f>IF(L64&lt;=EXPEDIENTE!$I$29,K64,0)</f>
        <v>0</v>
      </c>
      <c r="N64" s="242">
        <f>IF($U$66=0,0,IF(AND($U$68&gt;$U$66,$U$64=1100%),MIN(AUXILIAR!$P$17,ROUND($U$66/$U$68*(F64+I64+J64+M64)*(1+('IDENTIFICACIÓN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4">
        <f t="shared" si="6"/>
        <v>0</v>
      </c>
      <c r="P64" s="215"/>
      <c r="S64" s="212">
        <f>ROUND(C64*(F64+I64+J64+M64)*(1+('IDENTIFICACIÓN TRABAJADOR'!$N$45+'IDENTIFICACIÓN TRABAJADOR'!$R$45)/(360-'IDENTIFICACIÓN TRABAJADOR'!$N$45-'IDENTIFICACIÓN TRABAJADOR'!$R$45)),2)</f>
        <v>0</v>
      </c>
      <c r="T64" s="245"/>
      <c r="U64" s="246">
        <f>SUM('% DEDICACIÓN'!$G$46:$R$46)</f>
        <v>0</v>
      </c>
      <c r="W64" s="236" t="s">
        <v>50</v>
      </c>
      <c r="X64" s="237">
        <f>IFERROR(IF(OR(DATE($B$57,MONTH(DATEVALUE(W64&amp;"1")),1)&lt;DATE(YEAR(EXPEDIENTE!$I$25),MONTH(EXPEDIENTE!$I$25),1),DATE($B$57,MONTH(DATEVALUE(W64&amp;"1")),1)&gt;DATE(YEAR(EXPEDIENTE!$I$27),MONTH(EXPEDIENTE!$I$27)+1,1)-1),0,ROUND('% DEDICACIÓN'!L46,4)),0)</f>
        <v>0</v>
      </c>
      <c r="Y64" s="241">
        <f>'GASTOS EJER, 3'!AW25+'GASTOS EJER, 3'!BM25-'GASTOS EJER, 3'!CM25-'GASTOS EJER, 3'!CP25</f>
        <v>0</v>
      </c>
      <c r="Z64" s="239" t="str">
        <f>IF('GASTOS EJER, 3'!CT25="","",'GASTOS EJER, 3'!CT25)</f>
        <v/>
      </c>
      <c r="AA64" s="240">
        <f>IF(Z64&lt;=EXPEDIENTE!$I$29,Y64,0)</f>
        <v>0</v>
      </c>
      <c r="AB64" s="241">
        <f>'GASTOS EJER, 3'!CP25</f>
        <v>0</v>
      </c>
      <c r="AC64" s="239" t="str">
        <f>IF('GASTOS EJER, 3'!CW25="","",'GASTOS EJER, 3'!CW25)</f>
        <v/>
      </c>
      <c r="AD64" s="240">
        <f>IF(AC64&lt;=EXPEDIENTE!$I$29,AB64,0)</f>
        <v>0</v>
      </c>
      <c r="AE64" s="242">
        <f>AUXILIAR!DL60</f>
        <v>0</v>
      </c>
      <c r="AF64" s="241">
        <f>AUXILIAR!HU60</f>
        <v>0</v>
      </c>
      <c r="AG64" s="239" t="str">
        <f>IF('GASTOS EJER, 3'!BF54="","",'GASTOS EJER, 3'!BF54)</f>
        <v/>
      </c>
      <c r="AH64" s="240">
        <f>IF(AG64&lt;=EXPEDIENTE!$I$29,AF64,0)</f>
        <v>0</v>
      </c>
      <c r="AI64" s="242">
        <f>IF($AQ$66=0,0,IF(AND($AQ$68&gt;$AQ$66,$AQ$64=1100%),MIN(AUXILIAR!$P$17,ROUND($AQ$66/$AQ$68*(AA64+AD64+AE64+AH64)*(1+('IDENTIFICACIÓN TRABAJADOR'!$N$45+'IDENTIFICACIÓN TRABAJADOR'!$R$45)/(360-'IDENTIFICACIÓN TRABAJADOR'!$N$45-'IDENTIFICACIÓN TRABAJADOR'!$R$45)),2)),MIN(AUXILIAR!$P$17,ROUND((AA64+AD64+AE64+AH64)*(1+('IDENTIFICACIÓN TRABAJADOR'!$N$45+'IDENTIFICACIÓN TRABAJADOR'!$R$45)/(360-'IDENTIFICACIÓN TRABAJADOR'!$N$45-'IDENTIFICACIÓN TRABAJADOR'!$R$45)),2))))</f>
        <v>0</v>
      </c>
      <c r="AJ64" s="243">
        <f t="shared" si="7"/>
        <v>0</v>
      </c>
      <c r="AK64" s="244">
        <f t="shared" si="8"/>
        <v>0</v>
      </c>
      <c r="AL64" s="215"/>
      <c r="AO64" s="212">
        <f>ROUND(X64*(AA64+AD64+AE64+AH64)*(1+('IDENTIFICACIÓN TRABAJADOR'!$N$45+'IDENTIFICACIÓN TRABAJADOR'!$R$45)/(360-'IDENTIFICACIÓN TRABAJADOR'!$N$45-'IDENTIFICACIÓN TRABAJADOR'!$R$45)),2)</f>
        <v>0</v>
      </c>
      <c r="AP64" s="245"/>
      <c r="AQ64" s="246">
        <f>SUM('% DEDICACIÓN'!$G$46:$R$46)</f>
        <v>0</v>
      </c>
    </row>
    <row r="65" spans="2:43" ht="15" customHeight="1" x14ac:dyDescent="0.25">
      <c r="B65" s="236" t="s">
        <v>51</v>
      </c>
      <c r="C65" s="237">
        <f>IFERROR(IF(OR(DATE($B$57,MONTH(DATEVALUE(B65&amp;"1")),1)&lt;DATE(YEAR(EXPEDIENTE!$I$25),MONTH(EXPEDIENTE!$I$25),1),DATE($B$57,MONTH(DATEVALUE(B65&amp;"1")),1)&gt;DATE(YEAR(EXPEDIENTE!$I$27),MONTH(EXPEDIENTE!$I$27)+1,1)-1),0,ROUND('% DEDICACIÓN'!M46,4)),0)</f>
        <v>0</v>
      </c>
      <c r="D65" s="241">
        <f>'GASTOS EJER, 3'!F26+'GASTOS EJER, 3'!L26-'GASTOS EJER, 3'!X26-'GASTOS EJER, 3'!Y26</f>
        <v>0</v>
      </c>
      <c r="E65" s="239" t="str">
        <f>IF('GASTOS EJER, 3'!AA26="","",'GASTOS EJER, 3'!AA26)</f>
        <v/>
      </c>
      <c r="F65" s="240">
        <f>IF(E65&lt;=EXPEDIENTE!$I$29,D65,0)</f>
        <v>0</v>
      </c>
      <c r="G65" s="241">
        <f>'GASTOS EJER, 3'!Y26</f>
        <v>0</v>
      </c>
      <c r="H65" s="239" t="str">
        <f>IF('GASTOS EJER, 3'!AB26="","",'GASTOS EJER, 3'!AB26)</f>
        <v/>
      </c>
      <c r="I65" s="240">
        <f>IF(H65&lt;=EXPEDIENTE!$I$29,G65,0)</f>
        <v>0</v>
      </c>
      <c r="J65" s="242">
        <f>AUXILIAR!BU61</f>
        <v>0</v>
      </c>
      <c r="K65" s="241">
        <f>AUXILIAR!FP61</f>
        <v>0</v>
      </c>
      <c r="L65" s="239" t="str">
        <f>IF('GASTOS EJER, 3'!I55="","",'GASTOS EJER, 3'!I55)</f>
        <v/>
      </c>
      <c r="M65" s="240">
        <f>IF(L65&lt;=EXPEDIENTE!$I$29,K65,0)</f>
        <v>0</v>
      </c>
      <c r="N65" s="242">
        <f>IF($U$66=0,0,IF(AND($U$68&gt;$U$66,$U$64=1100%),MIN(AUXILIAR!$P$17,ROUND($U$66/$U$68*(F65+I65+J65+M65)*(1+('IDENTIFICACIÓN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4">
        <f t="shared" si="6"/>
        <v>0</v>
      </c>
      <c r="P65" s="215"/>
      <c r="S65" s="212">
        <f>ROUND(C65*(F65+I65+J65+M65)*(1+('IDENTIFICACIÓN TRABAJADOR'!$N$45+'IDENTIFICACIÓN TRABAJADOR'!$R$45)/(360-'IDENTIFICACIÓN TRABAJADOR'!$N$45-'IDENTIFICACIÓN TRABAJADOR'!$R$45)),2)</f>
        <v>0</v>
      </c>
      <c r="T65" s="245"/>
      <c r="U65" s="211" t="s">
        <v>223</v>
      </c>
      <c r="W65" s="236" t="s">
        <v>51</v>
      </c>
      <c r="X65" s="237">
        <f>IFERROR(IF(OR(DATE($B$57,MONTH(DATEVALUE(W65&amp;"1")),1)&lt;DATE(YEAR(EXPEDIENTE!$I$25),MONTH(EXPEDIENTE!$I$25),1),DATE($B$57,MONTH(DATEVALUE(W65&amp;"1")),1)&gt;DATE(YEAR(EXPEDIENTE!$I$27),MONTH(EXPEDIENTE!$I$27)+1,1)-1),0,ROUND('% DEDICACIÓN'!M46,4)),0)</f>
        <v>0</v>
      </c>
      <c r="Y65" s="241">
        <f>'GASTOS EJER, 3'!AW26+'GASTOS EJER, 3'!BM26-'GASTOS EJER, 3'!CM26-'GASTOS EJER, 3'!CP26</f>
        <v>0</v>
      </c>
      <c r="Z65" s="239" t="str">
        <f>IF('GASTOS EJER, 3'!CT26="","",'GASTOS EJER, 3'!CT26)</f>
        <v/>
      </c>
      <c r="AA65" s="240">
        <f>IF(Z65&lt;=EXPEDIENTE!$I$29,Y65,0)</f>
        <v>0</v>
      </c>
      <c r="AB65" s="241">
        <f>'GASTOS EJER, 3'!CP26</f>
        <v>0</v>
      </c>
      <c r="AC65" s="239" t="str">
        <f>IF('GASTOS EJER, 3'!CW26="","",'GASTOS EJER, 3'!CW26)</f>
        <v/>
      </c>
      <c r="AD65" s="240">
        <f>IF(AC65&lt;=EXPEDIENTE!$I$29,AB65,0)</f>
        <v>0</v>
      </c>
      <c r="AE65" s="242">
        <f>AUXILIAR!DL61</f>
        <v>0</v>
      </c>
      <c r="AF65" s="241">
        <f>AUXILIAR!HU61</f>
        <v>0</v>
      </c>
      <c r="AG65" s="239" t="str">
        <f>IF('GASTOS EJER, 3'!BF55="","",'GASTOS EJER, 3'!BF55)</f>
        <v/>
      </c>
      <c r="AH65" s="240">
        <f>IF(AG65&lt;=EXPEDIENTE!$I$29,AF65,0)</f>
        <v>0</v>
      </c>
      <c r="AI65" s="242">
        <f>IF($AQ$66=0,0,IF(AND($AQ$68&gt;$AQ$66,$AQ$64=1100%),MIN(AUXILIAR!$P$17,ROUND($AQ$66/$AQ$68*(AA65+AD65+AE65+AH65)*(1+('IDENTIFICACIÓN TRABAJADOR'!$N$45+'IDENTIFICACIÓN TRABAJADOR'!$R$45)/(360-'IDENTIFICACIÓN TRABAJADOR'!$N$45-'IDENTIFICACIÓN TRABAJADOR'!$R$45)),2)),MIN(AUXILIAR!$P$17,ROUND((AA65+AD65+AE65+AH65)*(1+('IDENTIFICACIÓN TRABAJADOR'!$N$45+'IDENTIFICACIÓN TRABAJADOR'!$R$45)/(360-'IDENTIFICACIÓN TRABAJADOR'!$N$45-'IDENTIFICACIÓN TRABAJADOR'!$R$45)),2))))</f>
        <v>0</v>
      </c>
      <c r="AJ65" s="243">
        <f t="shared" si="7"/>
        <v>0</v>
      </c>
      <c r="AK65" s="244">
        <f t="shared" si="8"/>
        <v>0</v>
      </c>
      <c r="AL65" s="215"/>
      <c r="AO65" s="212">
        <f>ROUND(X65*(AA65+AD65+AE65+AH65)*(1+('IDENTIFICACIÓN TRABAJADOR'!$N$45+'IDENTIFICACIÓN TRABAJADOR'!$R$45)/(360-'IDENTIFICACIÓN TRABAJADOR'!$N$45-'IDENTIFICACIÓN TRABAJADOR'!$R$45)),2)</f>
        <v>0</v>
      </c>
      <c r="AP65" s="245"/>
      <c r="AQ65" s="211" t="s">
        <v>223</v>
      </c>
    </row>
    <row r="66" spans="2:43" ht="15" customHeight="1" x14ac:dyDescent="0.25">
      <c r="B66" s="236" t="s">
        <v>52</v>
      </c>
      <c r="C66" s="237">
        <f>IFERROR(IF(OR(DATE($B$57,MONTH(DATEVALUE(B66&amp;"1")),1)&lt;DATE(YEAR(EXPEDIENTE!$I$25),MONTH(EXPEDIENTE!$I$25),1),DATE($B$57,MONTH(DATEVALUE(B66&amp;"1")),1)&gt;DATE(YEAR(EXPEDIENTE!$I$27),MONTH(EXPEDIENTE!$I$27)+1,1)-1),0,ROUND('% DEDICACIÓN'!N46,4)),0)</f>
        <v>0</v>
      </c>
      <c r="D66" s="241">
        <f>'GASTOS EJER, 3'!F27+'GASTOS EJER, 3'!L27-'GASTOS EJER, 3'!X27-'GASTOS EJER, 3'!Y27</f>
        <v>0</v>
      </c>
      <c r="E66" s="239" t="str">
        <f>IF('GASTOS EJER, 3'!AA27="","",'GASTOS EJER, 3'!AA27)</f>
        <v/>
      </c>
      <c r="F66" s="240">
        <f>IF(E66&lt;=EXPEDIENTE!$I$29,D66,0)</f>
        <v>0</v>
      </c>
      <c r="G66" s="241">
        <f>'GASTOS EJER, 3'!Y27</f>
        <v>0</v>
      </c>
      <c r="H66" s="239" t="str">
        <f>IF('GASTOS EJER, 3'!AB27="","",'GASTOS EJER, 3'!AB27)</f>
        <v/>
      </c>
      <c r="I66" s="240">
        <f>IF(H66&lt;=EXPEDIENTE!$I$29,G66,0)</f>
        <v>0</v>
      </c>
      <c r="J66" s="242">
        <f>AUXILIAR!BU62</f>
        <v>0</v>
      </c>
      <c r="K66" s="241">
        <f>AUXILIAR!FP62</f>
        <v>0</v>
      </c>
      <c r="L66" s="239" t="str">
        <f>IF('GASTOS EJER, 3'!I56="","",'GASTOS EJER, 3'!I56)</f>
        <v/>
      </c>
      <c r="M66" s="240">
        <f>IF(L66&lt;=EXPEDIENTE!$I$29,K66,0)</f>
        <v>0</v>
      </c>
      <c r="N66" s="242">
        <f>IF($U$66=0,0,IF(AND($U$68&gt;$U$66,$U$64=1100%),MIN(AUXILIAR!$P$17,ROUND($U$66/$U$68*(F66+I66+J66+M66)*(1+('IDENTIFICACIÓN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4">
        <f t="shared" si="6"/>
        <v>0</v>
      </c>
      <c r="P66" s="215"/>
      <c r="S66" s="212">
        <f>ROUND(C66*(F66+I66+J66+M66)*(1+('IDENTIFICACIÓN TRABAJADOR'!$N$45+'IDENTIFICACIÓN TRABAJADOR'!$R$45)/(360-'IDENTIFICACIÓN TRABAJADOR'!$N$45-'IDENTIFICACIÓN TRABAJADOR'!$R$45)),2)</f>
        <v>0</v>
      </c>
      <c r="T66" s="245"/>
      <c r="U66" s="247">
        <f>SUM(F59:F70)+SUM(I59:I70)+SUM(J59:J70)+SUM(M59:M70)</f>
        <v>0</v>
      </c>
      <c r="W66" s="236" t="s">
        <v>52</v>
      </c>
      <c r="X66" s="237">
        <f>IFERROR(IF(OR(DATE($B$57,MONTH(DATEVALUE(W66&amp;"1")),1)&lt;DATE(YEAR(EXPEDIENTE!$I$25),MONTH(EXPEDIENTE!$I$25),1),DATE($B$57,MONTH(DATEVALUE(W66&amp;"1")),1)&gt;DATE(YEAR(EXPEDIENTE!$I$27),MONTH(EXPEDIENTE!$I$27)+1,1)-1),0,ROUND('% DEDICACIÓN'!N46,4)),0)</f>
        <v>0</v>
      </c>
      <c r="Y66" s="241">
        <f>'GASTOS EJER, 3'!AW27+'GASTOS EJER, 3'!BM27-'GASTOS EJER, 3'!CM27-'GASTOS EJER, 3'!CP27</f>
        <v>0</v>
      </c>
      <c r="Z66" s="239" t="str">
        <f>IF('GASTOS EJER, 3'!CT27="","",'GASTOS EJER, 3'!CT27)</f>
        <v/>
      </c>
      <c r="AA66" s="240">
        <f>IF(Z66&lt;=EXPEDIENTE!$I$29,Y66,0)</f>
        <v>0</v>
      </c>
      <c r="AB66" s="241">
        <f>'GASTOS EJER, 3'!CP27</f>
        <v>0</v>
      </c>
      <c r="AC66" s="239" t="str">
        <f>IF('GASTOS EJER, 3'!CW27="","",'GASTOS EJER, 3'!CW27)</f>
        <v/>
      </c>
      <c r="AD66" s="240">
        <f>IF(AC66&lt;=EXPEDIENTE!$I$29,AB66,0)</f>
        <v>0</v>
      </c>
      <c r="AE66" s="242">
        <f>AUXILIAR!DL62</f>
        <v>0</v>
      </c>
      <c r="AF66" s="241">
        <f>AUXILIAR!HU62</f>
        <v>0</v>
      </c>
      <c r="AG66" s="239" t="str">
        <f>IF('GASTOS EJER, 3'!BF56="","",'GASTOS EJER, 3'!BF56)</f>
        <v/>
      </c>
      <c r="AH66" s="240">
        <f>IF(AG66&lt;=EXPEDIENTE!$I$29,AF66,0)</f>
        <v>0</v>
      </c>
      <c r="AI66" s="242">
        <f>IF($AQ$66=0,0,IF(AND($AQ$68&gt;$AQ$66,$AQ$64=1100%),MIN(AUXILIAR!$P$17,ROUND($AQ$66/$AQ$68*(AA66+AD66+AE66+AH66)*(1+('IDENTIFICACIÓN TRABAJADOR'!$N$45+'IDENTIFICACIÓN TRABAJADOR'!$R$45)/(360-'IDENTIFICACIÓN TRABAJADOR'!$N$45-'IDENTIFICACIÓN TRABAJADOR'!$R$45)),2)),MIN(AUXILIAR!$P$17,ROUND((AA66+AD66+AE66+AH66)*(1+('IDENTIFICACIÓN TRABAJADOR'!$N$45+'IDENTIFICACIÓN TRABAJADOR'!$R$45)/(360-'IDENTIFICACIÓN TRABAJADOR'!$N$45-'IDENTIFICACIÓN TRABAJADOR'!$R$45)),2))))</f>
        <v>0</v>
      </c>
      <c r="AJ66" s="243">
        <f t="shared" si="7"/>
        <v>0</v>
      </c>
      <c r="AK66" s="244">
        <f t="shared" si="8"/>
        <v>0</v>
      </c>
      <c r="AL66" s="215"/>
      <c r="AO66" s="212">
        <f>ROUND(X66*(AA66+AD66+AE66+AH66)*(1+('IDENTIFICACIÓN TRABAJADOR'!$N$45+'IDENTIFICACIÓN TRABAJADOR'!$R$45)/(360-'IDENTIFICACIÓN TRABAJADOR'!$N$45-'IDENTIFICACIÓN TRABAJADOR'!$R$45)),2)</f>
        <v>0</v>
      </c>
      <c r="AP66" s="245"/>
      <c r="AQ66" s="247">
        <f>SUM(AA59:AA70)+SUM(AD59:AD70)+SUM(AE59:AE70)+SUM(AH59:AH70)</f>
        <v>0</v>
      </c>
    </row>
    <row r="67" spans="2:43" ht="15" customHeight="1" x14ac:dyDescent="0.25">
      <c r="B67" s="236" t="s">
        <v>53</v>
      </c>
      <c r="C67" s="237">
        <f>IFERROR(IF(OR(DATE($B$57,MONTH(DATEVALUE(B67&amp;"1")),1)&lt;DATE(YEAR(EXPEDIENTE!$I$25),MONTH(EXPEDIENTE!$I$25),1),DATE($B$57,MONTH(DATEVALUE(B67&amp;"1")),1)&gt;DATE(YEAR(EXPEDIENTE!$I$27),MONTH(EXPEDIENTE!$I$27)+1,1)-1),0,ROUND('% DEDICACIÓN'!O46,4)),0)</f>
        <v>0</v>
      </c>
      <c r="D67" s="241">
        <f>'GASTOS EJER, 3'!F28+'GASTOS EJER, 3'!L28-'GASTOS EJER, 3'!X28-'GASTOS EJER, 3'!Y28</f>
        <v>0</v>
      </c>
      <c r="E67" s="239" t="str">
        <f>IF('GASTOS EJER, 3'!AA28="","",'GASTOS EJER, 3'!AA28)</f>
        <v/>
      </c>
      <c r="F67" s="240">
        <f>IF(E67&lt;=EXPEDIENTE!$I$29,D67,0)</f>
        <v>0</v>
      </c>
      <c r="G67" s="241">
        <f>'GASTOS EJER, 3'!Y28</f>
        <v>0</v>
      </c>
      <c r="H67" s="239" t="str">
        <f>IF('GASTOS EJER, 3'!AB28="","",'GASTOS EJER, 3'!AB28)</f>
        <v/>
      </c>
      <c r="I67" s="240">
        <f>IF(H67&lt;=EXPEDIENTE!$I$29,G67,0)</f>
        <v>0</v>
      </c>
      <c r="J67" s="242">
        <f>AUXILIAR!BU63</f>
        <v>0</v>
      </c>
      <c r="K67" s="241">
        <f>AUXILIAR!FP63</f>
        <v>0</v>
      </c>
      <c r="L67" s="239" t="str">
        <f>IF('GASTOS EJER, 3'!I57="","",'GASTOS EJER, 3'!I57)</f>
        <v/>
      </c>
      <c r="M67" s="240">
        <f>IF(L67&lt;=EXPEDIENTE!$I$29,K67,0)</f>
        <v>0</v>
      </c>
      <c r="N67" s="242">
        <f>IF($U$66=0,0,IF(AND($U$68&gt;$U$66,$U$64=1100%),MIN(AUXILIAR!$P$17,ROUND($U$66/$U$68*(F67+I67+J67+M67)*(1+('IDENTIFICACIÓN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4">
        <f t="shared" si="6"/>
        <v>0</v>
      </c>
      <c r="P67" s="215"/>
      <c r="S67" s="212">
        <f>ROUND(C67*(F67+I67+J67+M67)*(1+('IDENTIFICACIÓN TRABAJADOR'!$N$45+'IDENTIFICACIÓN TRABAJADOR'!$R$45)/(360-'IDENTIFICACIÓN TRABAJADOR'!$N$45-'IDENTIFICACIÓN TRABAJADOR'!$R$45)),2)</f>
        <v>0</v>
      </c>
      <c r="T67" s="245"/>
      <c r="U67" s="211" t="s">
        <v>224</v>
      </c>
      <c r="W67" s="236" t="s">
        <v>53</v>
      </c>
      <c r="X67" s="237">
        <f>IFERROR(IF(OR(DATE($B$57,MONTH(DATEVALUE(W67&amp;"1")),1)&lt;DATE(YEAR(EXPEDIENTE!$I$25),MONTH(EXPEDIENTE!$I$25),1),DATE($B$57,MONTH(DATEVALUE(W67&amp;"1")),1)&gt;DATE(YEAR(EXPEDIENTE!$I$27),MONTH(EXPEDIENTE!$I$27)+1,1)-1),0,ROUND('% DEDICACIÓN'!O46,4)),0)</f>
        <v>0</v>
      </c>
      <c r="Y67" s="241">
        <f>'GASTOS EJER, 3'!AW28+'GASTOS EJER, 3'!BM28-'GASTOS EJER, 3'!CM28-'GASTOS EJER, 3'!CP28</f>
        <v>0</v>
      </c>
      <c r="Z67" s="239" t="str">
        <f>IF('GASTOS EJER, 3'!CT28="","",'GASTOS EJER, 3'!CT28)</f>
        <v/>
      </c>
      <c r="AA67" s="240">
        <f>IF(Z67&lt;=EXPEDIENTE!$I$29,Y67,0)</f>
        <v>0</v>
      </c>
      <c r="AB67" s="241">
        <f>'GASTOS EJER, 3'!CP28</f>
        <v>0</v>
      </c>
      <c r="AC67" s="239" t="str">
        <f>IF('GASTOS EJER, 3'!CW28="","",'GASTOS EJER, 3'!CW28)</f>
        <v/>
      </c>
      <c r="AD67" s="240">
        <f>IF(AC67&lt;=EXPEDIENTE!$I$29,AB67,0)</f>
        <v>0</v>
      </c>
      <c r="AE67" s="242">
        <f>AUXILIAR!DL63</f>
        <v>0</v>
      </c>
      <c r="AF67" s="241">
        <f>AUXILIAR!HU63</f>
        <v>0</v>
      </c>
      <c r="AG67" s="239" t="str">
        <f>IF('GASTOS EJER, 3'!BF57="","",'GASTOS EJER, 3'!BF57)</f>
        <v/>
      </c>
      <c r="AH67" s="240">
        <f>IF(AG67&lt;=EXPEDIENTE!$I$29,AF67,0)</f>
        <v>0</v>
      </c>
      <c r="AI67" s="242">
        <f>IF($AQ$66=0,0,IF(AND($AQ$68&gt;$AQ$66,$AQ$64=1100%),MIN(AUXILIAR!$P$17,ROUND($AQ$66/$AQ$68*(AA67+AD67+AE67+AH67)*(1+('IDENTIFICACIÓN TRABAJADOR'!$N$45+'IDENTIFICACIÓN TRABAJADOR'!$R$45)/(360-'IDENTIFICACIÓN TRABAJADOR'!$N$45-'IDENTIFICACIÓN TRABAJADOR'!$R$45)),2)),MIN(AUXILIAR!$P$17,ROUND((AA67+AD67+AE67+AH67)*(1+('IDENTIFICACIÓN TRABAJADOR'!$N$45+'IDENTIFICACIÓN TRABAJADOR'!$R$45)/(360-'IDENTIFICACIÓN TRABAJADOR'!$N$45-'IDENTIFICACIÓN TRABAJADOR'!$R$45)),2))))</f>
        <v>0</v>
      </c>
      <c r="AJ67" s="243">
        <f t="shared" si="7"/>
        <v>0</v>
      </c>
      <c r="AK67" s="244">
        <f t="shared" si="8"/>
        <v>0</v>
      </c>
      <c r="AL67" s="215"/>
      <c r="AO67" s="212">
        <f>ROUND(X67*(AA67+AD67+AE67+AH67)*(1+('IDENTIFICACIÓN TRABAJADOR'!$N$45+'IDENTIFICACIÓN TRABAJADOR'!$R$45)/(360-'IDENTIFICACIÓN TRABAJADOR'!$N$45-'IDENTIFICACIÓN TRABAJADOR'!$R$45)),2)</f>
        <v>0</v>
      </c>
      <c r="AP67" s="245"/>
      <c r="AQ67" s="211" t="s">
        <v>224</v>
      </c>
    </row>
    <row r="68" spans="2:43" ht="15" customHeight="1" x14ac:dyDescent="0.25">
      <c r="B68" s="236" t="s">
        <v>54</v>
      </c>
      <c r="C68" s="237">
        <f>IFERROR(IF(OR(DATE($B$57,MONTH(DATEVALUE(B68&amp;"1")),1)&lt;DATE(YEAR(EXPEDIENTE!$I$25),MONTH(EXPEDIENTE!$I$25),1),DATE($B$57,MONTH(DATEVALUE(B68&amp;"1")),1)&gt;DATE(YEAR(EXPEDIENTE!$I$27),MONTH(EXPEDIENTE!$I$27)+1,1)-1),0,ROUND('% DEDICACIÓN'!P46,4)),0)</f>
        <v>0</v>
      </c>
      <c r="D68" s="241">
        <f>'GASTOS EJER, 3'!F29+'GASTOS EJER, 3'!L29-'GASTOS EJER, 3'!X29-'GASTOS EJER, 3'!Y29</f>
        <v>0</v>
      </c>
      <c r="E68" s="239" t="str">
        <f>IF('GASTOS EJER, 3'!AA29="","",'GASTOS EJER, 3'!AA29)</f>
        <v/>
      </c>
      <c r="F68" s="240">
        <f>IF(E68&lt;=EXPEDIENTE!$I$29,D68,0)</f>
        <v>0</v>
      </c>
      <c r="G68" s="241">
        <f>'GASTOS EJER, 3'!Y29</f>
        <v>0</v>
      </c>
      <c r="H68" s="239" t="str">
        <f>IF('GASTOS EJER, 3'!AB29="","",'GASTOS EJER, 3'!AB29)</f>
        <v/>
      </c>
      <c r="I68" s="240">
        <f>IF(H68&lt;=EXPEDIENTE!$I$29,G68,0)</f>
        <v>0</v>
      </c>
      <c r="J68" s="242">
        <f>AUXILIAR!BU64</f>
        <v>0</v>
      </c>
      <c r="K68" s="241">
        <f>AUXILIAR!FP64</f>
        <v>0</v>
      </c>
      <c r="L68" s="239" t="str">
        <f>IF('GASTOS EJER, 3'!I58="","",'GASTOS EJER, 3'!I58)</f>
        <v/>
      </c>
      <c r="M68" s="240">
        <f>IF(L68&lt;=EXPEDIENTE!$I$29,K68,0)</f>
        <v>0</v>
      </c>
      <c r="N68" s="242">
        <f>IF($U$66=0,0,IF(AND($U$68&gt;$U$66,$U$64=1100%),MIN(AUXILIAR!$P$17,ROUND($U$66/$U$68*(F68+I68+J68+M68)*(1+('IDENTIFICACIÓN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4">
        <f t="shared" si="6"/>
        <v>0</v>
      </c>
      <c r="P68" s="215"/>
      <c r="S68" s="212">
        <f>ROUND(C68*(F68+I68+J68+M68)*(1+('IDENTIFICACIÓN TRABAJADOR'!$N$45+'IDENTIFICACIÓN TRABAJADOR'!$R$45)/(360-'IDENTIFICACIÓN TRABAJADOR'!$N$45-'IDENTIFICACIÓN TRABAJADOR'!$R$45)),2)</f>
        <v>0</v>
      </c>
      <c r="T68" s="245"/>
      <c r="U68" s="247">
        <f>SUM(S59:S70)</f>
        <v>0</v>
      </c>
      <c r="W68" s="236" t="s">
        <v>54</v>
      </c>
      <c r="X68" s="237">
        <f>IFERROR(IF(OR(DATE($B$57,MONTH(DATEVALUE(W68&amp;"1")),1)&lt;DATE(YEAR(EXPEDIENTE!$I$25),MONTH(EXPEDIENTE!$I$25),1),DATE($B$57,MONTH(DATEVALUE(W68&amp;"1")),1)&gt;DATE(YEAR(EXPEDIENTE!$I$27),MONTH(EXPEDIENTE!$I$27)+1,1)-1),0,ROUND('% DEDICACIÓN'!P46,4)),0)</f>
        <v>0</v>
      </c>
      <c r="Y68" s="241">
        <f>'GASTOS EJER, 3'!AW29+'GASTOS EJER, 3'!BM29-'GASTOS EJER, 3'!CM29-'GASTOS EJER, 3'!CP29</f>
        <v>0</v>
      </c>
      <c r="Z68" s="239" t="str">
        <f>IF('GASTOS EJER, 3'!CT29="","",'GASTOS EJER, 3'!CT29)</f>
        <v/>
      </c>
      <c r="AA68" s="240">
        <f>IF(Z68&lt;=EXPEDIENTE!$I$29,Y68,0)</f>
        <v>0</v>
      </c>
      <c r="AB68" s="241">
        <f>'GASTOS EJER, 3'!CP29</f>
        <v>0</v>
      </c>
      <c r="AC68" s="239" t="str">
        <f>IF('GASTOS EJER, 3'!CW29="","",'GASTOS EJER, 3'!CW29)</f>
        <v/>
      </c>
      <c r="AD68" s="240">
        <f>IF(AC68&lt;=EXPEDIENTE!$I$29,AB68,0)</f>
        <v>0</v>
      </c>
      <c r="AE68" s="242">
        <f>AUXILIAR!DL64</f>
        <v>0</v>
      </c>
      <c r="AF68" s="241">
        <f>AUXILIAR!HU64</f>
        <v>0</v>
      </c>
      <c r="AG68" s="239" t="str">
        <f>IF('GASTOS EJER, 3'!BF58="","",'GASTOS EJER, 3'!BF58)</f>
        <v/>
      </c>
      <c r="AH68" s="240">
        <f>IF(AG68&lt;=EXPEDIENTE!$I$29,AF68,0)</f>
        <v>0</v>
      </c>
      <c r="AI68" s="242">
        <f>IF($AQ$66=0,0,IF(AND($AQ$68&gt;$AQ$66,$AQ$64=1100%),MIN(AUXILIAR!$P$17,ROUND($AQ$66/$AQ$68*(AA68+AD68+AE68+AH68)*(1+('IDENTIFICACIÓN TRABAJADOR'!$N$45+'IDENTIFICACIÓN TRABAJADOR'!$R$45)/(360-'IDENTIFICACIÓN TRABAJADOR'!$N$45-'IDENTIFICACIÓN TRABAJADOR'!$R$45)),2)),MIN(AUXILIAR!$P$17,ROUND((AA68+AD68+AE68+AH68)*(1+('IDENTIFICACIÓN TRABAJADOR'!$N$45+'IDENTIFICACIÓN TRABAJADOR'!$R$45)/(360-'IDENTIFICACIÓN TRABAJADOR'!$N$45-'IDENTIFICACIÓN TRABAJADOR'!$R$45)),2))))</f>
        <v>0</v>
      </c>
      <c r="AJ68" s="243">
        <f t="shared" si="7"/>
        <v>0</v>
      </c>
      <c r="AK68" s="244">
        <f t="shared" si="8"/>
        <v>0</v>
      </c>
      <c r="AL68" s="215"/>
      <c r="AO68" s="212">
        <f>ROUND(X68*(AA68+AD68+AE68+AH68)*(1+('IDENTIFICACIÓN TRABAJADOR'!$N$45+'IDENTIFICACIÓN TRABAJADOR'!$R$45)/(360-'IDENTIFICACIÓN TRABAJADOR'!$N$45-'IDENTIFICACIÓN TRABAJADOR'!$R$45)),2)</f>
        <v>0</v>
      </c>
      <c r="AP68" s="245"/>
      <c r="AQ68" s="247">
        <f>SUM(AO59:AO70)</f>
        <v>0</v>
      </c>
    </row>
    <row r="69" spans="2:43" ht="15" customHeight="1" x14ac:dyDescent="0.25">
      <c r="B69" s="236" t="s">
        <v>55</v>
      </c>
      <c r="C69" s="237">
        <f>IFERROR(IF(OR(DATE($B$57,MONTH(DATEVALUE(B69&amp;"1")),1)&lt;DATE(YEAR(EXPEDIENTE!$I$25),MONTH(EXPEDIENTE!$I$25),1),DATE($B$57,MONTH(DATEVALUE(B69&amp;"1")),1)&gt;DATE(YEAR(EXPEDIENTE!$I$27),MONTH(EXPEDIENTE!$I$27)+1,1)-1),0,ROUND('% DEDICACIÓN'!Q46,4)),0)</f>
        <v>0</v>
      </c>
      <c r="D69" s="241">
        <f>'GASTOS EJER, 3'!F30+'GASTOS EJER, 3'!L30-'GASTOS EJER, 3'!X30-'GASTOS EJER, 3'!Y30</f>
        <v>0</v>
      </c>
      <c r="E69" s="239" t="str">
        <f>IF('GASTOS EJER, 3'!AA30="","",'GASTOS EJER, 3'!AA30)</f>
        <v/>
      </c>
      <c r="F69" s="240">
        <f>IF(E69&lt;=EXPEDIENTE!$I$29,D69,0)</f>
        <v>0</v>
      </c>
      <c r="G69" s="241">
        <f>'GASTOS EJER, 3'!Y30</f>
        <v>0</v>
      </c>
      <c r="H69" s="239" t="str">
        <f>IF('GASTOS EJER, 3'!AB30="","",'GASTOS EJER, 3'!AB30)</f>
        <v/>
      </c>
      <c r="I69" s="240">
        <f>IF(H69&lt;=EXPEDIENTE!$I$29,G69,0)</f>
        <v>0</v>
      </c>
      <c r="J69" s="242">
        <f>AUXILIAR!BU65</f>
        <v>0</v>
      </c>
      <c r="K69" s="241">
        <f>AUXILIAR!FP65</f>
        <v>0</v>
      </c>
      <c r="L69" s="239" t="str">
        <f>IF('GASTOS EJER, 3'!I59="","",'GASTOS EJER, 3'!I59)</f>
        <v/>
      </c>
      <c r="M69" s="240">
        <f>IF(L69&lt;=EXPEDIENTE!$I$29,K69,0)</f>
        <v>0</v>
      </c>
      <c r="N69" s="242">
        <f>IF($U$66=0,0,IF(AND($U$68&gt;$U$66,$U$64=1100%),MIN(AUXILIAR!$P$17,ROUND($U$66/$U$68*(F69+I69+J69+M69)*(1+('IDENTIFICACIÓN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4">
        <f t="shared" si="6"/>
        <v>0</v>
      </c>
      <c r="P69" s="215"/>
      <c r="S69" s="212">
        <f>ROUND(C69*(F69+I69+J69+M69)*(1+('IDENTIFICACIÓN TRABAJADOR'!$N$45+'IDENTIFICACIÓN TRABAJADOR'!$R$45)/(360-'IDENTIFICACIÓN TRABAJADOR'!$N$45-'IDENTIFICACIÓN TRABAJADOR'!$R$45)),2)</f>
        <v>0</v>
      </c>
      <c r="T69" s="245"/>
      <c r="U69" s="211" t="s">
        <v>225</v>
      </c>
      <c r="W69" s="236" t="s">
        <v>55</v>
      </c>
      <c r="X69" s="237">
        <f>IFERROR(IF(OR(DATE($B$57,MONTH(DATEVALUE(W69&amp;"1")),1)&lt;DATE(YEAR(EXPEDIENTE!$I$25),MONTH(EXPEDIENTE!$I$25),1),DATE($B$57,MONTH(DATEVALUE(W69&amp;"1")),1)&gt;DATE(YEAR(EXPEDIENTE!$I$27),MONTH(EXPEDIENTE!$I$27)+1,1)-1),0,ROUND('% DEDICACIÓN'!Q46,4)),0)</f>
        <v>0</v>
      </c>
      <c r="Y69" s="241">
        <f>'GASTOS EJER, 3'!AW30+'GASTOS EJER, 3'!BM30-'GASTOS EJER, 3'!CM30-'GASTOS EJER, 3'!CP30</f>
        <v>0</v>
      </c>
      <c r="Z69" s="239" t="str">
        <f>IF('GASTOS EJER, 3'!CT30="","",'GASTOS EJER, 3'!CT30)</f>
        <v/>
      </c>
      <c r="AA69" s="240">
        <f>IF(Z69&lt;=EXPEDIENTE!$I$29,Y69,0)</f>
        <v>0</v>
      </c>
      <c r="AB69" s="241">
        <f>'GASTOS EJER, 3'!CP30</f>
        <v>0</v>
      </c>
      <c r="AC69" s="239" t="str">
        <f>IF('GASTOS EJER, 3'!CW30="","",'GASTOS EJER, 3'!CW30)</f>
        <v/>
      </c>
      <c r="AD69" s="240">
        <f>IF(AC69&lt;=EXPEDIENTE!$I$29,AB69,0)</f>
        <v>0</v>
      </c>
      <c r="AE69" s="242">
        <f>AUXILIAR!DL65</f>
        <v>0</v>
      </c>
      <c r="AF69" s="241">
        <f>AUXILIAR!HU65</f>
        <v>0</v>
      </c>
      <c r="AG69" s="239" t="str">
        <f>IF('GASTOS EJER, 3'!BF59="","",'GASTOS EJER, 3'!BF59)</f>
        <v/>
      </c>
      <c r="AH69" s="240">
        <f>IF(AG69&lt;=EXPEDIENTE!$I$29,AF69,0)</f>
        <v>0</v>
      </c>
      <c r="AI69" s="242">
        <f>IF($AQ$66=0,0,IF(AND($AQ$68&gt;$AQ$66,$AQ$64=1100%),MIN(AUXILIAR!$P$17,ROUND($AQ$66/$AQ$68*(AA69+AD69+AE69+AH69)*(1+('IDENTIFICACIÓN TRABAJADOR'!$N$45+'IDENTIFICACIÓN TRABAJADOR'!$R$45)/(360-'IDENTIFICACIÓN TRABAJADOR'!$N$45-'IDENTIFICACIÓN TRABAJADOR'!$R$45)),2)),MIN(AUXILIAR!$P$17,ROUND((AA69+AD69+AE69+AH69)*(1+('IDENTIFICACIÓN TRABAJADOR'!$N$45+'IDENTIFICACIÓN TRABAJADOR'!$R$45)/(360-'IDENTIFICACIÓN TRABAJADOR'!$N$45-'IDENTIFICACIÓN TRABAJADOR'!$R$45)),2))))</f>
        <v>0</v>
      </c>
      <c r="AJ69" s="243">
        <f t="shared" si="7"/>
        <v>0</v>
      </c>
      <c r="AK69" s="244">
        <f t="shared" si="8"/>
        <v>0</v>
      </c>
      <c r="AL69" s="215"/>
      <c r="AO69" s="212">
        <f>ROUND(X69*(AA69+AD69+AE69+AH69)*(1+('IDENTIFICACIÓN TRABAJADOR'!$N$45+'IDENTIFICACIÓN TRABAJADOR'!$R$45)/(360-'IDENTIFICACIÓN TRABAJADOR'!$N$45-'IDENTIFICACIÓN TRABAJADOR'!$R$45)),2)</f>
        <v>0</v>
      </c>
      <c r="AP69" s="245"/>
      <c r="AQ69" s="211" t="s">
        <v>225</v>
      </c>
    </row>
    <row r="70" spans="2:43" ht="15" customHeight="1" thickBot="1" x14ac:dyDescent="0.3">
      <c r="B70" s="248" t="s">
        <v>56</v>
      </c>
      <c r="C70" s="249">
        <f>IFERROR(IF(OR(DATE($B$57,MONTH(DATEVALUE(B70&amp;"1")),1)&lt;DATE(YEAR(EXPEDIENTE!$I$25),MONTH(EXPEDIENTE!$I$25),1),DATE($B$57,MONTH(DATEVALUE(B70&amp;"1")),1)&gt;DATE(YEAR(EXPEDIENTE!$I$27),MONTH(EXPEDIENTE!$I$27)+1,1)-1),0,ROUND('% DEDICACIÓN'!R46,4)),0)</f>
        <v>0</v>
      </c>
      <c r="D70" s="253">
        <f>'GASTOS EJER, 3'!F31+'GASTOS EJER, 3'!L31-'GASTOS EJER, 3'!X31-'GASTOS EJER, 3'!Y31</f>
        <v>0</v>
      </c>
      <c r="E70" s="251" t="str">
        <f>IF('GASTOS EJER, 3'!AA31="","",'GASTOS EJER, 3'!AA31)</f>
        <v/>
      </c>
      <c r="F70" s="252">
        <f>IF(E70&lt;=EXPEDIENTE!$I$29,D70,0)</f>
        <v>0</v>
      </c>
      <c r="G70" s="253">
        <f>'GASTOS EJER, 3'!Y31</f>
        <v>0</v>
      </c>
      <c r="H70" s="251" t="str">
        <f>IF('GASTOS EJER, 3'!AB31="","",'GASTOS EJER, 3'!AB31)</f>
        <v/>
      </c>
      <c r="I70" s="252">
        <f>IF(H70&lt;=EXPEDIENTE!$I$29,G70,0)</f>
        <v>0</v>
      </c>
      <c r="J70" s="254">
        <f>AUXILIAR!BU66</f>
        <v>0</v>
      </c>
      <c r="K70" s="253">
        <f>AUXILIAR!FP66</f>
        <v>0</v>
      </c>
      <c r="L70" s="251" t="str">
        <f>IF('GASTOS EJER, 3'!I60="","",'GASTOS EJER, 3'!I60)</f>
        <v/>
      </c>
      <c r="M70" s="252">
        <f>IF(L70&lt;=EXPEDIENTE!$I$29,K70,0)</f>
        <v>0</v>
      </c>
      <c r="N70" s="254">
        <f>IF($U$66=0,0,IF(AND($U$68&gt;$U$66,$U$64=1100%),MIN(AUXILIAR!$P$17,ROUND($U$66/$U$68*(F70+I70+J70+M70)*(1+('IDENTIFICACIÓN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6">
        <f t="shared" si="6"/>
        <v>0</v>
      </c>
      <c r="P70" s="215"/>
      <c r="S70" s="212">
        <f>ROUND(C70*(F70+I70+J70+M70)*(1+('IDENTIFICACIÓN TRABAJADOR'!$N$45+'IDENTIFICACIÓN TRABAJADOR'!$R$45)/(360-'IDENTIFICACIÓN TRABAJADOR'!$N$45-'IDENTIFICACIÓN TRABAJADOR'!$R$45)),2)</f>
        <v>0</v>
      </c>
      <c r="T70" s="245"/>
      <c r="U70" s="211" t="str">
        <f>IF(U68=0,"",U66/U68)</f>
        <v/>
      </c>
      <c r="W70" s="248" t="s">
        <v>56</v>
      </c>
      <c r="X70" s="249">
        <f>IFERROR(IF(OR(DATE($B$57,MONTH(DATEVALUE(W70&amp;"1")),1)&lt;DATE(YEAR(EXPEDIENTE!$I$25),MONTH(EXPEDIENTE!$I$25),1),DATE($B$57,MONTH(DATEVALUE(W70&amp;"1")),1)&gt;DATE(YEAR(EXPEDIENTE!$I$27),MONTH(EXPEDIENTE!$I$27)+1,1)-1),0,ROUND('% DEDICACIÓN'!R46,4)),0)</f>
        <v>0</v>
      </c>
      <c r="Y70" s="253">
        <f>'GASTOS EJER, 3'!AW31+'GASTOS EJER, 3'!BM31-'GASTOS EJER, 3'!CM31-'GASTOS EJER, 3'!CP31</f>
        <v>0</v>
      </c>
      <c r="Z70" s="251" t="str">
        <f>IF('GASTOS EJER, 3'!CT31="","",'GASTOS EJER, 3'!CT31)</f>
        <v/>
      </c>
      <c r="AA70" s="252">
        <f>IF(Z70&lt;=EXPEDIENTE!$I$29,Y70,0)</f>
        <v>0</v>
      </c>
      <c r="AB70" s="253">
        <f>'GASTOS EJER, 3'!CP31</f>
        <v>0</v>
      </c>
      <c r="AC70" s="251" t="str">
        <f>IF('GASTOS EJER, 3'!CW31="","",'GASTOS EJER, 3'!CW31)</f>
        <v/>
      </c>
      <c r="AD70" s="252">
        <f>IF(AC70&lt;=EXPEDIENTE!$I$29,AB70,0)</f>
        <v>0</v>
      </c>
      <c r="AE70" s="254">
        <f>AUXILIAR!DL66</f>
        <v>0</v>
      </c>
      <c r="AF70" s="253">
        <f>AUXILIAR!HU66</f>
        <v>0</v>
      </c>
      <c r="AG70" s="251" t="str">
        <f>IF('GASTOS EJER, 3'!BF60="","",'GASTOS EJER, 3'!BF60)</f>
        <v/>
      </c>
      <c r="AH70" s="252">
        <f>IF(AG70&lt;=EXPEDIENTE!$I$29,AF70,0)</f>
        <v>0</v>
      </c>
      <c r="AI70" s="254">
        <f>IF($AQ$66=0,0,IF(AND($AQ$68&gt;$AQ$66,$AQ$64=1100%),MIN(AUXILIAR!$P$17,ROUND($AQ$66/$AQ$68*(AA70+AD70+AE70+AH70)*(1+('IDENTIFICACIÓN TRABAJADOR'!$N$45+'IDENTIFICACIÓN TRABAJADOR'!$R$45)/(360-'IDENTIFICACIÓN TRABAJADOR'!$N$45-'IDENTIFICACIÓN TRABAJADOR'!$R$45)),2)),MIN(AUXILIAR!$P$17,ROUND((AA70+AD70+AE70+AH70)*(1+('IDENTIFICACIÓN TRABAJADOR'!$N$45+'IDENTIFICACIÓN TRABAJADOR'!$R$45)/(360-'IDENTIFICACIÓN TRABAJADOR'!$N$45-'IDENTIFICACIÓN TRABAJADOR'!$R$45)),2))))</f>
        <v>0</v>
      </c>
      <c r="AJ70" s="255">
        <f t="shared" si="7"/>
        <v>0</v>
      </c>
      <c r="AK70" s="256">
        <f t="shared" si="8"/>
        <v>0</v>
      </c>
      <c r="AL70" s="215"/>
      <c r="AO70" s="212">
        <f>ROUND(X70*(AA70+AD70+AE70+AH70)*(1+('IDENTIFICACIÓN TRABAJADOR'!$N$45+'IDENTIFICACIÓN TRABAJADOR'!$R$45)/(360-'IDENTIFICACIÓN TRABAJADOR'!$N$45-'IDENTIFICACIÓN TRABAJADOR'!$R$45)),2)</f>
        <v>0</v>
      </c>
      <c r="AP70" s="245"/>
      <c r="AQ70" s="211" t="str">
        <f>IF(AQ68=0,"",AQ66/AQ68)</f>
        <v/>
      </c>
    </row>
    <row r="71" spans="2:43" ht="14.25" thickBot="1" x14ac:dyDescent="0.3">
      <c r="M71" s="257"/>
      <c r="N71" s="257"/>
      <c r="O71" s="257"/>
      <c r="P71" s="215"/>
      <c r="T71" s="215"/>
      <c r="U71" s="211" t="s">
        <v>170</v>
      </c>
      <c r="AH71" s="257"/>
      <c r="AI71" s="257"/>
      <c r="AJ71" s="257"/>
      <c r="AK71" s="257"/>
      <c r="AL71" s="215"/>
      <c r="AP71" s="215"/>
      <c r="AQ71" s="211" t="s">
        <v>170</v>
      </c>
    </row>
    <row r="72" spans="2:43" ht="20.100000000000001" customHeight="1" thickBot="1" x14ac:dyDescent="0.3">
      <c r="G72" s="258"/>
      <c r="M72" s="259"/>
      <c r="N72" s="260" t="str">
        <f>CONCATENATE("TOTAL EJERCICIO ",B57)</f>
        <v>TOTAL EJERCICIO 2026</v>
      </c>
      <c r="O72" s="134">
        <f>SUM(O59:O70)</f>
        <v>0</v>
      </c>
      <c r="Q72" s="127" t="str">
        <f>IF(U72&gt;0,"EXISTE ALGÚN % DE DEDICACIÓN SUPERIOR AL 100% EN ESTE EJERCICIO","")</f>
        <v/>
      </c>
      <c r="T72" s="215"/>
      <c r="U72" s="211">
        <f>'% DEDICACIÓN'!$B$46</f>
        <v>0</v>
      </c>
      <c r="AB72" s="258"/>
      <c r="AH72" s="259"/>
      <c r="AI72" s="260" t="str">
        <f>CONCATENATE("TOTAL EJERCICIO ",W57)</f>
        <v>TOTAL EJERCICIO 2026</v>
      </c>
      <c r="AJ72" s="134">
        <f>SUM(AJ59:AJ70)</f>
        <v>0</v>
      </c>
      <c r="AK72" s="134">
        <f>SUM(AK59:AK70)</f>
        <v>0</v>
      </c>
      <c r="AM72" s="127" t="str">
        <f>IF(AQ72&gt;0,"EXISTE ALGÚN % DE DEDICACIÓN SUPERIOR AL 100% EN ESTE EJERCICIO","")</f>
        <v/>
      </c>
      <c r="AP72" s="215"/>
      <c r="AQ72" s="211">
        <f>'% DEDICACIÓN'!$B$46</f>
        <v>0</v>
      </c>
    </row>
    <row r="73" spans="2:43" ht="20.100000000000001" customHeight="1" x14ac:dyDescent="0.25">
      <c r="T73" s="215"/>
      <c r="U73" s="215"/>
      <c r="AP73" s="215"/>
      <c r="AQ73" s="215"/>
    </row>
    <row r="74" spans="2:43" x14ac:dyDescent="0.25">
      <c r="T74" s="215"/>
      <c r="U74" s="215"/>
      <c r="AP74" s="215"/>
      <c r="AQ74" s="215"/>
    </row>
    <row r="75" spans="2:43" ht="20.100000000000001" customHeight="1" x14ac:dyDescent="0.25">
      <c r="T75" s="215"/>
      <c r="U75" s="215"/>
      <c r="AP75" s="215"/>
      <c r="AQ75" s="215"/>
    </row>
    <row r="76" spans="2:43" ht="20.100000000000001" customHeight="1" x14ac:dyDescent="0.25">
      <c r="D76" s="216" t="str">
        <f>D4</f>
        <v>Nº DE EXPEDIENTE: 2024.07.PRIV.0000</v>
      </c>
      <c r="E76" s="128"/>
      <c r="F76" s="217"/>
      <c r="T76" s="215"/>
      <c r="U76" s="215"/>
      <c r="Y76" s="216" t="str">
        <f>Y4</f>
        <v>Nº DE EXPEDIENTE: 2024.07.PRIV.0000</v>
      </c>
      <c r="Z76" s="128"/>
      <c r="AA76" s="217"/>
      <c r="AP76" s="215"/>
      <c r="AQ76" s="215"/>
    </row>
    <row r="77" spans="2:43" ht="20.100000000000001" customHeight="1" x14ac:dyDescent="0.25">
      <c r="E77" s="129"/>
      <c r="F77" s="211"/>
      <c r="T77" s="215"/>
      <c r="U77" s="215"/>
      <c r="Z77" s="129"/>
      <c r="AA77" s="211"/>
      <c r="AP77" s="215"/>
      <c r="AQ77" s="215"/>
    </row>
    <row r="78" spans="2:43" ht="20.100000000000001" customHeight="1" x14ac:dyDescent="0.25">
      <c r="D78" s="218" t="str">
        <f>D30</f>
        <v>TRABAJADOR:</v>
      </c>
      <c r="E78" s="132"/>
      <c r="F78" s="211"/>
      <c r="T78" s="215"/>
      <c r="U78" s="215"/>
      <c r="Y78" s="218" t="str">
        <f>Y30</f>
        <v>TRABAJADOR:</v>
      </c>
      <c r="Z78" s="132"/>
      <c r="AA78" s="211"/>
      <c r="AP78" s="215"/>
      <c r="AQ78" s="215"/>
    </row>
    <row r="79" spans="2:43" ht="20.100000000000001" customHeight="1" x14ac:dyDescent="0.25">
      <c r="D79" s="218" t="str">
        <f>D7</f>
        <v>ACRÓNIMO:</v>
      </c>
      <c r="E79" s="132"/>
      <c r="F79" s="211"/>
      <c r="T79" s="215"/>
      <c r="U79" s="215"/>
      <c r="Y79" s="218" t="str">
        <f>Y7</f>
        <v>ACRÓNIMO:</v>
      </c>
      <c r="Z79" s="132"/>
      <c r="AA79" s="211"/>
      <c r="AP79" s="215"/>
      <c r="AQ79" s="215"/>
    </row>
    <row r="80" spans="2:43" ht="20.100000000000001" customHeight="1" thickBot="1" x14ac:dyDescent="0.3">
      <c r="D80" s="218"/>
      <c r="E80" s="132"/>
      <c r="F80" s="211"/>
      <c r="T80" s="215"/>
      <c r="U80" s="215"/>
      <c r="Y80" s="218"/>
      <c r="Z80" s="132"/>
      <c r="AA80" s="211"/>
      <c r="AP80" s="215"/>
      <c r="AQ80" s="215"/>
    </row>
    <row r="81" spans="2:43" s="219" customFormat="1" ht="25.5" customHeight="1" x14ac:dyDescent="0.25">
      <c r="B81" s="934">
        <f>$B$9+3</f>
        <v>2027</v>
      </c>
      <c r="C81" s="930" t="str">
        <f>CONCATENATE("PORCENTAJE
DEDICACIÓN
MENSUAL EJERCICIO ",B81)</f>
        <v>PORCENTAJE
DEDICACIÓN
MENSUAL EJERCICIO 2027</v>
      </c>
      <c r="D81" s="936" t="s">
        <v>116</v>
      </c>
      <c r="E81" s="937"/>
      <c r="F81" s="938"/>
      <c r="G81" s="939" t="s">
        <v>195</v>
      </c>
      <c r="H81" s="940"/>
      <c r="I81" s="941"/>
      <c r="J81" s="547" t="s">
        <v>117</v>
      </c>
      <c r="K81" s="936" t="s">
        <v>196</v>
      </c>
      <c r="L81" s="937"/>
      <c r="M81" s="938"/>
      <c r="N81" s="930" t="s">
        <v>161</v>
      </c>
      <c r="O81" s="932" t="s">
        <v>82</v>
      </c>
      <c r="R81" s="127"/>
      <c r="S81" s="127"/>
      <c r="W81" s="942">
        <f>$B$9+3</f>
        <v>2027</v>
      </c>
      <c r="X81" s="944" t="str">
        <f>CONCATENATE("PORCENTAJE
DEDICACIÓN
MENSUAL EJERCICIO ",W81)</f>
        <v>PORCENTAJE
DEDICACIÓN
MENSUAL EJERCICIO 2027</v>
      </c>
      <c r="Y81" s="946" t="s">
        <v>116</v>
      </c>
      <c r="Z81" s="947"/>
      <c r="AA81" s="948"/>
      <c r="AB81" s="949" t="s">
        <v>195</v>
      </c>
      <c r="AC81" s="950"/>
      <c r="AD81" s="951"/>
      <c r="AE81" s="220" t="s">
        <v>117</v>
      </c>
      <c r="AF81" s="946" t="s">
        <v>196</v>
      </c>
      <c r="AG81" s="947"/>
      <c r="AH81" s="948"/>
      <c r="AI81" s="944" t="s">
        <v>161</v>
      </c>
      <c r="AJ81" s="952" t="s">
        <v>345</v>
      </c>
      <c r="AK81" s="932" t="s">
        <v>346</v>
      </c>
      <c r="AN81" s="127"/>
      <c r="AO81" s="127"/>
    </row>
    <row r="82" spans="2:43" s="215" customFormat="1" ht="65.099999999999994" customHeight="1" thickBot="1" x14ac:dyDescent="0.3">
      <c r="B82" s="935"/>
      <c r="C82" s="931"/>
      <c r="D82" s="548" t="s">
        <v>197</v>
      </c>
      <c r="E82" s="291" t="s">
        <v>64</v>
      </c>
      <c r="F82" s="549" t="s">
        <v>83</v>
      </c>
      <c r="G82" s="550" t="s">
        <v>77</v>
      </c>
      <c r="H82" s="291" t="s">
        <v>119</v>
      </c>
      <c r="I82" s="551" t="s">
        <v>78</v>
      </c>
      <c r="J82" s="552" t="s">
        <v>118</v>
      </c>
      <c r="K82" s="550" t="s">
        <v>198</v>
      </c>
      <c r="L82" s="291" t="s">
        <v>75</v>
      </c>
      <c r="M82" s="551" t="s">
        <v>80</v>
      </c>
      <c r="N82" s="931"/>
      <c r="O82" s="933"/>
      <c r="R82" s="127"/>
      <c r="S82" s="121">
        <f>(1+('IDENTIFICACIÓN TRABAJADOR'!$T$45+'IDENTIFICACIÓN TRABAJADOR'!$X$45)/(360-'IDENTIFICACIÓN TRABAJADOR'!$T$45-'IDENTIFICACIÓN TRABAJADOR'!$X$45))</f>
        <v>1</v>
      </c>
      <c r="W82" s="943"/>
      <c r="X82" s="945"/>
      <c r="Y82" s="221" t="s">
        <v>197</v>
      </c>
      <c r="Z82" s="222" t="s">
        <v>64</v>
      </c>
      <c r="AA82" s="223" t="s">
        <v>83</v>
      </c>
      <c r="AB82" s="224" t="s">
        <v>77</v>
      </c>
      <c r="AC82" s="222" t="s">
        <v>119</v>
      </c>
      <c r="AD82" s="225" t="s">
        <v>78</v>
      </c>
      <c r="AE82" s="226" t="s">
        <v>118</v>
      </c>
      <c r="AF82" s="224" t="s">
        <v>198</v>
      </c>
      <c r="AG82" s="222" t="s">
        <v>75</v>
      </c>
      <c r="AH82" s="225" t="s">
        <v>80</v>
      </c>
      <c r="AI82" s="945"/>
      <c r="AJ82" s="953"/>
      <c r="AK82" s="933"/>
      <c r="AN82" s="127"/>
      <c r="AO82" s="121">
        <f>(1+('IDENTIFICACIÓN TRABAJADOR'!$T$45+'IDENTIFICACIÓN TRABAJADOR'!$X$45)/(360-'IDENTIFICACIÓN TRABAJADOR'!$T$45-'IDENTIFICACIÓN TRABAJADOR'!$X$45))</f>
        <v>1</v>
      </c>
    </row>
    <row r="83" spans="2:43" ht="15" customHeight="1" x14ac:dyDescent="0.25">
      <c r="B83" s="227" t="s">
        <v>45</v>
      </c>
      <c r="C83" s="228">
        <f>IFERROR(IF(OR(DATE($B$81,MONTH(DATEVALUE(B83&amp;"1")),1)&lt;DATE(YEAR(EXPEDIENTE!$I$25),MONTH(EXPEDIENTE!$I$25),1),DATE($B$81,MONTH(DATEVALUE(B83&amp;"1")),1)&gt;DATE(YEAR(EXPEDIENTE!$I$27),MONTH(EXPEDIENTE!$I$27)+1,1)-1),0,ROUND('% DEDICACIÓN'!G47,4)),0)</f>
        <v>0</v>
      </c>
      <c r="D83" s="232">
        <f>'GASTOS EJER, 4'!F20+'GASTOS EJER, 4'!L20-'GASTOS EJER, 4'!X20-'GASTOS EJER, 4'!Y20</f>
        <v>0</v>
      </c>
      <c r="E83" s="230" t="str">
        <f>IF('GASTOS EJER, 4'!AA20="","",'GASTOS EJER, 4'!AA20)</f>
        <v/>
      </c>
      <c r="F83" s="231">
        <f>IF(E83&lt;=EXPEDIENTE!$I$29,D83,0)</f>
        <v>0</v>
      </c>
      <c r="G83" s="232">
        <f>'GASTOS EJER, 4'!Y20</f>
        <v>0</v>
      </c>
      <c r="H83" s="230" t="str">
        <f>IF('GASTOS EJER, 4'!AB20="","",'GASTOS EJER, 4'!AB20)</f>
        <v/>
      </c>
      <c r="I83" s="231">
        <f>IF(H83&lt;=EXPEDIENTE!$I$29,G83,0)</f>
        <v>0</v>
      </c>
      <c r="J83" s="233">
        <f>AUXILIAR!BU71</f>
        <v>0</v>
      </c>
      <c r="K83" s="232">
        <f>AUXILIAR!FP71</f>
        <v>0</v>
      </c>
      <c r="L83" s="230" t="str">
        <f>IF('GASTOS EJER, 4'!I49="","",'GASTOS EJER, 4'!I49)</f>
        <v/>
      </c>
      <c r="M83" s="231">
        <f>IF(L83&lt;=EXPEDIENTE!$I$29,K83,0)</f>
        <v>0</v>
      </c>
      <c r="N83" s="233">
        <f>IF($U$90=0,0,IF(AND($U$92&gt;$U$90,$U$88=1100%),MIN(AUXILIAR!$P$17,ROUND($U$90/$U$92*(F83+I83+J83+M83)*(1+('IDENTIFICACIÓN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5">
        <f t="shared" ref="O83:O94" si="9">IF($U$96&gt;0,0,ROUND(C83*N83,2))</f>
        <v>0</v>
      </c>
      <c r="S83" s="212">
        <f>ROUND(C83*(F83+I83+J83+M83)*(1+('IDENTIFICACIÓN TRABAJADOR'!$T$45+'IDENTIFICACIÓN TRABAJADOR'!$X$45)/(360-'IDENTIFICACIÓN TRABAJADOR'!$T$45-'IDENTIFICACIÓN TRABAJADOR'!$X$45)),2)</f>
        <v>0</v>
      </c>
      <c r="T83" s="215"/>
      <c r="U83" s="215"/>
      <c r="W83" s="227" t="s">
        <v>45</v>
      </c>
      <c r="X83" s="228">
        <f>IFERROR(IF(OR(DATE($B$81,MONTH(DATEVALUE(W83&amp;"1")),1)&lt;DATE(YEAR(EXPEDIENTE!$I$25),MONTH(EXPEDIENTE!$I$25),1),DATE($B$81,MONTH(DATEVALUE(W83&amp;"1")),1)&gt;DATE(YEAR(EXPEDIENTE!$I$27),MONTH(EXPEDIENTE!$I$27)+1,1)-1),0,ROUND('% DEDICACIÓN'!G47,4)),0)</f>
        <v>0</v>
      </c>
      <c r="Y83" s="232">
        <f>'GASTOS EJER, 4'!AW20+'GASTOS EJER, 4'!BM20-'GASTOS EJER, 4'!CM20-'GASTOS EJER, 4'!CP20</f>
        <v>0</v>
      </c>
      <c r="Z83" s="230" t="str">
        <f>IF('GASTOS EJER, 4'!CT20="","",'GASTOS EJER, 4'!CT20)</f>
        <v/>
      </c>
      <c r="AA83" s="231">
        <f>IF(Z83&lt;=EXPEDIENTE!$I$29,Y83,0)</f>
        <v>0</v>
      </c>
      <c r="AB83" s="232">
        <f>'GASTOS EJER, 4'!CP20</f>
        <v>0</v>
      </c>
      <c r="AC83" s="230" t="str">
        <f>IF('GASTOS EJER, 4'!CW20="","",'GASTOS EJER, 4'!CW20)</f>
        <v/>
      </c>
      <c r="AD83" s="231">
        <f>IF(AC83&lt;=EXPEDIENTE!$I$29,AB83,0)</f>
        <v>0</v>
      </c>
      <c r="AE83" s="233">
        <f>AUXILIAR!DL71</f>
        <v>0</v>
      </c>
      <c r="AF83" s="232">
        <f>AUXILIAR!HU71</f>
        <v>0</v>
      </c>
      <c r="AG83" s="230" t="str">
        <f>IF('GASTOS EJER, 4'!BF49="","",'GASTOS EJER, 4'!BF49)</f>
        <v/>
      </c>
      <c r="AH83" s="231">
        <f>IF(AG83&lt;=EXPEDIENTE!$I$29,AF83,0)</f>
        <v>0</v>
      </c>
      <c r="AI83" s="233">
        <f>IF($AQ$90=0,0,IF(AND($AQ$92&gt;$AQ$90,$AQ$88=1100%),MIN(AUXILIAR!$P$17,ROUND($AQ$90/$AQ$92*(AA83+AD83+AE83+AH83)*(1+('IDENTIFICACIÓN TRABAJADOR'!$T$45+'IDENTIFICACIÓN TRABAJADOR'!$X$45)/(360-'IDENTIFICACIÓN TRABAJADOR'!$T$45-'IDENTIFICACIÓN TRABAJADOR'!$X$45)),2)),MIN(AUXILIAR!$P$17,ROUND((AA83+AD83+AE83+AH83)*(1+('IDENTIFICACIÓN TRABAJADOR'!$T$45+'IDENTIFICACIÓN TRABAJADOR'!$X$45)/(360-'IDENTIFICACIÓN TRABAJADOR'!$T$45-'IDENTIFICACIÓN TRABAJADOR'!$X$45)),2))))</f>
        <v>0</v>
      </c>
      <c r="AJ83" s="234">
        <f>IF($AQ$96&gt;0,0,ROUND(X83*AI83,2))</f>
        <v>0</v>
      </c>
      <c r="AK83" s="235">
        <f>O83</f>
        <v>0</v>
      </c>
      <c r="AO83" s="212">
        <f>ROUND(X83*(AA83+AD83+AE83+AH83)*(1+('IDENTIFICACIÓN TRABAJADOR'!$T$45+'IDENTIFICACIÓN TRABAJADOR'!$X$45)/(360-'IDENTIFICACIÓN TRABAJADOR'!$T$45-'IDENTIFICACIÓN TRABAJADOR'!$X$45)),2)</f>
        <v>0</v>
      </c>
      <c r="AP83" s="215"/>
      <c r="AQ83" s="215"/>
    </row>
    <row r="84" spans="2:43" ht="15" customHeight="1" x14ac:dyDescent="0.25">
      <c r="B84" s="236" t="s">
        <v>46</v>
      </c>
      <c r="C84" s="237">
        <f>IFERROR(IF(OR(DATE($B$81,MONTH(DATEVALUE(B84&amp;"1")),1)&lt;DATE(YEAR(EXPEDIENTE!$I$25),MONTH(EXPEDIENTE!$I$25),1),DATE($B$81,MONTH(DATEVALUE(B84&amp;"1")),1)&gt;DATE(YEAR(EXPEDIENTE!$I$27),MONTH(EXPEDIENTE!$I$27)+1,1)-1),0,ROUND('% DEDICACIÓN'!H47,4)),0)</f>
        <v>0</v>
      </c>
      <c r="D84" s="241">
        <f>'GASTOS EJER, 4'!F21+'GASTOS EJER, 4'!L21-'GASTOS EJER, 4'!X21-'GASTOS EJER, 4'!Y21</f>
        <v>0</v>
      </c>
      <c r="E84" s="239" t="str">
        <f>IF('GASTOS EJER, 4'!AA21="","",'GASTOS EJER, 4'!AA21)</f>
        <v/>
      </c>
      <c r="F84" s="240">
        <f>IF(E84&lt;=EXPEDIENTE!$I$29,D84,0)</f>
        <v>0</v>
      </c>
      <c r="G84" s="241">
        <f>'GASTOS EJER, 4'!Y21</f>
        <v>0</v>
      </c>
      <c r="H84" s="239" t="str">
        <f>IF('GASTOS EJER, 4'!AB21="","",'GASTOS EJER, 4'!AB21)</f>
        <v/>
      </c>
      <c r="I84" s="240">
        <f>IF(H84&lt;=EXPEDIENTE!$I$29,G84,0)</f>
        <v>0</v>
      </c>
      <c r="J84" s="242">
        <f>AUXILIAR!BU72</f>
        <v>0</v>
      </c>
      <c r="K84" s="241">
        <f>AUXILIAR!FP72</f>
        <v>0</v>
      </c>
      <c r="L84" s="239" t="str">
        <f>IF('GASTOS EJER, 4'!I50="","",'GASTOS EJER, 4'!I50)</f>
        <v/>
      </c>
      <c r="M84" s="240">
        <f>IF(L84&lt;=EXPEDIENTE!$I$29,K84,0)</f>
        <v>0</v>
      </c>
      <c r="N84" s="242">
        <f>IF($U$90=0,0,IF(AND($U$92&gt;$U$90,$U$88=1100%),MIN(AUXILIAR!$P$17,ROUND($U$90/$U$92*(F84+I84+J84+M84)*(1+('IDENTIFICACIÓN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4">
        <f t="shared" si="9"/>
        <v>0</v>
      </c>
      <c r="S84" s="212">
        <f>ROUND(C84*(F84+I84+J84+M84)*(1+('IDENTIFICACIÓN TRABAJADOR'!$T$45+'IDENTIFICACIÓN TRABAJADOR'!$X$45)/(360-'IDENTIFICACIÓN TRABAJADOR'!$T$45-'IDENTIFICACIÓN TRABAJADOR'!$X$45)),2)</f>
        <v>0</v>
      </c>
      <c r="T84" s="215"/>
      <c r="U84" s="215"/>
      <c r="W84" s="236" t="s">
        <v>46</v>
      </c>
      <c r="X84" s="237">
        <f>IFERROR(IF(OR(DATE($B$81,MONTH(DATEVALUE(W84&amp;"1")),1)&lt;DATE(YEAR(EXPEDIENTE!$I$25),MONTH(EXPEDIENTE!$I$25),1),DATE($B$81,MONTH(DATEVALUE(W84&amp;"1")),1)&gt;DATE(YEAR(EXPEDIENTE!$I$27),MONTH(EXPEDIENTE!$I$27)+1,1)-1),0,ROUND('% DEDICACIÓN'!H47,4)),0)</f>
        <v>0</v>
      </c>
      <c r="Y84" s="241">
        <f>'GASTOS EJER, 4'!AW21+'GASTOS EJER, 4'!BM21-'GASTOS EJER, 4'!CM21-'GASTOS EJER, 4'!CP21</f>
        <v>0</v>
      </c>
      <c r="Z84" s="239" t="str">
        <f>IF('GASTOS EJER, 4'!CT21="","",'GASTOS EJER, 4'!CT21)</f>
        <v/>
      </c>
      <c r="AA84" s="240">
        <f>IF(Z84&lt;=EXPEDIENTE!$I$29,Y84,0)</f>
        <v>0</v>
      </c>
      <c r="AB84" s="241">
        <f>'GASTOS EJER, 4'!CP21</f>
        <v>0</v>
      </c>
      <c r="AC84" s="239" t="str">
        <f>IF('GASTOS EJER, 4'!CW21="","",'GASTOS EJER, 4'!CW21)</f>
        <v/>
      </c>
      <c r="AD84" s="240">
        <f>IF(AC84&lt;=EXPEDIENTE!$I$29,AB84,0)</f>
        <v>0</v>
      </c>
      <c r="AE84" s="242">
        <f>AUXILIAR!DL72</f>
        <v>0</v>
      </c>
      <c r="AF84" s="241">
        <f>AUXILIAR!HU72</f>
        <v>0</v>
      </c>
      <c r="AG84" s="239" t="str">
        <f>IF('GASTOS EJER, 4'!BF50="","",'GASTOS EJER, 4'!BF50)</f>
        <v/>
      </c>
      <c r="AH84" s="240">
        <f>IF(AG84&lt;=EXPEDIENTE!$I$29,AF84,0)</f>
        <v>0</v>
      </c>
      <c r="AI84" s="242">
        <f>IF($AQ$90=0,0,IF(AND($AQ$92&gt;$AQ$90,$AQ$88=1100%),MIN(AUXILIAR!$P$17,ROUND($AQ$90/$AQ$92*(AA84+AD84+AE84+AH84)*(1+('IDENTIFICACIÓN TRABAJADOR'!$T$45+'IDENTIFICACIÓN TRABAJADOR'!$X$45)/(360-'IDENTIFICACIÓN TRABAJADOR'!$T$45-'IDENTIFICACIÓN TRABAJADOR'!$X$45)),2)),MIN(AUXILIAR!$P$17,ROUND((AA84+AD84+AE84+AH84)*(1+('IDENTIFICACIÓN TRABAJADOR'!$T$45+'IDENTIFICACIÓN TRABAJADOR'!$X$45)/(360-'IDENTIFICACIÓN TRABAJADOR'!$T$45-'IDENTIFICACIÓN TRABAJADOR'!$X$45)),2))))</f>
        <v>0</v>
      </c>
      <c r="AJ84" s="243">
        <f t="shared" ref="AJ84:AJ94" si="10">IF($AQ$96&gt;0,0,ROUND(X84*AI84,2))</f>
        <v>0</v>
      </c>
      <c r="AK84" s="244">
        <f t="shared" ref="AK84:AK94" si="11">O84</f>
        <v>0</v>
      </c>
      <c r="AO84" s="212">
        <f>ROUND(X84*(AA84+AD84+AE84+AH84)*(1+('IDENTIFICACIÓN TRABAJADOR'!$T$45+'IDENTIFICACIÓN TRABAJADOR'!$X$45)/(360-'IDENTIFICACIÓN TRABAJADOR'!$T$45-'IDENTIFICACIÓN TRABAJADOR'!$X$45)),2)</f>
        <v>0</v>
      </c>
      <c r="AP84" s="215"/>
      <c r="AQ84" s="215"/>
    </row>
    <row r="85" spans="2:43" ht="15" customHeight="1" x14ac:dyDescent="0.25">
      <c r="B85" s="236" t="s">
        <v>47</v>
      </c>
      <c r="C85" s="237">
        <f>IFERROR(IF(OR(DATE($B$81,MONTH(DATEVALUE(B85&amp;"1")),1)&lt;DATE(YEAR(EXPEDIENTE!$I$25),MONTH(EXPEDIENTE!$I$25),1),DATE($B$81,MONTH(DATEVALUE(B85&amp;"1")),1)&gt;DATE(YEAR(EXPEDIENTE!$I$27),MONTH(EXPEDIENTE!$I$27)+1,1)-1),0,ROUND('% DEDICACIÓN'!I47,4)),0)</f>
        <v>0</v>
      </c>
      <c r="D85" s="241">
        <f>'GASTOS EJER, 4'!F22+'GASTOS EJER, 4'!L22-'GASTOS EJER, 4'!X22-'GASTOS EJER, 4'!Y22</f>
        <v>0</v>
      </c>
      <c r="E85" s="239" t="str">
        <f>IF('GASTOS EJER, 4'!AA22="","",'GASTOS EJER, 4'!AA22)</f>
        <v/>
      </c>
      <c r="F85" s="240">
        <f>IF(E85&lt;=EXPEDIENTE!$I$29,D85,0)</f>
        <v>0</v>
      </c>
      <c r="G85" s="241">
        <f>'GASTOS EJER, 4'!Y22</f>
        <v>0</v>
      </c>
      <c r="H85" s="239" t="str">
        <f>IF('GASTOS EJER, 4'!AB22="","",'GASTOS EJER, 4'!AB22)</f>
        <v/>
      </c>
      <c r="I85" s="240">
        <f>IF(H85&lt;=EXPEDIENTE!$I$29,G85,0)</f>
        <v>0</v>
      </c>
      <c r="J85" s="242">
        <f>AUXILIAR!BU73</f>
        <v>0</v>
      </c>
      <c r="K85" s="241">
        <f>AUXILIAR!FP73</f>
        <v>0</v>
      </c>
      <c r="L85" s="239" t="str">
        <f>IF('GASTOS EJER, 4'!I51="","",'GASTOS EJER, 4'!I51)</f>
        <v/>
      </c>
      <c r="M85" s="240">
        <f>IF(L85&lt;=EXPEDIENTE!$I$29,K85,0)</f>
        <v>0</v>
      </c>
      <c r="N85" s="242">
        <f>IF($U$90=0,0,IF(AND($U$92&gt;$U$90,$U$88=1100%),MIN(AUXILIAR!$P$17,ROUND($U$90/$U$92*(F85+I85+J85+M85)*(1+('IDENTIFICACIÓN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4">
        <f t="shared" si="9"/>
        <v>0</v>
      </c>
      <c r="S85" s="212">
        <f>ROUND(C85*(F85+I85+J85+M85)*(1+('IDENTIFICACIÓN TRABAJADOR'!$T$45+'IDENTIFICACIÓN TRABAJADOR'!$X$45)/(360-'IDENTIFICACIÓN TRABAJADOR'!$T$45-'IDENTIFICACIÓN TRABAJADOR'!$X$45)),2)</f>
        <v>0</v>
      </c>
      <c r="T85" s="215"/>
      <c r="U85" s="215"/>
      <c r="W85" s="236" t="s">
        <v>47</v>
      </c>
      <c r="X85" s="237">
        <f>IFERROR(IF(OR(DATE($B$81,MONTH(DATEVALUE(W85&amp;"1")),1)&lt;DATE(YEAR(EXPEDIENTE!$I$25),MONTH(EXPEDIENTE!$I$25),1),DATE($B$81,MONTH(DATEVALUE(W85&amp;"1")),1)&gt;DATE(YEAR(EXPEDIENTE!$I$27),MONTH(EXPEDIENTE!$I$27)+1,1)-1),0,ROUND('% DEDICACIÓN'!I47,4)),0)</f>
        <v>0</v>
      </c>
      <c r="Y85" s="241">
        <f>'GASTOS EJER, 4'!AW22+'GASTOS EJER, 4'!BM22-'GASTOS EJER, 4'!CM22-'GASTOS EJER, 4'!CP22</f>
        <v>0</v>
      </c>
      <c r="Z85" s="239" t="str">
        <f>IF('GASTOS EJER, 4'!CT22="","",'GASTOS EJER, 4'!CT22)</f>
        <v/>
      </c>
      <c r="AA85" s="240">
        <f>IF(Z85&lt;=EXPEDIENTE!$I$29,Y85,0)</f>
        <v>0</v>
      </c>
      <c r="AB85" s="241">
        <f>'GASTOS EJER, 4'!CP22</f>
        <v>0</v>
      </c>
      <c r="AC85" s="239" t="str">
        <f>IF('GASTOS EJER, 4'!CW22="","",'GASTOS EJER, 4'!CW22)</f>
        <v/>
      </c>
      <c r="AD85" s="240">
        <f>IF(AC85&lt;=EXPEDIENTE!$I$29,AB85,0)</f>
        <v>0</v>
      </c>
      <c r="AE85" s="242">
        <f>AUXILIAR!DL73</f>
        <v>0</v>
      </c>
      <c r="AF85" s="241">
        <f>AUXILIAR!HU73</f>
        <v>0</v>
      </c>
      <c r="AG85" s="239" t="str">
        <f>IF('GASTOS EJER, 4'!BF51="","",'GASTOS EJER, 4'!BF51)</f>
        <v/>
      </c>
      <c r="AH85" s="240">
        <f>IF(AG85&lt;=EXPEDIENTE!$I$29,AF85,0)</f>
        <v>0</v>
      </c>
      <c r="AI85" s="242">
        <f>IF($AQ$90=0,0,IF(AND($AQ$92&gt;$AQ$90,$AQ$88=1100%),MIN(AUXILIAR!$P$17,ROUND($AQ$90/$AQ$92*(AA85+AD85+AE85+AH85)*(1+('IDENTIFICACIÓN TRABAJADOR'!$T$45+'IDENTIFICACIÓN TRABAJADOR'!$X$45)/(360-'IDENTIFICACIÓN TRABAJADOR'!$T$45-'IDENTIFICACIÓN TRABAJADOR'!$X$45)),2)),MIN(AUXILIAR!$P$17,ROUND((AA85+AD85+AE85+AH85)*(1+('IDENTIFICACIÓN TRABAJADOR'!$T$45+'IDENTIFICACIÓN TRABAJADOR'!$X$45)/(360-'IDENTIFICACIÓN TRABAJADOR'!$T$45-'IDENTIFICACIÓN TRABAJADOR'!$X$45)),2))))</f>
        <v>0</v>
      </c>
      <c r="AJ85" s="243">
        <f t="shared" si="10"/>
        <v>0</v>
      </c>
      <c r="AK85" s="244">
        <f t="shared" si="11"/>
        <v>0</v>
      </c>
      <c r="AO85" s="212">
        <f>ROUND(X85*(AA85+AD85+AE85+AH85)*(1+('IDENTIFICACIÓN TRABAJADOR'!$T$45+'IDENTIFICACIÓN TRABAJADOR'!$X$45)/(360-'IDENTIFICACIÓN TRABAJADOR'!$T$45-'IDENTIFICACIÓN TRABAJADOR'!$X$45)),2)</f>
        <v>0</v>
      </c>
      <c r="AP85" s="215"/>
      <c r="AQ85" s="215"/>
    </row>
    <row r="86" spans="2:43" ht="15" customHeight="1" x14ac:dyDescent="0.25">
      <c r="B86" s="236" t="s">
        <v>48</v>
      </c>
      <c r="C86" s="237">
        <f>IFERROR(IF(OR(DATE($B$81,MONTH(DATEVALUE(B86&amp;"1")),1)&lt;DATE(YEAR(EXPEDIENTE!$I$25),MONTH(EXPEDIENTE!$I$25),1),DATE($B$81,MONTH(DATEVALUE(B86&amp;"1")),1)&gt;DATE(YEAR(EXPEDIENTE!$I$27),MONTH(EXPEDIENTE!$I$27)+1,1)-1),0,ROUND('% DEDICACIÓN'!J47,4)),0)</f>
        <v>0</v>
      </c>
      <c r="D86" s="241">
        <f>'GASTOS EJER, 4'!F23+'GASTOS EJER, 4'!L23-'GASTOS EJER, 4'!X23-'GASTOS EJER, 4'!Y23</f>
        <v>0</v>
      </c>
      <c r="E86" s="239" t="str">
        <f>IF('GASTOS EJER, 4'!AA23="","",'GASTOS EJER, 4'!AA23)</f>
        <v/>
      </c>
      <c r="F86" s="240">
        <f>IF(E86&lt;=EXPEDIENTE!$I$29,D86,0)</f>
        <v>0</v>
      </c>
      <c r="G86" s="241">
        <f>'GASTOS EJER, 4'!Y23</f>
        <v>0</v>
      </c>
      <c r="H86" s="239" t="str">
        <f>IF('GASTOS EJER, 4'!AB23="","",'GASTOS EJER, 4'!AB23)</f>
        <v/>
      </c>
      <c r="I86" s="240">
        <f>IF(H86&lt;=EXPEDIENTE!$I$29,G86,0)</f>
        <v>0</v>
      </c>
      <c r="J86" s="242">
        <f>AUXILIAR!BU74</f>
        <v>0</v>
      </c>
      <c r="K86" s="241">
        <f>AUXILIAR!FP74</f>
        <v>0</v>
      </c>
      <c r="L86" s="239" t="str">
        <f>IF('GASTOS EJER, 4'!I52="","",'GASTOS EJER, 4'!I52)</f>
        <v/>
      </c>
      <c r="M86" s="240">
        <f>IF(L86&lt;=EXPEDIENTE!$I$29,K86,0)</f>
        <v>0</v>
      </c>
      <c r="N86" s="242">
        <f>IF($U$90=0,0,IF(AND($U$92&gt;$U$90,$U$88=1100%),MIN(AUXILIAR!$P$17,ROUND($U$90/$U$92*(F86+I86+J86+M86)*(1+('IDENTIFICACIÓN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4">
        <f t="shared" si="9"/>
        <v>0</v>
      </c>
      <c r="S86" s="212">
        <f>ROUND(C86*(F86+I86+J86+M86)*(1+('IDENTIFICACIÓN TRABAJADOR'!$T$45+'IDENTIFICACIÓN TRABAJADOR'!$X$45)/(360-'IDENTIFICACIÓN TRABAJADOR'!$T$45-'IDENTIFICACIÓN TRABAJADOR'!$X$45)),2)</f>
        <v>0</v>
      </c>
      <c r="T86" s="215"/>
      <c r="U86" s="215"/>
      <c r="W86" s="236" t="s">
        <v>48</v>
      </c>
      <c r="X86" s="237">
        <f>IFERROR(IF(OR(DATE($B$81,MONTH(DATEVALUE(W86&amp;"1")),1)&lt;DATE(YEAR(EXPEDIENTE!$I$25),MONTH(EXPEDIENTE!$I$25),1),DATE($B$81,MONTH(DATEVALUE(W86&amp;"1")),1)&gt;DATE(YEAR(EXPEDIENTE!$I$27),MONTH(EXPEDIENTE!$I$27)+1,1)-1),0,ROUND('% DEDICACIÓN'!J47,4)),0)</f>
        <v>0</v>
      </c>
      <c r="Y86" s="241">
        <f>'GASTOS EJER, 4'!AW23+'GASTOS EJER, 4'!BM23-'GASTOS EJER, 4'!CM23-'GASTOS EJER, 4'!CP23</f>
        <v>0</v>
      </c>
      <c r="Z86" s="239" t="str">
        <f>IF('GASTOS EJER, 4'!CT23="","",'GASTOS EJER, 4'!CT23)</f>
        <v/>
      </c>
      <c r="AA86" s="240">
        <f>IF(Z86&lt;=EXPEDIENTE!$I$29,Y86,0)</f>
        <v>0</v>
      </c>
      <c r="AB86" s="241">
        <f>'GASTOS EJER, 4'!CP23</f>
        <v>0</v>
      </c>
      <c r="AC86" s="239" t="str">
        <f>IF('GASTOS EJER, 4'!CW23="","",'GASTOS EJER, 4'!CW23)</f>
        <v/>
      </c>
      <c r="AD86" s="240">
        <f>IF(AC86&lt;=EXPEDIENTE!$I$29,AB86,0)</f>
        <v>0</v>
      </c>
      <c r="AE86" s="242">
        <f>AUXILIAR!DL74</f>
        <v>0</v>
      </c>
      <c r="AF86" s="241">
        <f>AUXILIAR!HU74</f>
        <v>0</v>
      </c>
      <c r="AG86" s="239" t="str">
        <f>IF('GASTOS EJER, 4'!BF52="","",'GASTOS EJER, 4'!BF52)</f>
        <v/>
      </c>
      <c r="AH86" s="240">
        <f>IF(AG86&lt;=EXPEDIENTE!$I$29,AF86,0)</f>
        <v>0</v>
      </c>
      <c r="AI86" s="242">
        <f>IF($AQ$90=0,0,IF(AND($AQ$92&gt;$AQ$90,$AQ$88=1100%),MIN(AUXILIAR!$P$17,ROUND($AQ$90/$AQ$92*(AA86+AD86+AE86+AH86)*(1+('IDENTIFICACIÓN TRABAJADOR'!$T$45+'IDENTIFICACIÓN TRABAJADOR'!$X$45)/(360-'IDENTIFICACIÓN TRABAJADOR'!$T$45-'IDENTIFICACIÓN TRABAJADOR'!$X$45)),2)),MIN(AUXILIAR!$P$17,ROUND((AA86+AD86+AE86+AH86)*(1+('IDENTIFICACIÓN TRABAJADOR'!$T$45+'IDENTIFICACIÓN TRABAJADOR'!$X$45)/(360-'IDENTIFICACIÓN TRABAJADOR'!$T$45-'IDENTIFICACIÓN TRABAJADOR'!$X$45)),2))))</f>
        <v>0</v>
      </c>
      <c r="AJ86" s="243">
        <f t="shared" si="10"/>
        <v>0</v>
      </c>
      <c r="AK86" s="244">
        <f t="shared" si="11"/>
        <v>0</v>
      </c>
      <c r="AO86" s="212">
        <f>ROUND(X86*(AA86+AD86+AE86+AH86)*(1+('IDENTIFICACIÓN TRABAJADOR'!$T$45+'IDENTIFICACIÓN TRABAJADOR'!$X$45)/(360-'IDENTIFICACIÓN TRABAJADOR'!$T$45-'IDENTIFICACIÓN TRABAJADOR'!$X$45)),2)</f>
        <v>0</v>
      </c>
      <c r="AP86" s="215"/>
      <c r="AQ86" s="215"/>
    </row>
    <row r="87" spans="2:43" ht="15" customHeight="1" x14ac:dyDescent="0.25">
      <c r="B87" s="236" t="s">
        <v>49</v>
      </c>
      <c r="C87" s="237">
        <f>IFERROR(IF(OR(DATE($B$81,MONTH(DATEVALUE(B87&amp;"1")),1)&lt;DATE(YEAR(EXPEDIENTE!$I$25),MONTH(EXPEDIENTE!$I$25),1),DATE($B$81,MONTH(DATEVALUE(B87&amp;"1")),1)&gt;DATE(YEAR(EXPEDIENTE!$I$27),MONTH(EXPEDIENTE!$I$27)+1,1)-1),0,ROUND('% DEDICACIÓN'!K47,4)),0)</f>
        <v>0</v>
      </c>
      <c r="D87" s="241">
        <f>'GASTOS EJER, 4'!F24+'GASTOS EJER, 4'!L24-'GASTOS EJER, 4'!X24-'GASTOS EJER, 4'!Y24</f>
        <v>0</v>
      </c>
      <c r="E87" s="239" t="str">
        <f>IF('GASTOS EJER, 4'!AA24="","",'GASTOS EJER, 4'!AA24)</f>
        <v/>
      </c>
      <c r="F87" s="240">
        <f>IF(E87&lt;=EXPEDIENTE!$I$29,D87,0)</f>
        <v>0</v>
      </c>
      <c r="G87" s="241">
        <f>'GASTOS EJER, 4'!Y24</f>
        <v>0</v>
      </c>
      <c r="H87" s="239" t="str">
        <f>IF('GASTOS EJER, 4'!AB24="","",'GASTOS EJER, 4'!AB24)</f>
        <v/>
      </c>
      <c r="I87" s="240">
        <f>IF(H87&lt;=EXPEDIENTE!$I$29,G87,0)</f>
        <v>0</v>
      </c>
      <c r="J87" s="242">
        <f>AUXILIAR!BU75</f>
        <v>0</v>
      </c>
      <c r="K87" s="241">
        <f>AUXILIAR!FP75</f>
        <v>0</v>
      </c>
      <c r="L87" s="239" t="str">
        <f>IF('GASTOS EJER, 4'!I53="","",'GASTOS EJER, 4'!I53)</f>
        <v/>
      </c>
      <c r="M87" s="240">
        <f>IF(L87&lt;=EXPEDIENTE!$I$29,K87,0)</f>
        <v>0</v>
      </c>
      <c r="N87" s="242">
        <f>IF($U$90=0,0,IF(AND($U$92&gt;$U$90,$U$88=1100%),MIN(AUXILIAR!$P$17,ROUND($U$90/$U$92*(F87+I87+J87+M87)*(1+('IDENTIFICACIÓN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4">
        <f t="shared" si="9"/>
        <v>0</v>
      </c>
      <c r="S87" s="212">
        <f>ROUND(C87*(F87+I87+J87+M87)*(1+('IDENTIFICACIÓN TRABAJADOR'!$T$45+'IDENTIFICACIÓN TRABAJADOR'!$X$45)/(360-'IDENTIFICACIÓN TRABAJADOR'!$T$45-'IDENTIFICACIÓN TRABAJADOR'!$X$45)),2)</f>
        <v>0</v>
      </c>
      <c r="T87" s="215"/>
      <c r="U87" s="211" t="s">
        <v>222</v>
      </c>
      <c r="W87" s="236" t="s">
        <v>49</v>
      </c>
      <c r="X87" s="237">
        <f>IFERROR(IF(OR(DATE($B$81,MONTH(DATEVALUE(W87&amp;"1")),1)&lt;DATE(YEAR(EXPEDIENTE!$I$25),MONTH(EXPEDIENTE!$I$25),1),DATE($B$81,MONTH(DATEVALUE(W87&amp;"1")),1)&gt;DATE(YEAR(EXPEDIENTE!$I$27),MONTH(EXPEDIENTE!$I$27)+1,1)-1),0,ROUND('% DEDICACIÓN'!K47,4)),0)</f>
        <v>0</v>
      </c>
      <c r="Y87" s="241">
        <f>'GASTOS EJER, 4'!AW24+'GASTOS EJER, 4'!BM24-'GASTOS EJER, 4'!CM24-'GASTOS EJER, 4'!CP24</f>
        <v>0</v>
      </c>
      <c r="Z87" s="239" t="str">
        <f>IF('GASTOS EJER, 4'!CT24="","",'GASTOS EJER, 4'!CT24)</f>
        <v/>
      </c>
      <c r="AA87" s="240">
        <f>IF(Z87&lt;=EXPEDIENTE!$I$29,Y87,0)</f>
        <v>0</v>
      </c>
      <c r="AB87" s="241">
        <f>'GASTOS EJER, 4'!CP24</f>
        <v>0</v>
      </c>
      <c r="AC87" s="239" t="str">
        <f>IF('GASTOS EJER, 4'!CW24="","",'GASTOS EJER, 4'!CW24)</f>
        <v/>
      </c>
      <c r="AD87" s="240">
        <f>IF(AC87&lt;=EXPEDIENTE!$I$29,AB87,0)</f>
        <v>0</v>
      </c>
      <c r="AE87" s="242">
        <f>AUXILIAR!DL75</f>
        <v>0</v>
      </c>
      <c r="AF87" s="241">
        <f>AUXILIAR!HU75</f>
        <v>0</v>
      </c>
      <c r="AG87" s="239" t="str">
        <f>IF('GASTOS EJER, 4'!BF53="","",'GASTOS EJER, 4'!BF53)</f>
        <v/>
      </c>
      <c r="AH87" s="240">
        <f>IF(AG87&lt;=EXPEDIENTE!$I$29,AF87,0)</f>
        <v>0</v>
      </c>
      <c r="AI87" s="242">
        <f>IF($AQ$90=0,0,IF(AND($AQ$92&gt;$AQ$90,$AQ$88=1100%),MIN(AUXILIAR!$P$17,ROUND($AQ$90/$AQ$92*(AA87+AD87+AE87+AH87)*(1+('IDENTIFICACIÓN TRABAJADOR'!$T$45+'IDENTIFICACIÓN TRABAJADOR'!$X$45)/(360-'IDENTIFICACIÓN TRABAJADOR'!$T$45-'IDENTIFICACIÓN TRABAJADOR'!$X$45)),2)),MIN(AUXILIAR!$P$17,ROUND((AA87+AD87+AE87+AH87)*(1+('IDENTIFICACIÓN TRABAJADOR'!$T$45+'IDENTIFICACIÓN TRABAJADOR'!$X$45)/(360-'IDENTIFICACIÓN TRABAJADOR'!$T$45-'IDENTIFICACIÓN TRABAJADOR'!$X$45)),2))))</f>
        <v>0</v>
      </c>
      <c r="AJ87" s="243">
        <f t="shared" si="10"/>
        <v>0</v>
      </c>
      <c r="AK87" s="244">
        <f t="shared" si="11"/>
        <v>0</v>
      </c>
      <c r="AO87" s="212">
        <f>ROUND(X87*(AA87+AD87+AE87+AH87)*(1+('IDENTIFICACIÓN TRABAJADOR'!$T$45+'IDENTIFICACIÓN TRABAJADOR'!$X$45)/(360-'IDENTIFICACIÓN TRABAJADOR'!$T$45-'IDENTIFICACIÓN TRABAJADOR'!$X$45)),2)</f>
        <v>0</v>
      </c>
      <c r="AP87" s="215"/>
      <c r="AQ87" s="211" t="s">
        <v>222</v>
      </c>
    </row>
    <row r="88" spans="2:43" ht="15" customHeight="1" x14ac:dyDescent="0.25">
      <c r="B88" s="236" t="s">
        <v>50</v>
      </c>
      <c r="C88" s="237">
        <f>IFERROR(IF(OR(DATE($B$81,MONTH(DATEVALUE(B88&amp;"1")),1)&lt;DATE(YEAR(EXPEDIENTE!$I$25),MONTH(EXPEDIENTE!$I$25),1),DATE($B$81,MONTH(DATEVALUE(B88&amp;"1")),1)&gt;DATE(YEAR(EXPEDIENTE!$I$27),MONTH(EXPEDIENTE!$I$27)+1,1)-1),0,ROUND('% DEDICACIÓN'!L47,4)),0)</f>
        <v>0</v>
      </c>
      <c r="D88" s="241">
        <f>'GASTOS EJER, 4'!F25+'GASTOS EJER, 4'!L25-'GASTOS EJER, 4'!X25-'GASTOS EJER, 4'!Y25</f>
        <v>0</v>
      </c>
      <c r="E88" s="239" t="str">
        <f>IF('GASTOS EJER, 4'!AA25="","",'GASTOS EJER, 4'!AA25)</f>
        <v/>
      </c>
      <c r="F88" s="240">
        <f>IF(E88&lt;=EXPEDIENTE!$I$29,D88,0)</f>
        <v>0</v>
      </c>
      <c r="G88" s="241">
        <f>'GASTOS EJER, 4'!Y25</f>
        <v>0</v>
      </c>
      <c r="H88" s="239" t="str">
        <f>IF('GASTOS EJER, 4'!AB25="","",'GASTOS EJER, 4'!AB25)</f>
        <v/>
      </c>
      <c r="I88" s="240">
        <f>IF(H88&lt;=EXPEDIENTE!$I$29,G88,0)</f>
        <v>0</v>
      </c>
      <c r="J88" s="242">
        <f>AUXILIAR!BU76</f>
        <v>0</v>
      </c>
      <c r="K88" s="241">
        <f>AUXILIAR!FP76</f>
        <v>0</v>
      </c>
      <c r="L88" s="239" t="str">
        <f>IF('GASTOS EJER, 4'!I54="","",'GASTOS EJER, 4'!I54)</f>
        <v/>
      </c>
      <c r="M88" s="240">
        <f>IF(L88&lt;=EXPEDIENTE!$I$29,K88,0)</f>
        <v>0</v>
      </c>
      <c r="N88" s="242">
        <f>IF($U$90=0,0,IF(AND($U$92&gt;$U$90,$U$88=1100%),MIN(AUXILIAR!$P$17,ROUND($U$90/$U$92*(F88+I88+J88+M88)*(1+('IDENTIFICACIÓN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4">
        <f t="shared" si="9"/>
        <v>0</v>
      </c>
      <c r="S88" s="212">
        <f>ROUND(C88*(F88+I88+J88+M88)*(1+('IDENTIFICACIÓN TRABAJADOR'!$T$45+'IDENTIFICACIÓN TRABAJADOR'!$X$45)/(360-'IDENTIFICACIÓN TRABAJADOR'!$T$45-'IDENTIFICACIÓN TRABAJADOR'!$X$45)),2)</f>
        <v>0</v>
      </c>
      <c r="T88" s="245"/>
      <c r="U88" s="246">
        <f>SUM('% DEDICACIÓN'!$G$47:$R$47)</f>
        <v>0</v>
      </c>
      <c r="W88" s="236" t="s">
        <v>50</v>
      </c>
      <c r="X88" s="237">
        <f>IFERROR(IF(OR(DATE($B$81,MONTH(DATEVALUE(W88&amp;"1")),1)&lt;DATE(YEAR(EXPEDIENTE!$I$25),MONTH(EXPEDIENTE!$I$25),1),DATE($B$81,MONTH(DATEVALUE(W88&amp;"1")),1)&gt;DATE(YEAR(EXPEDIENTE!$I$27),MONTH(EXPEDIENTE!$I$27)+1,1)-1),0,ROUND('% DEDICACIÓN'!L47,4)),0)</f>
        <v>0</v>
      </c>
      <c r="Y88" s="241">
        <f>'GASTOS EJER, 4'!AW25+'GASTOS EJER, 4'!BM25-'GASTOS EJER, 4'!CM25-'GASTOS EJER, 4'!CP25</f>
        <v>0</v>
      </c>
      <c r="Z88" s="239" t="str">
        <f>IF('GASTOS EJER, 4'!CT25="","",'GASTOS EJER, 4'!CT25)</f>
        <v/>
      </c>
      <c r="AA88" s="240">
        <f>IF(Z88&lt;=EXPEDIENTE!$I$29,Y88,0)</f>
        <v>0</v>
      </c>
      <c r="AB88" s="241">
        <f>'GASTOS EJER, 4'!CP25</f>
        <v>0</v>
      </c>
      <c r="AC88" s="239" t="str">
        <f>IF('GASTOS EJER, 4'!CW25="","",'GASTOS EJER, 4'!CW25)</f>
        <v/>
      </c>
      <c r="AD88" s="240">
        <f>IF(AC88&lt;=EXPEDIENTE!$I$29,AB88,0)</f>
        <v>0</v>
      </c>
      <c r="AE88" s="242">
        <f>AUXILIAR!DL76</f>
        <v>0</v>
      </c>
      <c r="AF88" s="241">
        <f>AUXILIAR!HU76</f>
        <v>0</v>
      </c>
      <c r="AG88" s="239" t="str">
        <f>IF('GASTOS EJER, 4'!BF54="","",'GASTOS EJER, 4'!BF54)</f>
        <v/>
      </c>
      <c r="AH88" s="240">
        <f>IF(AG88&lt;=EXPEDIENTE!$I$29,AF88,0)</f>
        <v>0</v>
      </c>
      <c r="AI88" s="242">
        <f>IF($AQ$90=0,0,IF(AND($AQ$92&gt;$AQ$90,$AQ$88=1100%),MIN(AUXILIAR!$P$17,ROUND($AQ$90/$AQ$92*(AA88+AD88+AE88+AH88)*(1+('IDENTIFICACIÓN TRABAJADOR'!$T$45+'IDENTIFICACIÓN TRABAJADOR'!$X$45)/(360-'IDENTIFICACIÓN TRABAJADOR'!$T$45-'IDENTIFICACIÓN TRABAJADOR'!$X$45)),2)),MIN(AUXILIAR!$P$17,ROUND((AA88+AD88+AE88+AH88)*(1+('IDENTIFICACIÓN TRABAJADOR'!$T$45+'IDENTIFICACIÓN TRABAJADOR'!$X$45)/(360-'IDENTIFICACIÓN TRABAJADOR'!$T$45-'IDENTIFICACIÓN TRABAJADOR'!$X$45)),2))))</f>
        <v>0</v>
      </c>
      <c r="AJ88" s="243">
        <f t="shared" si="10"/>
        <v>0</v>
      </c>
      <c r="AK88" s="244">
        <f t="shared" si="11"/>
        <v>0</v>
      </c>
      <c r="AO88" s="212">
        <f>ROUND(X88*(AA88+AD88+AE88+AH88)*(1+('IDENTIFICACIÓN TRABAJADOR'!$T$45+'IDENTIFICACIÓN TRABAJADOR'!$X$45)/(360-'IDENTIFICACIÓN TRABAJADOR'!$T$45-'IDENTIFICACIÓN TRABAJADOR'!$X$45)),2)</f>
        <v>0</v>
      </c>
      <c r="AP88" s="245"/>
      <c r="AQ88" s="246">
        <f>SUM('% DEDICACIÓN'!$G$47:$R$47)</f>
        <v>0</v>
      </c>
    </row>
    <row r="89" spans="2:43" ht="15" customHeight="1" x14ac:dyDescent="0.25">
      <c r="B89" s="236" t="s">
        <v>51</v>
      </c>
      <c r="C89" s="237">
        <f>IFERROR(IF(OR(DATE($B$81,MONTH(DATEVALUE(B89&amp;"1")),1)&lt;DATE(YEAR(EXPEDIENTE!$I$25),MONTH(EXPEDIENTE!$I$25),1),DATE($B$81,MONTH(DATEVALUE(B89&amp;"1")),1)&gt;DATE(YEAR(EXPEDIENTE!$I$27),MONTH(EXPEDIENTE!$I$27)+1,1)-1),0,ROUND('% DEDICACIÓN'!M47,4)),0)</f>
        <v>0</v>
      </c>
      <c r="D89" s="241">
        <f>'GASTOS EJER, 4'!F26+'GASTOS EJER, 4'!L26-'GASTOS EJER, 4'!X26-'GASTOS EJER, 4'!Y26</f>
        <v>0</v>
      </c>
      <c r="E89" s="239" t="str">
        <f>IF('GASTOS EJER, 4'!AA26="","",'GASTOS EJER, 4'!AA26)</f>
        <v/>
      </c>
      <c r="F89" s="240">
        <f>IF(E89&lt;=EXPEDIENTE!$I$29,D89,0)</f>
        <v>0</v>
      </c>
      <c r="G89" s="241">
        <f>'GASTOS EJER, 4'!Y26</f>
        <v>0</v>
      </c>
      <c r="H89" s="239" t="str">
        <f>IF('GASTOS EJER, 4'!AB26="","",'GASTOS EJER, 4'!AB26)</f>
        <v/>
      </c>
      <c r="I89" s="240">
        <f>IF(H89&lt;=EXPEDIENTE!$I$29,G89,0)</f>
        <v>0</v>
      </c>
      <c r="J89" s="242">
        <f>AUXILIAR!BU77</f>
        <v>0</v>
      </c>
      <c r="K89" s="241">
        <f>AUXILIAR!FP77</f>
        <v>0</v>
      </c>
      <c r="L89" s="239" t="str">
        <f>IF('GASTOS EJER, 4'!I55="","",'GASTOS EJER, 4'!I55)</f>
        <v/>
      </c>
      <c r="M89" s="240">
        <f>IF(L89&lt;=EXPEDIENTE!$I$29,K89,0)</f>
        <v>0</v>
      </c>
      <c r="N89" s="242">
        <f>IF($U$90=0,0,IF(AND($U$92&gt;$U$90,$U$88=1100%),MIN(AUXILIAR!$P$17,ROUND($U$90/$U$92*(F89+I89+J89+M89)*(1+('IDENTIFICACIÓN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4">
        <f t="shared" si="9"/>
        <v>0</v>
      </c>
      <c r="S89" s="212">
        <f>ROUND(C89*(F89+I89+J89+M89)*(1+('IDENTIFICACIÓN TRABAJADOR'!$T$45+'IDENTIFICACIÓN TRABAJADOR'!$X$45)/(360-'IDENTIFICACIÓN TRABAJADOR'!$T$45-'IDENTIFICACIÓN TRABAJADOR'!$X$45)),2)</f>
        <v>0</v>
      </c>
      <c r="T89" s="245"/>
      <c r="U89" s="211" t="s">
        <v>223</v>
      </c>
      <c r="W89" s="236" t="s">
        <v>51</v>
      </c>
      <c r="X89" s="237">
        <f>IFERROR(IF(OR(DATE($B$81,MONTH(DATEVALUE(W89&amp;"1")),1)&lt;DATE(YEAR(EXPEDIENTE!$I$25),MONTH(EXPEDIENTE!$I$25),1),DATE($B$81,MONTH(DATEVALUE(W89&amp;"1")),1)&gt;DATE(YEAR(EXPEDIENTE!$I$27),MONTH(EXPEDIENTE!$I$27)+1,1)-1),0,ROUND('% DEDICACIÓN'!M47,4)),0)</f>
        <v>0</v>
      </c>
      <c r="Y89" s="241">
        <f>'GASTOS EJER, 4'!AW26+'GASTOS EJER, 4'!BM26-'GASTOS EJER, 4'!CM26-'GASTOS EJER, 4'!CP26</f>
        <v>0</v>
      </c>
      <c r="Z89" s="239" t="str">
        <f>IF('GASTOS EJER, 4'!CT26="","",'GASTOS EJER, 4'!CT26)</f>
        <v/>
      </c>
      <c r="AA89" s="240">
        <f>IF(Z89&lt;=EXPEDIENTE!$I$29,Y89,0)</f>
        <v>0</v>
      </c>
      <c r="AB89" s="241">
        <f>'GASTOS EJER, 4'!CP26</f>
        <v>0</v>
      </c>
      <c r="AC89" s="239" t="str">
        <f>IF('GASTOS EJER, 4'!CW26="","",'GASTOS EJER, 4'!CW26)</f>
        <v/>
      </c>
      <c r="AD89" s="240">
        <f>IF(AC89&lt;=EXPEDIENTE!$I$29,AB89,0)</f>
        <v>0</v>
      </c>
      <c r="AE89" s="242">
        <f>AUXILIAR!DL77</f>
        <v>0</v>
      </c>
      <c r="AF89" s="241">
        <f>AUXILIAR!HU77</f>
        <v>0</v>
      </c>
      <c r="AG89" s="239" t="str">
        <f>IF('GASTOS EJER, 4'!BF55="","",'GASTOS EJER, 4'!BF55)</f>
        <v/>
      </c>
      <c r="AH89" s="240">
        <f>IF(AG89&lt;=EXPEDIENTE!$I$29,AF89,0)</f>
        <v>0</v>
      </c>
      <c r="AI89" s="242">
        <f>IF($AQ$90=0,0,IF(AND($AQ$92&gt;$AQ$90,$AQ$88=1100%),MIN(AUXILIAR!$P$17,ROUND($AQ$90/$AQ$92*(AA89+AD89+AE89+AH89)*(1+('IDENTIFICACIÓN TRABAJADOR'!$T$45+'IDENTIFICACIÓN TRABAJADOR'!$X$45)/(360-'IDENTIFICACIÓN TRABAJADOR'!$T$45-'IDENTIFICACIÓN TRABAJADOR'!$X$45)),2)),MIN(AUXILIAR!$P$17,ROUND((AA89+AD89+AE89+AH89)*(1+('IDENTIFICACIÓN TRABAJADOR'!$T$45+'IDENTIFICACIÓN TRABAJADOR'!$X$45)/(360-'IDENTIFICACIÓN TRABAJADOR'!$T$45-'IDENTIFICACIÓN TRABAJADOR'!$X$45)),2))))</f>
        <v>0</v>
      </c>
      <c r="AJ89" s="243">
        <f t="shared" si="10"/>
        <v>0</v>
      </c>
      <c r="AK89" s="244">
        <f t="shared" si="11"/>
        <v>0</v>
      </c>
      <c r="AO89" s="212">
        <f>ROUND(X89*(AA89+AD89+AE89+AH89)*(1+('IDENTIFICACIÓN TRABAJADOR'!$T$45+'IDENTIFICACIÓN TRABAJADOR'!$X$45)/(360-'IDENTIFICACIÓN TRABAJADOR'!$T$45-'IDENTIFICACIÓN TRABAJADOR'!$X$45)),2)</f>
        <v>0</v>
      </c>
      <c r="AP89" s="245"/>
      <c r="AQ89" s="211" t="s">
        <v>223</v>
      </c>
    </row>
    <row r="90" spans="2:43" ht="15" customHeight="1" x14ac:dyDescent="0.25">
      <c r="B90" s="236" t="s">
        <v>52</v>
      </c>
      <c r="C90" s="237">
        <f>IFERROR(IF(OR(DATE($B$81,MONTH(DATEVALUE(B90&amp;"1")),1)&lt;DATE(YEAR(EXPEDIENTE!$I$25),MONTH(EXPEDIENTE!$I$25),1),DATE($B$81,MONTH(DATEVALUE(B90&amp;"1")),1)&gt;DATE(YEAR(EXPEDIENTE!$I$27),MONTH(EXPEDIENTE!$I$27)+1,1)-1),0,ROUND('% DEDICACIÓN'!N47,4)),0)</f>
        <v>0</v>
      </c>
      <c r="D90" s="241">
        <f>'GASTOS EJER, 4'!F27+'GASTOS EJER, 4'!L27-'GASTOS EJER, 4'!X27-'GASTOS EJER, 4'!Y27</f>
        <v>0</v>
      </c>
      <c r="E90" s="239" t="str">
        <f>IF('GASTOS EJER, 4'!AA27="","",'GASTOS EJER, 4'!AA27)</f>
        <v/>
      </c>
      <c r="F90" s="240">
        <f>IF(E90&lt;=EXPEDIENTE!$I$29,D90,0)</f>
        <v>0</v>
      </c>
      <c r="G90" s="241">
        <f>'GASTOS EJER, 4'!Y27</f>
        <v>0</v>
      </c>
      <c r="H90" s="239" t="str">
        <f>IF('GASTOS EJER, 4'!AB27="","",'GASTOS EJER, 4'!AB27)</f>
        <v/>
      </c>
      <c r="I90" s="240">
        <f>IF(H90&lt;=EXPEDIENTE!$I$29,G90,0)</f>
        <v>0</v>
      </c>
      <c r="J90" s="242">
        <f>AUXILIAR!BU78</f>
        <v>0</v>
      </c>
      <c r="K90" s="241">
        <f>AUXILIAR!FP78</f>
        <v>0</v>
      </c>
      <c r="L90" s="239" t="str">
        <f>IF('GASTOS EJER, 4'!I56="","",'GASTOS EJER, 4'!I56)</f>
        <v/>
      </c>
      <c r="M90" s="240">
        <f>IF(L90&lt;=EXPEDIENTE!$I$29,K90,0)</f>
        <v>0</v>
      </c>
      <c r="N90" s="242">
        <f>IF($U$90=0,0,IF(AND($U$92&gt;$U$90,$U$88=1100%),MIN(AUXILIAR!$P$17,ROUND($U$90/$U$92*(F90+I90+J90+M90)*(1+('IDENTIFICACIÓN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4">
        <f t="shared" si="9"/>
        <v>0</v>
      </c>
      <c r="S90" s="212">
        <f>ROUND(C90*(F90+I90+J90+M90)*(1+('IDENTIFICACIÓN TRABAJADOR'!$T$45+'IDENTIFICACIÓN TRABAJADOR'!$X$45)/(360-'IDENTIFICACIÓN TRABAJADOR'!$T$45-'IDENTIFICACIÓN TRABAJADOR'!$X$45)),2)</f>
        <v>0</v>
      </c>
      <c r="T90" s="245"/>
      <c r="U90" s="247">
        <f>SUM(F83:F94)+SUM(I83:I94)+SUM(J83:J94)+SUM(M83:M94)</f>
        <v>0</v>
      </c>
      <c r="W90" s="236" t="s">
        <v>52</v>
      </c>
      <c r="X90" s="237">
        <f>IFERROR(IF(OR(DATE($B$81,MONTH(DATEVALUE(W90&amp;"1")),1)&lt;DATE(YEAR(EXPEDIENTE!$I$25),MONTH(EXPEDIENTE!$I$25),1),DATE($B$81,MONTH(DATEVALUE(W90&amp;"1")),1)&gt;DATE(YEAR(EXPEDIENTE!$I$27),MONTH(EXPEDIENTE!$I$27)+1,1)-1),0,ROUND('% DEDICACIÓN'!N47,4)),0)</f>
        <v>0</v>
      </c>
      <c r="Y90" s="241">
        <f>'GASTOS EJER, 4'!AW27+'GASTOS EJER, 4'!BM27-'GASTOS EJER, 4'!CM27-'GASTOS EJER, 4'!CP27</f>
        <v>0</v>
      </c>
      <c r="Z90" s="239" t="str">
        <f>IF('GASTOS EJER, 4'!CT27="","",'GASTOS EJER, 4'!CT27)</f>
        <v/>
      </c>
      <c r="AA90" s="240">
        <f>IF(Z90&lt;=EXPEDIENTE!$I$29,Y90,0)</f>
        <v>0</v>
      </c>
      <c r="AB90" s="241">
        <f>'GASTOS EJER, 4'!CP27</f>
        <v>0</v>
      </c>
      <c r="AC90" s="239" t="str">
        <f>IF('GASTOS EJER, 4'!CW27="","",'GASTOS EJER, 4'!CW27)</f>
        <v/>
      </c>
      <c r="AD90" s="240">
        <f>IF(AC90&lt;=EXPEDIENTE!$I$29,AB90,0)</f>
        <v>0</v>
      </c>
      <c r="AE90" s="242">
        <f>AUXILIAR!DL78</f>
        <v>0</v>
      </c>
      <c r="AF90" s="241">
        <f>AUXILIAR!HU78</f>
        <v>0</v>
      </c>
      <c r="AG90" s="239" t="str">
        <f>IF('GASTOS EJER, 4'!BF56="","",'GASTOS EJER, 4'!BF56)</f>
        <v/>
      </c>
      <c r="AH90" s="240">
        <f>IF(AG90&lt;=EXPEDIENTE!$I$29,AF90,0)</f>
        <v>0</v>
      </c>
      <c r="AI90" s="242">
        <f>IF($AQ$90=0,0,IF(AND($AQ$92&gt;$AQ$90,$AQ$88=1100%),MIN(AUXILIAR!$P$17,ROUND($AQ$90/$AQ$92*(AA90+AD90+AE90+AH90)*(1+('IDENTIFICACIÓN TRABAJADOR'!$T$45+'IDENTIFICACIÓN TRABAJADOR'!$X$45)/(360-'IDENTIFICACIÓN TRABAJADOR'!$T$45-'IDENTIFICACIÓN TRABAJADOR'!$X$45)),2)),MIN(AUXILIAR!$P$17,ROUND((AA90+AD90+AE90+AH90)*(1+('IDENTIFICACIÓN TRABAJADOR'!$T$45+'IDENTIFICACIÓN TRABAJADOR'!$X$45)/(360-'IDENTIFICACIÓN TRABAJADOR'!$T$45-'IDENTIFICACIÓN TRABAJADOR'!$X$45)),2))))</f>
        <v>0</v>
      </c>
      <c r="AJ90" s="243">
        <f t="shared" si="10"/>
        <v>0</v>
      </c>
      <c r="AK90" s="244">
        <f t="shared" si="11"/>
        <v>0</v>
      </c>
      <c r="AO90" s="212">
        <f>ROUND(X90*(AA90+AD90+AE90+AH90)*(1+('IDENTIFICACIÓN TRABAJADOR'!$T$45+'IDENTIFICACIÓN TRABAJADOR'!$X$45)/(360-'IDENTIFICACIÓN TRABAJADOR'!$T$45-'IDENTIFICACIÓN TRABAJADOR'!$X$45)),2)</f>
        <v>0</v>
      </c>
      <c r="AP90" s="245"/>
      <c r="AQ90" s="247">
        <f>SUM(AA83:AA94)+SUM(AD83:AD94)+SUM(AE83:AE94)+SUM(AH83:AH94)</f>
        <v>0</v>
      </c>
    </row>
    <row r="91" spans="2:43" ht="15" customHeight="1" x14ac:dyDescent="0.25">
      <c r="B91" s="236" t="s">
        <v>53</v>
      </c>
      <c r="C91" s="237">
        <f>IFERROR(IF(OR(DATE($B$81,MONTH(DATEVALUE(B91&amp;"1")),1)&lt;DATE(YEAR(EXPEDIENTE!$I$25),MONTH(EXPEDIENTE!$I$25),1),DATE($B$81,MONTH(DATEVALUE(B91&amp;"1")),1)&gt;DATE(YEAR(EXPEDIENTE!$I$27),MONTH(EXPEDIENTE!$I$27)+1,1)-1),0,ROUND('% DEDICACIÓN'!O47,4)),0)</f>
        <v>0</v>
      </c>
      <c r="D91" s="241">
        <f>'GASTOS EJER, 4'!F28+'GASTOS EJER, 4'!L28-'GASTOS EJER, 4'!X28-'GASTOS EJER, 4'!Y28</f>
        <v>0</v>
      </c>
      <c r="E91" s="239" t="str">
        <f>IF('GASTOS EJER, 4'!AA28="","",'GASTOS EJER, 4'!AA28)</f>
        <v/>
      </c>
      <c r="F91" s="240">
        <f>IF(E91&lt;=EXPEDIENTE!$I$29,D91,0)</f>
        <v>0</v>
      </c>
      <c r="G91" s="241">
        <f>'GASTOS EJER, 4'!Y28</f>
        <v>0</v>
      </c>
      <c r="H91" s="239" t="str">
        <f>IF('GASTOS EJER, 4'!AB28="","",'GASTOS EJER, 4'!AB28)</f>
        <v/>
      </c>
      <c r="I91" s="240">
        <f>IF(H91&lt;=EXPEDIENTE!$I$29,G91,0)</f>
        <v>0</v>
      </c>
      <c r="J91" s="242">
        <f>AUXILIAR!BU79</f>
        <v>0</v>
      </c>
      <c r="K91" s="241">
        <f>AUXILIAR!FP79</f>
        <v>0</v>
      </c>
      <c r="L91" s="239" t="str">
        <f>IF('GASTOS EJER, 4'!I57="","",'GASTOS EJER, 4'!I57)</f>
        <v/>
      </c>
      <c r="M91" s="240">
        <f>IF(L91&lt;=EXPEDIENTE!$I$29,K91,0)</f>
        <v>0</v>
      </c>
      <c r="N91" s="242">
        <f>IF($U$90=0,0,IF(AND($U$92&gt;$U$90,$U$88=1100%),MIN(AUXILIAR!$P$17,ROUND($U$90/$U$92*(F91+I91+J91+M91)*(1+('IDENTIFICACIÓN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4">
        <f t="shared" si="9"/>
        <v>0</v>
      </c>
      <c r="S91" s="212">
        <f>ROUND(C91*(F91+I91+J91+M91)*(1+('IDENTIFICACIÓN TRABAJADOR'!$T$45+'IDENTIFICACIÓN TRABAJADOR'!$X$45)/(360-'IDENTIFICACIÓN TRABAJADOR'!$T$45-'IDENTIFICACIÓN TRABAJADOR'!$X$45)),2)</f>
        <v>0</v>
      </c>
      <c r="T91" s="245"/>
      <c r="U91" s="211" t="s">
        <v>224</v>
      </c>
      <c r="W91" s="236" t="s">
        <v>53</v>
      </c>
      <c r="X91" s="237">
        <f>IFERROR(IF(OR(DATE($B$81,MONTH(DATEVALUE(W91&amp;"1")),1)&lt;DATE(YEAR(EXPEDIENTE!$I$25),MONTH(EXPEDIENTE!$I$25),1),DATE($B$81,MONTH(DATEVALUE(W91&amp;"1")),1)&gt;DATE(YEAR(EXPEDIENTE!$I$27),MONTH(EXPEDIENTE!$I$27)+1,1)-1),0,ROUND('% DEDICACIÓN'!O47,4)),0)</f>
        <v>0</v>
      </c>
      <c r="Y91" s="241">
        <f>'GASTOS EJER, 4'!AW28+'GASTOS EJER, 4'!BM28-'GASTOS EJER, 4'!CM28-'GASTOS EJER, 4'!CP28</f>
        <v>0</v>
      </c>
      <c r="Z91" s="239" t="str">
        <f>IF('GASTOS EJER, 4'!CT28="","",'GASTOS EJER, 4'!CT28)</f>
        <v/>
      </c>
      <c r="AA91" s="240">
        <f>IF(Z91&lt;=EXPEDIENTE!$I$29,Y91,0)</f>
        <v>0</v>
      </c>
      <c r="AB91" s="241">
        <f>'GASTOS EJER, 4'!CP28</f>
        <v>0</v>
      </c>
      <c r="AC91" s="239" t="str">
        <f>IF('GASTOS EJER, 4'!CW28="","",'GASTOS EJER, 4'!CW28)</f>
        <v/>
      </c>
      <c r="AD91" s="240">
        <f>IF(AC91&lt;=EXPEDIENTE!$I$29,AB91,0)</f>
        <v>0</v>
      </c>
      <c r="AE91" s="242">
        <f>AUXILIAR!DL79</f>
        <v>0</v>
      </c>
      <c r="AF91" s="241">
        <f>AUXILIAR!HU79</f>
        <v>0</v>
      </c>
      <c r="AG91" s="239" t="str">
        <f>IF('GASTOS EJER, 4'!BF57="","",'GASTOS EJER, 4'!BF57)</f>
        <v/>
      </c>
      <c r="AH91" s="240">
        <f>IF(AG91&lt;=EXPEDIENTE!$I$29,AF91,0)</f>
        <v>0</v>
      </c>
      <c r="AI91" s="242">
        <f>IF($AQ$90=0,0,IF(AND($AQ$92&gt;$AQ$90,$AQ$88=1100%),MIN(AUXILIAR!$P$17,ROUND($AQ$90/$AQ$92*(AA91+AD91+AE91+AH91)*(1+('IDENTIFICACIÓN TRABAJADOR'!$T$45+'IDENTIFICACIÓN TRABAJADOR'!$X$45)/(360-'IDENTIFICACIÓN TRABAJADOR'!$T$45-'IDENTIFICACIÓN TRABAJADOR'!$X$45)),2)),MIN(AUXILIAR!$P$17,ROUND((AA91+AD91+AE91+AH91)*(1+('IDENTIFICACIÓN TRABAJADOR'!$T$45+'IDENTIFICACIÓN TRABAJADOR'!$X$45)/(360-'IDENTIFICACIÓN TRABAJADOR'!$T$45-'IDENTIFICACIÓN TRABAJADOR'!$X$45)),2))))</f>
        <v>0</v>
      </c>
      <c r="AJ91" s="243">
        <f t="shared" si="10"/>
        <v>0</v>
      </c>
      <c r="AK91" s="244">
        <f t="shared" si="11"/>
        <v>0</v>
      </c>
      <c r="AO91" s="212">
        <f>ROUND(X91*(AA91+AD91+AE91+AH91)*(1+('IDENTIFICACIÓN TRABAJADOR'!$T$45+'IDENTIFICACIÓN TRABAJADOR'!$X$45)/(360-'IDENTIFICACIÓN TRABAJADOR'!$T$45-'IDENTIFICACIÓN TRABAJADOR'!$X$45)),2)</f>
        <v>0</v>
      </c>
      <c r="AP91" s="245"/>
      <c r="AQ91" s="211" t="s">
        <v>224</v>
      </c>
    </row>
    <row r="92" spans="2:43" ht="15" customHeight="1" x14ac:dyDescent="0.25">
      <c r="B92" s="236" t="s">
        <v>54</v>
      </c>
      <c r="C92" s="237">
        <f>IFERROR(IF(OR(DATE($B$81,MONTH(DATEVALUE(B92&amp;"1")),1)&lt;DATE(YEAR(EXPEDIENTE!$I$25),MONTH(EXPEDIENTE!$I$25),1),DATE($B$81,MONTH(DATEVALUE(B92&amp;"1")),1)&gt;DATE(YEAR(EXPEDIENTE!$I$27),MONTH(EXPEDIENTE!$I$27)+1,1)-1),0,ROUND('% DEDICACIÓN'!P47,4)),0)</f>
        <v>0</v>
      </c>
      <c r="D92" s="241">
        <f>'GASTOS EJER, 4'!F29+'GASTOS EJER, 4'!L29-'GASTOS EJER, 4'!X29-'GASTOS EJER, 4'!Y29</f>
        <v>0</v>
      </c>
      <c r="E92" s="239" t="str">
        <f>IF('GASTOS EJER, 4'!AA29="","",'GASTOS EJER, 4'!AA29)</f>
        <v/>
      </c>
      <c r="F92" s="240">
        <f>IF(E92&lt;=EXPEDIENTE!$I$29,D92,0)</f>
        <v>0</v>
      </c>
      <c r="G92" s="241">
        <f>'GASTOS EJER, 4'!Y29</f>
        <v>0</v>
      </c>
      <c r="H92" s="239" t="str">
        <f>IF('GASTOS EJER, 4'!AB29="","",'GASTOS EJER, 4'!AB29)</f>
        <v/>
      </c>
      <c r="I92" s="240">
        <f>IF(H92&lt;=EXPEDIENTE!$I$29,G92,0)</f>
        <v>0</v>
      </c>
      <c r="J92" s="242">
        <f>AUXILIAR!BU80</f>
        <v>0</v>
      </c>
      <c r="K92" s="241">
        <f>AUXILIAR!FP80</f>
        <v>0</v>
      </c>
      <c r="L92" s="239" t="str">
        <f>IF('GASTOS EJER, 4'!I58="","",'GASTOS EJER, 4'!I58)</f>
        <v/>
      </c>
      <c r="M92" s="240">
        <f>IF(L92&lt;=EXPEDIENTE!$I$29,K92,0)</f>
        <v>0</v>
      </c>
      <c r="N92" s="242">
        <f>IF($U$90=0,0,IF(AND($U$92&gt;$U$90,$U$88=1100%),MIN(AUXILIAR!$P$17,ROUND($U$90/$U$92*(F92+I92+J92+M92)*(1+('IDENTIFICACIÓN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4">
        <f t="shared" si="9"/>
        <v>0</v>
      </c>
      <c r="S92" s="212">
        <f>ROUND(C92*(F92+I92+J92+M92)*(1+('IDENTIFICACIÓN TRABAJADOR'!$T$45+'IDENTIFICACIÓN TRABAJADOR'!$X$45)/(360-'IDENTIFICACIÓN TRABAJADOR'!$T$45-'IDENTIFICACIÓN TRABAJADOR'!$X$45)),2)</f>
        <v>0</v>
      </c>
      <c r="T92" s="245"/>
      <c r="U92" s="247">
        <f>SUM(S83:S94)</f>
        <v>0</v>
      </c>
      <c r="W92" s="236" t="s">
        <v>54</v>
      </c>
      <c r="X92" s="237">
        <f>IFERROR(IF(OR(DATE($B$81,MONTH(DATEVALUE(W92&amp;"1")),1)&lt;DATE(YEAR(EXPEDIENTE!$I$25),MONTH(EXPEDIENTE!$I$25),1),DATE($B$81,MONTH(DATEVALUE(W92&amp;"1")),1)&gt;DATE(YEAR(EXPEDIENTE!$I$27),MONTH(EXPEDIENTE!$I$27)+1,1)-1),0,ROUND('% DEDICACIÓN'!P47,4)),0)</f>
        <v>0</v>
      </c>
      <c r="Y92" s="241">
        <f>'GASTOS EJER, 4'!AW29+'GASTOS EJER, 4'!BM29-'GASTOS EJER, 4'!CM29-'GASTOS EJER, 4'!CP29</f>
        <v>0</v>
      </c>
      <c r="Z92" s="239" t="str">
        <f>IF('GASTOS EJER, 4'!CT29="","",'GASTOS EJER, 4'!CT29)</f>
        <v/>
      </c>
      <c r="AA92" s="240">
        <f>IF(Z92&lt;=EXPEDIENTE!$I$29,Y92,0)</f>
        <v>0</v>
      </c>
      <c r="AB92" s="241">
        <f>'GASTOS EJER, 4'!CP29</f>
        <v>0</v>
      </c>
      <c r="AC92" s="239" t="str">
        <f>IF('GASTOS EJER, 4'!CW29="","",'GASTOS EJER, 4'!CW29)</f>
        <v/>
      </c>
      <c r="AD92" s="240">
        <f>IF(AC92&lt;=EXPEDIENTE!$I$29,AB92,0)</f>
        <v>0</v>
      </c>
      <c r="AE92" s="242">
        <f>AUXILIAR!DL80</f>
        <v>0</v>
      </c>
      <c r="AF92" s="241">
        <f>AUXILIAR!HU80</f>
        <v>0</v>
      </c>
      <c r="AG92" s="239" t="str">
        <f>IF('GASTOS EJER, 4'!BF58="","",'GASTOS EJER, 4'!BF58)</f>
        <v/>
      </c>
      <c r="AH92" s="240">
        <f>IF(AG92&lt;=EXPEDIENTE!$I$29,AF92,0)</f>
        <v>0</v>
      </c>
      <c r="AI92" s="242">
        <f>IF($AQ$90=0,0,IF(AND($AQ$92&gt;$AQ$90,$AQ$88=1100%),MIN(AUXILIAR!$P$17,ROUND($AQ$90/$AQ$92*(AA92+AD92+AE92+AH92)*(1+('IDENTIFICACIÓN TRABAJADOR'!$T$45+'IDENTIFICACIÓN TRABAJADOR'!$X$45)/(360-'IDENTIFICACIÓN TRABAJADOR'!$T$45-'IDENTIFICACIÓN TRABAJADOR'!$X$45)),2)),MIN(AUXILIAR!$P$17,ROUND((AA92+AD92+AE92+AH92)*(1+('IDENTIFICACIÓN TRABAJADOR'!$T$45+'IDENTIFICACIÓN TRABAJADOR'!$X$45)/(360-'IDENTIFICACIÓN TRABAJADOR'!$T$45-'IDENTIFICACIÓN TRABAJADOR'!$X$45)),2))))</f>
        <v>0</v>
      </c>
      <c r="AJ92" s="243">
        <f t="shared" si="10"/>
        <v>0</v>
      </c>
      <c r="AK92" s="244">
        <f t="shared" si="11"/>
        <v>0</v>
      </c>
      <c r="AO92" s="212">
        <f>ROUND(X92*(AA92+AD92+AE92+AH92)*(1+('IDENTIFICACIÓN TRABAJADOR'!$T$45+'IDENTIFICACIÓN TRABAJADOR'!$X$45)/(360-'IDENTIFICACIÓN TRABAJADOR'!$T$45-'IDENTIFICACIÓN TRABAJADOR'!$X$45)),2)</f>
        <v>0</v>
      </c>
      <c r="AP92" s="245"/>
      <c r="AQ92" s="247">
        <f>SUM(AO83:AO94)</f>
        <v>0</v>
      </c>
    </row>
    <row r="93" spans="2:43" ht="15" customHeight="1" x14ac:dyDescent="0.25">
      <c r="B93" s="236" t="s">
        <v>55</v>
      </c>
      <c r="C93" s="237">
        <f>IFERROR(IF(OR(DATE($B$81,MONTH(DATEVALUE(B93&amp;"1")),1)&lt;DATE(YEAR(EXPEDIENTE!$I$25),MONTH(EXPEDIENTE!$I$25),1),DATE($B$81,MONTH(DATEVALUE(B93&amp;"1")),1)&gt;DATE(YEAR(EXPEDIENTE!$I$27),MONTH(EXPEDIENTE!$I$27)+1,1)-1),0,ROUND('% DEDICACIÓN'!Q47,4)),0)</f>
        <v>0</v>
      </c>
      <c r="D93" s="241">
        <f>'GASTOS EJER, 4'!F30+'GASTOS EJER, 4'!L30-'GASTOS EJER, 4'!X30-'GASTOS EJER, 4'!Y30</f>
        <v>0</v>
      </c>
      <c r="E93" s="239" t="str">
        <f>IF('GASTOS EJER, 4'!AA30="","",'GASTOS EJER, 4'!AA30)</f>
        <v/>
      </c>
      <c r="F93" s="240">
        <f>IF(E93&lt;=EXPEDIENTE!$I$29,D93,0)</f>
        <v>0</v>
      </c>
      <c r="G93" s="241">
        <f>'GASTOS EJER, 4'!Y30</f>
        <v>0</v>
      </c>
      <c r="H93" s="239" t="str">
        <f>IF('GASTOS EJER, 4'!AB30="","",'GASTOS EJER, 4'!AB30)</f>
        <v/>
      </c>
      <c r="I93" s="240">
        <f>IF(H93&lt;=EXPEDIENTE!$I$29,G93,0)</f>
        <v>0</v>
      </c>
      <c r="J93" s="242">
        <f>AUXILIAR!BU81</f>
        <v>0</v>
      </c>
      <c r="K93" s="241">
        <f>AUXILIAR!FP81</f>
        <v>0</v>
      </c>
      <c r="L93" s="239" t="str">
        <f>IF('GASTOS EJER, 4'!I59="","",'GASTOS EJER, 4'!I59)</f>
        <v/>
      </c>
      <c r="M93" s="240">
        <f>IF(L93&lt;=EXPEDIENTE!$I$29,K93,0)</f>
        <v>0</v>
      </c>
      <c r="N93" s="242">
        <f>IF($U$90=0,0,IF(AND($U$92&gt;$U$90,$U$88=1100%),MIN(AUXILIAR!$P$17,ROUND($U$90/$U$92*(F93+I93+J93+M93)*(1+('IDENTIFICACIÓN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4">
        <f t="shared" si="9"/>
        <v>0</v>
      </c>
      <c r="S93" s="212">
        <f>ROUND(C93*(F93+I93+J93+M93)*(1+('IDENTIFICACIÓN TRABAJADOR'!$T$45+'IDENTIFICACIÓN TRABAJADOR'!$X$45)/(360-'IDENTIFICACIÓN TRABAJADOR'!$T$45-'IDENTIFICACIÓN TRABAJADOR'!$X$45)),2)</f>
        <v>0</v>
      </c>
      <c r="T93" s="245"/>
      <c r="U93" s="211" t="s">
        <v>225</v>
      </c>
      <c r="W93" s="236" t="s">
        <v>55</v>
      </c>
      <c r="X93" s="237">
        <f>IFERROR(IF(OR(DATE($B$81,MONTH(DATEVALUE(W93&amp;"1")),1)&lt;DATE(YEAR(EXPEDIENTE!$I$25),MONTH(EXPEDIENTE!$I$25),1),DATE($B$81,MONTH(DATEVALUE(W93&amp;"1")),1)&gt;DATE(YEAR(EXPEDIENTE!$I$27),MONTH(EXPEDIENTE!$I$27)+1,1)-1),0,ROUND('% DEDICACIÓN'!Q47,4)),0)</f>
        <v>0</v>
      </c>
      <c r="Y93" s="241">
        <f>'GASTOS EJER, 4'!AW30+'GASTOS EJER, 4'!BM30-'GASTOS EJER, 4'!CM30-'GASTOS EJER, 4'!CP30</f>
        <v>0</v>
      </c>
      <c r="Z93" s="239" t="str">
        <f>IF('GASTOS EJER, 4'!CT30="","",'GASTOS EJER, 4'!CT30)</f>
        <v/>
      </c>
      <c r="AA93" s="240">
        <f>IF(Z93&lt;=EXPEDIENTE!$I$29,Y93,0)</f>
        <v>0</v>
      </c>
      <c r="AB93" s="241">
        <f>'GASTOS EJER, 4'!CP30</f>
        <v>0</v>
      </c>
      <c r="AC93" s="239" t="str">
        <f>IF('GASTOS EJER, 4'!CW30="","",'GASTOS EJER, 4'!CW30)</f>
        <v/>
      </c>
      <c r="AD93" s="240">
        <f>IF(AC93&lt;=EXPEDIENTE!$I$29,AB93,0)</f>
        <v>0</v>
      </c>
      <c r="AE93" s="242">
        <f>AUXILIAR!DL81</f>
        <v>0</v>
      </c>
      <c r="AF93" s="241">
        <f>AUXILIAR!HU81</f>
        <v>0</v>
      </c>
      <c r="AG93" s="239" t="str">
        <f>IF('GASTOS EJER, 4'!BF59="","",'GASTOS EJER, 4'!BF59)</f>
        <v/>
      </c>
      <c r="AH93" s="240">
        <f>IF(AG93&lt;=EXPEDIENTE!$I$29,AF93,0)</f>
        <v>0</v>
      </c>
      <c r="AI93" s="242">
        <f>IF($AQ$90=0,0,IF(AND($AQ$92&gt;$AQ$90,$AQ$88=1100%),MIN(AUXILIAR!$P$17,ROUND($AQ$90/$AQ$92*(AA93+AD93+AE93+AH93)*(1+('IDENTIFICACIÓN TRABAJADOR'!$T$45+'IDENTIFICACIÓN TRABAJADOR'!$X$45)/(360-'IDENTIFICACIÓN TRABAJADOR'!$T$45-'IDENTIFICACIÓN TRABAJADOR'!$X$45)),2)),MIN(AUXILIAR!$P$17,ROUND((AA93+AD93+AE93+AH93)*(1+('IDENTIFICACIÓN TRABAJADOR'!$T$45+'IDENTIFICACIÓN TRABAJADOR'!$X$45)/(360-'IDENTIFICACIÓN TRABAJADOR'!$T$45-'IDENTIFICACIÓN TRABAJADOR'!$X$45)),2))))</f>
        <v>0</v>
      </c>
      <c r="AJ93" s="243">
        <f t="shared" si="10"/>
        <v>0</v>
      </c>
      <c r="AK93" s="244">
        <f t="shared" si="11"/>
        <v>0</v>
      </c>
      <c r="AO93" s="212">
        <f>ROUND(X93*(AA93+AD93+AE93+AH93)*(1+('IDENTIFICACIÓN TRABAJADOR'!$T$45+'IDENTIFICACIÓN TRABAJADOR'!$X$45)/(360-'IDENTIFICACIÓN TRABAJADOR'!$T$45-'IDENTIFICACIÓN TRABAJADOR'!$X$45)),2)</f>
        <v>0</v>
      </c>
      <c r="AP93" s="245"/>
      <c r="AQ93" s="211" t="s">
        <v>225</v>
      </c>
    </row>
    <row r="94" spans="2:43" ht="15" customHeight="1" thickBot="1" x14ac:dyDescent="0.3">
      <c r="B94" s="248" t="s">
        <v>56</v>
      </c>
      <c r="C94" s="249">
        <f>IFERROR(IF(OR(DATE($B$81,MONTH(DATEVALUE(B94&amp;"1")),1)&lt;DATE(YEAR(EXPEDIENTE!$I$25),MONTH(EXPEDIENTE!$I$25),1),DATE($B$81,MONTH(DATEVALUE(B94&amp;"1")),1)&gt;DATE(YEAR(EXPEDIENTE!$I$27),MONTH(EXPEDIENTE!$I$27)+1,1)-1),0,ROUND('% DEDICACIÓN'!R47,4)),0)</f>
        <v>0</v>
      </c>
      <c r="D94" s="253">
        <f>'GASTOS EJER, 4'!F31+'GASTOS EJER, 4'!L31-'GASTOS EJER, 4'!X31-'GASTOS EJER, 4'!Y31</f>
        <v>0</v>
      </c>
      <c r="E94" s="251" t="str">
        <f>IF('GASTOS EJER, 4'!AA31="","",'GASTOS EJER, 4'!AA31)</f>
        <v/>
      </c>
      <c r="F94" s="252">
        <f>IF(E94&lt;=EXPEDIENTE!$I$29,D94,0)</f>
        <v>0</v>
      </c>
      <c r="G94" s="253">
        <f>'GASTOS EJER, 4'!Y31</f>
        <v>0</v>
      </c>
      <c r="H94" s="251" t="str">
        <f>IF('GASTOS EJER, 4'!AB31="","",'GASTOS EJER, 4'!AB31)</f>
        <v/>
      </c>
      <c r="I94" s="252">
        <f>IF(H94&lt;=EXPEDIENTE!$I$29,G94,0)</f>
        <v>0</v>
      </c>
      <c r="J94" s="254">
        <f>AUXILIAR!BU82</f>
        <v>0</v>
      </c>
      <c r="K94" s="253">
        <f>AUXILIAR!FP82</f>
        <v>0</v>
      </c>
      <c r="L94" s="251" t="str">
        <f>IF('GASTOS EJER, 4'!I60="","",'GASTOS EJER, 4'!I60)</f>
        <v/>
      </c>
      <c r="M94" s="252">
        <f>IF(L94&lt;=EXPEDIENTE!$I$29,K94,0)</f>
        <v>0</v>
      </c>
      <c r="N94" s="254">
        <f>IF($U$90=0,0,IF(AND($U$92&gt;$U$90,$U$88=1100%),MIN(AUXILIAR!$P$17,ROUND($U$90/$U$92*(F94+I94+J94+M94)*(1+('IDENTIFICACIÓN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6">
        <f t="shared" si="9"/>
        <v>0</v>
      </c>
      <c r="S94" s="212">
        <f>ROUND(C94*(F94+I94+J94+M94)*(1+('IDENTIFICACIÓN TRABAJADOR'!$T$45+'IDENTIFICACIÓN TRABAJADOR'!$X$45)/(360-'IDENTIFICACIÓN TRABAJADOR'!$T$45-'IDENTIFICACIÓN TRABAJADOR'!$X$45)),2)</f>
        <v>0</v>
      </c>
      <c r="T94" s="245"/>
      <c r="U94" s="211" t="str">
        <f>IF(U92=0,"",U90/U92)</f>
        <v/>
      </c>
      <c r="W94" s="248" t="s">
        <v>56</v>
      </c>
      <c r="X94" s="249">
        <f>IFERROR(IF(OR(DATE($B$81,MONTH(DATEVALUE(W94&amp;"1")),1)&lt;DATE(YEAR(EXPEDIENTE!$I$25),MONTH(EXPEDIENTE!$I$25),1),DATE($B$81,MONTH(DATEVALUE(W94&amp;"1")),1)&gt;DATE(YEAR(EXPEDIENTE!$I$27),MONTH(EXPEDIENTE!$I$27)+1,1)-1),0,ROUND('% DEDICACIÓN'!R47,4)),0)</f>
        <v>0</v>
      </c>
      <c r="Y94" s="253">
        <f>'GASTOS EJER, 4'!AW31+'GASTOS EJER, 4'!BM31-'GASTOS EJER, 4'!CM31-'GASTOS EJER, 4'!CP31</f>
        <v>0</v>
      </c>
      <c r="Z94" s="251" t="str">
        <f>IF('GASTOS EJER, 4'!CT31="","",'GASTOS EJER, 4'!CT31)</f>
        <v/>
      </c>
      <c r="AA94" s="252">
        <f>IF(Z94&lt;=EXPEDIENTE!$I$29,Y94,0)</f>
        <v>0</v>
      </c>
      <c r="AB94" s="253">
        <f>'GASTOS EJER, 4'!CP31</f>
        <v>0</v>
      </c>
      <c r="AC94" s="251" t="str">
        <f>IF('GASTOS EJER, 4'!CW31="","",'GASTOS EJER, 4'!CW31)</f>
        <v/>
      </c>
      <c r="AD94" s="252">
        <f>IF(AC94&lt;=EXPEDIENTE!$I$29,AB94,0)</f>
        <v>0</v>
      </c>
      <c r="AE94" s="254">
        <f>AUXILIAR!DL82</f>
        <v>0</v>
      </c>
      <c r="AF94" s="253">
        <f>AUXILIAR!HU82</f>
        <v>0</v>
      </c>
      <c r="AG94" s="251" t="str">
        <f>IF('GASTOS EJER, 4'!BF60="","",'GASTOS EJER, 4'!BF60)</f>
        <v/>
      </c>
      <c r="AH94" s="252">
        <f>IF(AG94&lt;=EXPEDIENTE!$I$29,AF94,0)</f>
        <v>0</v>
      </c>
      <c r="AI94" s="254">
        <f>IF($AQ$90=0,0,IF(AND($AQ$92&gt;$AQ$90,$AQ$88=1100%),MIN(AUXILIAR!$P$17,ROUND($AQ$90/$AQ$92*(AA94+AD94+AE94+AH94)*(1+('IDENTIFICACIÓN TRABAJADOR'!$T$45+'IDENTIFICACIÓN TRABAJADOR'!$X$45)/(360-'IDENTIFICACIÓN TRABAJADOR'!$T$45-'IDENTIFICACIÓN TRABAJADOR'!$X$45)),2)),MIN(AUXILIAR!$P$17,ROUND((AA94+AD94+AE94+AH94)*(1+('IDENTIFICACIÓN TRABAJADOR'!$T$45+'IDENTIFICACIÓN TRABAJADOR'!$X$45)/(360-'IDENTIFICACIÓN TRABAJADOR'!$T$45-'IDENTIFICACIÓN TRABAJADOR'!$X$45)),2))))</f>
        <v>0</v>
      </c>
      <c r="AJ94" s="255">
        <f t="shared" si="10"/>
        <v>0</v>
      </c>
      <c r="AK94" s="256">
        <f t="shared" si="11"/>
        <v>0</v>
      </c>
      <c r="AO94" s="212">
        <f>ROUND(X94*(AA94+AD94+AE94+AH94)*(1+('IDENTIFICACIÓN TRABAJADOR'!$T$45+'IDENTIFICACIÓN TRABAJADOR'!$X$45)/(360-'IDENTIFICACIÓN TRABAJADOR'!$T$45-'IDENTIFICACIÓN TRABAJADOR'!$X$45)),2)</f>
        <v>0</v>
      </c>
      <c r="AP94" s="245"/>
      <c r="AQ94" s="211" t="str">
        <f>IF(AQ92=0,"",AQ90/AQ92)</f>
        <v/>
      </c>
    </row>
    <row r="95" spans="2:43" ht="14.25" thickBot="1" x14ac:dyDescent="0.3">
      <c r="M95" s="257"/>
      <c r="N95" s="257"/>
      <c r="O95" s="257"/>
      <c r="T95" s="215"/>
      <c r="U95" s="211" t="s">
        <v>170</v>
      </c>
      <c r="AH95" s="257"/>
      <c r="AI95" s="257"/>
      <c r="AJ95" s="257"/>
      <c r="AK95" s="257"/>
      <c r="AP95" s="215"/>
      <c r="AQ95" s="211" t="s">
        <v>170</v>
      </c>
    </row>
    <row r="96" spans="2:43" ht="20.100000000000001" customHeight="1" thickBot="1" x14ac:dyDescent="0.3">
      <c r="G96" s="258"/>
      <c r="M96" s="259"/>
      <c r="N96" s="260" t="str">
        <f>CONCATENATE("TOTAL EJERCICIO ",B81)</f>
        <v>TOTAL EJERCICIO 2027</v>
      </c>
      <c r="O96" s="134">
        <f>SUM(O83:O94)</f>
        <v>0</v>
      </c>
      <c r="Q96" s="127" t="str">
        <f>IF(U96&gt;0,"EXISTE ALGÚN % DE DEDICACIÓN SUPERIOR AL 100% EN ESTE EJERCICIO","")</f>
        <v/>
      </c>
      <c r="T96" s="215"/>
      <c r="U96" s="211">
        <f>'% DEDICACIÓN'!$B$47</f>
        <v>0</v>
      </c>
      <c r="AB96" s="258"/>
      <c r="AH96" s="259"/>
      <c r="AI96" s="260" t="str">
        <f>CONCATENATE("TOTAL EJERCICIO ",W81)</f>
        <v>TOTAL EJERCICIO 2027</v>
      </c>
      <c r="AJ96" s="134">
        <f>SUM(AJ83:AJ94)</f>
        <v>0</v>
      </c>
      <c r="AK96" s="134">
        <f>SUM(AK83:AK94)</f>
        <v>0</v>
      </c>
      <c r="AM96" s="127" t="str">
        <f>IF(AQ96&gt;0,"EXISTE ALGÚN % DE DEDICACIÓN SUPERIOR AL 100% EN ESTE EJERCICIO","")</f>
        <v/>
      </c>
      <c r="AP96" s="215"/>
      <c r="AQ96" s="211">
        <f>'% DEDICACIÓN'!$B$47</f>
        <v>0</v>
      </c>
    </row>
  </sheetData>
  <sheetProtection algorithmName="SHA-512" hashValue="R1snSDstVZM/aueJN67AHMtc7O02wyq2wAWTIRFhVcxOlRiOEFMMSQk6fKs5WHfb187f0R2nJRjSWnKvu8llqg==" saltValue="NyVbPcxjYmPUA0D6gpkxFg==" spinCount="100000" sheet="1" objects="1" scenarios="1"/>
  <mergeCells count="60">
    <mergeCell ref="AK9:AK10"/>
    <mergeCell ref="AK33:AK34"/>
    <mergeCell ref="AK57:AK58"/>
    <mergeCell ref="AK81:AK82"/>
    <mergeCell ref="AI57:AI58"/>
    <mergeCell ref="AJ57:AJ58"/>
    <mergeCell ref="AI81:AI82"/>
    <mergeCell ref="AJ81:AJ82"/>
    <mergeCell ref="AI9:AI10"/>
    <mergeCell ref="AJ9:AJ10"/>
    <mergeCell ref="AI33:AI34"/>
    <mergeCell ref="AJ33:AJ34"/>
    <mergeCell ref="W81:W82"/>
    <mergeCell ref="X81:X82"/>
    <mergeCell ref="Y81:AA81"/>
    <mergeCell ref="AB81:AD81"/>
    <mergeCell ref="AF81:AH81"/>
    <mergeCell ref="W57:W58"/>
    <mergeCell ref="X57:X58"/>
    <mergeCell ref="Y57:AA57"/>
    <mergeCell ref="AB57:AD57"/>
    <mergeCell ref="AF57:AH57"/>
    <mergeCell ref="W33:W34"/>
    <mergeCell ref="X33:X34"/>
    <mergeCell ref="Y33:AA33"/>
    <mergeCell ref="AB33:AD33"/>
    <mergeCell ref="AF33:AH33"/>
    <mergeCell ref="W9:W10"/>
    <mergeCell ref="X9:X10"/>
    <mergeCell ref="Y9:AA9"/>
    <mergeCell ref="AB9:AD9"/>
    <mergeCell ref="AF9:AH9"/>
    <mergeCell ref="N33:N34"/>
    <mergeCell ref="O33:O34"/>
    <mergeCell ref="B33:B34"/>
    <mergeCell ref="C33:C34"/>
    <mergeCell ref="D33:F33"/>
    <mergeCell ref="G33:I33"/>
    <mergeCell ref="K33:M33"/>
    <mergeCell ref="O9:O10"/>
    <mergeCell ref="K9:M9"/>
    <mergeCell ref="G9:I9"/>
    <mergeCell ref="B9:B10"/>
    <mergeCell ref="C9:C10"/>
    <mergeCell ref="D9:F9"/>
    <mergeCell ref="N9:N1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O11" sqref="O11"/>
    </sheetView>
  </sheetViews>
  <sheetFormatPr baseColWidth="10" defaultColWidth="11.42578125" defaultRowHeight="13.5" x14ac:dyDescent="0.25"/>
  <cols>
    <col min="1" max="1" width="5.5703125" style="127" customWidth="1"/>
    <col min="2" max="2" width="12.42578125" style="127" bestFit="1" customWidth="1"/>
    <col min="3" max="3" width="13.42578125" style="127" bestFit="1" customWidth="1"/>
    <col min="4" max="4" width="60.7109375" style="127" customWidth="1"/>
    <col min="5" max="5" width="15.7109375" style="131" customWidth="1"/>
    <col min="6" max="6" width="5.5703125" style="127" customWidth="1"/>
    <col min="7" max="7" width="59" style="127" bestFit="1" customWidth="1"/>
    <col min="8" max="8" width="11.42578125" style="127" hidden="1" customWidth="1"/>
    <col min="9" max="9" width="5.5703125" style="127" customWidth="1"/>
    <col min="10" max="10" width="12.42578125" style="127" customWidth="1"/>
    <col min="11" max="11" width="13.42578125" style="127" customWidth="1"/>
    <col min="12" max="12" width="60.7109375" style="127" customWidth="1"/>
    <col min="13" max="13" width="15.7109375" style="131" customWidth="1"/>
    <col min="14" max="14" width="5.5703125" style="127" customWidth="1"/>
    <col min="15" max="15" width="59" style="127" customWidth="1"/>
    <col min="16" max="16384" width="11.42578125" style="127"/>
  </cols>
  <sheetData>
    <row r="2" spans="2:15" ht="20.100000000000001" customHeight="1" x14ac:dyDescent="0.25">
      <c r="B2" s="128"/>
      <c r="C2" s="128"/>
      <c r="E2" s="128"/>
      <c r="F2" s="261"/>
      <c r="J2" s="128"/>
      <c r="K2" s="128"/>
      <c r="M2" s="128"/>
      <c r="N2" s="261"/>
    </row>
    <row r="3" spans="2:15" ht="20.100000000000001" customHeight="1" x14ac:dyDescent="0.25">
      <c r="B3" s="129"/>
      <c r="C3" s="129"/>
      <c r="D3" s="129"/>
      <c r="E3" s="130" t="str">
        <f>'% DEDICACIÓN'!F4</f>
        <v>Nº DE EXPEDIENTE: 2024.07.PRIV.0000</v>
      </c>
      <c r="J3" s="129"/>
      <c r="K3" s="129"/>
      <c r="L3" s="129"/>
      <c r="M3" s="130" t="str">
        <f>'% DEDICACIÓN'!F4</f>
        <v>Nº DE EXPEDIENTE: 2024.07.PRIV.0000</v>
      </c>
    </row>
    <row r="4" spans="2:15" ht="20.100000000000001" customHeight="1" x14ac:dyDescent="0.25">
      <c r="F4" s="219"/>
      <c r="N4" s="219"/>
    </row>
    <row r="5" spans="2:15" ht="20.100000000000001" customHeight="1" x14ac:dyDescent="0.25">
      <c r="E5" s="132" t="str">
        <f>'% DEDICACIÓN'!F6</f>
        <v>TRABAJADOR:</v>
      </c>
      <c r="F5" s="219"/>
      <c r="M5" s="132" t="str">
        <f>'% DEDICACIÓN'!F6</f>
        <v>TRABAJADOR:</v>
      </c>
      <c r="N5" s="219"/>
    </row>
    <row r="6" spans="2:15" ht="20.100000000000001" customHeight="1" x14ac:dyDescent="0.25">
      <c r="E6" s="132" t="str">
        <f>'% DEDICACIÓN'!F7</f>
        <v>ACRÓNIMO:</v>
      </c>
      <c r="M6" s="132" t="str">
        <f>'% DEDICACIÓN'!F7</f>
        <v>ACRÓNIMO:</v>
      </c>
    </row>
    <row r="7" spans="2:15" ht="20.100000000000001" customHeight="1" thickBot="1" x14ac:dyDescent="0.3">
      <c r="H7" s="954" t="s">
        <v>139</v>
      </c>
    </row>
    <row r="8" spans="2:15" ht="20.100000000000001" customHeight="1" thickBot="1" x14ac:dyDescent="0.3">
      <c r="D8" s="133" t="s">
        <v>174</v>
      </c>
      <c r="E8" s="134">
        <f>IF(SUM(H11:H14)=0,SUM(E11:E14),0)</f>
        <v>0</v>
      </c>
      <c r="H8" s="954"/>
      <c r="L8" s="133" t="s">
        <v>174</v>
      </c>
      <c r="M8" s="134">
        <f>IF(SUM(H11:H14)=0,SUM(M11:M14),0)</f>
        <v>0</v>
      </c>
    </row>
    <row r="9" spans="2:15" ht="20.100000000000001" customHeight="1" x14ac:dyDescent="0.25">
      <c r="H9" s="954"/>
    </row>
    <row r="10" spans="2:15" s="135" customFormat="1" ht="20.100000000000001" customHeight="1" x14ac:dyDescent="0.25">
      <c r="B10" s="154" t="s">
        <v>171</v>
      </c>
      <c r="C10" s="154" t="s">
        <v>172</v>
      </c>
      <c r="D10" s="154" t="s">
        <v>136</v>
      </c>
      <c r="E10" s="155" t="s">
        <v>134</v>
      </c>
      <c r="F10" s="127"/>
      <c r="H10" s="124">
        <f>SUM(H11:H14)</f>
        <v>0</v>
      </c>
      <c r="J10" s="205" t="s">
        <v>171</v>
      </c>
      <c r="K10" s="205" t="s">
        <v>172</v>
      </c>
      <c r="L10" s="205" t="s">
        <v>136</v>
      </c>
      <c r="M10" s="206" t="s">
        <v>134</v>
      </c>
      <c r="N10" s="127"/>
    </row>
    <row r="11" spans="2:15" ht="35.1" customHeight="1" x14ac:dyDescent="0.25">
      <c r="B11" s="121" t="str">
        <f>IF(AUXILIAR!IG6="","",AUXILIAR!IG6)</f>
        <v/>
      </c>
      <c r="C11" s="121" t="str">
        <f>IF(AUXILIAR!IH6="","",AUXILIAR!IH6)</f>
        <v/>
      </c>
      <c r="D11" s="122" t="str">
        <f>IF(AUXILIAR!II6="","",AUXILIAR!II6)</f>
        <v/>
      </c>
      <c r="E11" s="123" t="str">
        <f>IF(AUXILIAR!IJ6="","",AUXILIAR!IJ6)</f>
        <v/>
      </c>
      <c r="G11" s="127" t="str">
        <f>IF(H11&gt;0,"EXISTE ALGÚN PORCENTAJE DE DEDICACIÓN SUPERIOR AL 100%","")</f>
        <v/>
      </c>
      <c r="H11" s="124">
        <f>'% DEDICACIÓN'!$B$44</f>
        <v>0</v>
      </c>
      <c r="J11" s="121" t="str">
        <f>IF(AUXILIAR!IV6="","",AUXILIAR!IV6)</f>
        <v/>
      </c>
      <c r="K11" s="121" t="str">
        <f>IF(AUXILIAR!IW6="","",AUXILIAR!IW6)</f>
        <v/>
      </c>
      <c r="L11" s="122" t="str">
        <f>IF(AUXILIAR!IX6="","",AUXILIAR!IX6)</f>
        <v/>
      </c>
      <c r="M11" s="123" t="str">
        <f>IF(AUXILIAR!IY6="","",AUXILIAR!IY6)</f>
        <v/>
      </c>
      <c r="O11" s="127" t="str">
        <f>IF(H11&gt;0,"EXISTE ALGÚN PORCENTAJE DE DEDICACIÓN SUPERIOR AL 100%","")</f>
        <v/>
      </c>
    </row>
    <row r="12" spans="2:15" ht="35.1" customHeight="1" x14ac:dyDescent="0.25">
      <c r="B12" s="124" t="str">
        <f>IF(AUXILIAR!IG7="","",AUXILIAR!IG7)</f>
        <v/>
      </c>
      <c r="C12" s="124" t="str">
        <f>IF(AUXILIAR!IH7="","",AUXILIAR!IH7)</f>
        <v/>
      </c>
      <c r="D12" s="125" t="str">
        <f>IF(AUXILIAR!II7="","",AUXILIAR!II7)</f>
        <v/>
      </c>
      <c r="E12" s="126" t="str">
        <f>IF(AUXILIAR!IJ7="","",AUXILIAR!IJ7)</f>
        <v/>
      </c>
      <c r="G12" s="127" t="str">
        <f t="shared" ref="G12:G14" si="0">IF(H12&gt;0,"EXISTE ALGÚN PORCENTAJE DE DEDICACIÓN SUPERIOR AL 100%","")</f>
        <v/>
      </c>
      <c r="H12" s="124">
        <f>'% DEDICACIÓN'!$B$45</f>
        <v>0</v>
      </c>
      <c r="J12" s="124" t="str">
        <f>IF(AUXILIAR!IV7="","",AUXILIAR!IV7)</f>
        <v/>
      </c>
      <c r="K12" s="124" t="str">
        <f>IF(AUXILIAR!IW7="","",AUXILIAR!IW7)</f>
        <v/>
      </c>
      <c r="L12" s="125" t="str">
        <f>IF(AUXILIAR!IX7="","",AUXILIAR!IX7)</f>
        <v/>
      </c>
      <c r="M12" s="126" t="str">
        <f>IF(AUXILIAR!IY7="","",AUXILIAR!IY7)</f>
        <v/>
      </c>
      <c r="O12" s="127" t="str">
        <f t="shared" ref="O12:O14" si="1">IF(H12&gt;0,"EXISTE ALGÚN PORCENTAJE DE DEDICACIÓN SUPERIOR AL 100%","")</f>
        <v/>
      </c>
    </row>
    <row r="13" spans="2:15" ht="35.1" customHeight="1" x14ac:dyDescent="0.25">
      <c r="B13" s="124" t="str">
        <f>IF(AUXILIAR!IG8="","",AUXILIAR!IG8)</f>
        <v/>
      </c>
      <c r="C13" s="124" t="str">
        <f>IF(AUXILIAR!IH8="","",AUXILIAR!IH8)</f>
        <v/>
      </c>
      <c r="D13" s="125" t="str">
        <f>IF(AUXILIAR!II8="","",AUXILIAR!II8)</f>
        <v/>
      </c>
      <c r="E13" s="126" t="str">
        <f>IF(AUXILIAR!IJ8="","",AUXILIAR!IJ8)</f>
        <v/>
      </c>
      <c r="G13" s="127" t="str">
        <f t="shared" si="0"/>
        <v/>
      </c>
      <c r="H13" s="124">
        <f>'% DEDICACIÓN'!$B$46</f>
        <v>0</v>
      </c>
      <c r="J13" s="124" t="str">
        <f>IF(AUXILIAR!IV8="","",AUXILIAR!IV8)</f>
        <v/>
      </c>
      <c r="K13" s="124" t="str">
        <f>IF(AUXILIAR!IW8="","",AUXILIAR!IW8)</f>
        <v/>
      </c>
      <c r="L13" s="125" t="str">
        <f>IF(AUXILIAR!IX8="","",AUXILIAR!IX8)</f>
        <v/>
      </c>
      <c r="M13" s="126" t="str">
        <f>IF(AUXILIAR!IY8="","",AUXILIAR!IY8)</f>
        <v/>
      </c>
      <c r="O13" s="127" t="str">
        <f t="shared" si="1"/>
        <v/>
      </c>
    </row>
    <row r="14" spans="2:15" ht="35.1" customHeight="1" x14ac:dyDescent="0.25">
      <c r="B14" s="124" t="str">
        <f>IF(AUXILIAR!IG9="","",AUXILIAR!IG9)</f>
        <v/>
      </c>
      <c r="C14" s="124" t="str">
        <f>IF(AUXILIAR!IH9="","",AUXILIAR!IH9)</f>
        <v/>
      </c>
      <c r="D14" s="125" t="str">
        <f>IF(AUXILIAR!II9="","",AUXILIAR!II9)</f>
        <v/>
      </c>
      <c r="E14" s="126" t="str">
        <f>IF(AUXILIAR!IJ9="","",AUXILIAR!IJ9)</f>
        <v/>
      </c>
      <c r="G14" s="127" t="str">
        <f t="shared" si="0"/>
        <v/>
      </c>
      <c r="H14" s="124">
        <f>'% DEDICACIÓN'!$B$47</f>
        <v>0</v>
      </c>
      <c r="J14" s="124" t="str">
        <f>IF(AUXILIAR!IV9="","",AUXILIAR!IV9)</f>
        <v/>
      </c>
      <c r="K14" s="124" t="str">
        <f>IF(AUXILIAR!IW9="","",AUXILIAR!IW9)</f>
        <v/>
      </c>
      <c r="L14" s="125" t="str">
        <f>IF(AUXILIAR!IX9="","",AUXILIAR!IX9)</f>
        <v/>
      </c>
      <c r="M14" s="126" t="str">
        <f>IF(AUXILIAR!IY9="","",AUXILIAR!IY9)</f>
        <v/>
      </c>
      <c r="O14" s="127"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7" customWidth="1"/>
    <col min="2" max="2" width="12.42578125" style="127" bestFit="1" customWidth="1"/>
    <col min="3" max="3" width="13.42578125" style="127" bestFit="1" customWidth="1"/>
    <col min="4" max="4" width="60.7109375" style="127" customWidth="1"/>
    <col min="5" max="5" width="15.7109375" style="131" customWidth="1"/>
    <col min="6" max="6" width="5.7109375" style="127" customWidth="1"/>
    <col min="7" max="7" width="5.7109375" style="209" hidden="1" customWidth="1"/>
    <col min="8" max="8" width="5.7109375" style="209" customWidth="1"/>
    <col min="9" max="9" width="100.7109375" style="207" customWidth="1"/>
    <col min="10" max="10" width="5.7109375" style="207" customWidth="1"/>
    <col min="11" max="11" width="5.7109375" style="209" customWidth="1"/>
    <col min="12" max="12" width="100.7109375" style="207" customWidth="1"/>
    <col min="13" max="13" width="5.7109375" style="207" customWidth="1"/>
    <col min="14" max="14" width="5.7109375" style="209" customWidth="1"/>
    <col min="15" max="15" width="100.7109375" style="207" customWidth="1"/>
    <col min="16" max="16" width="5.7109375" style="207" customWidth="1"/>
    <col min="17" max="17" width="5.7109375" style="209" customWidth="1"/>
    <col min="18" max="18" width="100.7109375" style="207" customWidth="1"/>
    <col min="19" max="16384" width="11.42578125" style="207"/>
  </cols>
  <sheetData>
    <row r="1" spans="1:18" ht="15.75" thickBot="1" x14ac:dyDescent="0.3">
      <c r="A1" s="391"/>
    </row>
    <row r="2" spans="1:18" s="208" customFormat="1" ht="20.100000000000001" customHeight="1" thickBot="1" x14ac:dyDescent="0.3">
      <c r="B2" s="210" t="str">
        <f>'DATOS A INCORPORAR AL MOD-61'!M3</f>
        <v>Nº DE EXPEDIENTE: 2024.07.PRIV.0000</v>
      </c>
      <c r="C2" s="128"/>
      <c r="D2" s="127"/>
      <c r="E2" s="128"/>
      <c r="F2" s="128"/>
      <c r="H2" s="955" t="str">
        <f>CONCATENATE("OBSERVACIONES EJERCICIO ",YEAR(EXPEDIENTE!$I$25))</f>
        <v>OBSERVACIONES EJERCICIO 2024</v>
      </c>
      <c r="I2" s="956"/>
      <c r="K2" s="955" t="str">
        <f>CONCATENATE("OBSERVACIONES EJERCICIO ",YEAR(EXPEDIENTE!$I$25)+1)</f>
        <v>OBSERVACIONES EJERCICIO 2025</v>
      </c>
      <c r="L2" s="956"/>
      <c r="N2" s="955" t="str">
        <f>CONCATENATE("OBSERVACIONES EJERCICIO ",YEAR(EXPEDIENTE!$I$25)+2)</f>
        <v>OBSERVACIONES EJERCICIO 2026</v>
      </c>
      <c r="O2" s="956"/>
      <c r="Q2" s="955" t="str">
        <f>CONCATENATE("OBSERVACIONES EJERCICIO ",YEAR(EXPEDIENTE!$I$25)+3)</f>
        <v>OBSERVACIONES EJERCICIO 2027</v>
      </c>
      <c r="R2" s="956"/>
    </row>
    <row r="3" spans="1:18" ht="30" customHeight="1" x14ac:dyDescent="0.25">
      <c r="B3" s="211" t="str">
        <f>'DATOS A INCORPORAR AL MOD-61'!M5</f>
        <v>TRABAJADOR:</v>
      </c>
      <c r="C3" s="129"/>
      <c r="D3" s="129"/>
      <c r="E3" s="130"/>
      <c r="F3" s="128"/>
      <c r="G3" s="209">
        <v>1</v>
      </c>
      <c r="H3" s="209" t="str">
        <f>IF(I3="","",$G3)</f>
        <v/>
      </c>
      <c r="I3" s="390" t="str">
        <f>IFERROR(VLOOKUP($G3,'GASTOS EJER. 1'!$DW$9:$DX$60,2,FALSE),"")</f>
        <v/>
      </c>
      <c r="K3" s="209" t="str">
        <f>IF(L3="","",$G3)</f>
        <v/>
      </c>
      <c r="L3" s="390" t="str">
        <f>IFERROR(VLOOKUP($G3,'GASTOS EJER. 2'!$DW$9:$DX$60,2,FALSE),"")</f>
        <v/>
      </c>
      <c r="N3" s="209" t="str">
        <f>IF(O3="","",$G3)</f>
        <v/>
      </c>
      <c r="O3" s="390" t="str">
        <f>IFERROR(VLOOKUP($G3,'GASTOS EJER, 3'!$DW$9:$DX$60,2,FALSE),"")</f>
        <v/>
      </c>
      <c r="Q3" s="209" t="str">
        <f>IF(R3="","",$G3)</f>
        <v/>
      </c>
      <c r="R3" s="390" t="str">
        <f>IFERROR(VLOOKUP($G3,'GASTOS EJER, 4'!$DW$9:$DX$60,2,FALSE),"")</f>
        <v/>
      </c>
    </row>
    <row r="4" spans="1:18" ht="30" customHeight="1" thickBot="1" x14ac:dyDescent="0.3">
      <c r="B4" s="127" t="str">
        <f>'DATOS A INCORPORAR AL MOD-61'!M6</f>
        <v>ACRÓNIMO:</v>
      </c>
      <c r="F4" s="128"/>
      <c r="G4" s="209">
        <v>2</v>
      </c>
      <c r="H4" s="209" t="str">
        <f t="shared" ref="H4:H40" si="0">IF(I4="","",$G4)</f>
        <v/>
      </c>
      <c r="I4" s="390" t="str">
        <f>IFERROR(VLOOKUP($G4,'GASTOS EJER. 1'!$DW$9:$DX$60,2,FALSE),"")</f>
        <v/>
      </c>
      <c r="K4" s="209" t="str">
        <f t="shared" ref="K4:K40" si="1">IF(L4="","",$G4)</f>
        <v/>
      </c>
      <c r="L4" s="390" t="str">
        <f>IFERROR(VLOOKUP($G4,'GASTOS EJER. 2'!$DW$9:$DX$60,2,FALSE),"")</f>
        <v/>
      </c>
      <c r="N4" s="209" t="str">
        <f t="shared" ref="N4:N40" si="2">IF(O4="","",$G4)</f>
        <v/>
      </c>
      <c r="O4" s="390" t="str">
        <f>IFERROR(VLOOKUP($G4,'GASTOS EJER, 3'!$DW$9:$DX$60,2,FALSE),"")</f>
        <v/>
      </c>
      <c r="Q4" s="209" t="str">
        <f t="shared" ref="Q4:Q40" si="3">IF(R4="","",$G4)</f>
        <v/>
      </c>
      <c r="R4" s="390" t="str">
        <f>IFERROR(VLOOKUP($G4,'GASTOS EJER, 4'!$DW$9:$DX$60,2,FALSE),"")</f>
        <v/>
      </c>
    </row>
    <row r="5" spans="1:18" ht="30" customHeight="1" thickBot="1" x14ac:dyDescent="0.3">
      <c r="D5" s="133" t="str">
        <f>'DATOS A INCORPORAR AL MOD-61'!L8</f>
        <v>TOTAL TRABAJADOR:</v>
      </c>
      <c r="E5" s="134">
        <f>'DATOS A INCORPORAR AL MOD-61'!M8</f>
        <v>0</v>
      </c>
      <c r="F5" s="128"/>
      <c r="G5" s="209">
        <v>3</v>
      </c>
      <c r="H5" s="209" t="str">
        <f t="shared" si="0"/>
        <v/>
      </c>
      <c r="I5" s="390" t="str">
        <f>IFERROR(VLOOKUP($G5,'GASTOS EJER. 1'!$DW$9:$DX$60,2,FALSE),"")</f>
        <v/>
      </c>
      <c r="K5" s="209" t="str">
        <f t="shared" si="1"/>
        <v/>
      </c>
      <c r="L5" s="390" t="str">
        <f>IFERROR(VLOOKUP($G5,'GASTOS EJER. 2'!$DW$9:$DX$60,2,FALSE),"")</f>
        <v/>
      </c>
      <c r="N5" s="209" t="str">
        <f t="shared" si="2"/>
        <v/>
      </c>
      <c r="O5" s="390" t="str">
        <f>IFERROR(VLOOKUP($G5,'GASTOS EJER, 3'!$DW$9:$DX$60,2,FALSE),"")</f>
        <v/>
      </c>
      <c r="Q5" s="209" t="str">
        <f t="shared" si="3"/>
        <v/>
      </c>
      <c r="R5" s="390" t="str">
        <f>IFERROR(VLOOKUP($G5,'GASTOS EJER, 4'!$DW$9:$DX$60,2,FALSE),"")</f>
        <v/>
      </c>
    </row>
    <row r="6" spans="1:18" ht="30" customHeight="1" x14ac:dyDescent="0.25">
      <c r="E6" s="132"/>
      <c r="F6" s="128"/>
      <c r="G6" s="209">
        <v>4</v>
      </c>
      <c r="H6" s="209" t="str">
        <f t="shared" si="0"/>
        <v/>
      </c>
      <c r="I6" s="390" t="str">
        <f>IFERROR(VLOOKUP($G6,'GASTOS EJER. 1'!$DW$9:$DX$60,2,FALSE),"")</f>
        <v/>
      </c>
      <c r="K6" s="209" t="str">
        <f t="shared" si="1"/>
        <v/>
      </c>
      <c r="L6" s="390" t="str">
        <f>IFERROR(VLOOKUP($G6,'GASTOS EJER. 2'!$DW$9:$DX$60,2,FALSE),"")</f>
        <v/>
      </c>
      <c r="N6" s="209" t="str">
        <f t="shared" si="2"/>
        <v/>
      </c>
      <c r="O6" s="390" t="str">
        <f>IFERROR(VLOOKUP($G6,'GASTOS EJER, 3'!$DW$9:$DX$60,2,FALSE),"")</f>
        <v/>
      </c>
      <c r="Q6" s="209" t="str">
        <f t="shared" si="3"/>
        <v/>
      </c>
      <c r="R6" s="390" t="str">
        <f>IFERROR(VLOOKUP($G6,'GASTOS EJER, 4'!$DW$9:$DX$60,2,FALSE),"")</f>
        <v/>
      </c>
    </row>
    <row r="7" spans="1:18" ht="30" customHeight="1" x14ac:dyDescent="0.25">
      <c r="B7" s="205" t="s">
        <v>171</v>
      </c>
      <c r="C7" s="205" t="s">
        <v>172</v>
      </c>
      <c r="D7" s="205" t="s">
        <v>136</v>
      </c>
      <c r="E7" s="206" t="s">
        <v>134</v>
      </c>
      <c r="F7" s="128"/>
      <c r="G7" s="209">
        <v>5</v>
      </c>
      <c r="H7" s="209" t="str">
        <f t="shared" si="0"/>
        <v/>
      </c>
      <c r="I7" s="390" t="str">
        <f>IFERROR(VLOOKUP($G7,'GASTOS EJER. 1'!$DW$9:$DX$60,2,FALSE),"")</f>
        <v/>
      </c>
      <c r="K7" s="209" t="str">
        <f t="shared" si="1"/>
        <v/>
      </c>
      <c r="L7" s="390" t="str">
        <f>IFERROR(VLOOKUP($G7,'GASTOS EJER. 2'!$DW$9:$DX$60,2,FALSE),"")</f>
        <v/>
      </c>
      <c r="N7" s="209" t="str">
        <f t="shared" si="2"/>
        <v/>
      </c>
      <c r="O7" s="390" t="str">
        <f>IFERROR(VLOOKUP($G7,'GASTOS EJER, 3'!$DW$9:$DX$60,2,FALSE),"")</f>
        <v/>
      </c>
      <c r="Q7" s="209" t="str">
        <f t="shared" si="3"/>
        <v/>
      </c>
      <c r="R7" s="390" t="str">
        <f>IFERROR(VLOOKUP($G7,'GASTOS EJER, 4'!$DW$9:$DX$60,2,FALSE),"")</f>
        <v/>
      </c>
    </row>
    <row r="8" spans="1:18" ht="30" customHeight="1" x14ac:dyDescent="0.25">
      <c r="B8" s="121" t="str">
        <f>'DATOS A INCORPORAR AL MOD-61'!J11</f>
        <v/>
      </c>
      <c r="C8" s="121" t="str">
        <f>'DATOS A INCORPORAR AL MOD-61'!K11</f>
        <v/>
      </c>
      <c r="D8" s="121" t="str">
        <f>'DATOS A INCORPORAR AL MOD-61'!L11</f>
        <v/>
      </c>
      <c r="E8" s="212" t="str">
        <f>'DATOS A INCORPORAR AL MOD-61'!M11</f>
        <v/>
      </c>
      <c r="F8" s="128"/>
      <c r="G8" s="209">
        <v>6</v>
      </c>
      <c r="H8" s="209" t="str">
        <f t="shared" si="0"/>
        <v/>
      </c>
      <c r="I8" s="390" t="str">
        <f>IFERROR(VLOOKUP($G8,'GASTOS EJER. 1'!$DW$9:$DX$60,2,FALSE),"")</f>
        <v/>
      </c>
      <c r="K8" s="209" t="str">
        <f t="shared" si="1"/>
        <v/>
      </c>
      <c r="L8" s="390" t="str">
        <f>IFERROR(VLOOKUP($G8,'GASTOS EJER. 2'!$DW$9:$DX$60,2,FALSE),"")</f>
        <v/>
      </c>
      <c r="N8" s="209" t="str">
        <f t="shared" si="2"/>
        <v/>
      </c>
      <c r="O8" s="390" t="str">
        <f>IFERROR(VLOOKUP($G8,'GASTOS EJER, 3'!$DW$9:$DX$60,2,FALSE),"")</f>
        <v/>
      </c>
      <c r="Q8" s="209" t="str">
        <f t="shared" si="3"/>
        <v/>
      </c>
      <c r="R8" s="390" t="str">
        <f>IFERROR(VLOOKUP($G8,'GASTOS EJER, 4'!$DW$9:$DX$60,2,FALSE),"")</f>
        <v/>
      </c>
    </row>
    <row r="9" spans="1:18" ht="30" customHeight="1" x14ac:dyDescent="0.25">
      <c r="B9" s="124" t="str">
        <f>'DATOS A INCORPORAR AL MOD-61'!J12</f>
        <v/>
      </c>
      <c r="C9" s="124" t="str">
        <f>'DATOS A INCORPORAR AL MOD-61'!K12</f>
        <v/>
      </c>
      <c r="D9" s="124" t="str">
        <f>'DATOS A INCORPORAR AL MOD-61'!L12</f>
        <v/>
      </c>
      <c r="E9" s="245" t="str">
        <f>'DATOS A INCORPORAR AL MOD-61'!M12</f>
        <v/>
      </c>
      <c r="F9" s="128"/>
      <c r="G9" s="209">
        <v>7</v>
      </c>
      <c r="H9" s="209" t="str">
        <f t="shared" si="0"/>
        <v/>
      </c>
      <c r="I9" s="390" t="str">
        <f>IFERROR(VLOOKUP($G9,'GASTOS EJER. 1'!$DW$9:$DX$60,2,FALSE),"")</f>
        <v/>
      </c>
      <c r="K9" s="209" t="str">
        <f t="shared" si="1"/>
        <v/>
      </c>
      <c r="L9" s="390" t="str">
        <f>IFERROR(VLOOKUP($G9,'GASTOS EJER. 2'!$DW$9:$DX$60,2,FALSE),"")</f>
        <v/>
      </c>
      <c r="N9" s="209" t="str">
        <f t="shared" si="2"/>
        <v/>
      </c>
      <c r="O9" s="390" t="str">
        <f>IFERROR(VLOOKUP($G9,'GASTOS EJER, 3'!$DW$9:$DX$60,2,FALSE),"")</f>
        <v/>
      </c>
      <c r="Q9" s="209" t="str">
        <f t="shared" si="3"/>
        <v/>
      </c>
      <c r="R9" s="390" t="str">
        <f>IFERROR(VLOOKUP($G9,'GASTOS EJER, 4'!$DW$9:$DX$60,2,FALSE),"")</f>
        <v/>
      </c>
    </row>
    <row r="10" spans="1:18" ht="30" customHeight="1" x14ac:dyDescent="0.25">
      <c r="B10" s="124" t="str">
        <f>'DATOS A INCORPORAR AL MOD-61'!J13</f>
        <v/>
      </c>
      <c r="C10" s="124" t="str">
        <f>'DATOS A INCORPORAR AL MOD-61'!K13</f>
        <v/>
      </c>
      <c r="D10" s="124" t="str">
        <f>'DATOS A INCORPORAR AL MOD-61'!L13</f>
        <v/>
      </c>
      <c r="E10" s="245" t="str">
        <f>'DATOS A INCORPORAR AL MOD-61'!M13</f>
        <v/>
      </c>
      <c r="F10" s="128"/>
      <c r="G10" s="209">
        <v>8</v>
      </c>
      <c r="H10" s="209" t="str">
        <f t="shared" si="0"/>
        <v/>
      </c>
      <c r="I10" s="390" t="str">
        <f>IFERROR(VLOOKUP($G10,'GASTOS EJER. 1'!$DW$9:$DX$60,2,FALSE),"")</f>
        <v/>
      </c>
      <c r="K10" s="209" t="str">
        <f t="shared" si="1"/>
        <v/>
      </c>
      <c r="L10" s="390" t="str">
        <f>IFERROR(VLOOKUP($G10,'GASTOS EJER. 2'!$DW$9:$DX$60,2,FALSE),"")</f>
        <v/>
      </c>
      <c r="N10" s="209" t="str">
        <f t="shared" si="2"/>
        <v/>
      </c>
      <c r="O10" s="390" t="str">
        <f>IFERROR(VLOOKUP($G10,'GASTOS EJER, 3'!$DW$9:$DX$60,2,FALSE),"")</f>
        <v/>
      </c>
      <c r="Q10" s="209" t="str">
        <f t="shared" si="3"/>
        <v/>
      </c>
      <c r="R10" s="390" t="str">
        <f>IFERROR(VLOOKUP($G10,'GASTOS EJER, 4'!$DW$9:$DX$60,2,FALSE),"")</f>
        <v/>
      </c>
    </row>
    <row r="11" spans="1:18" ht="30" customHeight="1" x14ac:dyDescent="0.25">
      <c r="B11" s="124" t="str">
        <f>'DATOS A INCORPORAR AL MOD-61'!J14</f>
        <v/>
      </c>
      <c r="C11" s="124" t="str">
        <f>'DATOS A INCORPORAR AL MOD-61'!K14</f>
        <v/>
      </c>
      <c r="D11" s="124" t="str">
        <f>'DATOS A INCORPORAR AL MOD-61'!L14</f>
        <v/>
      </c>
      <c r="E11" s="245" t="str">
        <f>'DATOS A INCORPORAR AL MOD-61'!M14</f>
        <v/>
      </c>
      <c r="F11" s="128"/>
      <c r="G11" s="209">
        <v>9</v>
      </c>
      <c r="H11" s="209" t="str">
        <f t="shared" si="0"/>
        <v/>
      </c>
      <c r="I11" s="390" t="str">
        <f>IFERROR(VLOOKUP($G11,'GASTOS EJER. 1'!$DW$9:$DX$60,2,FALSE),"")</f>
        <v/>
      </c>
      <c r="K11" s="209" t="str">
        <f t="shared" si="1"/>
        <v/>
      </c>
      <c r="L11" s="390" t="str">
        <f>IFERROR(VLOOKUP($G11,'GASTOS EJER. 2'!$DW$9:$DX$60,2,FALSE),"")</f>
        <v/>
      </c>
      <c r="N11" s="209" t="str">
        <f t="shared" si="2"/>
        <v/>
      </c>
      <c r="O11" s="390" t="str">
        <f>IFERROR(VLOOKUP($G11,'GASTOS EJER, 3'!$DW$9:$DX$60,2,FALSE),"")</f>
        <v/>
      </c>
      <c r="Q11" s="209" t="str">
        <f t="shared" si="3"/>
        <v/>
      </c>
      <c r="R11" s="390" t="str">
        <f>IFERROR(VLOOKUP($G11,'GASTOS EJER, 4'!$DW$9:$DX$60,2,FALSE),"")</f>
        <v/>
      </c>
    </row>
    <row r="12" spans="1:18" ht="30" customHeight="1" x14ac:dyDescent="0.25">
      <c r="B12" s="124"/>
      <c r="C12" s="124"/>
      <c r="D12" s="125"/>
      <c r="E12" s="126"/>
      <c r="F12" s="128"/>
      <c r="G12" s="209">
        <v>10</v>
      </c>
      <c r="H12" s="209" t="str">
        <f t="shared" si="0"/>
        <v/>
      </c>
      <c r="I12" s="390" t="str">
        <f>IFERROR(VLOOKUP($G12,'GASTOS EJER. 1'!$DW$9:$DX$60,2,FALSE),"")</f>
        <v/>
      </c>
      <c r="K12" s="209" t="str">
        <f t="shared" si="1"/>
        <v/>
      </c>
      <c r="L12" s="390" t="str">
        <f>IFERROR(VLOOKUP($G12,'GASTOS EJER. 2'!$DW$9:$DX$60,2,FALSE),"")</f>
        <v/>
      </c>
      <c r="N12" s="209" t="str">
        <f t="shared" si="2"/>
        <v/>
      </c>
      <c r="O12" s="390" t="str">
        <f>IFERROR(VLOOKUP($G12,'GASTOS EJER, 3'!$DW$9:$DX$60,2,FALSE),"")</f>
        <v/>
      </c>
      <c r="Q12" s="209" t="str">
        <f t="shared" si="3"/>
        <v/>
      </c>
      <c r="R12" s="390" t="str">
        <f>IFERROR(VLOOKUP($G12,'GASTOS EJER, 4'!$DW$9:$DX$60,2,FALSE),"")</f>
        <v/>
      </c>
    </row>
    <row r="13" spans="1:18" ht="30" customHeight="1" x14ac:dyDescent="0.25">
      <c r="B13" s="124"/>
      <c r="C13" s="124"/>
      <c r="D13" s="125"/>
      <c r="E13" s="126"/>
      <c r="F13" s="128"/>
      <c r="G13" s="209">
        <v>11</v>
      </c>
      <c r="H13" s="209" t="str">
        <f t="shared" si="0"/>
        <v/>
      </c>
      <c r="I13" s="390" t="str">
        <f>IFERROR(VLOOKUP($G13,'GASTOS EJER. 1'!$DW$9:$DX$60,2,FALSE),"")</f>
        <v/>
      </c>
      <c r="K13" s="209" t="str">
        <f t="shared" si="1"/>
        <v/>
      </c>
      <c r="L13" s="390" t="str">
        <f>IFERROR(VLOOKUP($G13,'GASTOS EJER. 2'!$DW$9:$DX$60,2,FALSE),"")</f>
        <v/>
      </c>
      <c r="N13" s="209" t="str">
        <f t="shared" si="2"/>
        <v/>
      </c>
      <c r="O13" s="390" t="str">
        <f>IFERROR(VLOOKUP($G13,'GASTOS EJER, 3'!$DW$9:$DX$60,2,FALSE),"")</f>
        <v/>
      </c>
      <c r="Q13" s="209" t="str">
        <f t="shared" si="3"/>
        <v/>
      </c>
      <c r="R13" s="390" t="str">
        <f>IFERROR(VLOOKUP($G13,'GASTOS EJER, 4'!$DW$9:$DX$60,2,FALSE),"")</f>
        <v/>
      </c>
    </row>
    <row r="14" spans="1:18" ht="30" customHeight="1" x14ac:dyDescent="0.25">
      <c r="B14" s="124"/>
      <c r="C14" s="124"/>
      <c r="D14" s="125"/>
      <c r="E14" s="126"/>
      <c r="F14" s="128"/>
      <c r="G14" s="209">
        <v>12</v>
      </c>
      <c r="H14" s="209" t="str">
        <f t="shared" si="0"/>
        <v/>
      </c>
      <c r="I14" s="390" t="str">
        <f>IFERROR(VLOOKUP($G14,'GASTOS EJER. 1'!$DW$9:$DX$60,2,FALSE),"")</f>
        <v/>
      </c>
      <c r="K14" s="209" t="str">
        <f t="shared" si="1"/>
        <v/>
      </c>
      <c r="L14" s="390" t="str">
        <f>IFERROR(VLOOKUP($G14,'GASTOS EJER. 2'!$DW$9:$DX$60,2,FALSE),"")</f>
        <v/>
      </c>
      <c r="N14" s="209" t="str">
        <f t="shared" si="2"/>
        <v/>
      </c>
      <c r="O14" s="390" t="str">
        <f>IFERROR(VLOOKUP($G14,'GASTOS EJER, 3'!$DW$9:$DX$60,2,FALSE),"")</f>
        <v/>
      </c>
      <c r="Q14" s="209" t="str">
        <f t="shared" si="3"/>
        <v/>
      </c>
      <c r="R14" s="390" t="str">
        <f>IFERROR(VLOOKUP($G14,'GASTOS EJER, 4'!$DW$9:$DX$60,2,FALSE),"")</f>
        <v/>
      </c>
    </row>
    <row r="15" spans="1:18" ht="30" customHeight="1" x14ac:dyDescent="0.25">
      <c r="F15" s="128"/>
      <c r="G15" s="209">
        <v>13</v>
      </c>
      <c r="H15" s="209" t="str">
        <f t="shared" si="0"/>
        <v/>
      </c>
      <c r="I15" s="390" t="str">
        <f>IFERROR(VLOOKUP($G15,'GASTOS EJER. 1'!$DW$9:$DX$60,2,FALSE),"")</f>
        <v/>
      </c>
      <c r="K15" s="209" t="str">
        <f t="shared" si="1"/>
        <v/>
      </c>
      <c r="L15" s="390" t="str">
        <f>IFERROR(VLOOKUP($G15,'GASTOS EJER. 2'!$DW$9:$DX$60,2,FALSE),"")</f>
        <v/>
      </c>
      <c r="N15" s="209" t="str">
        <f t="shared" si="2"/>
        <v/>
      </c>
      <c r="O15" s="390" t="str">
        <f>IFERROR(VLOOKUP($G15,'GASTOS EJER, 3'!$DW$9:$DX$60,2,FALSE),"")</f>
        <v/>
      </c>
      <c r="Q15" s="209" t="str">
        <f t="shared" si="3"/>
        <v/>
      </c>
      <c r="R15" s="390" t="str">
        <f>IFERROR(VLOOKUP($G15,'GASTOS EJER, 4'!$DW$9:$DX$60,2,FALSE),"")</f>
        <v/>
      </c>
    </row>
    <row r="16" spans="1:18" ht="30" customHeight="1" x14ac:dyDescent="0.25">
      <c r="F16" s="128"/>
      <c r="G16" s="209">
        <v>14</v>
      </c>
      <c r="H16" s="209" t="str">
        <f t="shared" si="0"/>
        <v/>
      </c>
      <c r="I16" s="390" t="str">
        <f>IFERROR(VLOOKUP($G16,'GASTOS EJER. 1'!$DW$9:$DX$60,2,FALSE),"")</f>
        <v/>
      </c>
      <c r="K16" s="209" t="str">
        <f t="shared" si="1"/>
        <v/>
      </c>
      <c r="L16" s="390" t="str">
        <f>IFERROR(VLOOKUP($G16,'GASTOS EJER. 2'!$DW$9:$DX$60,2,FALSE),"")</f>
        <v/>
      </c>
      <c r="N16" s="209" t="str">
        <f t="shared" si="2"/>
        <v/>
      </c>
      <c r="O16" s="390" t="str">
        <f>IFERROR(VLOOKUP($G16,'GASTOS EJER, 3'!$DW$9:$DX$60,2,FALSE),"")</f>
        <v/>
      </c>
      <c r="Q16" s="209" t="str">
        <f t="shared" si="3"/>
        <v/>
      </c>
      <c r="R16" s="390" t="str">
        <f>IFERROR(VLOOKUP($G16,'GASTOS EJER, 4'!$DW$9:$DX$60,2,FALSE),"")</f>
        <v/>
      </c>
    </row>
    <row r="17" spans="7:18" ht="30" customHeight="1" x14ac:dyDescent="0.25">
      <c r="G17" s="209">
        <v>15</v>
      </c>
      <c r="H17" s="209" t="str">
        <f t="shared" si="0"/>
        <v/>
      </c>
      <c r="I17" s="390" t="str">
        <f>IFERROR(VLOOKUP($G17,'GASTOS EJER. 1'!$DW$9:$DX$60,2,FALSE),"")</f>
        <v/>
      </c>
      <c r="K17" s="209" t="str">
        <f t="shared" si="1"/>
        <v/>
      </c>
      <c r="L17" s="390" t="str">
        <f>IFERROR(VLOOKUP($G17,'GASTOS EJER. 2'!$DW$9:$DX$60,2,FALSE),"")</f>
        <v/>
      </c>
      <c r="N17" s="209" t="str">
        <f t="shared" si="2"/>
        <v/>
      </c>
      <c r="O17" s="390" t="str">
        <f>IFERROR(VLOOKUP($G17,'GASTOS EJER, 3'!$DW$9:$DX$60,2,FALSE),"")</f>
        <v/>
      </c>
      <c r="Q17" s="209" t="str">
        <f t="shared" si="3"/>
        <v/>
      </c>
      <c r="R17" s="390" t="str">
        <f>IFERROR(VLOOKUP($G17,'GASTOS EJER, 4'!$DW$9:$DX$60,2,FALSE),"")</f>
        <v/>
      </c>
    </row>
    <row r="18" spans="7:18" ht="30" customHeight="1" x14ac:dyDescent="0.25">
      <c r="G18" s="209">
        <v>16</v>
      </c>
      <c r="H18" s="209" t="str">
        <f t="shared" si="0"/>
        <v/>
      </c>
      <c r="I18" s="390" t="str">
        <f>IFERROR(VLOOKUP($G18,'GASTOS EJER. 1'!$DW$9:$DX$60,2,FALSE),"")</f>
        <v/>
      </c>
      <c r="K18" s="209" t="str">
        <f t="shared" si="1"/>
        <v/>
      </c>
      <c r="L18" s="390" t="str">
        <f>IFERROR(VLOOKUP($G18,'GASTOS EJER. 2'!$DW$9:$DX$60,2,FALSE),"")</f>
        <v/>
      </c>
      <c r="N18" s="209" t="str">
        <f t="shared" si="2"/>
        <v/>
      </c>
      <c r="O18" s="390" t="str">
        <f>IFERROR(VLOOKUP($G18,'GASTOS EJER, 3'!$DW$9:$DX$60,2,FALSE),"")</f>
        <v/>
      </c>
      <c r="Q18" s="209" t="str">
        <f t="shared" si="3"/>
        <v/>
      </c>
      <c r="R18" s="390" t="str">
        <f>IFERROR(VLOOKUP($G18,'GASTOS EJER, 4'!$DW$9:$DX$60,2,FALSE),"")</f>
        <v/>
      </c>
    </row>
    <row r="19" spans="7:18" ht="30" customHeight="1" x14ac:dyDescent="0.25">
      <c r="G19" s="209">
        <v>17</v>
      </c>
      <c r="H19" s="209" t="str">
        <f t="shared" si="0"/>
        <v/>
      </c>
      <c r="I19" s="390" t="str">
        <f>IFERROR(VLOOKUP($G19,'GASTOS EJER. 1'!$DW$9:$DX$60,2,FALSE),"")</f>
        <v/>
      </c>
      <c r="K19" s="209" t="str">
        <f t="shared" si="1"/>
        <v/>
      </c>
      <c r="L19" s="390" t="str">
        <f>IFERROR(VLOOKUP($G19,'GASTOS EJER. 2'!$DW$9:$DX$60,2,FALSE),"")</f>
        <v/>
      </c>
      <c r="N19" s="209" t="str">
        <f t="shared" si="2"/>
        <v/>
      </c>
      <c r="O19" s="390" t="str">
        <f>IFERROR(VLOOKUP($G19,'GASTOS EJER, 3'!$DW$9:$DX$60,2,FALSE),"")</f>
        <v/>
      </c>
      <c r="Q19" s="209" t="str">
        <f t="shared" si="3"/>
        <v/>
      </c>
      <c r="R19" s="390" t="str">
        <f>IFERROR(VLOOKUP($G19,'GASTOS EJER, 4'!$DW$9:$DX$60,2,FALSE),"")</f>
        <v/>
      </c>
    </row>
    <row r="20" spans="7:18" ht="30" customHeight="1" x14ac:dyDescent="0.25">
      <c r="G20" s="209">
        <v>18</v>
      </c>
      <c r="H20" s="209" t="str">
        <f t="shared" si="0"/>
        <v/>
      </c>
      <c r="I20" s="390" t="str">
        <f>IFERROR(VLOOKUP($G20,'GASTOS EJER. 1'!$DW$9:$DX$60,2,FALSE),"")</f>
        <v/>
      </c>
      <c r="K20" s="209" t="str">
        <f t="shared" si="1"/>
        <v/>
      </c>
      <c r="L20" s="390" t="str">
        <f>IFERROR(VLOOKUP($G20,'GASTOS EJER. 2'!$DW$9:$DX$60,2,FALSE),"")</f>
        <v/>
      </c>
      <c r="N20" s="209" t="str">
        <f t="shared" si="2"/>
        <v/>
      </c>
      <c r="O20" s="390" t="str">
        <f>IFERROR(VLOOKUP($G20,'GASTOS EJER, 3'!$DW$9:$DX$60,2,FALSE),"")</f>
        <v/>
      </c>
      <c r="Q20" s="209" t="str">
        <f t="shared" si="3"/>
        <v/>
      </c>
      <c r="R20" s="390" t="str">
        <f>IFERROR(VLOOKUP($G20,'GASTOS EJER, 4'!$DW$9:$DX$60,2,FALSE),"")</f>
        <v/>
      </c>
    </row>
    <row r="21" spans="7:18" ht="30" customHeight="1" x14ac:dyDescent="0.25">
      <c r="G21" s="209">
        <v>19</v>
      </c>
      <c r="H21" s="209" t="str">
        <f t="shared" si="0"/>
        <v/>
      </c>
      <c r="I21" s="390" t="str">
        <f>IFERROR(VLOOKUP($G21,'GASTOS EJER. 1'!$DW$9:$DX$60,2,FALSE),"")</f>
        <v/>
      </c>
      <c r="K21" s="209" t="str">
        <f t="shared" si="1"/>
        <v/>
      </c>
      <c r="L21" s="390" t="str">
        <f>IFERROR(VLOOKUP($G21,'GASTOS EJER. 2'!$DW$9:$DX$60,2,FALSE),"")</f>
        <v/>
      </c>
      <c r="N21" s="209" t="str">
        <f t="shared" si="2"/>
        <v/>
      </c>
      <c r="O21" s="390" t="str">
        <f>IFERROR(VLOOKUP($G21,'GASTOS EJER, 3'!$DW$9:$DX$60,2,FALSE),"")</f>
        <v/>
      </c>
      <c r="Q21" s="209" t="str">
        <f t="shared" si="3"/>
        <v/>
      </c>
      <c r="R21" s="390" t="str">
        <f>IFERROR(VLOOKUP($G21,'GASTOS EJER, 4'!$DW$9:$DX$60,2,FALSE),"")</f>
        <v/>
      </c>
    </row>
    <row r="22" spans="7:18" ht="30" customHeight="1" x14ac:dyDescent="0.25">
      <c r="G22" s="209">
        <v>20</v>
      </c>
      <c r="H22" s="209" t="str">
        <f t="shared" si="0"/>
        <v/>
      </c>
      <c r="I22" s="390" t="str">
        <f>IFERROR(VLOOKUP($G22,'GASTOS EJER. 1'!$DW$9:$DX$60,2,FALSE),"")</f>
        <v/>
      </c>
      <c r="K22" s="209" t="str">
        <f t="shared" si="1"/>
        <v/>
      </c>
      <c r="L22" s="390" t="str">
        <f>IFERROR(VLOOKUP($G22,'GASTOS EJER. 2'!$DW$9:$DX$60,2,FALSE),"")</f>
        <v/>
      </c>
      <c r="N22" s="209" t="str">
        <f t="shared" si="2"/>
        <v/>
      </c>
      <c r="O22" s="390" t="str">
        <f>IFERROR(VLOOKUP($G22,'GASTOS EJER, 3'!$DW$9:$DX$60,2,FALSE),"")</f>
        <v/>
      </c>
      <c r="Q22" s="209" t="str">
        <f t="shared" si="3"/>
        <v/>
      </c>
      <c r="R22" s="390" t="str">
        <f>IFERROR(VLOOKUP($G22,'GASTOS EJER, 4'!$DW$9:$DX$60,2,FALSE),"")</f>
        <v/>
      </c>
    </row>
    <row r="23" spans="7:18" ht="30" customHeight="1" x14ac:dyDescent="0.25">
      <c r="G23" s="209">
        <v>21</v>
      </c>
      <c r="H23" s="209" t="str">
        <f t="shared" si="0"/>
        <v/>
      </c>
      <c r="I23" s="390" t="str">
        <f>IFERROR(VLOOKUP($G23,'GASTOS EJER. 1'!$DW$9:$DX$60,2,FALSE),"")</f>
        <v/>
      </c>
      <c r="K23" s="209" t="str">
        <f t="shared" si="1"/>
        <v/>
      </c>
      <c r="L23" s="390" t="str">
        <f>IFERROR(VLOOKUP($G23,'GASTOS EJER. 2'!$DW$9:$DX$60,2,FALSE),"")</f>
        <v/>
      </c>
      <c r="N23" s="209" t="str">
        <f t="shared" si="2"/>
        <v/>
      </c>
      <c r="O23" s="390" t="str">
        <f>IFERROR(VLOOKUP($G23,'GASTOS EJER, 3'!$DW$9:$DX$60,2,FALSE),"")</f>
        <v/>
      </c>
      <c r="Q23" s="209" t="str">
        <f t="shared" si="3"/>
        <v/>
      </c>
      <c r="R23" s="390" t="str">
        <f>IFERROR(VLOOKUP($G23,'GASTOS EJER, 4'!$DW$9:$DX$60,2,FALSE),"")</f>
        <v/>
      </c>
    </row>
    <row r="24" spans="7:18" ht="30" customHeight="1" x14ac:dyDescent="0.25">
      <c r="G24" s="209">
        <v>22</v>
      </c>
      <c r="H24" s="209" t="str">
        <f t="shared" si="0"/>
        <v/>
      </c>
      <c r="I24" s="390" t="str">
        <f>IFERROR(VLOOKUP($G24,'GASTOS EJER. 1'!$DW$9:$DX$60,2,FALSE),"")</f>
        <v/>
      </c>
      <c r="K24" s="209" t="str">
        <f t="shared" si="1"/>
        <v/>
      </c>
      <c r="L24" s="390" t="str">
        <f>IFERROR(VLOOKUP($G24,'GASTOS EJER. 2'!$DW$9:$DX$60,2,FALSE),"")</f>
        <v/>
      </c>
      <c r="N24" s="209" t="str">
        <f t="shared" si="2"/>
        <v/>
      </c>
      <c r="O24" s="390" t="str">
        <f>IFERROR(VLOOKUP($G24,'GASTOS EJER, 3'!$DW$9:$DX$60,2,FALSE),"")</f>
        <v/>
      </c>
      <c r="Q24" s="209" t="str">
        <f t="shared" si="3"/>
        <v/>
      </c>
      <c r="R24" s="390" t="str">
        <f>IFERROR(VLOOKUP($G24,'GASTOS EJER, 4'!$DW$9:$DX$60,2,FALSE),"")</f>
        <v/>
      </c>
    </row>
    <row r="25" spans="7:18" ht="30" customHeight="1" x14ac:dyDescent="0.25">
      <c r="G25" s="209">
        <v>23</v>
      </c>
      <c r="H25" s="209" t="str">
        <f t="shared" si="0"/>
        <v/>
      </c>
      <c r="I25" s="390" t="str">
        <f>IFERROR(VLOOKUP($G25,'GASTOS EJER. 1'!$DW$9:$DX$60,2,FALSE),"")</f>
        <v/>
      </c>
      <c r="K25" s="209" t="str">
        <f t="shared" si="1"/>
        <v/>
      </c>
      <c r="L25" s="390" t="str">
        <f>IFERROR(VLOOKUP($G25,'GASTOS EJER. 2'!$DW$9:$DX$60,2,FALSE),"")</f>
        <v/>
      </c>
      <c r="N25" s="209" t="str">
        <f t="shared" si="2"/>
        <v/>
      </c>
      <c r="O25" s="390" t="str">
        <f>IFERROR(VLOOKUP($G25,'GASTOS EJER, 3'!$DW$9:$DX$60,2,FALSE),"")</f>
        <v/>
      </c>
      <c r="Q25" s="209" t="str">
        <f t="shared" si="3"/>
        <v/>
      </c>
      <c r="R25" s="390" t="str">
        <f>IFERROR(VLOOKUP($G25,'GASTOS EJER, 4'!$DW$9:$DX$60,2,FALSE),"")</f>
        <v/>
      </c>
    </row>
    <row r="26" spans="7:18" ht="30" customHeight="1" x14ac:dyDescent="0.25">
      <c r="G26" s="209">
        <v>24</v>
      </c>
      <c r="H26" s="209" t="str">
        <f t="shared" si="0"/>
        <v/>
      </c>
      <c r="I26" s="390" t="str">
        <f>IFERROR(VLOOKUP($G26,'GASTOS EJER. 1'!$DW$9:$DX$60,2,FALSE),"")</f>
        <v/>
      </c>
      <c r="K26" s="209" t="str">
        <f t="shared" si="1"/>
        <v/>
      </c>
      <c r="L26" s="390" t="str">
        <f>IFERROR(VLOOKUP($G26,'GASTOS EJER. 2'!$DW$9:$DX$60,2,FALSE),"")</f>
        <v/>
      </c>
      <c r="N26" s="209" t="str">
        <f t="shared" si="2"/>
        <v/>
      </c>
      <c r="O26" s="390" t="str">
        <f>IFERROR(VLOOKUP($G26,'GASTOS EJER, 3'!$DW$9:$DX$60,2,FALSE),"")</f>
        <v/>
      </c>
      <c r="Q26" s="209" t="str">
        <f t="shared" si="3"/>
        <v/>
      </c>
      <c r="R26" s="390" t="str">
        <f>IFERROR(VLOOKUP($G26,'GASTOS EJER, 4'!$DW$9:$DX$60,2,FALSE),"")</f>
        <v/>
      </c>
    </row>
    <row r="27" spans="7:18" ht="30" customHeight="1" x14ac:dyDescent="0.25">
      <c r="G27" s="209">
        <v>25</v>
      </c>
      <c r="H27" s="209" t="str">
        <f t="shared" si="0"/>
        <v/>
      </c>
      <c r="I27" s="390" t="str">
        <f>IFERROR(VLOOKUP($G27,'GASTOS EJER. 1'!$DW$9:$DX$60,2,FALSE),"")</f>
        <v/>
      </c>
      <c r="K27" s="209" t="str">
        <f t="shared" si="1"/>
        <v/>
      </c>
      <c r="L27" s="390" t="str">
        <f>IFERROR(VLOOKUP($G27,'GASTOS EJER. 2'!$DW$9:$DX$60,2,FALSE),"")</f>
        <v/>
      </c>
      <c r="N27" s="209" t="str">
        <f t="shared" si="2"/>
        <v/>
      </c>
      <c r="O27" s="390" t="str">
        <f>IFERROR(VLOOKUP($G27,'GASTOS EJER, 3'!$DW$9:$DX$60,2,FALSE),"")</f>
        <v/>
      </c>
      <c r="Q27" s="209" t="str">
        <f t="shared" si="3"/>
        <v/>
      </c>
      <c r="R27" s="390" t="str">
        <f>IFERROR(VLOOKUP($G27,'GASTOS EJER, 4'!$DW$9:$DX$60,2,FALSE),"")</f>
        <v/>
      </c>
    </row>
    <row r="28" spans="7:18" ht="30" customHeight="1" x14ac:dyDescent="0.25">
      <c r="G28" s="209">
        <v>26</v>
      </c>
      <c r="H28" s="209" t="str">
        <f t="shared" si="0"/>
        <v/>
      </c>
      <c r="I28" s="390" t="str">
        <f>IFERROR(VLOOKUP($G28,'GASTOS EJER. 1'!$DW$9:$DX$60,2,FALSE),"")</f>
        <v/>
      </c>
      <c r="K28" s="209" t="str">
        <f t="shared" si="1"/>
        <v/>
      </c>
      <c r="L28" s="390" t="str">
        <f>IFERROR(VLOOKUP($G28,'GASTOS EJER. 2'!$DW$9:$DX$60,2,FALSE),"")</f>
        <v/>
      </c>
      <c r="N28" s="209" t="str">
        <f t="shared" si="2"/>
        <v/>
      </c>
      <c r="O28" s="390" t="str">
        <f>IFERROR(VLOOKUP($G28,'GASTOS EJER, 3'!$DW$9:$DX$60,2,FALSE),"")</f>
        <v/>
      </c>
      <c r="Q28" s="209" t="str">
        <f t="shared" si="3"/>
        <v/>
      </c>
      <c r="R28" s="390" t="str">
        <f>IFERROR(VLOOKUP($G28,'GASTOS EJER, 4'!$DW$9:$DX$60,2,FALSE),"")</f>
        <v/>
      </c>
    </row>
    <row r="29" spans="7:18" ht="30" customHeight="1" x14ac:dyDescent="0.25">
      <c r="G29" s="209">
        <v>27</v>
      </c>
      <c r="H29" s="209" t="str">
        <f t="shared" si="0"/>
        <v/>
      </c>
      <c r="I29" s="390" t="str">
        <f>IFERROR(VLOOKUP($G29,'GASTOS EJER. 1'!$DW$9:$DX$60,2,FALSE),"")</f>
        <v/>
      </c>
      <c r="K29" s="209" t="str">
        <f t="shared" si="1"/>
        <v/>
      </c>
      <c r="L29" s="390" t="str">
        <f>IFERROR(VLOOKUP($G29,'GASTOS EJER. 2'!$DW$9:$DX$60,2,FALSE),"")</f>
        <v/>
      </c>
      <c r="N29" s="209" t="str">
        <f t="shared" si="2"/>
        <v/>
      </c>
      <c r="O29" s="390" t="str">
        <f>IFERROR(VLOOKUP($G29,'GASTOS EJER, 3'!$DW$9:$DX$60,2,FALSE),"")</f>
        <v/>
      </c>
      <c r="Q29" s="209" t="str">
        <f t="shared" si="3"/>
        <v/>
      </c>
      <c r="R29" s="390" t="str">
        <f>IFERROR(VLOOKUP($G29,'GASTOS EJER, 4'!$DW$9:$DX$60,2,FALSE),"")</f>
        <v/>
      </c>
    </row>
    <row r="30" spans="7:18" ht="30" customHeight="1" x14ac:dyDescent="0.25">
      <c r="G30" s="209">
        <v>28</v>
      </c>
      <c r="H30" s="209" t="str">
        <f t="shared" si="0"/>
        <v/>
      </c>
      <c r="I30" s="390" t="str">
        <f>IFERROR(VLOOKUP($G30,'GASTOS EJER. 1'!$DW$9:$DX$60,2,FALSE),"")</f>
        <v/>
      </c>
      <c r="K30" s="209" t="str">
        <f t="shared" si="1"/>
        <v/>
      </c>
      <c r="L30" s="390" t="str">
        <f>IFERROR(VLOOKUP($G30,'GASTOS EJER. 2'!$DW$9:$DX$60,2,FALSE),"")</f>
        <v/>
      </c>
      <c r="N30" s="209" t="str">
        <f t="shared" si="2"/>
        <v/>
      </c>
      <c r="O30" s="390" t="str">
        <f>IFERROR(VLOOKUP($G30,'GASTOS EJER, 3'!$DW$9:$DX$60,2,FALSE),"")</f>
        <v/>
      </c>
      <c r="Q30" s="209" t="str">
        <f t="shared" si="3"/>
        <v/>
      </c>
      <c r="R30" s="390" t="str">
        <f>IFERROR(VLOOKUP($G30,'GASTOS EJER, 4'!$DW$9:$DX$60,2,FALSE),"")</f>
        <v/>
      </c>
    </row>
    <row r="31" spans="7:18" ht="30" customHeight="1" x14ac:dyDescent="0.25">
      <c r="G31" s="209">
        <v>29</v>
      </c>
      <c r="H31" s="209" t="str">
        <f t="shared" si="0"/>
        <v/>
      </c>
      <c r="I31" s="390" t="str">
        <f>IFERROR(VLOOKUP($G31,'GASTOS EJER. 1'!$DW$9:$DX$60,2,FALSE),"")</f>
        <v/>
      </c>
      <c r="K31" s="209" t="str">
        <f t="shared" si="1"/>
        <v/>
      </c>
      <c r="L31" s="390" t="str">
        <f>IFERROR(VLOOKUP($G31,'GASTOS EJER. 2'!$DW$9:$DX$60,2,FALSE),"")</f>
        <v/>
      </c>
      <c r="N31" s="209" t="str">
        <f t="shared" si="2"/>
        <v/>
      </c>
      <c r="O31" s="390" t="str">
        <f>IFERROR(VLOOKUP($G31,'GASTOS EJER, 3'!$DW$9:$DX$60,2,FALSE),"")</f>
        <v/>
      </c>
      <c r="Q31" s="209" t="str">
        <f t="shared" si="3"/>
        <v/>
      </c>
      <c r="R31" s="390" t="str">
        <f>IFERROR(VLOOKUP($G31,'GASTOS EJER, 4'!$DW$9:$DX$60,2,FALSE),"")</f>
        <v/>
      </c>
    </row>
    <row r="32" spans="7:18" ht="30" customHeight="1" x14ac:dyDescent="0.25">
      <c r="G32" s="209">
        <v>30</v>
      </c>
      <c r="H32" s="209" t="str">
        <f t="shared" si="0"/>
        <v/>
      </c>
      <c r="I32" s="390" t="str">
        <f>IFERROR(VLOOKUP($G32,'GASTOS EJER. 1'!$DW$9:$DX$60,2,FALSE),"")</f>
        <v/>
      </c>
      <c r="K32" s="209" t="str">
        <f t="shared" si="1"/>
        <v/>
      </c>
      <c r="L32" s="390" t="str">
        <f>IFERROR(VLOOKUP($G32,'GASTOS EJER. 2'!$DW$9:$DX$60,2,FALSE),"")</f>
        <v/>
      </c>
      <c r="N32" s="209" t="str">
        <f t="shared" si="2"/>
        <v/>
      </c>
      <c r="O32" s="390" t="str">
        <f>IFERROR(VLOOKUP($G32,'GASTOS EJER, 3'!$DW$9:$DX$60,2,FALSE),"")</f>
        <v/>
      </c>
      <c r="Q32" s="209" t="str">
        <f t="shared" si="3"/>
        <v/>
      </c>
      <c r="R32" s="390" t="str">
        <f>IFERROR(VLOOKUP($G32,'GASTOS EJER, 4'!$DW$9:$DX$60,2,FALSE),"")</f>
        <v/>
      </c>
    </row>
    <row r="33" spans="7:18" ht="30" customHeight="1" x14ac:dyDescent="0.25">
      <c r="G33" s="209">
        <v>31</v>
      </c>
      <c r="H33" s="209" t="str">
        <f t="shared" si="0"/>
        <v/>
      </c>
      <c r="I33" s="390" t="str">
        <f>IFERROR(VLOOKUP($G33,'GASTOS EJER. 1'!$DW$9:$DX$60,2,FALSE),"")</f>
        <v/>
      </c>
      <c r="K33" s="209" t="str">
        <f t="shared" si="1"/>
        <v/>
      </c>
      <c r="L33" s="390" t="str">
        <f>IFERROR(VLOOKUP($G33,'GASTOS EJER. 2'!$DW$9:$DX$60,2,FALSE),"")</f>
        <v/>
      </c>
      <c r="N33" s="209" t="str">
        <f t="shared" si="2"/>
        <v/>
      </c>
      <c r="O33" s="390" t="str">
        <f>IFERROR(VLOOKUP($G33,'GASTOS EJER, 3'!$DW$9:$DX$60,2,FALSE),"")</f>
        <v/>
      </c>
      <c r="Q33" s="209" t="str">
        <f t="shared" si="3"/>
        <v/>
      </c>
      <c r="R33" s="390" t="str">
        <f>IFERROR(VLOOKUP($G33,'GASTOS EJER, 4'!$DW$9:$DX$60,2,FALSE),"")</f>
        <v/>
      </c>
    </row>
    <row r="34" spans="7:18" ht="30" customHeight="1" x14ac:dyDescent="0.25">
      <c r="G34" s="209">
        <v>32</v>
      </c>
      <c r="H34" s="209" t="str">
        <f t="shared" si="0"/>
        <v/>
      </c>
      <c r="I34" s="390" t="str">
        <f>IFERROR(VLOOKUP($G34,'GASTOS EJER. 1'!$DW$9:$DX$60,2,FALSE),"")</f>
        <v/>
      </c>
      <c r="K34" s="209" t="str">
        <f t="shared" si="1"/>
        <v/>
      </c>
      <c r="L34" s="390" t="str">
        <f>IFERROR(VLOOKUP($G34,'GASTOS EJER. 2'!$DW$9:$DX$60,2,FALSE),"")</f>
        <v/>
      </c>
      <c r="N34" s="209" t="str">
        <f t="shared" si="2"/>
        <v/>
      </c>
      <c r="O34" s="390" t="str">
        <f>IFERROR(VLOOKUP($G34,'GASTOS EJER, 3'!$DW$9:$DX$60,2,FALSE),"")</f>
        <v/>
      </c>
      <c r="Q34" s="209" t="str">
        <f t="shared" si="3"/>
        <v/>
      </c>
      <c r="R34" s="390" t="str">
        <f>IFERROR(VLOOKUP($G34,'GASTOS EJER, 4'!$DW$9:$DX$60,2,FALSE),"")</f>
        <v/>
      </c>
    </row>
    <row r="35" spans="7:18" ht="30" customHeight="1" x14ac:dyDescent="0.25">
      <c r="G35" s="209">
        <v>33</v>
      </c>
      <c r="H35" s="209" t="str">
        <f t="shared" si="0"/>
        <v/>
      </c>
      <c r="I35" s="390" t="str">
        <f>IFERROR(VLOOKUP($G35,'GASTOS EJER. 1'!$DW$9:$DX$60,2,FALSE),"")</f>
        <v/>
      </c>
      <c r="K35" s="209" t="str">
        <f t="shared" si="1"/>
        <v/>
      </c>
      <c r="L35" s="390" t="str">
        <f>IFERROR(VLOOKUP($G35,'GASTOS EJER. 2'!$DW$9:$DX$60,2,FALSE),"")</f>
        <v/>
      </c>
      <c r="N35" s="209" t="str">
        <f t="shared" si="2"/>
        <v/>
      </c>
      <c r="O35" s="390" t="str">
        <f>IFERROR(VLOOKUP($G35,'GASTOS EJER, 3'!$DW$9:$DX$60,2,FALSE),"")</f>
        <v/>
      </c>
      <c r="Q35" s="209" t="str">
        <f t="shared" si="3"/>
        <v/>
      </c>
      <c r="R35" s="390" t="str">
        <f>IFERROR(VLOOKUP($G35,'GASTOS EJER, 4'!$DW$9:$DX$60,2,FALSE),"")</f>
        <v/>
      </c>
    </row>
    <row r="36" spans="7:18" ht="30" customHeight="1" x14ac:dyDescent="0.25">
      <c r="G36" s="209">
        <v>34</v>
      </c>
      <c r="H36" s="209" t="str">
        <f t="shared" si="0"/>
        <v/>
      </c>
      <c r="I36" s="390" t="str">
        <f>IFERROR(VLOOKUP($G36,'GASTOS EJER. 1'!$DW$9:$DX$60,2,FALSE),"")</f>
        <v/>
      </c>
      <c r="K36" s="209" t="str">
        <f t="shared" si="1"/>
        <v/>
      </c>
      <c r="L36" s="390" t="str">
        <f>IFERROR(VLOOKUP($G36,'GASTOS EJER. 2'!$DW$9:$DX$60,2,FALSE),"")</f>
        <v/>
      </c>
      <c r="N36" s="209" t="str">
        <f t="shared" si="2"/>
        <v/>
      </c>
      <c r="O36" s="390" t="str">
        <f>IFERROR(VLOOKUP($G36,'GASTOS EJER, 3'!$DW$9:$DX$60,2,FALSE),"")</f>
        <v/>
      </c>
      <c r="Q36" s="209" t="str">
        <f t="shared" si="3"/>
        <v/>
      </c>
      <c r="R36" s="390" t="str">
        <f>IFERROR(VLOOKUP($G36,'GASTOS EJER, 4'!$DW$9:$DX$60,2,FALSE),"")</f>
        <v/>
      </c>
    </row>
    <row r="37" spans="7:18" ht="30" customHeight="1" x14ac:dyDescent="0.25">
      <c r="G37" s="209">
        <v>35</v>
      </c>
      <c r="H37" s="209" t="str">
        <f t="shared" si="0"/>
        <v/>
      </c>
      <c r="I37" s="390" t="str">
        <f>IFERROR(VLOOKUP($G37,'GASTOS EJER. 1'!$DW$9:$DX$60,2,FALSE),"")</f>
        <v/>
      </c>
      <c r="K37" s="209" t="str">
        <f t="shared" si="1"/>
        <v/>
      </c>
      <c r="L37" s="390" t="str">
        <f>IFERROR(VLOOKUP($G37,'GASTOS EJER. 2'!$DW$9:$DX$60,2,FALSE),"")</f>
        <v/>
      </c>
      <c r="N37" s="209" t="str">
        <f t="shared" si="2"/>
        <v/>
      </c>
      <c r="O37" s="390" t="str">
        <f>IFERROR(VLOOKUP($G37,'GASTOS EJER, 3'!$DW$9:$DX$60,2,FALSE),"")</f>
        <v/>
      </c>
      <c r="Q37" s="209" t="str">
        <f t="shared" si="3"/>
        <v/>
      </c>
      <c r="R37" s="390" t="str">
        <f>IFERROR(VLOOKUP($G37,'GASTOS EJER, 4'!$DW$9:$DX$60,2,FALSE),"")</f>
        <v/>
      </c>
    </row>
    <row r="38" spans="7:18" ht="30" customHeight="1" x14ac:dyDescent="0.25">
      <c r="G38" s="209">
        <v>36</v>
      </c>
      <c r="H38" s="209" t="str">
        <f t="shared" si="0"/>
        <v/>
      </c>
      <c r="I38" s="390" t="str">
        <f>IFERROR(VLOOKUP($G38,'GASTOS EJER. 1'!$DW$9:$DX$60,2,FALSE),"")</f>
        <v/>
      </c>
      <c r="K38" s="209" t="str">
        <f t="shared" si="1"/>
        <v/>
      </c>
      <c r="L38" s="390" t="str">
        <f>IFERROR(VLOOKUP($G38,'GASTOS EJER. 2'!$DW$9:$DX$60,2,FALSE),"")</f>
        <v/>
      </c>
      <c r="N38" s="209" t="str">
        <f t="shared" si="2"/>
        <v/>
      </c>
      <c r="O38" s="390" t="str">
        <f>IFERROR(VLOOKUP($G38,'GASTOS EJER, 3'!$DW$9:$DX$60,2,FALSE),"")</f>
        <v/>
      </c>
      <c r="Q38" s="209" t="str">
        <f t="shared" si="3"/>
        <v/>
      </c>
      <c r="R38" s="390" t="str">
        <f>IFERROR(VLOOKUP($G38,'GASTOS EJER, 4'!$DW$9:$DX$60,2,FALSE),"")</f>
        <v/>
      </c>
    </row>
    <row r="39" spans="7:18" ht="30" customHeight="1" x14ac:dyDescent="0.25">
      <c r="G39" s="209">
        <v>37</v>
      </c>
      <c r="H39" s="209" t="str">
        <f t="shared" si="0"/>
        <v/>
      </c>
      <c r="I39" s="390" t="str">
        <f>IFERROR(VLOOKUP($G39,'GASTOS EJER. 1'!$DW$9:$DX$60,2,FALSE),"")</f>
        <v/>
      </c>
      <c r="K39" s="209" t="str">
        <f t="shared" si="1"/>
        <v/>
      </c>
      <c r="L39" s="390" t="str">
        <f>IFERROR(VLOOKUP($G39,'GASTOS EJER. 2'!$DW$9:$DX$60,2,FALSE),"")</f>
        <v/>
      </c>
      <c r="N39" s="209" t="str">
        <f t="shared" si="2"/>
        <v/>
      </c>
      <c r="O39" s="390" t="str">
        <f>IFERROR(VLOOKUP($G39,'GASTOS EJER, 3'!$DW$9:$DX$60,2,FALSE),"")</f>
        <v/>
      </c>
      <c r="Q39" s="209" t="str">
        <f t="shared" si="3"/>
        <v/>
      </c>
      <c r="R39" s="390" t="str">
        <f>IFERROR(VLOOKUP($G39,'GASTOS EJER, 4'!$DW$9:$DX$60,2,FALSE),"")</f>
        <v/>
      </c>
    </row>
    <row r="40" spans="7:18" ht="30" customHeight="1" x14ac:dyDescent="0.25">
      <c r="G40" s="209">
        <v>38</v>
      </c>
      <c r="H40" s="209" t="str">
        <f t="shared" si="0"/>
        <v/>
      </c>
      <c r="I40" s="390" t="str">
        <f>IFERROR(VLOOKUP($G40,'GASTOS EJER. 1'!$DW$9:$DX$60,2,FALSE),"")</f>
        <v/>
      </c>
      <c r="K40" s="209" t="str">
        <f t="shared" si="1"/>
        <v/>
      </c>
      <c r="L40" s="390" t="str">
        <f>IFERROR(VLOOKUP($G40,'GASTOS EJER. 2'!$DW$9:$DX$60,2,FALSE),"")</f>
        <v/>
      </c>
      <c r="N40" s="209" t="str">
        <f t="shared" si="2"/>
        <v/>
      </c>
      <c r="O40" s="390" t="str">
        <f>IFERROR(VLOOKUP($G40,'GASTOS EJER, 3'!$DW$9:$DX$60,2,FALSE),"")</f>
        <v/>
      </c>
      <c r="Q40" s="209" t="str">
        <f t="shared" si="3"/>
        <v/>
      </c>
      <c r="R40" s="390" t="str">
        <f>IFERROR(VLOOKUP($G40,'GASTOS EJER, 4'!$DW$9:$DX$60,2,FALSE),"")</f>
        <v/>
      </c>
    </row>
  </sheetData>
  <sheetProtection algorithmName="SHA-512" hashValue="UUxDn9s/FYa7k5WbPDrAJ233cj2yvtuXK/YjubQdQlpdferL0j0j0JwBdIXsvO9H7KXBlT3MrDrTzAQA+sqevQ==" saltValue="YA8camD7AjZQLZll2ER/UQ=="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A1:JG104"/>
  <sheetViews>
    <sheetView showGridLines="0" zoomScaleNormal="100" workbookViewId="0"/>
  </sheetViews>
  <sheetFormatPr baseColWidth="10" defaultColWidth="11.42578125" defaultRowHeight="15" outlineLevelCol="1" x14ac:dyDescent="0.25"/>
  <cols>
    <col min="1" max="1" width="5.5703125" style="524" customWidth="1"/>
    <col min="2" max="2" width="10.7109375" style="209" hidden="1" customWidth="1" outlineLevel="1"/>
    <col min="3" max="3" width="5.7109375" style="209" hidden="1" customWidth="1" outlineLevel="1"/>
    <col min="4" max="4" width="11.42578125" style="209" hidden="1" customWidth="1" outlineLevel="1"/>
    <col min="5" max="5" width="5.7109375" style="209" hidden="1" customWidth="1" outlineLevel="1"/>
    <col min="6" max="6" width="125.7109375" style="207" hidden="1" customWidth="1" outlineLevel="1"/>
    <col min="7" max="9" width="30.7109375" style="207" hidden="1" customWidth="1" outlineLevel="1"/>
    <col min="10" max="12" width="5.7109375" style="209" hidden="1" customWidth="1" outlineLevel="1"/>
    <col min="13" max="13" width="10.7109375" style="209" hidden="1" customWidth="1" outlineLevel="1"/>
    <col min="14" max="14" width="5.7109375" style="207" hidden="1" customWidth="1" outlineLevel="1"/>
    <col min="15" max="15" width="27.85546875" style="207" hidden="1" customWidth="1" outlineLevel="1"/>
    <col min="16" max="16" width="30.7109375" style="207" hidden="1" customWidth="1" outlineLevel="1"/>
    <col min="17" max="17" width="5.7109375" style="207" hidden="1" customWidth="1" outlineLevel="1"/>
    <col min="18" max="18" width="37.7109375" style="207" hidden="1" customWidth="1" outlineLevel="1"/>
    <col min="19" max="19" width="11.28515625" style="207" hidden="1" customWidth="1" outlineLevel="1"/>
    <col min="20" max="20" width="8.7109375" style="207" hidden="1" customWidth="1" outlineLevel="1"/>
    <col min="21" max="21" width="5.5703125" style="395" hidden="1" customWidth="1" outlineLevel="1"/>
    <col min="22" max="22" width="25.7109375" style="207" hidden="1" customWidth="1" outlineLevel="1"/>
    <col min="23" max="23" width="15.7109375" style="209" hidden="1" customWidth="1" outlineLevel="1"/>
    <col min="24" max="24" width="5.5703125" style="395" hidden="1" customWidth="1" outlineLevel="1"/>
    <col min="25" max="25" width="5.42578125" style="395" hidden="1" customWidth="1" outlineLevel="1"/>
    <col min="26" max="26" width="25.5703125" style="396" hidden="1" customWidth="1" outlineLevel="1"/>
    <col min="27" max="30" width="30.5703125" style="395" hidden="1" customWidth="1" outlineLevel="1"/>
    <col min="31" max="31" width="5.7109375" style="396" hidden="1" customWidth="1" outlineLevel="1"/>
    <col min="32" max="32" width="11.42578125" style="395" hidden="1" customWidth="1" outlineLevel="1"/>
    <col min="33" max="33" width="5.7109375" style="397" hidden="1" customWidth="1" outlineLevel="1"/>
    <col min="34" max="36" width="15.7109375" style="397" hidden="1" customWidth="1" outlineLevel="1"/>
    <col min="37" max="37" width="5.7109375" style="397" hidden="1" customWidth="1" outlineLevel="1"/>
    <col min="38" max="49" width="11.42578125" style="397" hidden="1" customWidth="1" outlineLevel="1"/>
    <col min="50" max="51" width="5.7109375" style="397" hidden="1" customWidth="1" outlineLevel="1"/>
    <col min="52" max="61" width="11.42578125" style="397" hidden="1" customWidth="1" outlineLevel="1"/>
    <col min="62" max="62" width="5.7109375" style="397" hidden="1" customWidth="1" outlineLevel="1"/>
    <col min="63" max="71" width="11.42578125" style="397" hidden="1" customWidth="1" outlineLevel="1"/>
    <col min="72" max="72" width="5.7109375" style="397" hidden="1" customWidth="1" outlineLevel="1"/>
    <col min="73" max="73" width="11.42578125" style="397" hidden="1" customWidth="1" outlineLevel="1"/>
    <col min="74" max="74" width="5.7109375" style="396" hidden="1" customWidth="1" outlineLevel="1"/>
    <col min="75" max="75" width="11.42578125" style="395" hidden="1" customWidth="1" outlineLevel="1"/>
    <col min="76" max="76" width="5.7109375" style="397" hidden="1" customWidth="1" outlineLevel="1"/>
    <col min="77" max="79" width="15.7109375" style="397" hidden="1" customWidth="1" outlineLevel="1"/>
    <col min="80" max="80" width="5.7109375" style="397" hidden="1" customWidth="1" outlineLevel="1"/>
    <col min="81" max="92" width="11.42578125" style="397" hidden="1" customWidth="1" outlineLevel="1"/>
    <col min="93" max="94" width="5.7109375" style="397" hidden="1" customWidth="1" outlineLevel="1"/>
    <col min="95" max="104" width="11.42578125" style="397" hidden="1" customWidth="1" outlineLevel="1"/>
    <col min="105" max="105" width="5.7109375" style="397" hidden="1" customWidth="1" outlineLevel="1"/>
    <col min="106" max="114" width="11.42578125" style="397" hidden="1" customWidth="1" outlineLevel="1"/>
    <col min="115" max="115" width="5.7109375" style="397" hidden="1" customWidth="1" outlineLevel="1"/>
    <col min="116" max="116" width="11.42578125" style="397" hidden="1" customWidth="1" outlineLevel="1"/>
    <col min="117" max="118" width="5.7109375" style="397" hidden="1" customWidth="1" outlineLevel="1"/>
    <col min="119" max="119" width="20.7109375" style="397" hidden="1" customWidth="1" outlineLevel="1"/>
    <col min="120" max="121" width="11.28515625" style="398" hidden="1" customWidth="1" outlineLevel="1"/>
    <col min="122" max="122" width="10.28515625" style="398" hidden="1" customWidth="1" outlineLevel="1"/>
    <col min="123" max="125" width="11.42578125" style="397" hidden="1" customWidth="1" outlineLevel="1"/>
    <col min="126" max="126" width="14.28515625" style="397" hidden="1" customWidth="1" outlineLevel="1"/>
    <col min="127" max="128" width="5.7109375" style="397" hidden="1" customWidth="1" outlineLevel="1"/>
    <col min="129" max="130" width="10.7109375" style="398" hidden="1" customWidth="1" outlineLevel="1"/>
    <col min="131" max="131" width="9.42578125" style="398" hidden="1" customWidth="1" outlineLevel="1"/>
    <col min="132" max="164" width="9.7109375" style="397" hidden="1" customWidth="1" outlineLevel="1"/>
    <col min="165" max="165" width="5.7109375" style="397" hidden="1" customWidth="1" outlineLevel="1"/>
    <col min="166" max="167" width="9.7109375" style="397" hidden="1" customWidth="1" outlineLevel="1"/>
    <col min="168" max="168" width="11.42578125" style="397" hidden="1" customWidth="1" outlineLevel="1"/>
    <col min="169" max="172" width="15.7109375" style="397" hidden="1" customWidth="1" outlineLevel="1"/>
    <col min="173" max="174" width="5.7109375" style="397" hidden="1" customWidth="1" outlineLevel="1"/>
    <col min="175" max="175" width="20.7109375" style="397" hidden="1" customWidth="1" outlineLevel="1"/>
    <col min="176" max="177" width="11.28515625" style="398" hidden="1" customWidth="1" outlineLevel="1"/>
    <col min="178" max="178" width="10.28515625" style="398" hidden="1" customWidth="1" outlineLevel="1"/>
    <col min="179" max="181" width="11.42578125" style="397" hidden="1" customWidth="1" outlineLevel="1"/>
    <col min="182" max="182" width="14.28515625" style="397" hidden="1" customWidth="1" outlineLevel="1"/>
    <col min="183" max="184" width="5.7109375" style="397" hidden="1" customWidth="1" outlineLevel="1"/>
    <col min="185" max="186" width="10.7109375" style="398" hidden="1" customWidth="1" outlineLevel="1"/>
    <col min="187" max="187" width="9.42578125" style="398" hidden="1" customWidth="1" outlineLevel="1"/>
    <col min="188" max="220" width="9.7109375" style="397" hidden="1" customWidth="1" outlineLevel="1"/>
    <col min="221" max="222" width="5.7109375" style="397" hidden="1" customWidth="1" outlineLevel="1"/>
    <col min="223" max="224" width="9.7109375" style="397" hidden="1" customWidth="1" outlineLevel="1"/>
    <col min="225" max="225" width="11.42578125" style="397" hidden="1" customWidth="1" outlineLevel="1"/>
    <col min="226" max="229" width="15.7109375" style="397" hidden="1" customWidth="1" outlineLevel="1"/>
    <col min="230" max="230" width="5.7109375" style="397" hidden="1" customWidth="1" outlineLevel="1"/>
    <col min="231" max="231" width="5.7109375" style="395" hidden="1" customWidth="1" outlineLevel="1"/>
    <col min="232" max="233" width="10.7109375" style="396" hidden="1" customWidth="1" outlineLevel="1"/>
    <col min="234" max="234" width="40.7109375" style="395" hidden="1" customWidth="1" outlineLevel="1"/>
    <col min="235" max="235" width="11.42578125" style="395" hidden="1" customWidth="1" outlineLevel="1"/>
    <col min="236" max="236" width="5.7109375" style="396" hidden="1" customWidth="1" outlineLevel="1"/>
    <col min="237" max="238" width="5.7109375" style="395" hidden="1" customWidth="1" outlineLevel="1"/>
    <col min="239" max="240" width="5.7109375" style="396" hidden="1" customWidth="1" outlineLevel="1"/>
    <col min="241" max="242" width="10.7109375" style="396" hidden="1" customWidth="1" outlineLevel="1"/>
    <col min="243" max="243" width="40.7109375" style="395" hidden="1" customWidth="1" outlineLevel="1"/>
    <col min="244" max="244" width="11.42578125" style="395" hidden="1" customWidth="1" outlineLevel="1"/>
    <col min="245" max="246" width="5.7109375" style="395" hidden="1" customWidth="1" outlineLevel="1"/>
    <col min="247" max="248" width="10.7109375" style="396" hidden="1" customWidth="1" outlineLevel="1"/>
    <col min="249" max="249" width="40.7109375" style="395" hidden="1" customWidth="1" outlineLevel="1"/>
    <col min="250" max="250" width="11.42578125" style="395" hidden="1" customWidth="1" outlineLevel="1"/>
    <col min="251" max="251" width="5.7109375" style="396" hidden="1" customWidth="1" outlineLevel="1"/>
    <col min="252" max="253" width="5.7109375" style="395" hidden="1" customWidth="1" outlineLevel="1"/>
    <col min="254" max="255" width="5.7109375" style="396" hidden="1" customWidth="1" outlineLevel="1"/>
    <col min="256" max="257" width="10.7109375" style="396" hidden="1" customWidth="1" outlineLevel="1"/>
    <col min="258" max="258" width="40.7109375" style="395" hidden="1" customWidth="1" outlineLevel="1"/>
    <col min="259" max="259" width="11.42578125" style="395" hidden="1" customWidth="1" outlineLevel="1"/>
    <col min="260" max="262" width="5.7109375" style="395" hidden="1" customWidth="1" outlineLevel="1"/>
    <col min="263" max="264" width="11.42578125" style="396" hidden="1" customWidth="1" outlineLevel="1"/>
    <col min="265" max="266" width="11.42578125" style="395" hidden="1" customWidth="1" outlineLevel="1"/>
    <col min="267" max="267" width="11.42578125" style="395" collapsed="1"/>
    <col min="268" max="16384" width="11.42578125" style="395"/>
  </cols>
  <sheetData>
    <row r="1" spans="1:266" x14ac:dyDescent="0.25">
      <c r="A1" s="546"/>
      <c r="X1" s="396"/>
      <c r="Y1" s="396"/>
    </row>
    <row r="2" spans="1:266" x14ac:dyDescent="0.25">
      <c r="AF2" s="977" t="s">
        <v>350</v>
      </c>
      <c r="AG2" s="977"/>
      <c r="AH2" s="977"/>
      <c r="AI2" s="977"/>
      <c r="AJ2" s="977"/>
      <c r="AK2" s="977"/>
      <c r="AL2" s="977"/>
      <c r="AM2" s="977"/>
      <c r="AN2" s="977"/>
      <c r="AO2" s="977"/>
      <c r="AP2" s="977"/>
      <c r="AQ2" s="977"/>
      <c r="AR2" s="977"/>
      <c r="AS2" s="977"/>
      <c r="AT2" s="977"/>
      <c r="AU2" s="977"/>
      <c r="AV2" s="977"/>
      <c r="AW2" s="977"/>
      <c r="AX2" s="977"/>
      <c r="AY2" s="977"/>
      <c r="AZ2" s="977"/>
      <c r="BA2" s="977"/>
      <c r="BB2" s="977"/>
      <c r="BC2" s="977"/>
      <c r="BD2" s="977"/>
      <c r="BE2" s="977"/>
      <c r="BF2" s="977"/>
      <c r="BG2" s="977"/>
      <c r="BH2" s="977"/>
      <c r="BI2" s="977"/>
      <c r="BJ2" s="977"/>
      <c r="BK2" s="977"/>
      <c r="BL2" s="977"/>
      <c r="BM2" s="977"/>
      <c r="BN2" s="977"/>
      <c r="BO2" s="977"/>
      <c r="BP2" s="977"/>
      <c r="BQ2" s="977"/>
      <c r="BR2" s="977"/>
      <c r="BS2" s="977"/>
      <c r="BT2" s="977"/>
      <c r="BU2" s="977"/>
      <c r="BW2" s="975" t="s">
        <v>350</v>
      </c>
      <c r="BX2" s="975"/>
      <c r="BY2" s="975"/>
      <c r="BZ2" s="975"/>
      <c r="CA2" s="975"/>
      <c r="CB2" s="975"/>
      <c r="CC2" s="975"/>
      <c r="CD2" s="975"/>
      <c r="CE2" s="975"/>
      <c r="CF2" s="975"/>
      <c r="CG2" s="975"/>
      <c r="CH2" s="975"/>
      <c r="CI2" s="975"/>
      <c r="CJ2" s="975"/>
      <c r="CK2" s="975"/>
      <c r="CL2" s="975"/>
      <c r="CM2" s="975"/>
      <c r="CN2" s="975"/>
      <c r="CO2" s="975"/>
      <c r="CP2" s="975"/>
      <c r="CQ2" s="975"/>
      <c r="CR2" s="975"/>
      <c r="CS2" s="975"/>
      <c r="CT2" s="975"/>
      <c r="CU2" s="975"/>
      <c r="CV2" s="975"/>
      <c r="CW2" s="975"/>
      <c r="CX2" s="975"/>
      <c r="CY2" s="975"/>
      <c r="CZ2" s="975"/>
      <c r="DA2" s="975"/>
      <c r="DB2" s="975"/>
      <c r="DC2" s="975"/>
      <c r="DD2" s="975"/>
      <c r="DE2" s="975"/>
      <c r="DF2" s="975"/>
      <c r="DG2" s="975"/>
      <c r="DH2" s="975"/>
      <c r="DI2" s="975"/>
      <c r="DJ2" s="975"/>
      <c r="DK2" s="975"/>
      <c r="DL2" s="975"/>
      <c r="DN2" s="977" t="s">
        <v>352</v>
      </c>
      <c r="DO2" s="977"/>
      <c r="DP2" s="977"/>
      <c r="DQ2" s="977"/>
      <c r="DR2" s="977"/>
      <c r="DS2" s="977"/>
      <c r="DT2" s="977"/>
      <c r="DU2" s="977"/>
      <c r="DV2" s="977"/>
      <c r="DW2" s="977"/>
      <c r="DX2" s="977"/>
      <c r="DY2" s="977"/>
      <c r="DZ2" s="977"/>
      <c r="EA2" s="977"/>
      <c r="EB2" s="977"/>
      <c r="EC2" s="977"/>
      <c r="ED2" s="977"/>
      <c r="EE2" s="977"/>
      <c r="EF2" s="977"/>
      <c r="EG2" s="977"/>
      <c r="EH2" s="977"/>
      <c r="EI2" s="977"/>
      <c r="EJ2" s="977"/>
      <c r="EK2" s="977"/>
      <c r="EL2" s="977"/>
      <c r="EM2" s="977"/>
      <c r="EN2" s="977"/>
      <c r="EO2" s="977"/>
      <c r="EP2" s="977"/>
      <c r="EQ2" s="977"/>
      <c r="ER2" s="977"/>
      <c r="ES2" s="977"/>
      <c r="ET2" s="977"/>
      <c r="EU2" s="977"/>
      <c r="EV2" s="977"/>
      <c r="EW2" s="977"/>
      <c r="EX2" s="977"/>
      <c r="EY2" s="977"/>
      <c r="EZ2" s="977"/>
      <c r="FA2" s="977"/>
      <c r="FB2" s="977"/>
      <c r="FC2" s="977"/>
      <c r="FD2" s="977"/>
      <c r="FE2" s="977"/>
      <c r="FF2" s="977"/>
      <c r="FG2" s="977"/>
      <c r="FH2" s="977"/>
      <c r="FI2" s="977"/>
      <c r="FJ2" s="977"/>
      <c r="FK2" s="977"/>
      <c r="FL2" s="977"/>
      <c r="FM2" s="977"/>
      <c r="FN2" s="977"/>
      <c r="FO2" s="977"/>
      <c r="FP2" s="977"/>
      <c r="FR2" s="975" t="s">
        <v>352</v>
      </c>
      <c r="FS2" s="975"/>
      <c r="FT2" s="975"/>
      <c r="FU2" s="975"/>
      <c r="FV2" s="975"/>
      <c r="FW2" s="975"/>
      <c r="FX2" s="975"/>
      <c r="FY2" s="975"/>
      <c r="FZ2" s="975"/>
      <c r="GA2" s="975"/>
      <c r="GB2" s="975"/>
      <c r="GC2" s="975"/>
      <c r="GD2" s="975"/>
      <c r="GE2" s="975"/>
      <c r="GF2" s="975"/>
      <c r="GG2" s="975"/>
      <c r="GH2" s="975"/>
      <c r="GI2" s="975"/>
      <c r="GJ2" s="975"/>
      <c r="GK2" s="975"/>
      <c r="GL2" s="975"/>
      <c r="GM2" s="975"/>
      <c r="GN2" s="975"/>
      <c r="GO2" s="975"/>
      <c r="GP2" s="975"/>
      <c r="GQ2" s="975"/>
      <c r="GR2" s="975"/>
      <c r="GS2" s="975"/>
      <c r="GT2" s="975"/>
      <c r="GU2" s="975"/>
      <c r="GV2" s="975"/>
      <c r="GW2" s="975"/>
      <c r="GX2" s="975"/>
      <c r="GY2" s="975"/>
      <c r="GZ2" s="975"/>
      <c r="HA2" s="975"/>
      <c r="HB2" s="975"/>
      <c r="HC2" s="975"/>
      <c r="HD2" s="975"/>
      <c r="HE2" s="975"/>
      <c r="HF2" s="975"/>
      <c r="HG2" s="975"/>
      <c r="HH2" s="975"/>
      <c r="HI2" s="975"/>
      <c r="HJ2" s="975"/>
      <c r="HK2" s="975"/>
      <c r="HL2" s="975"/>
      <c r="HM2" s="975"/>
      <c r="HN2" s="975"/>
      <c r="HO2" s="975"/>
      <c r="HP2" s="975"/>
      <c r="HQ2" s="975"/>
      <c r="HR2" s="975"/>
      <c r="HS2" s="975"/>
      <c r="HT2" s="975"/>
      <c r="HU2" s="975"/>
      <c r="HW2" s="986" t="s">
        <v>207</v>
      </c>
      <c r="HX2" s="986"/>
      <c r="HY2" s="986"/>
      <c r="HZ2" s="986"/>
      <c r="IA2" s="986"/>
      <c r="IB2" s="986"/>
      <c r="IC2" s="986"/>
      <c r="ID2" s="986"/>
      <c r="IE2" s="986"/>
      <c r="IF2" s="986"/>
      <c r="IG2" s="986"/>
      <c r="IH2" s="986"/>
      <c r="II2" s="986"/>
      <c r="IJ2" s="986"/>
      <c r="IL2" s="1033" t="s">
        <v>207</v>
      </c>
      <c r="IM2" s="1033"/>
      <c r="IN2" s="1033"/>
      <c r="IO2" s="1033"/>
      <c r="IP2" s="1033"/>
      <c r="IQ2" s="1033"/>
      <c r="IR2" s="1033"/>
      <c r="IS2" s="1033"/>
      <c r="IT2" s="1033"/>
      <c r="IU2" s="1033"/>
      <c r="IV2" s="1033"/>
      <c r="IW2" s="1033"/>
      <c r="IX2" s="1033"/>
      <c r="IY2" s="1033"/>
      <c r="JC2" s="986" t="s">
        <v>221</v>
      </c>
      <c r="JD2" s="986"/>
      <c r="JE2" s="986"/>
      <c r="JF2" s="986"/>
    </row>
    <row r="3" spans="1:266" ht="15.75" thickBot="1" x14ac:dyDescent="0.3">
      <c r="B3" s="980" t="s">
        <v>226</v>
      </c>
      <c r="C3" s="980"/>
      <c r="D3" s="980"/>
      <c r="E3" s="980"/>
      <c r="F3" s="980"/>
      <c r="G3" s="980"/>
      <c r="H3" s="980"/>
      <c r="I3" s="980"/>
      <c r="J3" s="980"/>
      <c r="K3" s="980"/>
      <c r="L3" s="980"/>
      <c r="M3" s="980"/>
      <c r="O3" s="980" t="s">
        <v>227</v>
      </c>
      <c r="P3" s="980"/>
      <c r="R3" s="980" t="s">
        <v>228</v>
      </c>
      <c r="S3" s="980"/>
      <c r="V3" s="980" t="s">
        <v>249</v>
      </c>
      <c r="W3" s="980"/>
      <c r="Y3" s="996" t="s">
        <v>347</v>
      </c>
      <c r="Z3" s="996"/>
      <c r="AA3" s="996"/>
      <c r="AB3" s="996"/>
      <c r="AC3" s="996"/>
      <c r="AD3" s="996"/>
      <c r="AF3" s="397"/>
      <c r="BW3" s="397"/>
      <c r="DY3" s="399" t="s">
        <v>357</v>
      </c>
      <c r="GC3" s="399" t="s">
        <v>357</v>
      </c>
    </row>
    <row r="4" spans="1:266" ht="15.75" thickBot="1" x14ac:dyDescent="0.3">
      <c r="Z4" s="400" t="str">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
      </c>
      <c r="AA4" s="396" t="s">
        <v>175</v>
      </c>
      <c r="AB4" s="396" t="s">
        <v>176</v>
      </c>
      <c r="AC4" s="396" t="s">
        <v>177</v>
      </c>
      <c r="AD4" s="396" t="s">
        <v>178</v>
      </c>
      <c r="AG4" s="395"/>
      <c r="AH4" s="395"/>
      <c r="AI4" s="395"/>
      <c r="AJ4" s="395"/>
      <c r="AK4" s="395"/>
      <c r="AL4" s="395"/>
      <c r="AM4" s="395"/>
      <c r="AN4" s="395"/>
      <c r="AO4" s="395"/>
      <c r="AP4" s="395"/>
      <c r="AQ4" s="395"/>
      <c r="AR4" s="395"/>
      <c r="AS4" s="395"/>
      <c r="AT4" s="395"/>
      <c r="AU4" s="395"/>
      <c r="AV4" s="395"/>
      <c r="AW4" s="395"/>
      <c r="BK4" s="993" t="str">
        <f>CONCATENATE("P.P. OTRAS NÓMINAS ABONADAS EN ",AZ22)</f>
        <v>P.P. OTRAS NÓMINAS ABONADAS EN 2024</v>
      </c>
      <c r="BL4" s="994"/>
      <c r="BM4" s="994"/>
      <c r="BN4" s="994"/>
      <c r="BO4" s="994"/>
      <c r="BP4" s="994"/>
      <c r="BQ4" s="994"/>
      <c r="BR4" s="994"/>
      <c r="BS4" s="995"/>
      <c r="BX4" s="395"/>
      <c r="BY4" s="395"/>
      <c r="BZ4" s="395"/>
      <c r="CA4" s="395"/>
      <c r="CB4" s="395"/>
      <c r="CC4" s="395"/>
      <c r="CD4" s="395"/>
      <c r="CE4" s="395"/>
      <c r="CF4" s="395"/>
      <c r="CG4" s="395"/>
      <c r="CH4" s="395"/>
      <c r="CI4" s="395"/>
      <c r="CJ4" s="395"/>
      <c r="CK4" s="395"/>
      <c r="CL4" s="395"/>
      <c r="CM4" s="395"/>
      <c r="CN4" s="395"/>
      <c r="DB4" s="993" t="str">
        <f>CONCATENATE("P.P. OTRAS NÓMINAS ABONADAS EN ",CQ22)</f>
        <v>P.P. OTRAS NÓMINAS ABONADAS EN 2024</v>
      </c>
      <c r="DC4" s="994"/>
      <c r="DD4" s="994"/>
      <c r="DE4" s="994"/>
      <c r="DF4" s="994"/>
      <c r="DG4" s="994"/>
      <c r="DH4" s="994"/>
      <c r="DI4" s="994"/>
      <c r="DJ4" s="995"/>
      <c r="DN4" s="395"/>
      <c r="DY4" s="976" t="s">
        <v>356</v>
      </c>
      <c r="DZ4" s="976" t="s">
        <v>355</v>
      </c>
      <c r="EA4" s="976" t="s">
        <v>358</v>
      </c>
      <c r="EB4" s="972" t="s">
        <v>359</v>
      </c>
      <c r="EC4" s="972" t="s">
        <v>360</v>
      </c>
      <c r="ED4" s="972" t="s">
        <v>361</v>
      </c>
      <c r="EE4" s="972" t="s">
        <v>362</v>
      </c>
      <c r="EF4" s="972" t="s">
        <v>363</v>
      </c>
      <c r="EG4" s="972" t="s">
        <v>364</v>
      </c>
      <c r="EH4" s="972" t="s">
        <v>365</v>
      </c>
      <c r="EI4" s="972" t="s">
        <v>366</v>
      </c>
      <c r="EJ4" s="972" t="s">
        <v>367</v>
      </c>
      <c r="EK4" s="972" t="s">
        <v>368</v>
      </c>
      <c r="EL4" s="972" t="s">
        <v>369</v>
      </c>
      <c r="EM4" s="972" t="s">
        <v>370</v>
      </c>
      <c r="EN4" s="972" t="s">
        <v>371</v>
      </c>
      <c r="EO4" s="972" t="s">
        <v>372</v>
      </c>
      <c r="EP4" s="972" t="s">
        <v>373</v>
      </c>
      <c r="EQ4" s="972" t="s">
        <v>374</v>
      </c>
      <c r="ER4" s="972" t="s">
        <v>375</v>
      </c>
      <c r="ES4" s="972" t="s">
        <v>376</v>
      </c>
      <c r="ET4" s="972" t="s">
        <v>377</v>
      </c>
      <c r="EU4" s="972" t="s">
        <v>378</v>
      </c>
      <c r="EV4" s="972" t="s">
        <v>379</v>
      </c>
      <c r="EW4" s="972" t="s">
        <v>380</v>
      </c>
      <c r="EX4" s="972" t="s">
        <v>381</v>
      </c>
      <c r="EY4" s="972" t="s">
        <v>382</v>
      </c>
      <c r="EZ4" s="972" t="s">
        <v>383</v>
      </c>
      <c r="FA4" s="972" t="s">
        <v>384</v>
      </c>
      <c r="FB4" s="972" t="s">
        <v>385</v>
      </c>
      <c r="FC4" s="972" t="s">
        <v>386</v>
      </c>
      <c r="FD4" s="972" t="s">
        <v>387</v>
      </c>
      <c r="FE4" s="972" t="s">
        <v>388</v>
      </c>
      <c r="FF4" s="972" t="s">
        <v>389</v>
      </c>
      <c r="FG4" s="972" t="s">
        <v>390</v>
      </c>
      <c r="FH4" s="974" t="s">
        <v>58</v>
      </c>
      <c r="FR4" s="395"/>
      <c r="GC4" s="976" t="s">
        <v>356</v>
      </c>
      <c r="GD4" s="976" t="s">
        <v>355</v>
      </c>
      <c r="GE4" s="976" t="s">
        <v>358</v>
      </c>
      <c r="GF4" s="972" t="s">
        <v>359</v>
      </c>
      <c r="GG4" s="972" t="s">
        <v>360</v>
      </c>
      <c r="GH4" s="972" t="s">
        <v>361</v>
      </c>
      <c r="GI4" s="972" t="s">
        <v>362</v>
      </c>
      <c r="GJ4" s="972" t="s">
        <v>363</v>
      </c>
      <c r="GK4" s="972" t="s">
        <v>364</v>
      </c>
      <c r="GL4" s="972" t="s">
        <v>365</v>
      </c>
      <c r="GM4" s="972" t="s">
        <v>366</v>
      </c>
      <c r="GN4" s="972" t="s">
        <v>367</v>
      </c>
      <c r="GO4" s="972" t="s">
        <v>368</v>
      </c>
      <c r="GP4" s="972" t="s">
        <v>369</v>
      </c>
      <c r="GQ4" s="972" t="s">
        <v>370</v>
      </c>
      <c r="GR4" s="972" t="s">
        <v>371</v>
      </c>
      <c r="GS4" s="972" t="s">
        <v>372</v>
      </c>
      <c r="GT4" s="972" t="s">
        <v>373</v>
      </c>
      <c r="GU4" s="972" t="s">
        <v>374</v>
      </c>
      <c r="GV4" s="972" t="s">
        <v>375</v>
      </c>
      <c r="GW4" s="972" t="s">
        <v>376</v>
      </c>
      <c r="GX4" s="972" t="s">
        <v>377</v>
      </c>
      <c r="GY4" s="972" t="s">
        <v>378</v>
      </c>
      <c r="GZ4" s="972" t="s">
        <v>379</v>
      </c>
      <c r="HA4" s="972" t="s">
        <v>380</v>
      </c>
      <c r="HB4" s="972" t="s">
        <v>381</v>
      </c>
      <c r="HC4" s="972" t="s">
        <v>382</v>
      </c>
      <c r="HD4" s="972" t="s">
        <v>383</v>
      </c>
      <c r="HE4" s="972" t="s">
        <v>384</v>
      </c>
      <c r="HF4" s="972" t="s">
        <v>385</v>
      </c>
      <c r="HG4" s="972" t="s">
        <v>386</v>
      </c>
      <c r="HH4" s="972" t="s">
        <v>387</v>
      </c>
      <c r="HI4" s="972" t="s">
        <v>388</v>
      </c>
      <c r="HJ4" s="972" t="s">
        <v>389</v>
      </c>
      <c r="HK4" s="972" t="s">
        <v>390</v>
      </c>
      <c r="HL4" s="974" t="s">
        <v>58</v>
      </c>
      <c r="IC4" s="124" t="s">
        <v>139</v>
      </c>
      <c r="IR4" s="124" t="s">
        <v>139</v>
      </c>
      <c r="JC4" s="401">
        <v>0</v>
      </c>
      <c r="JD4" s="401">
        <v>0</v>
      </c>
    </row>
    <row r="5" spans="1:266" ht="15.75" thickBot="1" x14ac:dyDescent="0.3">
      <c r="D5" s="984" t="s">
        <v>172</v>
      </c>
      <c r="E5" s="984" t="s">
        <v>229</v>
      </c>
      <c r="F5" s="984" t="s">
        <v>230</v>
      </c>
      <c r="G5" s="984" t="s">
        <v>231</v>
      </c>
      <c r="H5" s="984"/>
      <c r="I5" s="984"/>
      <c r="J5" s="984" t="s">
        <v>232</v>
      </c>
      <c r="K5" s="984"/>
      <c r="L5" s="984"/>
      <c r="M5" s="984"/>
      <c r="O5" s="978" t="s">
        <v>233</v>
      </c>
      <c r="P5" s="403" t="str">
        <f>VLOOKUP(AUXILIAR!$B$7,AUXILIAR!$D$7:$I$81,4,FALSE)</f>
        <v>nº 105, de 8 de mayo de 2024</v>
      </c>
      <c r="R5" s="207" t="s">
        <v>234</v>
      </c>
      <c r="S5" s="404" t="s">
        <v>235</v>
      </c>
      <c r="V5" s="405" t="s">
        <v>250</v>
      </c>
      <c r="W5" s="406" t="s">
        <v>251</v>
      </c>
      <c r="Z5" s="407">
        <f>EXPEDIENTE!F25</f>
        <v>45292</v>
      </c>
      <c r="AA5" s="408">
        <f>IF(Z5="","",IF(YEAR(EXPEDIENTE!$F$25)=YEAR(Z5),Z5,""))</f>
        <v>45292</v>
      </c>
      <c r="AB5" s="408" t="str">
        <f>IF(Z5="","",IF(YEAR(EXPEDIENTE!$F$25)+1=YEAR(Z5),Z5,""))</f>
        <v/>
      </c>
      <c r="AC5" s="408" t="str">
        <f>IF(Z5="","",IF(YEAR(EXPEDIENTE!$F$25)+2=YEAR(Z5),Z5,""))</f>
        <v/>
      </c>
      <c r="AD5" s="408" t="str">
        <f>IF(Z5="","",IF(YEAR(EXPEDIENTE!$F$25)+3=YEAR(Z5),Z5,""))</f>
        <v/>
      </c>
      <c r="AG5" s="395"/>
      <c r="AH5" s="395"/>
      <c r="AI5" s="395"/>
      <c r="AJ5" s="395"/>
      <c r="AK5" s="395"/>
      <c r="AL5" s="395"/>
      <c r="AM5" s="395"/>
      <c r="AN5" s="395"/>
      <c r="AO5" s="395"/>
      <c r="AP5" s="395"/>
      <c r="AQ5" s="395"/>
      <c r="AR5" s="395"/>
      <c r="AS5" s="395"/>
      <c r="AT5" s="395"/>
      <c r="AU5" s="395"/>
      <c r="AV5" s="395"/>
      <c r="AW5" s="395"/>
      <c r="BK5" s="987">
        <f>'GASTOS EJER. 1'!$C$37</f>
        <v>0</v>
      </c>
      <c r="BL5" s="988">
        <f>'GASTOS EJER. 1'!$C$38</f>
        <v>0</v>
      </c>
      <c r="BM5" s="988">
        <f>'GASTOS EJER. 1'!$C$39</f>
        <v>0</v>
      </c>
      <c r="BN5" s="988">
        <f>'GASTOS EJER. 1'!$C$40</f>
        <v>0</v>
      </c>
      <c r="BO5" s="988">
        <f>'GASTOS EJER. 1'!$C$41</f>
        <v>0</v>
      </c>
      <c r="BP5" s="988">
        <f>'GASTOS EJER. 1'!$C$42</f>
        <v>0</v>
      </c>
      <c r="BQ5" s="988">
        <f>'GASTOS EJER. 1'!$C$43</f>
        <v>0</v>
      </c>
      <c r="BR5" s="989">
        <f>'GASTOS EJER. 1'!$C$44</f>
        <v>0</v>
      </c>
      <c r="BS5" s="991" t="s">
        <v>58</v>
      </c>
      <c r="BX5" s="395"/>
      <c r="BY5" s="395"/>
      <c r="BZ5" s="395"/>
      <c r="CA5" s="395"/>
      <c r="CB5" s="395"/>
      <c r="CC5" s="395"/>
      <c r="CD5" s="395"/>
      <c r="CE5" s="395"/>
      <c r="CF5" s="395"/>
      <c r="CG5" s="395"/>
      <c r="CH5" s="395"/>
      <c r="CI5" s="395"/>
      <c r="CJ5" s="395"/>
      <c r="CK5" s="395"/>
      <c r="CL5" s="395"/>
      <c r="CM5" s="395"/>
      <c r="CN5" s="395"/>
      <c r="DB5" s="987">
        <f>'GASTOS EJER. 1'!$C$37</f>
        <v>0</v>
      </c>
      <c r="DC5" s="988">
        <f>'GASTOS EJER. 1'!$C$38</f>
        <v>0</v>
      </c>
      <c r="DD5" s="988">
        <f>'GASTOS EJER. 1'!$C$39</f>
        <v>0</v>
      </c>
      <c r="DE5" s="988">
        <f>'GASTOS EJER. 1'!$C$40</f>
        <v>0</v>
      </c>
      <c r="DF5" s="988">
        <f>'GASTOS EJER. 1'!$C$41</f>
        <v>0</v>
      </c>
      <c r="DG5" s="988">
        <f>'GASTOS EJER. 1'!$C$42</f>
        <v>0</v>
      </c>
      <c r="DH5" s="988">
        <f>'GASTOS EJER. 1'!$C$43</f>
        <v>0</v>
      </c>
      <c r="DI5" s="989">
        <f>'GASTOS EJER. 1'!$C$44</f>
        <v>0</v>
      </c>
      <c r="DJ5" s="991" t="s">
        <v>58</v>
      </c>
      <c r="DN5" s="395"/>
      <c r="DY5" s="974"/>
      <c r="DZ5" s="974"/>
      <c r="EA5" s="974"/>
      <c r="EB5" s="973"/>
      <c r="EC5" s="973"/>
      <c r="ED5" s="973"/>
      <c r="EE5" s="973"/>
      <c r="EF5" s="973"/>
      <c r="EG5" s="973"/>
      <c r="EH5" s="973"/>
      <c r="EI5" s="973"/>
      <c r="EJ5" s="973"/>
      <c r="EK5" s="973"/>
      <c r="EL5" s="973"/>
      <c r="EM5" s="973"/>
      <c r="EN5" s="973"/>
      <c r="EO5" s="973"/>
      <c r="EP5" s="973"/>
      <c r="EQ5" s="973"/>
      <c r="ER5" s="973"/>
      <c r="ES5" s="973"/>
      <c r="ET5" s="973"/>
      <c r="EU5" s="973"/>
      <c r="EV5" s="973"/>
      <c r="EW5" s="973"/>
      <c r="EX5" s="973"/>
      <c r="EY5" s="973"/>
      <c r="EZ5" s="973"/>
      <c r="FA5" s="973"/>
      <c r="FB5" s="973"/>
      <c r="FC5" s="973"/>
      <c r="FD5" s="973"/>
      <c r="FE5" s="973"/>
      <c r="FF5" s="973"/>
      <c r="FG5" s="973"/>
      <c r="FH5" s="974"/>
      <c r="FR5" s="395"/>
      <c r="GC5" s="974"/>
      <c r="GD5" s="974"/>
      <c r="GE5" s="974"/>
      <c r="GF5" s="973"/>
      <c r="GG5" s="973"/>
      <c r="GH5" s="973"/>
      <c r="GI5" s="973"/>
      <c r="GJ5" s="973"/>
      <c r="GK5" s="973"/>
      <c r="GL5" s="973"/>
      <c r="GM5" s="973"/>
      <c r="GN5" s="973"/>
      <c r="GO5" s="973"/>
      <c r="GP5" s="973"/>
      <c r="GQ5" s="973"/>
      <c r="GR5" s="973"/>
      <c r="GS5" s="973"/>
      <c r="GT5" s="973"/>
      <c r="GU5" s="973"/>
      <c r="GV5" s="973"/>
      <c r="GW5" s="973"/>
      <c r="GX5" s="973"/>
      <c r="GY5" s="973"/>
      <c r="GZ5" s="973"/>
      <c r="HA5" s="973"/>
      <c r="HB5" s="973"/>
      <c r="HC5" s="973"/>
      <c r="HD5" s="973"/>
      <c r="HE5" s="973"/>
      <c r="HF5" s="973"/>
      <c r="HG5" s="973"/>
      <c r="HH5" s="973"/>
      <c r="HI5" s="973"/>
      <c r="HJ5" s="973"/>
      <c r="HK5" s="973"/>
      <c r="HL5" s="974"/>
      <c r="IC5" s="396">
        <f>SUM(IC6:IC9)</f>
        <v>0</v>
      </c>
      <c r="IR5" s="396">
        <f>SUM(IR6:IR9)</f>
        <v>0</v>
      </c>
      <c r="JC5" s="409">
        <v>1</v>
      </c>
      <c r="JD5" s="401">
        <v>0</v>
      </c>
    </row>
    <row r="6" spans="1:266" ht="15.75" thickBot="1" x14ac:dyDescent="0.3">
      <c r="D6" s="984"/>
      <c r="E6" s="984"/>
      <c r="F6" s="984"/>
      <c r="G6" s="402" t="s">
        <v>236</v>
      </c>
      <c r="H6" s="402" t="s">
        <v>237</v>
      </c>
      <c r="I6" s="402" t="s">
        <v>238</v>
      </c>
      <c r="J6" s="985" t="str">
        <f>IF(COUNTIF($J$7:$J$81,"SÍ")=0,"",IF(COUNTIF($J$7:$J$81,"SÍ")=1,"SÍ",IF(COUNTIF($J$7:$J$81,"SÍ")&gt;1,"NO")))</f>
        <v>SÍ</v>
      </c>
      <c r="K6" s="985"/>
      <c r="L6" s="985"/>
      <c r="M6" s="985"/>
      <c r="O6" s="979"/>
      <c r="P6" s="403">
        <f>VLOOKUP(AUXILIAR!$B$7,AUXILIAR!$D$7:$I$81,5,FALSE)</f>
        <v>0</v>
      </c>
      <c r="S6" s="411" t="str">
        <f>IF($S$5="SÍ","Bloquear celda F25 de EXPEDIENTE","")</f>
        <v>Bloquear celda F25 de EXPEDIENTE</v>
      </c>
      <c r="V6" s="412" t="s">
        <v>252</v>
      </c>
      <c r="W6" s="413">
        <v>2130</v>
      </c>
      <c r="Y6" s="414">
        <v>1</v>
      </c>
      <c r="Z6" s="415" t="str">
        <f>IF(Y6="","",IF(EDATE($Z$5,Y6)&gt;EXPEDIENTE!$F$27,"",EDATE($Z$5,Y6)))</f>
        <v/>
      </c>
      <c r="AA6" s="415" t="str">
        <f>IF(Z6="","",IF(YEAR(EXPEDIENTE!$F$25)=YEAR(Z6),Z6,""))</f>
        <v/>
      </c>
      <c r="AB6" s="415" t="str">
        <f>IF(Z6="","",IF(YEAR(EXPEDIENTE!$F$25)+1=YEAR(Z6),Z6,""))</f>
        <v/>
      </c>
      <c r="AC6" s="415" t="str">
        <f>IF(Z6="","",IF(YEAR(EXPEDIENTE!$F$25)+2=YEAR(Z6),Z6,""))</f>
        <v/>
      </c>
      <c r="AD6" s="415" t="str">
        <f>IF(Z6="","",IF(YEAR(EXPEDIENTE!$F$25)+3=YEAR(Z6),Z6,""))</f>
        <v/>
      </c>
      <c r="AG6" s="395"/>
      <c r="AH6" s="395"/>
      <c r="AI6" s="395"/>
      <c r="AJ6" s="395"/>
      <c r="AK6" s="395"/>
      <c r="AL6" s="395"/>
      <c r="AM6" s="395"/>
      <c r="AN6" s="395"/>
      <c r="AO6" s="395"/>
      <c r="AP6" s="395"/>
      <c r="AQ6" s="395"/>
      <c r="AR6" s="395"/>
      <c r="AS6" s="395"/>
      <c r="AT6" s="395"/>
      <c r="AU6" s="395"/>
      <c r="AV6" s="395"/>
      <c r="AW6" s="395"/>
      <c r="AZ6" s="416">
        <f>AV22-1</f>
        <v>2023</v>
      </c>
      <c r="BK6" s="959"/>
      <c r="BL6" s="963"/>
      <c r="BM6" s="963"/>
      <c r="BN6" s="963"/>
      <c r="BO6" s="963"/>
      <c r="BP6" s="963"/>
      <c r="BQ6" s="963"/>
      <c r="BR6" s="990"/>
      <c r="BS6" s="992"/>
      <c r="BX6" s="395"/>
      <c r="BY6" s="395"/>
      <c r="BZ6" s="395"/>
      <c r="CA6" s="395"/>
      <c r="CB6" s="395"/>
      <c r="CC6" s="395"/>
      <c r="CD6" s="395"/>
      <c r="CE6" s="395"/>
      <c r="CF6" s="395"/>
      <c r="CG6" s="395"/>
      <c r="CH6" s="395"/>
      <c r="CI6" s="395"/>
      <c r="CJ6" s="395"/>
      <c r="CK6" s="395"/>
      <c r="CL6" s="395"/>
      <c r="CM6" s="395"/>
      <c r="CN6" s="395"/>
      <c r="CQ6" s="417">
        <f>CM22-1</f>
        <v>2023</v>
      </c>
      <c r="DB6" s="1022"/>
      <c r="DC6" s="1023"/>
      <c r="DD6" s="1023"/>
      <c r="DE6" s="1023"/>
      <c r="DF6" s="1023"/>
      <c r="DG6" s="1023"/>
      <c r="DH6" s="1023"/>
      <c r="DI6" s="1024"/>
      <c r="DJ6" s="992"/>
      <c r="DN6" s="395"/>
      <c r="DY6" s="974"/>
      <c r="DZ6" s="974"/>
      <c r="EA6" s="974"/>
      <c r="EB6" s="973"/>
      <c r="EC6" s="973"/>
      <c r="ED6" s="973"/>
      <c r="EE6" s="973"/>
      <c r="EF6" s="973"/>
      <c r="EG6" s="973"/>
      <c r="EH6" s="973"/>
      <c r="EI6" s="973"/>
      <c r="EJ6" s="973"/>
      <c r="EK6" s="973"/>
      <c r="EL6" s="973"/>
      <c r="EM6" s="973"/>
      <c r="EN6" s="973"/>
      <c r="EO6" s="973"/>
      <c r="EP6" s="973"/>
      <c r="EQ6" s="973"/>
      <c r="ER6" s="973"/>
      <c r="ES6" s="973"/>
      <c r="ET6" s="973"/>
      <c r="EU6" s="973"/>
      <c r="EV6" s="973"/>
      <c r="EW6" s="973"/>
      <c r="EX6" s="973"/>
      <c r="EY6" s="973"/>
      <c r="EZ6" s="973"/>
      <c r="FA6" s="973"/>
      <c r="FB6" s="973"/>
      <c r="FC6" s="973"/>
      <c r="FD6" s="973"/>
      <c r="FE6" s="973"/>
      <c r="FF6" s="973"/>
      <c r="FG6" s="973"/>
      <c r="FH6" s="974"/>
      <c r="FI6" s="398"/>
      <c r="FJ6" s="398"/>
      <c r="FK6" s="398"/>
      <c r="FR6" s="395"/>
      <c r="GC6" s="974"/>
      <c r="GD6" s="974"/>
      <c r="GE6" s="974"/>
      <c r="GF6" s="973"/>
      <c r="GG6" s="973"/>
      <c r="GH6" s="973"/>
      <c r="GI6" s="973"/>
      <c r="GJ6" s="973"/>
      <c r="GK6" s="973"/>
      <c r="GL6" s="973"/>
      <c r="GM6" s="973"/>
      <c r="GN6" s="973"/>
      <c r="GO6" s="973"/>
      <c r="GP6" s="973"/>
      <c r="GQ6" s="973"/>
      <c r="GR6" s="973"/>
      <c r="GS6" s="973"/>
      <c r="GT6" s="973"/>
      <c r="GU6" s="973"/>
      <c r="GV6" s="973"/>
      <c r="GW6" s="973"/>
      <c r="GX6" s="973"/>
      <c r="GY6" s="973"/>
      <c r="GZ6" s="973"/>
      <c r="HA6" s="973"/>
      <c r="HB6" s="973"/>
      <c r="HC6" s="973"/>
      <c r="HD6" s="973"/>
      <c r="HE6" s="973"/>
      <c r="HF6" s="973"/>
      <c r="HG6" s="973"/>
      <c r="HH6" s="973"/>
      <c r="HI6" s="973"/>
      <c r="HJ6" s="973"/>
      <c r="HK6" s="973"/>
      <c r="HL6" s="974"/>
      <c r="HM6" s="398"/>
      <c r="HN6" s="398"/>
      <c r="HO6" s="398"/>
      <c r="HP6" s="398"/>
      <c r="HW6" s="418">
        <v>1</v>
      </c>
      <c r="HX6" s="401">
        <f>YEAR(EXPEDIENTE!F25)</f>
        <v>2024</v>
      </c>
      <c r="HY6" s="401" t="str">
        <f>IF(HX6="","",'IDENTIFICACIÓN TRABAJADOR'!$D$14)</f>
        <v/>
      </c>
      <c r="HZ6" s="418" t="str">
        <f>CONCATENATE(UPPER('IDENTIFICACIÓN TRABAJADOR'!$D$11)," ",UPPER('IDENTIFICACIÓN TRABAJADOR'!$D$12)," ",UPPER('IDENTIFICACIÓN TRABAJADOR'!$D$13)," (EJERCICIO ",HX6,")")</f>
        <v xml:space="preserve">   (EJERCICIO 2024)</v>
      </c>
      <c r="IA6" s="418">
        <f>IF($IC6&gt;0,"",'RESUMEN TRABAJADOR '!O24)</f>
        <v>0</v>
      </c>
      <c r="IC6" s="401">
        <f>'% DEDICACIÓN'!$B$44</f>
        <v>0</v>
      </c>
      <c r="IE6" s="401">
        <f>IF(IA6=0,MAX(HX6:HX9)+1,HW6)</f>
        <v>2025</v>
      </c>
      <c r="IF6" s="401">
        <f>IFERROR(VLOOKUP(SMALL($IE$6:$IE$9,HW6),$HW$6:$IA$9,1,FALSE),"X")</f>
        <v>1</v>
      </c>
      <c r="IG6" s="401" t="str">
        <f>IF(HY6="","",IF(IF6&gt;MAX($HX$6:$HX$9),"",VLOOKUP(IF6,$HW$6:$IA$9,2,FALSE)))</f>
        <v/>
      </c>
      <c r="IH6" s="401" t="str">
        <f>IF(IF6&gt;MAX($HX$6:$HX$9),"",VLOOKUP(IF6,$HW$6:$IA$9,3,FALSE))</f>
        <v/>
      </c>
      <c r="II6" s="418" t="str">
        <f>IF(HY6="","",IF(IF6&gt;MAX($HX$6:$HX$9),"",VLOOKUP(IF6,$HW$6:$IA$9,4,FALSE)))</f>
        <v/>
      </c>
      <c r="IJ6" s="418" t="str">
        <f>IF(HY6="","",IF(IF6&gt;MAX($HX$6:$HX$9),"",VLOOKUP(IF6,$HW$6:$IA$9,5,FALSE)))</f>
        <v/>
      </c>
      <c r="IL6" s="418">
        <v>1</v>
      </c>
      <c r="IM6" s="401">
        <f>YEAR(EXPEDIENTE!$I$25)</f>
        <v>2024</v>
      </c>
      <c r="IN6" s="401" t="str">
        <f>IF(IM6="","",'IDENTIFICACIÓN TRABAJADOR'!$D$14)</f>
        <v/>
      </c>
      <c r="IO6" s="418" t="str">
        <f>CONCATENATE(UPPER('IDENTIFICACIÓN TRABAJADOR'!$D$11)," ",UPPER('IDENTIFICACIÓN TRABAJADOR'!$D$12)," ",UPPER('IDENTIFICACIÓN TRABAJADOR'!$D$13)," (EJERCICIO ",IM6,")")</f>
        <v xml:space="preserve">   (EJERCICIO 2024)</v>
      </c>
      <c r="IP6" s="418">
        <f>IF($IC6&gt;0,"",'RESUMEN TRABAJADOR '!AJ24)</f>
        <v>0</v>
      </c>
      <c r="IR6" s="401">
        <f>'% DEDICACIÓN'!$B$44</f>
        <v>0</v>
      </c>
      <c r="IT6" s="401">
        <f>IF(IP6=0,MAX(IM6:IM9)+1,IL6)</f>
        <v>2025</v>
      </c>
      <c r="IU6" s="401">
        <f>IFERROR(VLOOKUP(SMALL($IT$6:$IT$9,IL6),$IL$6:$IP$9,1,FALSE),"X")</f>
        <v>1</v>
      </c>
      <c r="IV6" s="401" t="str">
        <f>IF(IN6="","",IF(IU6&gt;MAX($HX$6:$HX$9),"",VLOOKUP(IU6,$HW$6:$IA$9,2,FALSE)))</f>
        <v/>
      </c>
      <c r="IW6" s="401" t="str">
        <f>IF(IU6&gt;MAX($IM$6:$IM$9),"",VLOOKUP(IU6,$IL$6:$IP$9,3,FALSE))</f>
        <v/>
      </c>
      <c r="IX6" s="418" t="str">
        <f>IF(IN6="","",IF(IU6&gt;MAX($IM$6:$IM$9),"",VLOOKUP(IU6,$IL$6:$IP$9,4,FALSE)))</f>
        <v/>
      </c>
      <c r="IY6" s="418" t="str">
        <f>IF(IN6="","",IF(IU6&gt;MAX($IM$6:$IM$9),"",VLOOKUP(IU6,$IL$6:$IP$9,5,FALSE)))</f>
        <v/>
      </c>
      <c r="JC6" s="419">
        <v>2</v>
      </c>
      <c r="JD6" s="401">
        <v>0</v>
      </c>
    </row>
    <row r="7" spans="1:266" ht="15.75" thickBot="1" x14ac:dyDescent="0.3">
      <c r="B7" s="410" t="str">
        <f>M7</f>
        <v>PRIV</v>
      </c>
      <c r="C7" s="209">
        <v>1</v>
      </c>
      <c r="D7" s="404" t="s">
        <v>165</v>
      </c>
      <c r="E7" s="420">
        <v>8</v>
      </c>
      <c r="F7" s="421" t="s">
        <v>209</v>
      </c>
      <c r="G7" s="422" t="s">
        <v>92</v>
      </c>
      <c r="H7" s="422"/>
      <c r="I7" s="422"/>
      <c r="J7" s="404"/>
      <c r="K7" s="410">
        <f>IF(J7="",76,C7)</f>
        <v>76</v>
      </c>
      <c r="L7" s="410">
        <f>IF(K7&lt;&gt;76,C7,76)</f>
        <v>76</v>
      </c>
      <c r="M7" s="410" t="str">
        <f>IFERROR(VLOOKUP(SMALL($L$7:$L$81,C7),$C$7:$D$81,2,FALSE),"X")</f>
        <v>PRIV</v>
      </c>
      <c r="O7" s="979"/>
      <c r="P7" s="403">
        <f>VLOOKUP(AUXILIAR!$B$7,AUXILIAR!$D$7:$I$81,6,FALSE)</f>
        <v>0</v>
      </c>
      <c r="V7" s="423" t="s">
        <v>253</v>
      </c>
      <c r="W7" s="424">
        <v>2130</v>
      </c>
      <c r="Y7" s="425">
        <f t="shared" ref="Y7:Y53" si="0">IF(Y6="","",IF(Y6+1&lt;=$Z$4,Y6+1,""))</f>
        <v>2</v>
      </c>
      <c r="Z7" s="415" t="str">
        <f>IF(Y7="","",IF(EDATE($Z$5,Y7)&gt;EXPEDIENTE!$F$27,"",EDATE($Z$5,Y7)))</f>
        <v/>
      </c>
      <c r="AA7" s="415" t="str">
        <f>IF(Z7="","",IF(YEAR(EXPEDIENTE!$F$25)=YEAR(Z7),Z7,""))</f>
        <v/>
      </c>
      <c r="AB7" s="415" t="str">
        <f>IF(Z7="","",IF(YEAR(EXPEDIENTE!$F$25)+1=YEAR(Z7),Z7,""))</f>
        <v/>
      </c>
      <c r="AC7" s="415" t="str">
        <f>IF(Z7="","",IF(YEAR(EXPEDIENTE!$F$25)+2=YEAR(Z7),Z7,""))</f>
        <v/>
      </c>
      <c r="AD7" s="415" t="str">
        <f>IF(Z7="","",IF(YEAR(EXPEDIENTE!$F$25)+3=YEAR(Z7),Z7,""))</f>
        <v/>
      </c>
      <c r="AG7" s="395"/>
      <c r="AH7" s="395"/>
      <c r="AI7" s="395"/>
      <c r="AJ7" s="395"/>
      <c r="AK7" s="395"/>
      <c r="AL7" s="395"/>
      <c r="AM7" s="395"/>
      <c r="AN7" s="395"/>
      <c r="AO7" s="395"/>
      <c r="AP7" s="395"/>
      <c r="AQ7" s="395"/>
      <c r="AR7" s="395"/>
      <c r="AS7" s="395"/>
      <c r="AT7" s="395"/>
      <c r="AU7" s="395"/>
      <c r="AV7" s="395"/>
      <c r="AW7" s="395"/>
      <c r="AY7" s="426">
        <v>1</v>
      </c>
      <c r="AZ7" s="427">
        <f t="shared" ref="AZ7:AZ18" si="1">DATE($AZ$6,AY7,1)</f>
        <v>44927</v>
      </c>
      <c r="BK7" s="428">
        <f t="shared" ref="BK7:BK18" si="2">IF($AH$23=0,0,IF($BK$5=0,0,IF(AND(AZ7&gt;=$AS$23,AZ7&lt;=$AT$23),$AW$23,0)))</f>
        <v>0</v>
      </c>
      <c r="BL7" s="429">
        <f t="shared" ref="BL7:BL18" si="3">IF($AH$24=0,0,IF($BL$5=0,0,IF(AND(AZ7&gt;=$AS$24,AZ7&lt;=$AT$24),$AW$24,0)))</f>
        <v>0</v>
      </c>
      <c r="BM7" s="429">
        <f t="shared" ref="BM7:BM18" si="4">IF($AH$25=0,0,IF($BM$5=0,0,IF(AND(AZ7&gt;=$AS$25,AZ7&lt;=$AT$25),$AW$25,0)))</f>
        <v>0</v>
      </c>
      <c r="BN7" s="429">
        <f t="shared" ref="BN7:BN18" si="5">IF($AH$26=0,0,IF($BN$5=0,0,IF(AND(AZ7&gt;=$AS$26,AZ7&lt;=$AT$26),$AW$26,0)))</f>
        <v>0</v>
      </c>
      <c r="BO7" s="429">
        <f t="shared" ref="BO7:BO18" si="6">IF($AH$27=0,0,IF($BO$5=0,0,IF(AND(AZ7&gt;=$AS$27,AZ7&lt;=$AT$27),$AW$27,0)))</f>
        <v>0</v>
      </c>
      <c r="BP7" s="429">
        <f t="shared" ref="BP7:BP18" si="7">IF($AH$28=0,0,IF($BP$5=0,0,IF(AND(AZ7&gt;=$AS$28,AZ7&lt;=$AT$28),$AW$28,0)))</f>
        <v>0</v>
      </c>
      <c r="BQ7" s="429">
        <f t="shared" ref="BQ7:BQ18" si="8">IF($AH$29=0,0,IF($BQ$5=0,0,IF(AND(AZ7&gt;=$AS$29,AZ7&lt;=$AT$29),$AW$29,0)))</f>
        <v>0</v>
      </c>
      <c r="BR7" s="430">
        <f>IF($AH$30=0,0,IF($BR$5=0,0,IF(AND(AZ7&gt;=$AS$30,AZ7&lt;=$AT$30),$AW$30,0)))</f>
        <v>0</v>
      </c>
      <c r="BS7" s="431">
        <f>SUM(BK7:BR7)</f>
        <v>0</v>
      </c>
      <c r="BX7" s="395"/>
      <c r="BY7" s="395"/>
      <c r="BZ7" s="395"/>
      <c r="CA7" s="395"/>
      <c r="CB7" s="395"/>
      <c r="CC7" s="395"/>
      <c r="CD7" s="395"/>
      <c r="CE7" s="395"/>
      <c r="CF7" s="395"/>
      <c r="CG7" s="395"/>
      <c r="CH7" s="395"/>
      <c r="CI7" s="395"/>
      <c r="CJ7" s="395"/>
      <c r="CK7" s="395"/>
      <c r="CL7" s="395"/>
      <c r="CM7" s="395"/>
      <c r="CN7" s="395"/>
      <c r="CP7" s="426">
        <v>1</v>
      </c>
      <c r="CQ7" s="427">
        <f t="shared" ref="CQ7:CQ18" si="9">DATE($AZ$6,CP7,1)</f>
        <v>44927</v>
      </c>
      <c r="DB7" s="428">
        <f>IF($BY$23=0,0,IF($DB$5=0,0,IF(AND(CQ7&gt;=$CJ$23,CQ7&lt;=$CK$23),$CN$23,0)))</f>
        <v>0</v>
      </c>
      <c r="DC7" s="429">
        <f>IF($BY$24=0,0,IF($DC$5=0,0,IF(AND(CQ7&gt;=$CJ$24,CQ7&lt;=$CK$24),$CN$24,0)))</f>
        <v>0</v>
      </c>
      <c r="DD7" s="429">
        <f>IF($BY$25=0,0,IF($DD$5=0,0,IF(AND(CQ7&gt;=$CJ$25,CQ7&lt;=$CK$25),$CN$25,0)))</f>
        <v>0</v>
      </c>
      <c r="DE7" s="429">
        <f>IF($BY$26=0,0,IF($DE$5=0,0,IF(AND(CQ7&gt;=$CJ$26,CQ7&lt;=$CK$26),$CN$26,0)))</f>
        <v>0</v>
      </c>
      <c r="DF7" s="429">
        <f>IF($BY$27=0,0,IF($DF$5=0,0,IF(AND(CQ7&gt;=$CJ$27,CQ7&lt;=$CK$27),$CN$27,0)))</f>
        <v>0</v>
      </c>
      <c r="DG7" s="429">
        <f>IF($BY$28=0,0,IF($DG$5=0,0,IF(AND(CQ7&gt;=$CJ$28,CQ7&lt;=$CK$28),$CN$28,0)))</f>
        <v>0</v>
      </c>
      <c r="DH7" s="429">
        <f>IF($BY$29=0,0,IF($DH$5=0,0,IF(AND(CQ7&gt;=$CJ$29,CQ7&lt;=$CK$29),$CN$29,0)))</f>
        <v>0</v>
      </c>
      <c r="DI7" s="430">
        <f>IF($BY$30=0,0,IF($DI$5=0,0,IF(AND(CQ7&gt;=$CJ$30,CQ7&lt;=$CK$30),$CN$30,0)))</f>
        <v>0</v>
      </c>
      <c r="DJ7" s="432">
        <f>SUM(DB7:DI7)</f>
        <v>0</v>
      </c>
      <c r="DN7" s="395"/>
      <c r="DY7" s="433">
        <f t="shared" ref="DY7:DY18" si="10">DATE(YEAR(DY8),MONTH(DY8)-1,1)</f>
        <v>44896</v>
      </c>
      <c r="DZ7" s="433">
        <f t="shared" ref="DZ7:DZ18" si="11">DATE(YEAR(DZ8),MONTH(DZ8),1)-1</f>
        <v>44926</v>
      </c>
      <c r="EA7" s="389" t="str">
        <f>IF(AND(DZ7&gt;=EXPEDIENTE!$F$25,DY7&lt;=EXPEDIENTE!$F$29),"SI","NO")</f>
        <v>NO</v>
      </c>
      <c r="EB7" s="426">
        <f t="shared" ref="EB7:EB38" si="12">IF(AND($DY7&gt;=$DP$23,$DZ7&lt;=$DQ$23),$DV$23,0)</f>
        <v>0</v>
      </c>
      <c r="EC7" s="426">
        <f t="shared" ref="EC7:EC38" si="13">IF(AND($DY7&gt;=$DP$24,$DZ7&lt;=$DQ$24),$DV$24,0)</f>
        <v>0</v>
      </c>
      <c r="ED7" s="426">
        <f t="shared" ref="ED7:ED38" si="14">IF(AND($DY7&gt;=$DP$25,$DZ7&lt;=$DQ$25),$DV$25,0)</f>
        <v>0</v>
      </c>
      <c r="EE7" s="426">
        <f t="shared" ref="EE7:EE38" si="15">IF(AND($DY7&gt;=$DP$26,$DZ7&lt;=$DQ$26),$DV$26,0)</f>
        <v>0</v>
      </c>
      <c r="EF7" s="426">
        <f t="shared" ref="EF7:EF38" si="16">IF(AND($DY7&gt;=$DP$27,$DZ7&lt;=$DQ$27),$DV$27,0)</f>
        <v>0</v>
      </c>
      <c r="EG7" s="426">
        <f t="shared" ref="EG7:EG38" si="17">IF(AND($DY7&gt;=$DP$28,$DZ7&lt;=$DQ$28),$DV$28,0)</f>
        <v>0</v>
      </c>
      <c r="EH7" s="426">
        <f t="shared" ref="EH7:EH38" si="18">IF(AND($DY7&gt;=$DP$29,$DZ7&lt;=$DQ$29),$DV$29,0)</f>
        <v>0</v>
      </c>
      <c r="EI7" s="426">
        <f t="shared" ref="EI7:EI38" si="19">IF(AND($DY7&gt;=$DP$30,$DZ7&lt;=$DQ$30),$DV$30,0)</f>
        <v>0</v>
      </c>
      <c r="EJ7" s="426">
        <f t="shared" ref="EJ7:EJ38" si="20">IF(AND($DY7&gt;=$DP$39,$DZ7&lt;=$DQ$39),$DV$39,0)</f>
        <v>0</v>
      </c>
      <c r="EK7" s="426">
        <f t="shared" ref="EK7:EK38" si="21">IF(AND($DY7&gt;=$DP$40,$DZ7&lt;=$DQ$40),$DV$40,0)</f>
        <v>0</v>
      </c>
      <c r="EL7" s="426">
        <f t="shared" ref="EL7:EL38" si="22">IF(AND($DY7&gt;=$DP$41,$DZ7&lt;=$DQ$41),$DV$41,0)</f>
        <v>0</v>
      </c>
      <c r="EM7" s="426">
        <f t="shared" ref="EM7:EM38" si="23">IF(AND($DY7&gt;=$DP$42,$DZ7&lt;=$DQ$42),$DV$42,0)</f>
        <v>0</v>
      </c>
      <c r="EN7" s="426">
        <f t="shared" ref="EN7:EN38" si="24">IF(AND($DY7&gt;=$DP$43,$DZ7&lt;=$DQ$43),$DV$43,0)</f>
        <v>0</v>
      </c>
      <c r="EO7" s="426">
        <f t="shared" ref="EO7:EO38" si="25">IF(AND($DY7&gt;=$DP$44,$DZ7&lt;=$DQ$44),$DV$44,0)</f>
        <v>0</v>
      </c>
      <c r="EP7" s="426">
        <f t="shared" ref="EP7:EP38" si="26">IF(AND($DY7&gt;=$DP$45,$DZ7&lt;=$DQ$45),$DV$45,0)</f>
        <v>0</v>
      </c>
      <c r="EQ7" s="426">
        <f t="shared" ref="EQ7:EQ38" si="27">IF(AND($DY7&gt;=$DP$46,$DZ7&lt;=$DQ$46),$DV$46,0)</f>
        <v>0</v>
      </c>
      <c r="ER7" s="426">
        <f t="shared" ref="ER7:ER38" si="28">IF(AND($DY7&gt;=$DP$55,$DZ7&lt;=$DQ$55),$DV$55,0)</f>
        <v>0</v>
      </c>
      <c r="ES7" s="426">
        <f t="shared" ref="ES7:ES38" si="29">IF(AND($DY7&gt;=$DP$56,$DZ7&lt;=$DQ$56),$DV$56,0)</f>
        <v>0</v>
      </c>
      <c r="ET7" s="426">
        <f t="shared" ref="ET7:ET38" si="30">IF(AND($DY7&gt;=$DP$57,$DZ7&lt;=$DQ$57),$DV$57,0)</f>
        <v>0</v>
      </c>
      <c r="EU7" s="426">
        <f t="shared" ref="EU7:EU38" si="31">IF(AND($DY7&gt;=$DP$58,$DZ7&lt;=$DQ$58),$DV$58,0)</f>
        <v>0</v>
      </c>
      <c r="EV7" s="426">
        <f t="shared" ref="EV7:EV38" si="32">IF(AND($DY7&gt;=$DP$59,$DZ7&lt;=$DQ$59),$DV$59,0)</f>
        <v>0</v>
      </c>
      <c r="EW7" s="426">
        <f t="shared" ref="EW7:EW38" si="33">IF(AND($DY7&gt;=$DP$60,$DZ7&lt;=$DQ$60),$DV$60,0)</f>
        <v>0</v>
      </c>
      <c r="EX7" s="426">
        <f t="shared" ref="EX7:EX38" si="34">IF(AND($DY7&gt;=$DP$61,$DZ7&lt;=$DQ$61),$DV$61,0)</f>
        <v>0</v>
      </c>
      <c r="EY7" s="426">
        <f t="shared" ref="EY7:EY38" si="35">IF(AND($DY7&gt;=$DP$62,$DZ7&lt;=$DQ$62),$DV$62,0)</f>
        <v>0</v>
      </c>
      <c r="EZ7" s="426">
        <f t="shared" ref="EZ7:EZ38" si="36">IF(AND($DY7&gt;=$DP$71,$DZ7&lt;=$DQ$71),$DV$71,0)</f>
        <v>0</v>
      </c>
      <c r="FA7" s="426">
        <f t="shared" ref="FA7:FA38" si="37">IF(AND($DY7&gt;=$DP$72,$DZ7&lt;=$DQ$72),$DV$72,0)</f>
        <v>0</v>
      </c>
      <c r="FB7" s="426">
        <f t="shared" ref="FB7:FB38" si="38">IF(AND($DY7&gt;=$DP$73,$DZ7&lt;=$DQ$73),$DV$73,0)</f>
        <v>0</v>
      </c>
      <c r="FC7" s="426">
        <f t="shared" ref="FC7:FC38" si="39">IF(AND($DY7&gt;=$DP$74,$DZ7&lt;=$DQ$74),$DV$74,0)</f>
        <v>0</v>
      </c>
      <c r="FD7" s="426">
        <f t="shared" ref="FD7:FD38" si="40">IF(AND($DY7&gt;=$DP$75,$DZ7&lt;=$DQ$75),$DV$75,0)</f>
        <v>0</v>
      </c>
      <c r="FE7" s="426">
        <f t="shared" ref="FE7:FE38" si="41">IF(AND($DY7&gt;=$DP$76,$DZ7&lt;=$DQ$76),$DV$76,0)</f>
        <v>0</v>
      </c>
      <c r="FF7" s="426">
        <f t="shared" ref="FF7:FF38" si="42">IF(AND($DY7&gt;=$DP$77,$DZ7&lt;=$DQ$77),$DV$77,0)</f>
        <v>0</v>
      </c>
      <c r="FG7" s="426">
        <f t="shared" ref="FG7:FG38" si="43">IF(AND($DY7&gt;=$DP$78,$DZ7&lt;=$DQ$78),$DV$78,0)</f>
        <v>0</v>
      </c>
      <c r="FH7" s="426">
        <f>IF(EA7="SI",SUM(EB7:FG7),0)</f>
        <v>0</v>
      </c>
      <c r="FR7" s="395"/>
      <c r="GC7" s="433">
        <f t="shared" ref="GC7:GC18" si="44">DATE(YEAR(GC8),MONTH(GC8)-1,1)</f>
        <v>44896</v>
      </c>
      <c r="GD7" s="433">
        <f t="shared" ref="GD7:GD18" si="45">DATE(YEAR(GD8),MONTH(GD8),1)-1</f>
        <v>44926</v>
      </c>
      <c r="GE7" s="389" t="str">
        <f>IF(AND(GD7&gt;=EXPEDIENTE!$F$25,GC7&lt;=EXPEDIENTE!$F$29),"SI","NO")</f>
        <v>NO</v>
      </c>
      <c r="GF7" s="426">
        <f>IF(AND($GC7&gt;=$FT$23,$GD7&lt;=$FU$23),$FZ$23,0)</f>
        <v>0</v>
      </c>
      <c r="GG7" s="426">
        <f>IF(AND($GC7&gt;=$FT$24,$GD7&lt;=$FU$24),$FZ$24,0)</f>
        <v>0</v>
      </c>
      <c r="GH7" s="426">
        <f>IF(AND($GC7&gt;=$FT$25,$GD7&lt;=$FU$25),$FZ$25,0)</f>
        <v>0</v>
      </c>
      <c r="GI7" s="426">
        <f>IF(AND($GC7&gt;=$FT$26,$GD7&lt;=$FU$26),$FZ$26,0)</f>
        <v>0</v>
      </c>
      <c r="GJ7" s="426">
        <f>IF(AND($GC7&gt;=$FT$27,$GD7&lt;=$FU$27),$FZ$27,0)</f>
        <v>0</v>
      </c>
      <c r="GK7" s="426">
        <f>IF(AND($GC7&gt;=$FT$28,$GD7&lt;=$FU$28),$FZ$28,0)</f>
        <v>0</v>
      </c>
      <c r="GL7" s="426">
        <f>IF(AND($GC7&gt;=$FT$29,$GD7&lt;=$FU$29),$FZ$29,0)</f>
        <v>0</v>
      </c>
      <c r="GM7" s="426">
        <f>IF(AND($GC7&gt;=$FT$30,$GD7&lt;=$FU$30),$FZ$30,0)</f>
        <v>0</v>
      </c>
      <c r="GN7" s="426">
        <f>IF(AND($GC7&gt;=$FT$39,$GD7&lt;=$FU$39),$FZ$39,0)</f>
        <v>0</v>
      </c>
      <c r="GO7" s="426">
        <f>IF(AND($GC7&gt;=$FT$40,$GD7&lt;=$FU$40),$FZ$40,0)</f>
        <v>0</v>
      </c>
      <c r="GP7" s="426">
        <f>IF(AND($GC7&gt;=$FT$41,$GD7&lt;=$FU$41),$FZ$41,0)</f>
        <v>0</v>
      </c>
      <c r="GQ7" s="426">
        <f>IF(AND($GC7&gt;=$FT$42,$GD7&lt;=$FU$42),$FZ$42,0)</f>
        <v>0</v>
      </c>
      <c r="GR7" s="426">
        <f>IF(AND($GC7&gt;=$FT$43,$GD7&lt;=$FU$43),$FZ$43,0)</f>
        <v>0</v>
      </c>
      <c r="GS7" s="426">
        <f>IF(AND($GC7&gt;=$FT$44,$GD7&lt;=$FU$44),$FZ$44,0)</f>
        <v>0</v>
      </c>
      <c r="GT7" s="426">
        <f>IF(AND($GC7&gt;=$FT$45,$GD7&lt;=$FU$45),$FZ$45,0)</f>
        <v>0</v>
      </c>
      <c r="GU7" s="426">
        <f>IF(AND($GC7&gt;=$FT$46,$GD7&lt;=$FU$46),$FZ$46,0)</f>
        <v>0</v>
      </c>
      <c r="GV7" s="426">
        <f>IF(AND($GC7&gt;=$FT$55,$GD7&lt;=$FU$55),$FZ$55,0)</f>
        <v>0</v>
      </c>
      <c r="GW7" s="426">
        <f>IF(AND($GC7&gt;=$FT$56,$GD7&lt;=$FU$56),$FZ$56,0)</f>
        <v>0</v>
      </c>
      <c r="GX7" s="426">
        <f>IF(AND($GC7&gt;=$FT$57,$GD7&lt;=$FU$57),$FZ$57,0)</f>
        <v>0</v>
      </c>
      <c r="GY7" s="426">
        <f>IF(AND($GC7&gt;=$FT$58,$GD7&lt;=$FU$58),$FZ$58,0)</f>
        <v>0</v>
      </c>
      <c r="GZ7" s="426">
        <f>IF(AND($GC7&gt;=$FT$59,$GD7&lt;=$FU$59),$FZ$59,0)</f>
        <v>0</v>
      </c>
      <c r="HA7" s="426">
        <f>IF(AND($GC7&gt;=$FT$60,$GD7&lt;=$FU$60),$FZ$60,0)</f>
        <v>0</v>
      </c>
      <c r="HB7" s="426">
        <f>IF(AND($GC7&gt;=$FT$61,$GD7&lt;=$FU$61),$FZ$61,0)</f>
        <v>0</v>
      </c>
      <c r="HC7" s="426">
        <f>IF(AND($GC7&gt;=$FT$62,$GD7&lt;=$FU$62),$FZ$62,0)</f>
        <v>0</v>
      </c>
      <c r="HD7" s="426">
        <f>IF(AND($GC7&gt;=$FT$71,$GD7&lt;=$FU$71),$FZ$71,0)</f>
        <v>0</v>
      </c>
      <c r="HE7" s="426">
        <f>IF(AND($GC7&gt;=$FT$72,$GD7&lt;=$FU$72),$FZ$72,0)</f>
        <v>0</v>
      </c>
      <c r="HF7" s="426">
        <f>IF(AND($GC7&gt;=$FT$73,$GD7&lt;=$FU$73),$FZ$73,0)</f>
        <v>0</v>
      </c>
      <c r="HG7" s="426">
        <f>IF(AND($GC7&gt;=$FT$74,$GD7&lt;=$FU$74),$FZ$74,0)</f>
        <v>0</v>
      </c>
      <c r="HH7" s="426">
        <f>IF(AND($GC7&gt;=$FT$75,$GD7&lt;=$FU$75),$FZ$75,0)</f>
        <v>0</v>
      </c>
      <c r="HI7" s="426">
        <f>IF(AND($GC7&gt;=$FT$76,$GD7&lt;=$FU$76),$FZ$76,0)</f>
        <v>0</v>
      </c>
      <c r="HJ7" s="426">
        <f>IF(AND($GC7&gt;=$FT$77,$GD7&lt;=$FU$77),$FZ$77,0)</f>
        <v>0</v>
      </c>
      <c r="HK7" s="426">
        <f>IF(AND($GC7&gt;=$FT$78,$GD7&lt;=$FU$78),$FZ$78,0)</f>
        <v>0</v>
      </c>
      <c r="HL7" s="426">
        <f>IF(GE7="SI",SUM(GF7:HK7),0)</f>
        <v>0</v>
      </c>
      <c r="HW7" s="418">
        <v>2</v>
      </c>
      <c r="HX7" s="401" t="str">
        <f>IF(EXPEDIENTE!F27="","",IF(YEAR(EXPEDIENTE!$F$27)&gt;=YEAR(EXPEDIENTE!$F$25),YEAR(EXPEDIENTE!$F$25)+1,""))</f>
        <v/>
      </c>
      <c r="HY7" s="401" t="str">
        <f>IF(HX7="","",'IDENTIFICACIÓN TRABAJADOR'!$D$14)</f>
        <v/>
      </c>
      <c r="HZ7" s="418" t="str">
        <f>CONCATENATE(UPPER('IDENTIFICACIÓN TRABAJADOR'!$D$11)," ",UPPER('IDENTIFICACIÓN TRABAJADOR'!$D$12)," ",UPPER('IDENTIFICACIÓN TRABAJADOR'!$D$13)," (EJERCICIO ",HX7,")")</f>
        <v xml:space="preserve">   (EJERCICIO )</v>
      </c>
      <c r="IA7" s="418">
        <f>IF($IC7&gt;0,"",'RESUMEN TRABAJADOR '!O48)</f>
        <v>0</v>
      </c>
      <c r="IC7" s="401">
        <f>'% DEDICACIÓN'!$B$45</f>
        <v>0</v>
      </c>
      <c r="IE7" s="401">
        <f t="shared" ref="IE7:IE9" si="46">IF(IA7=0,MAX(HX7:HX10)+1,HW7)</f>
        <v>1</v>
      </c>
      <c r="IF7" s="401">
        <f>SMALL($IE$6:$IE$9,2)</f>
        <v>1</v>
      </c>
      <c r="IG7" s="401" t="str">
        <f>IF(HY7="","",IF(IF7&gt;MAX($HX$6:$HX$9),"",VLOOKUP(IF7,$HW$6:$IA$9,2,FALSE)))</f>
        <v/>
      </c>
      <c r="IH7" s="401" t="str">
        <f t="shared" ref="IH7:IH9" si="47">IF(IF7&gt;MAX($HX$6:$HX$9),"",VLOOKUP(IF7,$HW$6:$IA$9,3,FALSE))</f>
        <v/>
      </c>
      <c r="II7" s="418" t="str">
        <f>IF(HY7="","",IF(IF7&gt;MAX($HX$6:$HX$9),"",VLOOKUP(IF7,$HW$6:$IA$9,4,FALSE)))</f>
        <v/>
      </c>
      <c r="IJ7" s="418" t="str">
        <f>IF(HY7="","",IF(IF7&gt;MAX($HX$6:$HX$9),"",VLOOKUP(IF7,$HW$6:$IA$9,5,FALSE)))</f>
        <v/>
      </c>
      <c r="IL7" s="418">
        <v>2</v>
      </c>
      <c r="IM7" s="401" t="str">
        <f>IF(EXPEDIENTE!I27="","",IF(YEAR(EXPEDIENTE!$I$27)&gt;=YEAR(EXPEDIENTE!$I$25),YEAR(EXPEDIENTE!$I$25)+1,""))</f>
        <v/>
      </c>
      <c r="IN7" s="401" t="str">
        <f>IF(IM7="","",'IDENTIFICACIÓN TRABAJADOR'!$D$14)</f>
        <v/>
      </c>
      <c r="IO7" s="418" t="str">
        <f>CONCATENATE(UPPER('IDENTIFICACIÓN TRABAJADOR'!$D$11)," ",UPPER('IDENTIFICACIÓN TRABAJADOR'!$D$12)," ",UPPER('IDENTIFICACIÓN TRABAJADOR'!$D$13)," (EJERCICIO ",IM7,")")</f>
        <v xml:space="preserve">   (EJERCICIO )</v>
      </c>
      <c r="IP7" s="418">
        <f>IF($IC7&gt;0,"",'RESUMEN TRABAJADOR '!AJ48)</f>
        <v>0</v>
      </c>
      <c r="IR7" s="401">
        <f>'% DEDICACIÓN'!$B$45</f>
        <v>0</v>
      </c>
      <c r="IT7" s="401">
        <f t="shared" ref="IT7:IT9" si="48">IF(IP7=0,MAX(IM7:IM10)+1,IL7)</f>
        <v>1</v>
      </c>
      <c r="IU7" s="401">
        <f>SMALL($IT$6:$IT$9,2)</f>
        <v>1</v>
      </c>
      <c r="IV7" s="401" t="str">
        <f>IF(IN7="","",IF(IU7&gt;MAX($HX$6:$HX$9),"",VLOOKUP(IU7,$HW$6:$IA$9,2,FALSE)))</f>
        <v/>
      </c>
      <c r="IW7" s="401" t="str">
        <f t="shared" ref="IW7:IW9" si="49">IF(IU7&gt;MAX($IM$6:$IM$9),"",VLOOKUP(IU7,$IL$6:$IP$9,3,FALSE))</f>
        <v/>
      </c>
      <c r="IX7" s="418" t="str">
        <f t="shared" ref="IX7:IX9" si="50">IF(IN7="","",IF(IU7&gt;MAX($IM$6:$IM$9),"",VLOOKUP(IU7,$IL$6:$IP$9,4,FALSE)))</f>
        <v/>
      </c>
      <c r="IY7" s="418" t="str">
        <f t="shared" ref="IY7:IY9" si="51">IF(IN7="","",IF(IU7&gt;MAX($IM$6:$IM$9),"",VLOOKUP(IU7,$IL$6:$IP$9,5,FALSE)))</f>
        <v/>
      </c>
      <c r="JC7" s="419">
        <v>3</v>
      </c>
      <c r="JD7" s="401">
        <v>0</v>
      </c>
    </row>
    <row r="8" spans="1:266" x14ac:dyDescent="0.25">
      <c r="C8" s="209">
        <v>2</v>
      </c>
      <c r="D8" s="404" t="s">
        <v>166</v>
      </c>
      <c r="E8" s="420">
        <v>8</v>
      </c>
      <c r="F8" s="421" t="s">
        <v>209</v>
      </c>
      <c r="G8" s="422" t="s">
        <v>92</v>
      </c>
      <c r="H8" s="422"/>
      <c r="I8" s="422"/>
      <c r="J8" s="404"/>
      <c r="K8" s="410">
        <f t="shared" ref="K8:K71" si="52">IF(J8="",76,C8)</f>
        <v>76</v>
      </c>
      <c r="L8" s="410">
        <f t="shared" ref="L8:L71" si="53">IF(K8&lt;&gt;76,C8,76)</f>
        <v>76</v>
      </c>
      <c r="M8" s="410" t="str">
        <f t="shared" ref="M8:M71" si="54">IFERROR(VLOOKUP(SMALL($L$7:$L$81,C8),$C$7:$D$81,2,FALSE),"X")</f>
        <v>X</v>
      </c>
      <c r="R8" s="207" t="s">
        <v>239</v>
      </c>
      <c r="S8" s="434">
        <v>45292</v>
      </c>
      <c r="V8" s="981" t="s">
        <v>254</v>
      </c>
      <c r="W8" s="435" t="s">
        <v>251</v>
      </c>
      <c r="Y8" s="425">
        <f t="shared" si="0"/>
        <v>3</v>
      </c>
      <c r="Z8" s="415" t="str">
        <f>IF(Y8="","",IF(EDATE($Z$5,Y8)&gt;EXPEDIENTE!$F$27,"",EDATE($Z$5,Y8)))</f>
        <v/>
      </c>
      <c r="AA8" s="415" t="str">
        <f>IF(Z8="","",IF(YEAR(EXPEDIENTE!$F$25)=YEAR(Z8),Z8,""))</f>
        <v/>
      </c>
      <c r="AB8" s="415" t="str">
        <f>IF(Z8="","",IF(YEAR(EXPEDIENTE!$F$25)+1=YEAR(Z8),Z8,""))</f>
        <v/>
      </c>
      <c r="AC8" s="415" t="str">
        <f>IF(Z8="","",IF(YEAR(EXPEDIENTE!$F$25)+2=YEAR(Z8),Z8,""))</f>
        <v/>
      </c>
      <c r="AD8" s="415" t="str">
        <f>IF(Z8="","",IF(YEAR(EXPEDIENTE!$F$25)+3=YEAR(Z8),Z8,""))</f>
        <v/>
      </c>
      <c r="AG8" s="395"/>
      <c r="AH8" s="395"/>
      <c r="AI8" s="395"/>
      <c r="AJ8" s="395"/>
      <c r="AK8" s="395"/>
      <c r="AL8" s="395"/>
      <c r="AM8" s="395"/>
      <c r="AN8" s="395"/>
      <c r="AO8" s="395"/>
      <c r="AP8" s="395"/>
      <c r="AQ8" s="395"/>
      <c r="AR8" s="395"/>
      <c r="AS8" s="395"/>
      <c r="AT8" s="395"/>
      <c r="AU8" s="395"/>
      <c r="AV8" s="395"/>
      <c r="AW8" s="395"/>
      <c r="AY8" s="426">
        <v>2</v>
      </c>
      <c r="AZ8" s="427">
        <f t="shared" si="1"/>
        <v>44958</v>
      </c>
      <c r="BK8" s="436">
        <f t="shared" si="2"/>
        <v>0</v>
      </c>
      <c r="BL8" s="437">
        <f t="shared" si="3"/>
        <v>0</v>
      </c>
      <c r="BM8" s="437">
        <f t="shared" si="4"/>
        <v>0</v>
      </c>
      <c r="BN8" s="437">
        <f t="shared" si="5"/>
        <v>0</v>
      </c>
      <c r="BO8" s="437">
        <f t="shared" si="6"/>
        <v>0</v>
      </c>
      <c r="BP8" s="437">
        <f t="shared" si="7"/>
        <v>0</v>
      </c>
      <c r="BQ8" s="437">
        <f t="shared" si="8"/>
        <v>0</v>
      </c>
      <c r="BR8" s="438">
        <f t="shared" ref="BR8:BR18" si="55">IF($AH$30=0,0,IF($BR$5=0,0,IF(AND(AZ8&gt;=$AS$30,AZ8&lt;=$AT$30),$AW$30,0)))</f>
        <v>0</v>
      </c>
      <c r="BS8" s="439">
        <f t="shared" ref="BS8:BS18" si="56">SUM(BK8:BR8)</f>
        <v>0</v>
      </c>
      <c r="BX8" s="395"/>
      <c r="BY8" s="395"/>
      <c r="BZ8" s="395"/>
      <c r="CA8" s="395"/>
      <c r="CB8" s="395"/>
      <c r="CC8" s="395"/>
      <c r="CD8" s="395"/>
      <c r="CE8" s="395"/>
      <c r="CF8" s="395"/>
      <c r="CG8" s="395"/>
      <c r="CH8" s="395"/>
      <c r="CI8" s="395"/>
      <c r="CJ8" s="395"/>
      <c r="CK8" s="395"/>
      <c r="CL8" s="395"/>
      <c r="CM8" s="395"/>
      <c r="CN8" s="395"/>
      <c r="CP8" s="426">
        <v>2</v>
      </c>
      <c r="CQ8" s="427">
        <f t="shared" si="9"/>
        <v>44958</v>
      </c>
      <c r="DB8" s="440">
        <f t="shared" ref="DB8:DB18" si="57">IF($BY$23=0,0,IF($DB$5=0,0,IF(AND(CQ8&gt;=$CJ$23,CQ8&lt;=$CK$23),$CN$23,0)))</f>
        <v>0</v>
      </c>
      <c r="DC8" s="426">
        <f t="shared" ref="DC8:DC18" si="58">IF($BY$24=0,0,IF($DC$5=0,0,IF(AND(CQ8&gt;=$CJ$24,CQ8&lt;=$CK$24),$CN$24,0)))</f>
        <v>0</v>
      </c>
      <c r="DD8" s="426">
        <f t="shared" ref="DD8:DD18" si="59">IF($BY$25=0,0,IF($DD$5=0,0,IF(AND(CQ8&gt;=$CJ$25,CQ8&lt;=$CK$25),$CN$25,0)))</f>
        <v>0</v>
      </c>
      <c r="DE8" s="426">
        <f t="shared" ref="DE8:DE18" si="60">IF($BY$26=0,0,IF($DE$5=0,0,IF(AND(CQ8&gt;=$CJ$26,CQ8&lt;=$CK$26),$CN$26,0)))</f>
        <v>0</v>
      </c>
      <c r="DF8" s="426">
        <f t="shared" ref="DF8:DF18" si="61">IF($BY$23=0,0,IF($DF$5=0,0,IF(AND(CQ8&gt;=$CJ$27,CQ8&lt;=$CK$27),$CN$27,0)))</f>
        <v>0</v>
      </c>
      <c r="DG8" s="426">
        <f t="shared" ref="DG8:DG18" si="62">IF($BY$28=0,0,IF($DG$5=0,0,IF(AND(CQ8&gt;=$CJ$28,CQ8&lt;=$CK$28),$CN$28,0)))</f>
        <v>0</v>
      </c>
      <c r="DH8" s="426">
        <f t="shared" ref="DH8:DH18" si="63">IF($BY$29=0,0,IF($DH$5=0,0,IF(AND(CQ8&gt;=$CJ$29,CQ8&lt;=$CK$29),$CN$29,0)))</f>
        <v>0</v>
      </c>
      <c r="DI8" s="441">
        <f t="shared" ref="DI8:DI18" si="64">IF($BY$30=0,0,IF($DI$5=0,0,IF(AND(CQ8&gt;=$CJ$30,CQ8&lt;=$CK$30),$CN$30,0)))</f>
        <v>0</v>
      </c>
      <c r="DJ8" s="442">
        <f t="shared" ref="DJ8:DJ18" si="65">SUM(DB8:DI8)</f>
        <v>0</v>
      </c>
      <c r="DN8" s="395"/>
      <c r="DY8" s="433">
        <f t="shared" si="10"/>
        <v>44927</v>
      </c>
      <c r="DZ8" s="433">
        <f t="shared" si="11"/>
        <v>44957</v>
      </c>
      <c r="EA8" s="389" t="str">
        <f>IF(AND(DZ8&gt;=EXPEDIENTE!$F$25,DY8&lt;=EXPEDIENTE!$F$29),"SI","NO")</f>
        <v>NO</v>
      </c>
      <c r="EB8" s="426">
        <f t="shared" si="12"/>
        <v>0</v>
      </c>
      <c r="EC8" s="426">
        <f t="shared" si="13"/>
        <v>0</v>
      </c>
      <c r="ED8" s="426">
        <f t="shared" si="14"/>
        <v>0</v>
      </c>
      <c r="EE8" s="426">
        <f t="shared" si="15"/>
        <v>0</v>
      </c>
      <c r="EF8" s="426">
        <f t="shared" si="16"/>
        <v>0</v>
      </c>
      <c r="EG8" s="426">
        <f t="shared" si="17"/>
        <v>0</v>
      </c>
      <c r="EH8" s="426">
        <f t="shared" si="18"/>
        <v>0</v>
      </c>
      <c r="EI8" s="426">
        <f t="shared" si="19"/>
        <v>0</v>
      </c>
      <c r="EJ8" s="426">
        <f t="shared" si="20"/>
        <v>0</v>
      </c>
      <c r="EK8" s="426">
        <f t="shared" si="21"/>
        <v>0</v>
      </c>
      <c r="EL8" s="426">
        <f t="shared" si="22"/>
        <v>0</v>
      </c>
      <c r="EM8" s="426">
        <f t="shared" si="23"/>
        <v>0</v>
      </c>
      <c r="EN8" s="426">
        <f t="shared" si="24"/>
        <v>0</v>
      </c>
      <c r="EO8" s="426">
        <f t="shared" si="25"/>
        <v>0</v>
      </c>
      <c r="EP8" s="426">
        <f t="shared" si="26"/>
        <v>0</v>
      </c>
      <c r="EQ8" s="426">
        <f t="shared" si="27"/>
        <v>0</v>
      </c>
      <c r="ER8" s="426">
        <f t="shared" si="28"/>
        <v>0</v>
      </c>
      <c r="ES8" s="426">
        <f t="shared" si="29"/>
        <v>0</v>
      </c>
      <c r="ET8" s="426">
        <f t="shared" si="30"/>
        <v>0</v>
      </c>
      <c r="EU8" s="426">
        <f t="shared" si="31"/>
        <v>0</v>
      </c>
      <c r="EV8" s="426">
        <f t="shared" si="32"/>
        <v>0</v>
      </c>
      <c r="EW8" s="426">
        <f t="shared" si="33"/>
        <v>0</v>
      </c>
      <c r="EX8" s="426">
        <f t="shared" si="34"/>
        <v>0</v>
      </c>
      <c r="EY8" s="426">
        <f t="shared" si="35"/>
        <v>0</v>
      </c>
      <c r="EZ8" s="426">
        <f t="shared" si="36"/>
        <v>0</v>
      </c>
      <c r="FA8" s="426">
        <f t="shared" si="37"/>
        <v>0</v>
      </c>
      <c r="FB8" s="426">
        <f t="shared" si="38"/>
        <v>0</v>
      </c>
      <c r="FC8" s="426">
        <f t="shared" si="39"/>
        <v>0</v>
      </c>
      <c r="FD8" s="426">
        <f t="shared" si="40"/>
        <v>0</v>
      </c>
      <c r="FE8" s="426">
        <f t="shared" si="41"/>
        <v>0</v>
      </c>
      <c r="FF8" s="426">
        <f t="shared" si="42"/>
        <v>0</v>
      </c>
      <c r="FG8" s="426">
        <f t="shared" si="43"/>
        <v>0</v>
      </c>
      <c r="FH8" s="426">
        <f t="shared" ref="FH8:FH69" si="66">IF(EA8="SI",SUM(EB8:FG8),0)</f>
        <v>0</v>
      </c>
      <c r="FR8" s="395"/>
      <c r="GC8" s="433">
        <f t="shared" si="44"/>
        <v>44927</v>
      </c>
      <c r="GD8" s="433">
        <f t="shared" si="45"/>
        <v>44957</v>
      </c>
      <c r="GE8" s="389" t="str">
        <f>IF(AND(GD8&gt;=EXPEDIENTE!$F$25,GC8&lt;=EXPEDIENTE!$F$29),"SI","NO")</f>
        <v>NO</v>
      </c>
      <c r="GF8" s="426">
        <f t="shared" ref="GF8:GF69" si="67">IF(AND($GC8&gt;=$FT$23,$GD8&lt;=$FU$23),$FZ$23,0)</f>
        <v>0</v>
      </c>
      <c r="GG8" s="426">
        <f t="shared" ref="GG8:GG69" si="68">IF(AND($GC8&gt;=$FT$24,$GD8&lt;=$FU$24),$FZ$24,0)</f>
        <v>0</v>
      </c>
      <c r="GH8" s="426">
        <f t="shared" ref="GH8:GH69" si="69">IF(AND($GC8&gt;=$FT$25,$GD8&lt;=$FU$25),$FZ$25,0)</f>
        <v>0</v>
      </c>
      <c r="GI8" s="426">
        <f t="shared" ref="GI8:GI69" si="70">IF(AND($GC8&gt;=$FT$26,$GD8&lt;=$FU$26),$FZ$26,0)</f>
        <v>0</v>
      </c>
      <c r="GJ8" s="426">
        <f t="shared" ref="GJ8:GJ69" si="71">IF(AND($GC8&gt;=$FT$27,$GD8&lt;=$FU$27),$FZ$27,0)</f>
        <v>0</v>
      </c>
      <c r="GK8" s="426">
        <f t="shared" ref="GK8:GK69" si="72">IF(AND($GC8&gt;=$FT$28,$GD8&lt;=$FU$28),$FZ$28,0)</f>
        <v>0</v>
      </c>
      <c r="GL8" s="426">
        <f t="shared" ref="GL8:GL69" si="73">IF(AND($GC8&gt;=$FT$29,$GD8&lt;=$FU$29),$FZ$29,0)</f>
        <v>0</v>
      </c>
      <c r="GM8" s="426">
        <f t="shared" ref="GM8:GM69" si="74">IF(AND($GC8&gt;=$FT$30,$GD8&lt;=$FU$30),$FZ$30,0)</f>
        <v>0</v>
      </c>
      <c r="GN8" s="426">
        <f t="shared" ref="GN8:GN69" si="75">IF(AND($GC8&gt;=$FT$39,$GD8&lt;=$FU$39),$FZ$39,0)</f>
        <v>0</v>
      </c>
      <c r="GO8" s="426">
        <f t="shared" ref="GO8:GO69" si="76">IF(AND($GC8&gt;=$FT$40,$GD8&lt;=$FU$40),$FZ$40,0)</f>
        <v>0</v>
      </c>
      <c r="GP8" s="426">
        <f t="shared" ref="GP8:GP69" si="77">IF(AND($GC8&gt;=$FT$41,$GD8&lt;=$FU$41),$FZ$41,0)</f>
        <v>0</v>
      </c>
      <c r="GQ8" s="426">
        <f t="shared" ref="GQ8:GQ69" si="78">IF(AND($GC8&gt;=$FT$42,$GD8&lt;=$FU$42),$FZ$42,0)</f>
        <v>0</v>
      </c>
      <c r="GR8" s="426">
        <f t="shared" ref="GR8:GR69" si="79">IF(AND($GC8&gt;=$FT$43,$GD8&lt;=$FU$43),$FZ$43,0)</f>
        <v>0</v>
      </c>
      <c r="GS8" s="426">
        <f t="shared" ref="GS8:GS69" si="80">IF(AND($GC8&gt;=$FT$44,$GD8&lt;=$FU$44),$FZ$44,0)</f>
        <v>0</v>
      </c>
      <c r="GT8" s="426">
        <f t="shared" ref="GT8:GT69" si="81">IF(AND($GC8&gt;=$FT$45,$GD8&lt;=$FU$45),$FZ$45,0)</f>
        <v>0</v>
      </c>
      <c r="GU8" s="426">
        <f t="shared" ref="GU8:GU69" si="82">IF(AND($GC8&gt;=$FT$46,$GD8&lt;=$FU$46),$FZ$46,0)</f>
        <v>0</v>
      </c>
      <c r="GV8" s="426">
        <f t="shared" ref="GV8:GV69" si="83">IF(AND($GC8&gt;=$FT$55,$GD8&lt;=$FU$55),$FZ$55,0)</f>
        <v>0</v>
      </c>
      <c r="GW8" s="426">
        <f t="shared" ref="GW8:GW69" si="84">IF(AND($GC8&gt;=$FT$56,$GD8&lt;=$FU$56),$FZ$56,0)</f>
        <v>0</v>
      </c>
      <c r="GX8" s="426">
        <f t="shared" ref="GX8:GX69" si="85">IF(AND($GC8&gt;=$FT$57,$GD8&lt;=$FU$57),$FZ$57,0)</f>
        <v>0</v>
      </c>
      <c r="GY8" s="426">
        <f t="shared" ref="GY8:GY69" si="86">IF(AND($GC8&gt;=$FT$58,$GD8&lt;=$FU$58),$FZ$58,0)</f>
        <v>0</v>
      </c>
      <c r="GZ8" s="426">
        <f t="shared" ref="GZ8:GZ69" si="87">IF(AND($GC8&gt;=$FT$59,$GD8&lt;=$FU$59),$FZ$59,0)</f>
        <v>0</v>
      </c>
      <c r="HA8" s="426">
        <f t="shared" ref="HA8:HA69" si="88">IF(AND($GC8&gt;=$FT$60,$GD8&lt;=$FU$60),$FZ$60,0)</f>
        <v>0</v>
      </c>
      <c r="HB8" s="426">
        <f t="shared" ref="HB8:HB69" si="89">IF(AND($GC8&gt;=$FT$61,$GD8&lt;=$FU$61),$FZ$61,0)</f>
        <v>0</v>
      </c>
      <c r="HC8" s="426">
        <f t="shared" ref="HC8:HC69" si="90">IF(AND($GC8&gt;=$FT$62,$GD8&lt;=$FU$62),$FZ$62,0)</f>
        <v>0</v>
      </c>
      <c r="HD8" s="426">
        <f t="shared" ref="HD8:HD69" si="91">IF(AND($GC8&gt;=$FT$71,$GD8&lt;=$FU$71),$FZ$71,0)</f>
        <v>0</v>
      </c>
      <c r="HE8" s="426">
        <f t="shared" ref="HE8:HE69" si="92">IF(AND($GC8&gt;=$FT$72,$GD8&lt;=$FU$72),$FZ$72,0)</f>
        <v>0</v>
      </c>
      <c r="HF8" s="426">
        <f t="shared" ref="HF8:HF69" si="93">IF(AND($GC8&gt;=$FT$73,$GD8&lt;=$FU$73),$FZ$73,0)</f>
        <v>0</v>
      </c>
      <c r="HG8" s="426">
        <f t="shared" ref="HG8:HG69" si="94">IF(AND($GC8&gt;=$FT$74,$GD8&lt;=$FU$74),$FZ$74,0)</f>
        <v>0</v>
      </c>
      <c r="HH8" s="426">
        <f t="shared" ref="HH8:HH69" si="95">IF(AND($GC8&gt;=$FT$75,$GD8&lt;=$FU$75),$FZ$75,0)</f>
        <v>0</v>
      </c>
      <c r="HI8" s="426">
        <f t="shared" ref="HI8:HI69" si="96">IF(AND($GC8&gt;=$FT$76,$GD8&lt;=$FU$76),$FZ$76,0)</f>
        <v>0</v>
      </c>
      <c r="HJ8" s="426">
        <f t="shared" ref="HJ8:HJ69" si="97">IF(AND($GC8&gt;=$FT$77,$GD8&lt;=$FU$77),$FZ$77,0)</f>
        <v>0</v>
      </c>
      <c r="HK8" s="426">
        <f t="shared" ref="HK8:HK69" si="98">IF(AND($GC8&gt;=$FT$78,$GD8&lt;=$FU$78),$FZ$78,0)</f>
        <v>0</v>
      </c>
      <c r="HL8" s="426">
        <f t="shared" ref="HL8:HL69" si="99">IF(GE8="SI",SUM(GF8:HK8),0)</f>
        <v>0</v>
      </c>
      <c r="HW8" s="418">
        <v>3</v>
      </c>
      <c r="HX8" s="401" t="str">
        <f>IF(EXPEDIENTE!F27="","",IF(YEAR(EXPEDIENTE!$F$27)&gt;=YEAR(EXPEDIENTE!$F$25),YEAR(EXPEDIENTE!$F$25)+2,""))</f>
        <v/>
      </c>
      <c r="HY8" s="401" t="str">
        <f>IF(HX8="","",'IDENTIFICACIÓN TRABAJADOR'!$D$14)</f>
        <v/>
      </c>
      <c r="HZ8" s="418" t="str">
        <f>CONCATENATE(UPPER('IDENTIFICACIÓN TRABAJADOR'!$D$11)," ",UPPER('IDENTIFICACIÓN TRABAJADOR'!$D$12)," ",UPPER('IDENTIFICACIÓN TRABAJADOR'!$D$13)," (EJERCICIO ",HX8,")")</f>
        <v xml:space="preserve">   (EJERCICIO )</v>
      </c>
      <c r="IA8" s="418">
        <f>IF($IC8&gt;0,"",'RESUMEN TRABAJADOR '!O72)</f>
        <v>0</v>
      </c>
      <c r="IC8" s="401">
        <f>'% DEDICACIÓN'!$B$46</f>
        <v>0</v>
      </c>
      <c r="IE8" s="401">
        <f t="shared" si="46"/>
        <v>1</v>
      </c>
      <c r="IF8" s="401">
        <f>SMALL($IE$6:$IE$9,3)</f>
        <v>1</v>
      </c>
      <c r="IG8" s="401" t="str">
        <f>IF(HY8="","",IF(IF8&gt;MAX($HX$6:$HX$9),"",VLOOKUP(IF8,$HW$6:$IA$9,2,FALSE)))</f>
        <v/>
      </c>
      <c r="IH8" s="401" t="str">
        <f t="shared" si="47"/>
        <v/>
      </c>
      <c r="II8" s="418" t="str">
        <f>IF(HY8="","",IF(IF8&gt;MAX($HX$6:$HX$9),"",VLOOKUP(IF8,$HW$6:$IA$9,4,FALSE)))</f>
        <v/>
      </c>
      <c r="IJ8" s="418" t="str">
        <f>IF(HY8="","",IF(IF8&gt;MAX($HX$6:$HX$9),"",VLOOKUP(IF8,$HW$6:$IA$9,5,FALSE)))</f>
        <v/>
      </c>
      <c r="IL8" s="418">
        <v>3</v>
      </c>
      <c r="IM8" s="401" t="str">
        <f>IF(EXPEDIENTE!I27="","",IF(YEAR(EXPEDIENTE!$I$27)&gt;=YEAR(EXPEDIENTE!$I$25),YEAR(EXPEDIENTE!$I$25)+2,""))</f>
        <v/>
      </c>
      <c r="IN8" s="401" t="str">
        <f>IF(IM8="","",'IDENTIFICACIÓN TRABAJADOR'!$D$14)</f>
        <v/>
      </c>
      <c r="IO8" s="418" t="str">
        <f>CONCATENATE(UPPER('IDENTIFICACIÓN TRABAJADOR'!$D$11)," ",UPPER('IDENTIFICACIÓN TRABAJADOR'!$D$12)," ",UPPER('IDENTIFICACIÓN TRABAJADOR'!$D$13)," (EJERCICIO ",IM8,")")</f>
        <v xml:space="preserve">   (EJERCICIO )</v>
      </c>
      <c r="IP8" s="418">
        <f>IF($IC8&gt;0,"",'RESUMEN TRABAJADOR '!AJ72)</f>
        <v>0</v>
      </c>
      <c r="IR8" s="401">
        <f>'% DEDICACIÓN'!$B$46</f>
        <v>0</v>
      </c>
      <c r="IT8" s="401">
        <f t="shared" si="48"/>
        <v>1</v>
      </c>
      <c r="IU8" s="401">
        <f>SMALL($IT$6:$IT$9,3)</f>
        <v>1</v>
      </c>
      <c r="IV8" s="401" t="str">
        <f>IF(IN8="","",IF(IU8&gt;MAX($HX$6:$HX$9),"",VLOOKUP(IU8,$HW$6:$IA$9,2,FALSE)))</f>
        <v/>
      </c>
      <c r="IW8" s="401" t="str">
        <f t="shared" si="49"/>
        <v/>
      </c>
      <c r="IX8" s="418" t="str">
        <f t="shared" si="50"/>
        <v/>
      </c>
      <c r="IY8" s="418" t="str">
        <f t="shared" si="51"/>
        <v/>
      </c>
      <c r="JC8" s="419">
        <v>4</v>
      </c>
      <c r="JD8" s="401">
        <v>0</v>
      </c>
    </row>
    <row r="9" spans="1:266" x14ac:dyDescent="0.25">
      <c r="C9" s="209">
        <v>3</v>
      </c>
      <c r="D9" s="404" t="s">
        <v>437</v>
      </c>
      <c r="E9" s="420">
        <v>7</v>
      </c>
      <c r="F9" s="421" t="s">
        <v>438</v>
      </c>
      <c r="G9" s="422" t="s">
        <v>92</v>
      </c>
      <c r="H9" s="422"/>
      <c r="I9" s="422"/>
      <c r="J9" s="404"/>
      <c r="K9" s="410">
        <f t="shared" si="52"/>
        <v>76</v>
      </c>
      <c r="L9" s="410">
        <f t="shared" si="53"/>
        <v>76</v>
      </c>
      <c r="M9" s="410" t="str">
        <f t="shared" si="54"/>
        <v>X</v>
      </c>
      <c r="O9" s="443" t="s">
        <v>11</v>
      </c>
      <c r="P9" s="422">
        <v>2024</v>
      </c>
      <c r="V9" s="982"/>
      <c r="W9" s="444" t="s">
        <v>255</v>
      </c>
      <c r="Y9" s="425">
        <f t="shared" si="0"/>
        <v>4</v>
      </c>
      <c r="Z9" s="415" t="str">
        <f>IF(Y9="","",IF(EDATE($Z$5,Y9)&gt;EXPEDIENTE!$F$27,"",EDATE($Z$5,Y9)))</f>
        <v/>
      </c>
      <c r="AA9" s="415" t="str">
        <f>IF(Z9="","",IF(YEAR(EXPEDIENTE!$F$25)=YEAR(Z9),Z9,""))</f>
        <v/>
      </c>
      <c r="AB9" s="415" t="str">
        <f>IF(Z9="","",IF(YEAR(EXPEDIENTE!$F$25)+1=YEAR(Z9),Z9,""))</f>
        <v/>
      </c>
      <c r="AC9" s="415" t="str">
        <f>IF(Z9="","",IF(YEAR(EXPEDIENTE!$F$25)+2=YEAR(Z9),Z9,""))</f>
        <v/>
      </c>
      <c r="AD9" s="415" t="str">
        <f>IF(Z9="","",IF(YEAR(EXPEDIENTE!$F$25)+3=YEAR(Z9),Z9,""))</f>
        <v/>
      </c>
      <c r="AG9" s="395"/>
      <c r="AH9" s="395"/>
      <c r="AI9" s="395"/>
      <c r="AJ9" s="395"/>
      <c r="AK9" s="395"/>
      <c r="AL9" s="395"/>
      <c r="AM9" s="395"/>
      <c r="AN9" s="395"/>
      <c r="AO9" s="395"/>
      <c r="AP9" s="395"/>
      <c r="AQ9" s="395"/>
      <c r="AR9" s="395"/>
      <c r="AS9" s="395"/>
      <c r="AT9" s="395"/>
      <c r="AU9" s="395"/>
      <c r="AV9" s="395"/>
      <c r="AW9" s="395"/>
      <c r="AY9" s="426">
        <v>3</v>
      </c>
      <c r="AZ9" s="427">
        <f t="shared" si="1"/>
        <v>44986</v>
      </c>
      <c r="BK9" s="436">
        <f t="shared" si="2"/>
        <v>0</v>
      </c>
      <c r="BL9" s="437">
        <f t="shared" si="3"/>
        <v>0</v>
      </c>
      <c r="BM9" s="437">
        <f t="shared" si="4"/>
        <v>0</v>
      </c>
      <c r="BN9" s="437">
        <f t="shared" si="5"/>
        <v>0</v>
      </c>
      <c r="BO9" s="437">
        <f t="shared" si="6"/>
        <v>0</v>
      </c>
      <c r="BP9" s="437">
        <f t="shared" si="7"/>
        <v>0</v>
      </c>
      <c r="BQ9" s="437">
        <f t="shared" si="8"/>
        <v>0</v>
      </c>
      <c r="BR9" s="438">
        <f t="shared" si="55"/>
        <v>0</v>
      </c>
      <c r="BS9" s="439">
        <f t="shared" si="56"/>
        <v>0</v>
      </c>
      <c r="BX9" s="395"/>
      <c r="BY9" s="395"/>
      <c r="BZ9" s="395"/>
      <c r="CA9" s="395"/>
      <c r="CB9" s="395"/>
      <c r="CC9" s="395"/>
      <c r="CD9" s="395"/>
      <c r="CE9" s="395"/>
      <c r="CF9" s="395"/>
      <c r="CG9" s="395"/>
      <c r="CH9" s="395"/>
      <c r="CI9" s="395"/>
      <c r="CJ9" s="395"/>
      <c r="CK9" s="395"/>
      <c r="CL9" s="395"/>
      <c r="CM9" s="395"/>
      <c r="CN9" s="395"/>
      <c r="CP9" s="426">
        <v>3</v>
      </c>
      <c r="CQ9" s="427">
        <f t="shared" si="9"/>
        <v>44986</v>
      </c>
      <c r="DB9" s="440">
        <f t="shared" si="57"/>
        <v>0</v>
      </c>
      <c r="DC9" s="426">
        <f t="shared" si="58"/>
        <v>0</v>
      </c>
      <c r="DD9" s="426">
        <f t="shared" si="59"/>
        <v>0</v>
      </c>
      <c r="DE9" s="426">
        <f t="shared" si="60"/>
        <v>0</v>
      </c>
      <c r="DF9" s="426">
        <f t="shared" si="61"/>
        <v>0</v>
      </c>
      <c r="DG9" s="426">
        <f t="shared" si="62"/>
        <v>0</v>
      </c>
      <c r="DH9" s="426">
        <f t="shared" si="63"/>
        <v>0</v>
      </c>
      <c r="DI9" s="441">
        <f t="shared" si="64"/>
        <v>0</v>
      </c>
      <c r="DJ9" s="442">
        <f t="shared" si="65"/>
        <v>0</v>
      </c>
      <c r="DN9" s="395"/>
      <c r="DY9" s="433">
        <f t="shared" si="10"/>
        <v>44958</v>
      </c>
      <c r="DZ9" s="433">
        <f t="shared" si="11"/>
        <v>44985</v>
      </c>
      <c r="EA9" s="389" t="str">
        <f>IF(AND(DZ9&gt;=EXPEDIENTE!$F$25,DY9&lt;=EXPEDIENTE!$F$29),"SI","NO")</f>
        <v>NO</v>
      </c>
      <c r="EB9" s="426">
        <f t="shared" si="12"/>
        <v>0</v>
      </c>
      <c r="EC9" s="426">
        <f t="shared" si="13"/>
        <v>0</v>
      </c>
      <c r="ED9" s="426">
        <f t="shared" si="14"/>
        <v>0</v>
      </c>
      <c r="EE9" s="426">
        <f t="shared" si="15"/>
        <v>0</v>
      </c>
      <c r="EF9" s="426">
        <f t="shared" si="16"/>
        <v>0</v>
      </c>
      <c r="EG9" s="426">
        <f t="shared" si="17"/>
        <v>0</v>
      </c>
      <c r="EH9" s="426">
        <f t="shared" si="18"/>
        <v>0</v>
      </c>
      <c r="EI9" s="426">
        <f t="shared" si="19"/>
        <v>0</v>
      </c>
      <c r="EJ9" s="426">
        <f t="shared" si="20"/>
        <v>0</v>
      </c>
      <c r="EK9" s="426">
        <f t="shared" si="21"/>
        <v>0</v>
      </c>
      <c r="EL9" s="426">
        <f t="shared" si="22"/>
        <v>0</v>
      </c>
      <c r="EM9" s="426">
        <f t="shared" si="23"/>
        <v>0</v>
      </c>
      <c r="EN9" s="426">
        <f t="shared" si="24"/>
        <v>0</v>
      </c>
      <c r="EO9" s="426">
        <f t="shared" si="25"/>
        <v>0</v>
      </c>
      <c r="EP9" s="426">
        <f t="shared" si="26"/>
        <v>0</v>
      </c>
      <c r="EQ9" s="426">
        <f t="shared" si="27"/>
        <v>0</v>
      </c>
      <c r="ER9" s="426">
        <f t="shared" si="28"/>
        <v>0</v>
      </c>
      <c r="ES9" s="426">
        <f t="shared" si="29"/>
        <v>0</v>
      </c>
      <c r="ET9" s="426">
        <f t="shared" si="30"/>
        <v>0</v>
      </c>
      <c r="EU9" s="426">
        <f t="shared" si="31"/>
        <v>0</v>
      </c>
      <c r="EV9" s="426">
        <f t="shared" si="32"/>
        <v>0</v>
      </c>
      <c r="EW9" s="426">
        <f t="shared" si="33"/>
        <v>0</v>
      </c>
      <c r="EX9" s="426">
        <f t="shared" si="34"/>
        <v>0</v>
      </c>
      <c r="EY9" s="426">
        <f t="shared" si="35"/>
        <v>0</v>
      </c>
      <c r="EZ9" s="426">
        <f t="shared" si="36"/>
        <v>0</v>
      </c>
      <c r="FA9" s="426">
        <f t="shared" si="37"/>
        <v>0</v>
      </c>
      <c r="FB9" s="426">
        <f t="shared" si="38"/>
        <v>0</v>
      </c>
      <c r="FC9" s="426">
        <f t="shared" si="39"/>
        <v>0</v>
      </c>
      <c r="FD9" s="426">
        <f t="shared" si="40"/>
        <v>0</v>
      </c>
      <c r="FE9" s="426">
        <f t="shared" si="41"/>
        <v>0</v>
      </c>
      <c r="FF9" s="426">
        <f t="shared" si="42"/>
        <v>0</v>
      </c>
      <c r="FG9" s="426">
        <f t="shared" si="43"/>
        <v>0</v>
      </c>
      <c r="FH9" s="426">
        <f t="shared" si="66"/>
        <v>0</v>
      </c>
      <c r="FR9" s="395"/>
      <c r="GC9" s="433">
        <f t="shared" si="44"/>
        <v>44958</v>
      </c>
      <c r="GD9" s="433">
        <f t="shared" si="45"/>
        <v>44985</v>
      </c>
      <c r="GE9" s="389" t="str">
        <f>IF(AND(GD9&gt;=EXPEDIENTE!$F$25,GC9&lt;=EXPEDIENTE!$F$29),"SI","NO")</f>
        <v>NO</v>
      </c>
      <c r="GF9" s="426">
        <f t="shared" si="67"/>
        <v>0</v>
      </c>
      <c r="GG9" s="426">
        <f t="shared" si="68"/>
        <v>0</v>
      </c>
      <c r="GH9" s="426">
        <f t="shared" si="69"/>
        <v>0</v>
      </c>
      <c r="GI9" s="426">
        <f t="shared" si="70"/>
        <v>0</v>
      </c>
      <c r="GJ9" s="426">
        <f t="shared" si="71"/>
        <v>0</v>
      </c>
      <c r="GK9" s="426">
        <f t="shared" si="72"/>
        <v>0</v>
      </c>
      <c r="GL9" s="426">
        <f t="shared" si="73"/>
        <v>0</v>
      </c>
      <c r="GM9" s="426">
        <f t="shared" si="74"/>
        <v>0</v>
      </c>
      <c r="GN9" s="426">
        <f t="shared" si="75"/>
        <v>0</v>
      </c>
      <c r="GO9" s="426">
        <f t="shared" si="76"/>
        <v>0</v>
      </c>
      <c r="GP9" s="426">
        <f t="shared" si="77"/>
        <v>0</v>
      </c>
      <c r="GQ9" s="426">
        <f t="shared" si="78"/>
        <v>0</v>
      </c>
      <c r="GR9" s="426">
        <f t="shared" si="79"/>
        <v>0</v>
      </c>
      <c r="GS9" s="426">
        <f t="shared" si="80"/>
        <v>0</v>
      </c>
      <c r="GT9" s="426">
        <f t="shared" si="81"/>
        <v>0</v>
      </c>
      <c r="GU9" s="426">
        <f t="shared" si="82"/>
        <v>0</v>
      </c>
      <c r="GV9" s="426">
        <f t="shared" si="83"/>
        <v>0</v>
      </c>
      <c r="GW9" s="426">
        <f t="shared" si="84"/>
        <v>0</v>
      </c>
      <c r="GX9" s="426">
        <f t="shared" si="85"/>
        <v>0</v>
      </c>
      <c r="GY9" s="426">
        <f t="shared" si="86"/>
        <v>0</v>
      </c>
      <c r="GZ9" s="426">
        <f t="shared" si="87"/>
        <v>0</v>
      </c>
      <c r="HA9" s="426">
        <f t="shared" si="88"/>
        <v>0</v>
      </c>
      <c r="HB9" s="426">
        <f t="shared" si="89"/>
        <v>0</v>
      </c>
      <c r="HC9" s="426">
        <f t="shared" si="90"/>
        <v>0</v>
      </c>
      <c r="HD9" s="426">
        <f t="shared" si="91"/>
        <v>0</v>
      </c>
      <c r="HE9" s="426">
        <f t="shared" si="92"/>
        <v>0</v>
      </c>
      <c r="HF9" s="426">
        <f t="shared" si="93"/>
        <v>0</v>
      </c>
      <c r="HG9" s="426">
        <f t="shared" si="94"/>
        <v>0</v>
      </c>
      <c r="HH9" s="426">
        <f t="shared" si="95"/>
        <v>0</v>
      </c>
      <c r="HI9" s="426">
        <f t="shared" si="96"/>
        <v>0</v>
      </c>
      <c r="HJ9" s="426">
        <f t="shared" si="97"/>
        <v>0</v>
      </c>
      <c r="HK9" s="426">
        <f t="shared" si="98"/>
        <v>0</v>
      </c>
      <c r="HL9" s="426">
        <f t="shared" si="99"/>
        <v>0</v>
      </c>
      <c r="HW9" s="418">
        <v>4</v>
      </c>
      <c r="HX9" s="401" t="str">
        <f>IF(EXPEDIENTE!F27="","",IF(YEAR(EXPEDIENTE!$F$27)&gt;=YEAR(EXPEDIENTE!$F$25),YEAR(EXPEDIENTE!$F$25)+3,""))</f>
        <v/>
      </c>
      <c r="HY9" s="401" t="str">
        <f>IF(HX9="","",'IDENTIFICACIÓN TRABAJADOR'!$D$14)</f>
        <v/>
      </c>
      <c r="HZ9" s="418" t="str">
        <f>CONCATENATE(UPPER('IDENTIFICACIÓN TRABAJADOR'!$D$11)," ",UPPER('IDENTIFICACIÓN TRABAJADOR'!$D$12)," ",UPPER('IDENTIFICACIÓN TRABAJADOR'!$D$13)," (EJERCICIO ",HX9,")")</f>
        <v xml:space="preserve">   (EJERCICIO )</v>
      </c>
      <c r="IA9" s="418">
        <f>IF($IC9&gt;0,"",'RESUMEN TRABAJADOR '!O96)</f>
        <v>0</v>
      </c>
      <c r="IC9" s="401">
        <f>'% DEDICACIÓN'!$B$47</f>
        <v>0</v>
      </c>
      <c r="IE9" s="401">
        <f t="shared" si="46"/>
        <v>1</v>
      </c>
      <c r="IF9" s="401">
        <f>SMALL($IE$6:$IE$9,4)</f>
        <v>2025</v>
      </c>
      <c r="IG9" s="401" t="str">
        <f>IF(HY9="","",IF(IF9&gt;MAX($HX$6:$HX$9),"",VLOOKUP(IF9,$HW$6:$IA$9,2,FALSE)))</f>
        <v/>
      </c>
      <c r="IH9" s="401" t="str">
        <f t="shared" si="47"/>
        <v/>
      </c>
      <c r="II9" s="418" t="str">
        <f>IF(HY9="","",IF(IF9&gt;MAX($HX$6:$HX$9),"",VLOOKUP(IF9,$HW$6:$IA$9,4,FALSE)))</f>
        <v/>
      </c>
      <c r="IJ9" s="418" t="str">
        <f>IF(HY9="","",IF(IF9&gt;MAX($HX$6:$HX$9),"",VLOOKUP(IF9,$HW$6:$IA$9,5,FALSE)))</f>
        <v/>
      </c>
      <c r="IL9" s="418">
        <v>4</v>
      </c>
      <c r="IM9" s="401" t="str">
        <f>IF(EXPEDIENTE!I27="","",IF(YEAR(EXPEDIENTE!$I$27)&gt;=YEAR(EXPEDIENTE!$I$25),YEAR(EXPEDIENTE!$I$25)+3,""))</f>
        <v/>
      </c>
      <c r="IN9" s="401" t="str">
        <f>IF(IM9="","",'IDENTIFICACIÓN TRABAJADOR'!$D$14)</f>
        <v/>
      </c>
      <c r="IO9" s="418" t="str">
        <f>CONCATENATE(UPPER('IDENTIFICACIÓN TRABAJADOR'!$D$11)," ",UPPER('IDENTIFICACIÓN TRABAJADOR'!$D$12)," ",UPPER('IDENTIFICACIÓN TRABAJADOR'!$D$13)," (EJERCICIO ",IM9,")")</f>
        <v xml:space="preserve">   (EJERCICIO )</v>
      </c>
      <c r="IP9" s="418">
        <f>IF($IC9&gt;0,"",'RESUMEN TRABAJADOR '!AJ96)</f>
        <v>0</v>
      </c>
      <c r="IR9" s="401">
        <f>'% DEDICACIÓN'!$B$47</f>
        <v>0</v>
      </c>
      <c r="IT9" s="401">
        <f t="shared" si="48"/>
        <v>1</v>
      </c>
      <c r="IU9" s="401">
        <f>SMALL($IT$6:$IT$9,4)</f>
        <v>2025</v>
      </c>
      <c r="IV9" s="401" t="str">
        <f>IF(IN9="","",IF(IU9&gt;MAX($HX$6:$HX$9),"",VLOOKUP(IU9,$HW$6:$IA$9,2,FALSE)))</f>
        <v/>
      </c>
      <c r="IW9" s="401" t="str">
        <f t="shared" si="49"/>
        <v/>
      </c>
      <c r="IX9" s="418" t="str">
        <f t="shared" si="50"/>
        <v/>
      </c>
      <c r="IY9" s="418" t="str">
        <f t="shared" si="51"/>
        <v/>
      </c>
      <c r="JC9" s="445">
        <v>5</v>
      </c>
      <c r="JD9" s="401">
        <v>0</v>
      </c>
    </row>
    <row r="10" spans="1:266" x14ac:dyDescent="0.25">
      <c r="C10" s="209">
        <v>4</v>
      </c>
      <c r="D10" s="404" t="s">
        <v>439</v>
      </c>
      <c r="E10" s="420">
        <v>7</v>
      </c>
      <c r="F10" s="421" t="s">
        <v>438</v>
      </c>
      <c r="G10" s="422" t="s">
        <v>92</v>
      </c>
      <c r="H10" s="422"/>
      <c r="I10" s="422"/>
      <c r="J10" s="404"/>
      <c r="K10" s="410">
        <f t="shared" si="52"/>
        <v>76</v>
      </c>
      <c r="L10" s="410">
        <f t="shared" si="53"/>
        <v>76</v>
      </c>
      <c r="M10" s="410" t="str">
        <f t="shared" si="54"/>
        <v>X</v>
      </c>
      <c r="R10" s="207" t="s">
        <v>240</v>
      </c>
      <c r="S10" s="446">
        <v>2</v>
      </c>
      <c r="T10" s="207" t="s">
        <v>17</v>
      </c>
      <c r="V10" s="982"/>
      <c r="W10" s="444" t="s">
        <v>256</v>
      </c>
      <c r="Y10" s="425">
        <f t="shared" si="0"/>
        <v>5</v>
      </c>
      <c r="Z10" s="415" t="str">
        <f>IF(Y10="","",IF(EDATE($Z$5,Y10)&gt;EXPEDIENTE!$F$27,"",EDATE($Z$5,Y10)))</f>
        <v/>
      </c>
      <c r="AA10" s="415" t="str">
        <f>IF(Z10="","",IF(YEAR(EXPEDIENTE!$F$25)=YEAR(Z10),Z10,""))</f>
        <v/>
      </c>
      <c r="AB10" s="415" t="str">
        <f>IF(Z10="","",IF(YEAR(EXPEDIENTE!$F$25)+1=YEAR(Z10),Z10,""))</f>
        <v/>
      </c>
      <c r="AC10" s="415" t="str">
        <f>IF(Z10="","",IF(YEAR(EXPEDIENTE!$F$25)+2=YEAR(Z10),Z10,""))</f>
        <v/>
      </c>
      <c r="AD10" s="415" t="str">
        <f>IF(Z10="","",IF(YEAR(EXPEDIENTE!$F$25)+3=YEAR(Z10),Z10,""))</f>
        <v/>
      </c>
      <c r="AG10" s="395"/>
      <c r="AH10" s="395"/>
      <c r="AI10" s="395"/>
      <c r="AJ10" s="395"/>
      <c r="AK10" s="395"/>
      <c r="AL10" s="395"/>
      <c r="AM10" s="395"/>
      <c r="AN10" s="395"/>
      <c r="AO10" s="395"/>
      <c r="AP10" s="395"/>
      <c r="AQ10" s="395"/>
      <c r="AR10" s="395"/>
      <c r="AS10" s="395"/>
      <c r="AT10" s="395"/>
      <c r="AU10" s="395"/>
      <c r="AV10" s="395"/>
      <c r="AW10" s="395"/>
      <c r="AY10" s="426">
        <v>4</v>
      </c>
      <c r="AZ10" s="427">
        <f t="shared" si="1"/>
        <v>45017</v>
      </c>
      <c r="BK10" s="436">
        <f t="shared" si="2"/>
        <v>0</v>
      </c>
      <c r="BL10" s="437">
        <f t="shared" si="3"/>
        <v>0</v>
      </c>
      <c r="BM10" s="437">
        <f t="shared" si="4"/>
        <v>0</v>
      </c>
      <c r="BN10" s="437">
        <f t="shared" si="5"/>
        <v>0</v>
      </c>
      <c r="BO10" s="437">
        <f t="shared" si="6"/>
        <v>0</v>
      </c>
      <c r="BP10" s="437">
        <f t="shared" si="7"/>
        <v>0</v>
      </c>
      <c r="BQ10" s="437">
        <f t="shared" si="8"/>
        <v>0</v>
      </c>
      <c r="BR10" s="438">
        <f t="shared" si="55"/>
        <v>0</v>
      </c>
      <c r="BS10" s="439">
        <f t="shared" si="56"/>
        <v>0</v>
      </c>
      <c r="BX10" s="395"/>
      <c r="BY10" s="395"/>
      <c r="BZ10" s="395"/>
      <c r="CA10" s="395"/>
      <c r="CB10" s="395"/>
      <c r="CC10" s="395"/>
      <c r="CD10" s="395"/>
      <c r="CE10" s="395"/>
      <c r="CF10" s="395"/>
      <c r="CG10" s="395"/>
      <c r="CH10" s="395"/>
      <c r="CI10" s="395"/>
      <c r="CJ10" s="395"/>
      <c r="CK10" s="395"/>
      <c r="CL10" s="395"/>
      <c r="CM10" s="395"/>
      <c r="CN10" s="395"/>
      <c r="CP10" s="426">
        <v>4</v>
      </c>
      <c r="CQ10" s="427">
        <f t="shared" si="9"/>
        <v>45017</v>
      </c>
      <c r="DB10" s="440">
        <f t="shared" si="57"/>
        <v>0</v>
      </c>
      <c r="DC10" s="426">
        <f t="shared" si="58"/>
        <v>0</v>
      </c>
      <c r="DD10" s="426">
        <f t="shared" si="59"/>
        <v>0</v>
      </c>
      <c r="DE10" s="426">
        <f t="shared" si="60"/>
        <v>0</v>
      </c>
      <c r="DF10" s="426">
        <f t="shared" si="61"/>
        <v>0</v>
      </c>
      <c r="DG10" s="426">
        <f t="shared" si="62"/>
        <v>0</v>
      </c>
      <c r="DH10" s="426">
        <f t="shared" si="63"/>
        <v>0</v>
      </c>
      <c r="DI10" s="441">
        <f t="shared" si="64"/>
        <v>0</v>
      </c>
      <c r="DJ10" s="442">
        <f t="shared" si="65"/>
        <v>0</v>
      </c>
      <c r="DN10" s="395"/>
      <c r="DY10" s="433">
        <f t="shared" si="10"/>
        <v>44986</v>
      </c>
      <c r="DZ10" s="433">
        <f t="shared" si="11"/>
        <v>45016</v>
      </c>
      <c r="EA10" s="389" t="str">
        <f>IF(AND(DZ10&gt;=EXPEDIENTE!$F$25,DY10&lt;=EXPEDIENTE!$F$29),"SI","NO")</f>
        <v>NO</v>
      </c>
      <c r="EB10" s="426">
        <f t="shared" si="12"/>
        <v>0</v>
      </c>
      <c r="EC10" s="426">
        <f t="shared" si="13"/>
        <v>0</v>
      </c>
      <c r="ED10" s="426">
        <f t="shared" si="14"/>
        <v>0</v>
      </c>
      <c r="EE10" s="426">
        <f t="shared" si="15"/>
        <v>0</v>
      </c>
      <c r="EF10" s="426">
        <f t="shared" si="16"/>
        <v>0</v>
      </c>
      <c r="EG10" s="426">
        <f t="shared" si="17"/>
        <v>0</v>
      </c>
      <c r="EH10" s="426">
        <f t="shared" si="18"/>
        <v>0</v>
      </c>
      <c r="EI10" s="426">
        <f t="shared" si="19"/>
        <v>0</v>
      </c>
      <c r="EJ10" s="426">
        <f t="shared" si="20"/>
        <v>0</v>
      </c>
      <c r="EK10" s="426">
        <f t="shared" si="21"/>
        <v>0</v>
      </c>
      <c r="EL10" s="426">
        <f t="shared" si="22"/>
        <v>0</v>
      </c>
      <c r="EM10" s="426">
        <f t="shared" si="23"/>
        <v>0</v>
      </c>
      <c r="EN10" s="426">
        <f t="shared" si="24"/>
        <v>0</v>
      </c>
      <c r="EO10" s="426">
        <f t="shared" si="25"/>
        <v>0</v>
      </c>
      <c r="EP10" s="426">
        <f t="shared" si="26"/>
        <v>0</v>
      </c>
      <c r="EQ10" s="426">
        <f t="shared" si="27"/>
        <v>0</v>
      </c>
      <c r="ER10" s="426">
        <f t="shared" si="28"/>
        <v>0</v>
      </c>
      <c r="ES10" s="426">
        <f t="shared" si="29"/>
        <v>0</v>
      </c>
      <c r="ET10" s="426">
        <f t="shared" si="30"/>
        <v>0</v>
      </c>
      <c r="EU10" s="426">
        <f t="shared" si="31"/>
        <v>0</v>
      </c>
      <c r="EV10" s="426">
        <f t="shared" si="32"/>
        <v>0</v>
      </c>
      <c r="EW10" s="426">
        <f t="shared" si="33"/>
        <v>0</v>
      </c>
      <c r="EX10" s="426">
        <f t="shared" si="34"/>
        <v>0</v>
      </c>
      <c r="EY10" s="426">
        <f t="shared" si="35"/>
        <v>0</v>
      </c>
      <c r="EZ10" s="426">
        <f t="shared" si="36"/>
        <v>0</v>
      </c>
      <c r="FA10" s="426">
        <f t="shared" si="37"/>
        <v>0</v>
      </c>
      <c r="FB10" s="426">
        <f t="shared" si="38"/>
        <v>0</v>
      </c>
      <c r="FC10" s="426">
        <f t="shared" si="39"/>
        <v>0</v>
      </c>
      <c r="FD10" s="426">
        <f t="shared" si="40"/>
        <v>0</v>
      </c>
      <c r="FE10" s="426">
        <f t="shared" si="41"/>
        <v>0</v>
      </c>
      <c r="FF10" s="426">
        <f t="shared" si="42"/>
        <v>0</v>
      </c>
      <c r="FG10" s="426">
        <f t="shared" si="43"/>
        <v>0</v>
      </c>
      <c r="FH10" s="426">
        <f t="shared" si="66"/>
        <v>0</v>
      </c>
      <c r="FR10" s="395"/>
      <c r="GC10" s="433">
        <f t="shared" si="44"/>
        <v>44986</v>
      </c>
      <c r="GD10" s="433">
        <f t="shared" si="45"/>
        <v>45016</v>
      </c>
      <c r="GE10" s="389" t="str">
        <f>IF(AND(GD10&gt;=EXPEDIENTE!$F$25,GC10&lt;=EXPEDIENTE!$F$29),"SI","NO")</f>
        <v>NO</v>
      </c>
      <c r="GF10" s="426">
        <f t="shared" si="67"/>
        <v>0</v>
      </c>
      <c r="GG10" s="426">
        <f t="shared" si="68"/>
        <v>0</v>
      </c>
      <c r="GH10" s="426">
        <f t="shared" si="69"/>
        <v>0</v>
      </c>
      <c r="GI10" s="426">
        <f t="shared" si="70"/>
        <v>0</v>
      </c>
      <c r="GJ10" s="426">
        <f t="shared" si="71"/>
        <v>0</v>
      </c>
      <c r="GK10" s="426">
        <f t="shared" si="72"/>
        <v>0</v>
      </c>
      <c r="GL10" s="426">
        <f t="shared" si="73"/>
        <v>0</v>
      </c>
      <c r="GM10" s="426">
        <f t="shared" si="74"/>
        <v>0</v>
      </c>
      <c r="GN10" s="426">
        <f t="shared" si="75"/>
        <v>0</v>
      </c>
      <c r="GO10" s="426">
        <f t="shared" si="76"/>
        <v>0</v>
      </c>
      <c r="GP10" s="426">
        <f t="shared" si="77"/>
        <v>0</v>
      </c>
      <c r="GQ10" s="426">
        <f t="shared" si="78"/>
        <v>0</v>
      </c>
      <c r="GR10" s="426">
        <f t="shared" si="79"/>
        <v>0</v>
      </c>
      <c r="GS10" s="426">
        <f t="shared" si="80"/>
        <v>0</v>
      </c>
      <c r="GT10" s="426">
        <f t="shared" si="81"/>
        <v>0</v>
      </c>
      <c r="GU10" s="426">
        <f t="shared" si="82"/>
        <v>0</v>
      </c>
      <c r="GV10" s="426">
        <f t="shared" si="83"/>
        <v>0</v>
      </c>
      <c r="GW10" s="426">
        <f t="shared" si="84"/>
        <v>0</v>
      </c>
      <c r="GX10" s="426">
        <f t="shared" si="85"/>
        <v>0</v>
      </c>
      <c r="GY10" s="426">
        <f t="shared" si="86"/>
        <v>0</v>
      </c>
      <c r="GZ10" s="426">
        <f t="shared" si="87"/>
        <v>0</v>
      </c>
      <c r="HA10" s="426">
        <f t="shared" si="88"/>
        <v>0</v>
      </c>
      <c r="HB10" s="426">
        <f t="shared" si="89"/>
        <v>0</v>
      </c>
      <c r="HC10" s="426">
        <f t="shared" si="90"/>
        <v>0</v>
      </c>
      <c r="HD10" s="426">
        <f t="shared" si="91"/>
        <v>0</v>
      </c>
      <c r="HE10" s="426">
        <f t="shared" si="92"/>
        <v>0</v>
      </c>
      <c r="HF10" s="426">
        <f t="shared" si="93"/>
        <v>0</v>
      </c>
      <c r="HG10" s="426">
        <f t="shared" si="94"/>
        <v>0</v>
      </c>
      <c r="HH10" s="426">
        <f t="shared" si="95"/>
        <v>0</v>
      </c>
      <c r="HI10" s="426">
        <f t="shared" si="96"/>
        <v>0</v>
      </c>
      <c r="HJ10" s="426">
        <f t="shared" si="97"/>
        <v>0</v>
      </c>
      <c r="HK10" s="426">
        <f t="shared" si="98"/>
        <v>0</v>
      </c>
      <c r="HL10" s="426">
        <f t="shared" si="99"/>
        <v>0</v>
      </c>
      <c r="JC10" s="409">
        <v>6</v>
      </c>
      <c r="JD10" s="401">
        <f>JD5+2</f>
        <v>2</v>
      </c>
    </row>
    <row r="11" spans="1:266" x14ac:dyDescent="0.25">
      <c r="C11" s="209">
        <v>5</v>
      </c>
      <c r="D11" s="404" t="s">
        <v>440</v>
      </c>
      <c r="E11" s="420">
        <v>7</v>
      </c>
      <c r="F11" s="421" t="s">
        <v>441</v>
      </c>
      <c r="G11" s="422" t="s">
        <v>442</v>
      </c>
      <c r="H11" s="422"/>
      <c r="I11" s="422"/>
      <c r="J11" s="404" t="s">
        <v>235</v>
      </c>
      <c r="K11" s="410">
        <f t="shared" si="52"/>
        <v>5</v>
      </c>
      <c r="L11" s="410">
        <f t="shared" si="53"/>
        <v>5</v>
      </c>
      <c r="M11" s="410" t="str">
        <f t="shared" si="54"/>
        <v>X</v>
      </c>
      <c r="O11" s="978" t="s">
        <v>241</v>
      </c>
      <c r="P11" s="422" t="s">
        <v>443</v>
      </c>
      <c r="R11" s="209"/>
      <c r="V11" s="982"/>
      <c r="W11" s="444" t="s">
        <v>257</v>
      </c>
      <c r="Y11" s="425">
        <f t="shared" si="0"/>
        <v>6</v>
      </c>
      <c r="Z11" s="415" t="str">
        <f>IF(Y11="","",IF(EDATE($Z$5,Y11)&gt;EXPEDIENTE!$F$27,"",EDATE($Z$5,Y11)))</f>
        <v/>
      </c>
      <c r="AA11" s="415" t="str">
        <f>IF(Z11="","",IF(YEAR(EXPEDIENTE!$F$25)=YEAR(Z11),Z11,""))</f>
        <v/>
      </c>
      <c r="AB11" s="415" t="str">
        <f>IF(Z11="","",IF(YEAR(EXPEDIENTE!$F$25)+1=YEAR(Z11),Z11,""))</f>
        <v/>
      </c>
      <c r="AC11" s="415" t="str">
        <f>IF(Z11="","",IF(YEAR(EXPEDIENTE!$F$25)+2=YEAR(Z11),Z11,""))</f>
        <v/>
      </c>
      <c r="AD11" s="415" t="str">
        <f>IF(Z11="","",IF(YEAR(EXPEDIENTE!$F$25)+3=YEAR(Z11),Z11,""))</f>
        <v/>
      </c>
      <c r="AG11" s="395"/>
      <c r="AH11" s="395"/>
      <c r="AI11" s="395"/>
      <c r="AJ11" s="395"/>
      <c r="AK11" s="395"/>
      <c r="AL11" s="395"/>
      <c r="AM11" s="395"/>
      <c r="AN11" s="395"/>
      <c r="AO11" s="395"/>
      <c r="AP11" s="395"/>
      <c r="AQ11" s="395"/>
      <c r="AR11" s="395"/>
      <c r="AS11" s="395"/>
      <c r="AT11" s="395"/>
      <c r="AU11" s="395"/>
      <c r="AV11" s="395"/>
      <c r="AW11" s="395"/>
      <c r="AY11" s="426">
        <v>5</v>
      </c>
      <c r="AZ11" s="427">
        <f t="shared" si="1"/>
        <v>45047</v>
      </c>
      <c r="BK11" s="436">
        <f t="shared" si="2"/>
        <v>0</v>
      </c>
      <c r="BL11" s="437">
        <f t="shared" si="3"/>
        <v>0</v>
      </c>
      <c r="BM11" s="437">
        <f t="shared" si="4"/>
        <v>0</v>
      </c>
      <c r="BN11" s="437">
        <f t="shared" si="5"/>
        <v>0</v>
      </c>
      <c r="BO11" s="437">
        <f t="shared" si="6"/>
        <v>0</v>
      </c>
      <c r="BP11" s="437">
        <f t="shared" si="7"/>
        <v>0</v>
      </c>
      <c r="BQ11" s="437">
        <f t="shared" si="8"/>
        <v>0</v>
      </c>
      <c r="BR11" s="438">
        <f t="shared" si="55"/>
        <v>0</v>
      </c>
      <c r="BS11" s="439">
        <f t="shared" si="56"/>
        <v>0</v>
      </c>
      <c r="BX11" s="395"/>
      <c r="BY11" s="395"/>
      <c r="BZ11" s="395"/>
      <c r="CA11" s="395"/>
      <c r="CB11" s="395"/>
      <c r="CC11" s="395"/>
      <c r="CD11" s="395"/>
      <c r="CE11" s="395"/>
      <c r="CF11" s="395"/>
      <c r="CG11" s="395"/>
      <c r="CH11" s="395"/>
      <c r="CI11" s="395"/>
      <c r="CJ11" s="395"/>
      <c r="CK11" s="395"/>
      <c r="CL11" s="395"/>
      <c r="CM11" s="395"/>
      <c r="CN11" s="395"/>
      <c r="CP11" s="426">
        <v>5</v>
      </c>
      <c r="CQ11" s="427">
        <f t="shared" si="9"/>
        <v>45047</v>
      </c>
      <c r="DB11" s="440">
        <f t="shared" si="57"/>
        <v>0</v>
      </c>
      <c r="DC11" s="426">
        <f t="shared" si="58"/>
        <v>0</v>
      </c>
      <c r="DD11" s="426">
        <f t="shared" si="59"/>
        <v>0</v>
      </c>
      <c r="DE11" s="426">
        <f t="shared" si="60"/>
        <v>0</v>
      </c>
      <c r="DF11" s="426">
        <f t="shared" si="61"/>
        <v>0</v>
      </c>
      <c r="DG11" s="426">
        <f t="shared" si="62"/>
        <v>0</v>
      </c>
      <c r="DH11" s="426">
        <f t="shared" si="63"/>
        <v>0</v>
      </c>
      <c r="DI11" s="441">
        <f t="shared" si="64"/>
        <v>0</v>
      </c>
      <c r="DJ11" s="442">
        <f t="shared" si="65"/>
        <v>0</v>
      </c>
      <c r="DN11" s="395"/>
      <c r="DY11" s="433">
        <f t="shared" si="10"/>
        <v>45017</v>
      </c>
      <c r="DZ11" s="433">
        <f t="shared" si="11"/>
        <v>45046</v>
      </c>
      <c r="EA11" s="389" t="str">
        <f>IF(AND(DZ11&gt;=EXPEDIENTE!$F$25,DY11&lt;=EXPEDIENTE!$F$29),"SI","NO")</f>
        <v>NO</v>
      </c>
      <c r="EB11" s="426">
        <f t="shared" si="12"/>
        <v>0</v>
      </c>
      <c r="EC11" s="426">
        <f t="shared" si="13"/>
        <v>0</v>
      </c>
      <c r="ED11" s="426">
        <f t="shared" si="14"/>
        <v>0</v>
      </c>
      <c r="EE11" s="426">
        <f t="shared" si="15"/>
        <v>0</v>
      </c>
      <c r="EF11" s="426">
        <f t="shared" si="16"/>
        <v>0</v>
      </c>
      <c r="EG11" s="426">
        <f t="shared" si="17"/>
        <v>0</v>
      </c>
      <c r="EH11" s="426">
        <f t="shared" si="18"/>
        <v>0</v>
      </c>
      <c r="EI11" s="426">
        <f t="shared" si="19"/>
        <v>0</v>
      </c>
      <c r="EJ11" s="426">
        <f t="shared" si="20"/>
        <v>0</v>
      </c>
      <c r="EK11" s="426">
        <f t="shared" si="21"/>
        <v>0</v>
      </c>
      <c r="EL11" s="426">
        <f t="shared" si="22"/>
        <v>0</v>
      </c>
      <c r="EM11" s="426">
        <f t="shared" si="23"/>
        <v>0</v>
      </c>
      <c r="EN11" s="426">
        <f t="shared" si="24"/>
        <v>0</v>
      </c>
      <c r="EO11" s="426">
        <f t="shared" si="25"/>
        <v>0</v>
      </c>
      <c r="EP11" s="426">
        <f t="shared" si="26"/>
        <v>0</v>
      </c>
      <c r="EQ11" s="426">
        <f t="shared" si="27"/>
        <v>0</v>
      </c>
      <c r="ER11" s="426">
        <f t="shared" si="28"/>
        <v>0</v>
      </c>
      <c r="ES11" s="426">
        <f t="shared" si="29"/>
        <v>0</v>
      </c>
      <c r="ET11" s="426">
        <f t="shared" si="30"/>
        <v>0</v>
      </c>
      <c r="EU11" s="426">
        <f t="shared" si="31"/>
        <v>0</v>
      </c>
      <c r="EV11" s="426">
        <f t="shared" si="32"/>
        <v>0</v>
      </c>
      <c r="EW11" s="426">
        <f t="shared" si="33"/>
        <v>0</v>
      </c>
      <c r="EX11" s="426">
        <f t="shared" si="34"/>
        <v>0</v>
      </c>
      <c r="EY11" s="426">
        <f t="shared" si="35"/>
        <v>0</v>
      </c>
      <c r="EZ11" s="426">
        <f t="shared" si="36"/>
        <v>0</v>
      </c>
      <c r="FA11" s="426">
        <f t="shared" si="37"/>
        <v>0</v>
      </c>
      <c r="FB11" s="426">
        <f t="shared" si="38"/>
        <v>0</v>
      </c>
      <c r="FC11" s="426">
        <f t="shared" si="39"/>
        <v>0</v>
      </c>
      <c r="FD11" s="426">
        <f t="shared" si="40"/>
        <v>0</v>
      </c>
      <c r="FE11" s="426">
        <f t="shared" si="41"/>
        <v>0</v>
      </c>
      <c r="FF11" s="426">
        <f t="shared" si="42"/>
        <v>0</v>
      </c>
      <c r="FG11" s="426">
        <f t="shared" si="43"/>
        <v>0</v>
      </c>
      <c r="FH11" s="426">
        <f t="shared" si="66"/>
        <v>0</v>
      </c>
      <c r="FR11" s="395"/>
      <c r="GC11" s="433">
        <f t="shared" si="44"/>
        <v>45017</v>
      </c>
      <c r="GD11" s="433">
        <f t="shared" si="45"/>
        <v>45046</v>
      </c>
      <c r="GE11" s="389" t="str">
        <f>IF(AND(GD11&gt;=EXPEDIENTE!$F$25,GC11&lt;=EXPEDIENTE!$F$29),"SI","NO")</f>
        <v>NO</v>
      </c>
      <c r="GF11" s="426">
        <f t="shared" si="67"/>
        <v>0</v>
      </c>
      <c r="GG11" s="426">
        <f t="shared" si="68"/>
        <v>0</v>
      </c>
      <c r="GH11" s="426">
        <f t="shared" si="69"/>
        <v>0</v>
      </c>
      <c r="GI11" s="426">
        <f t="shared" si="70"/>
        <v>0</v>
      </c>
      <c r="GJ11" s="426">
        <f t="shared" si="71"/>
        <v>0</v>
      </c>
      <c r="GK11" s="426">
        <f t="shared" si="72"/>
        <v>0</v>
      </c>
      <c r="GL11" s="426">
        <f t="shared" si="73"/>
        <v>0</v>
      </c>
      <c r="GM11" s="426">
        <f t="shared" si="74"/>
        <v>0</v>
      </c>
      <c r="GN11" s="426">
        <f t="shared" si="75"/>
        <v>0</v>
      </c>
      <c r="GO11" s="426">
        <f t="shared" si="76"/>
        <v>0</v>
      </c>
      <c r="GP11" s="426">
        <f t="shared" si="77"/>
        <v>0</v>
      </c>
      <c r="GQ11" s="426">
        <f t="shared" si="78"/>
        <v>0</v>
      </c>
      <c r="GR11" s="426">
        <f t="shared" si="79"/>
        <v>0</v>
      </c>
      <c r="GS11" s="426">
        <f t="shared" si="80"/>
        <v>0</v>
      </c>
      <c r="GT11" s="426">
        <f t="shared" si="81"/>
        <v>0</v>
      </c>
      <c r="GU11" s="426">
        <f t="shared" si="82"/>
        <v>0</v>
      </c>
      <c r="GV11" s="426">
        <f t="shared" si="83"/>
        <v>0</v>
      </c>
      <c r="GW11" s="426">
        <f t="shared" si="84"/>
        <v>0</v>
      </c>
      <c r="GX11" s="426">
        <f t="shared" si="85"/>
        <v>0</v>
      </c>
      <c r="GY11" s="426">
        <f t="shared" si="86"/>
        <v>0</v>
      </c>
      <c r="GZ11" s="426">
        <f t="shared" si="87"/>
        <v>0</v>
      </c>
      <c r="HA11" s="426">
        <f t="shared" si="88"/>
        <v>0</v>
      </c>
      <c r="HB11" s="426">
        <f t="shared" si="89"/>
        <v>0</v>
      </c>
      <c r="HC11" s="426">
        <f t="shared" si="90"/>
        <v>0</v>
      </c>
      <c r="HD11" s="426">
        <f t="shared" si="91"/>
        <v>0</v>
      </c>
      <c r="HE11" s="426">
        <f t="shared" si="92"/>
        <v>0</v>
      </c>
      <c r="HF11" s="426">
        <f t="shared" si="93"/>
        <v>0</v>
      </c>
      <c r="HG11" s="426">
        <f t="shared" si="94"/>
        <v>0</v>
      </c>
      <c r="HH11" s="426">
        <f t="shared" si="95"/>
        <v>0</v>
      </c>
      <c r="HI11" s="426">
        <f t="shared" si="96"/>
        <v>0</v>
      </c>
      <c r="HJ11" s="426">
        <f t="shared" si="97"/>
        <v>0</v>
      </c>
      <c r="HK11" s="426">
        <f t="shared" si="98"/>
        <v>0</v>
      </c>
      <c r="HL11" s="426">
        <f t="shared" si="99"/>
        <v>0</v>
      </c>
      <c r="JC11" s="419">
        <v>7</v>
      </c>
      <c r="JD11" s="401">
        <f t="shared" ref="JD11:JD74" si="100">JD6+2</f>
        <v>2</v>
      </c>
    </row>
    <row r="12" spans="1:266" x14ac:dyDescent="0.25">
      <c r="C12" s="209">
        <v>6</v>
      </c>
      <c r="D12" s="404"/>
      <c r="E12" s="420"/>
      <c r="F12" s="421"/>
      <c r="G12" s="422"/>
      <c r="H12" s="422"/>
      <c r="I12" s="422"/>
      <c r="J12" s="404"/>
      <c r="K12" s="410">
        <f t="shared" si="52"/>
        <v>76</v>
      </c>
      <c r="L12" s="410">
        <f t="shared" si="53"/>
        <v>76</v>
      </c>
      <c r="M12" s="410" t="str">
        <f t="shared" si="54"/>
        <v>X</v>
      </c>
      <c r="O12" s="979"/>
      <c r="P12" s="422"/>
      <c r="R12" s="447" t="s">
        <v>18</v>
      </c>
      <c r="S12" s="448">
        <f>EXPEDIENTE!F27</f>
        <v>0</v>
      </c>
      <c r="V12" s="982"/>
      <c r="W12" s="444" t="s">
        <v>258</v>
      </c>
      <c r="Y12" s="425">
        <f t="shared" si="0"/>
        <v>7</v>
      </c>
      <c r="Z12" s="415" t="str">
        <f>IF(Y12="","",IF(EDATE($Z$5,Y12)&gt;EXPEDIENTE!$F$27,"",EDATE($Z$5,Y12)))</f>
        <v/>
      </c>
      <c r="AA12" s="415" t="str">
        <f>IF(Z12="","",IF(YEAR(EXPEDIENTE!$F$25)=YEAR(Z12),Z12,""))</f>
        <v/>
      </c>
      <c r="AB12" s="415" t="str">
        <f>IF(Z12="","",IF(YEAR(EXPEDIENTE!$F$25)+1=YEAR(Z12),Z12,""))</f>
        <v/>
      </c>
      <c r="AC12" s="415" t="str">
        <f>IF(Z12="","",IF(YEAR(EXPEDIENTE!$F$25)+2=YEAR(Z12),Z12,""))</f>
        <v/>
      </c>
      <c r="AD12" s="415" t="str">
        <f>IF(Z12="","",IF(YEAR(EXPEDIENTE!$F$25)+3=YEAR(Z12),Z12,""))</f>
        <v/>
      </c>
      <c r="AG12" s="395"/>
      <c r="AH12" s="395"/>
      <c r="AI12" s="395"/>
      <c r="AJ12" s="395"/>
      <c r="AK12" s="395"/>
      <c r="AL12" s="395"/>
      <c r="AM12" s="395"/>
      <c r="AN12" s="395"/>
      <c r="AO12" s="395"/>
      <c r="AP12" s="395"/>
      <c r="AQ12" s="395"/>
      <c r="AR12" s="395"/>
      <c r="AS12" s="395"/>
      <c r="AT12" s="395"/>
      <c r="AU12" s="395"/>
      <c r="AV12" s="395"/>
      <c r="AW12" s="395"/>
      <c r="AY12" s="426">
        <v>6</v>
      </c>
      <c r="AZ12" s="427">
        <f t="shared" si="1"/>
        <v>45078</v>
      </c>
      <c r="BK12" s="436">
        <f t="shared" si="2"/>
        <v>0</v>
      </c>
      <c r="BL12" s="437">
        <f t="shared" si="3"/>
        <v>0</v>
      </c>
      <c r="BM12" s="437">
        <f t="shared" si="4"/>
        <v>0</v>
      </c>
      <c r="BN12" s="437">
        <f t="shared" si="5"/>
        <v>0</v>
      </c>
      <c r="BO12" s="437">
        <f t="shared" si="6"/>
        <v>0</v>
      </c>
      <c r="BP12" s="437">
        <f t="shared" si="7"/>
        <v>0</v>
      </c>
      <c r="BQ12" s="437">
        <f t="shared" si="8"/>
        <v>0</v>
      </c>
      <c r="BR12" s="438">
        <f t="shared" si="55"/>
        <v>0</v>
      </c>
      <c r="BS12" s="439">
        <f t="shared" si="56"/>
        <v>0</v>
      </c>
      <c r="BX12" s="395"/>
      <c r="BY12" s="395"/>
      <c r="BZ12" s="395"/>
      <c r="CA12" s="395"/>
      <c r="CB12" s="395"/>
      <c r="CC12" s="395"/>
      <c r="CD12" s="395"/>
      <c r="CE12" s="395"/>
      <c r="CF12" s="395"/>
      <c r="CG12" s="395"/>
      <c r="CH12" s="395"/>
      <c r="CI12" s="395"/>
      <c r="CJ12" s="395"/>
      <c r="CK12" s="395"/>
      <c r="CL12" s="395"/>
      <c r="CM12" s="395"/>
      <c r="CN12" s="395"/>
      <c r="CP12" s="426">
        <v>6</v>
      </c>
      <c r="CQ12" s="427">
        <f t="shared" si="9"/>
        <v>45078</v>
      </c>
      <c r="DB12" s="440">
        <f t="shared" si="57"/>
        <v>0</v>
      </c>
      <c r="DC12" s="426">
        <f t="shared" si="58"/>
        <v>0</v>
      </c>
      <c r="DD12" s="426">
        <f t="shared" si="59"/>
        <v>0</v>
      </c>
      <c r="DE12" s="426">
        <f t="shared" si="60"/>
        <v>0</v>
      </c>
      <c r="DF12" s="426">
        <f t="shared" si="61"/>
        <v>0</v>
      </c>
      <c r="DG12" s="426">
        <f t="shared" si="62"/>
        <v>0</v>
      </c>
      <c r="DH12" s="426">
        <f t="shared" si="63"/>
        <v>0</v>
      </c>
      <c r="DI12" s="441">
        <f t="shared" si="64"/>
        <v>0</v>
      </c>
      <c r="DJ12" s="442">
        <f t="shared" si="65"/>
        <v>0</v>
      </c>
      <c r="DN12" s="395"/>
      <c r="DY12" s="433">
        <f t="shared" si="10"/>
        <v>45047</v>
      </c>
      <c r="DZ12" s="433">
        <f t="shared" si="11"/>
        <v>45077</v>
      </c>
      <c r="EA12" s="389" t="str">
        <f>IF(AND(DZ12&gt;=EXPEDIENTE!$F$25,DY12&lt;=EXPEDIENTE!$F$29),"SI","NO")</f>
        <v>NO</v>
      </c>
      <c r="EB12" s="426">
        <f t="shared" si="12"/>
        <v>0</v>
      </c>
      <c r="EC12" s="426">
        <f t="shared" si="13"/>
        <v>0</v>
      </c>
      <c r="ED12" s="426">
        <f t="shared" si="14"/>
        <v>0</v>
      </c>
      <c r="EE12" s="426">
        <f t="shared" si="15"/>
        <v>0</v>
      </c>
      <c r="EF12" s="426">
        <f t="shared" si="16"/>
        <v>0</v>
      </c>
      <c r="EG12" s="426">
        <f t="shared" si="17"/>
        <v>0</v>
      </c>
      <c r="EH12" s="426">
        <f t="shared" si="18"/>
        <v>0</v>
      </c>
      <c r="EI12" s="426">
        <f t="shared" si="19"/>
        <v>0</v>
      </c>
      <c r="EJ12" s="426">
        <f t="shared" si="20"/>
        <v>0</v>
      </c>
      <c r="EK12" s="426">
        <f t="shared" si="21"/>
        <v>0</v>
      </c>
      <c r="EL12" s="426">
        <f t="shared" si="22"/>
        <v>0</v>
      </c>
      <c r="EM12" s="426">
        <f t="shared" si="23"/>
        <v>0</v>
      </c>
      <c r="EN12" s="426">
        <f t="shared" si="24"/>
        <v>0</v>
      </c>
      <c r="EO12" s="426">
        <f t="shared" si="25"/>
        <v>0</v>
      </c>
      <c r="EP12" s="426">
        <f t="shared" si="26"/>
        <v>0</v>
      </c>
      <c r="EQ12" s="426">
        <f t="shared" si="27"/>
        <v>0</v>
      </c>
      <c r="ER12" s="426">
        <f t="shared" si="28"/>
        <v>0</v>
      </c>
      <c r="ES12" s="426">
        <f t="shared" si="29"/>
        <v>0</v>
      </c>
      <c r="ET12" s="426">
        <f t="shared" si="30"/>
        <v>0</v>
      </c>
      <c r="EU12" s="426">
        <f t="shared" si="31"/>
        <v>0</v>
      </c>
      <c r="EV12" s="426">
        <f t="shared" si="32"/>
        <v>0</v>
      </c>
      <c r="EW12" s="426">
        <f t="shared" si="33"/>
        <v>0</v>
      </c>
      <c r="EX12" s="426">
        <f t="shared" si="34"/>
        <v>0</v>
      </c>
      <c r="EY12" s="426">
        <f t="shared" si="35"/>
        <v>0</v>
      </c>
      <c r="EZ12" s="426">
        <f t="shared" si="36"/>
        <v>0</v>
      </c>
      <c r="FA12" s="426">
        <f t="shared" si="37"/>
        <v>0</v>
      </c>
      <c r="FB12" s="426">
        <f t="shared" si="38"/>
        <v>0</v>
      </c>
      <c r="FC12" s="426">
        <f t="shared" si="39"/>
        <v>0</v>
      </c>
      <c r="FD12" s="426">
        <f t="shared" si="40"/>
        <v>0</v>
      </c>
      <c r="FE12" s="426">
        <f t="shared" si="41"/>
        <v>0</v>
      </c>
      <c r="FF12" s="426">
        <f t="shared" si="42"/>
        <v>0</v>
      </c>
      <c r="FG12" s="426">
        <f t="shared" si="43"/>
        <v>0</v>
      </c>
      <c r="FH12" s="426">
        <f t="shared" si="66"/>
        <v>0</v>
      </c>
      <c r="FQ12" s="395"/>
      <c r="FR12" s="395"/>
      <c r="GC12" s="433">
        <f t="shared" si="44"/>
        <v>45047</v>
      </c>
      <c r="GD12" s="433">
        <f t="shared" si="45"/>
        <v>45077</v>
      </c>
      <c r="GE12" s="389" t="str">
        <f>IF(AND(GD12&gt;=EXPEDIENTE!$F$25,GC12&lt;=EXPEDIENTE!$F$29),"SI","NO")</f>
        <v>NO</v>
      </c>
      <c r="GF12" s="426">
        <f t="shared" si="67"/>
        <v>0</v>
      </c>
      <c r="GG12" s="426">
        <f t="shared" si="68"/>
        <v>0</v>
      </c>
      <c r="GH12" s="426">
        <f t="shared" si="69"/>
        <v>0</v>
      </c>
      <c r="GI12" s="426">
        <f t="shared" si="70"/>
        <v>0</v>
      </c>
      <c r="GJ12" s="426">
        <f t="shared" si="71"/>
        <v>0</v>
      </c>
      <c r="GK12" s="426">
        <f t="shared" si="72"/>
        <v>0</v>
      </c>
      <c r="GL12" s="426">
        <f t="shared" si="73"/>
        <v>0</v>
      </c>
      <c r="GM12" s="426">
        <f t="shared" si="74"/>
        <v>0</v>
      </c>
      <c r="GN12" s="426">
        <f t="shared" si="75"/>
        <v>0</v>
      </c>
      <c r="GO12" s="426">
        <f t="shared" si="76"/>
        <v>0</v>
      </c>
      <c r="GP12" s="426">
        <f t="shared" si="77"/>
        <v>0</v>
      </c>
      <c r="GQ12" s="426">
        <f t="shared" si="78"/>
        <v>0</v>
      </c>
      <c r="GR12" s="426">
        <f t="shared" si="79"/>
        <v>0</v>
      </c>
      <c r="GS12" s="426">
        <f t="shared" si="80"/>
        <v>0</v>
      </c>
      <c r="GT12" s="426">
        <f t="shared" si="81"/>
        <v>0</v>
      </c>
      <c r="GU12" s="426">
        <f t="shared" si="82"/>
        <v>0</v>
      </c>
      <c r="GV12" s="426">
        <f t="shared" si="83"/>
        <v>0</v>
      </c>
      <c r="GW12" s="426">
        <f t="shared" si="84"/>
        <v>0</v>
      </c>
      <c r="GX12" s="426">
        <f t="shared" si="85"/>
        <v>0</v>
      </c>
      <c r="GY12" s="426">
        <f t="shared" si="86"/>
        <v>0</v>
      </c>
      <c r="GZ12" s="426">
        <f t="shared" si="87"/>
        <v>0</v>
      </c>
      <c r="HA12" s="426">
        <f t="shared" si="88"/>
        <v>0</v>
      </c>
      <c r="HB12" s="426">
        <f t="shared" si="89"/>
        <v>0</v>
      </c>
      <c r="HC12" s="426">
        <f t="shared" si="90"/>
        <v>0</v>
      </c>
      <c r="HD12" s="426">
        <f t="shared" si="91"/>
        <v>0</v>
      </c>
      <c r="HE12" s="426">
        <f t="shared" si="92"/>
        <v>0</v>
      </c>
      <c r="HF12" s="426">
        <f t="shared" si="93"/>
        <v>0</v>
      </c>
      <c r="HG12" s="426">
        <f t="shared" si="94"/>
        <v>0</v>
      </c>
      <c r="HH12" s="426">
        <f t="shared" si="95"/>
        <v>0</v>
      </c>
      <c r="HI12" s="426">
        <f t="shared" si="96"/>
        <v>0</v>
      </c>
      <c r="HJ12" s="426">
        <f t="shared" si="97"/>
        <v>0</v>
      </c>
      <c r="HK12" s="426">
        <f t="shared" si="98"/>
        <v>0</v>
      </c>
      <c r="HL12" s="426">
        <f t="shared" si="99"/>
        <v>0</v>
      </c>
      <c r="HV12" s="395"/>
      <c r="IA12" s="396"/>
      <c r="IB12" s="395"/>
      <c r="ID12" s="396"/>
      <c r="IH12" s="395"/>
      <c r="IP12" s="396"/>
      <c r="IQ12" s="395"/>
      <c r="IS12" s="396"/>
      <c r="IW12" s="395"/>
      <c r="JC12" s="419">
        <v>8</v>
      </c>
      <c r="JD12" s="401">
        <f>JD7+2</f>
        <v>2</v>
      </c>
    </row>
    <row r="13" spans="1:266" x14ac:dyDescent="0.25">
      <c r="C13" s="209">
        <v>7</v>
      </c>
      <c r="D13" s="404"/>
      <c r="E13" s="420"/>
      <c r="F13" s="421"/>
      <c r="G13" s="422"/>
      <c r="H13" s="422"/>
      <c r="I13" s="422"/>
      <c r="J13" s="404"/>
      <c r="K13" s="410">
        <f t="shared" si="52"/>
        <v>76</v>
      </c>
      <c r="L13" s="410">
        <f t="shared" si="53"/>
        <v>76</v>
      </c>
      <c r="M13" s="410" t="str">
        <f t="shared" si="54"/>
        <v>X</v>
      </c>
      <c r="O13" s="979"/>
      <c r="P13" s="422"/>
      <c r="R13" s="447" t="s">
        <v>19</v>
      </c>
      <c r="S13" s="403">
        <f>DAY(S12)</f>
        <v>0</v>
      </c>
      <c r="V13" s="982"/>
      <c r="W13" s="444" t="s">
        <v>259</v>
      </c>
      <c r="Y13" s="425">
        <f t="shared" si="0"/>
        <v>8</v>
      </c>
      <c r="Z13" s="415" t="str">
        <f>IF(Y13="","",IF(EDATE($Z$5,Y13)&gt;EXPEDIENTE!$F$27,"",EDATE($Z$5,Y13)))</f>
        <v/>
      </c>
      <c r="AA13" s="415" t="str">
        <f>IF(Z13="","",IF(YEAR(EXPEDIENTE!$F$25)=YEAR(Z13),Z13,""))</f>
        <v/>
      </c>
      <c r="AB13" s="415" t="str">
        <f>IF(Z13="","",IF(YEAR(EXPEDIENTE!$F$25)+1=YEAR(Z13),Z13,""))</f>
        <v/>
      </c>
      <c r="AC13" s="415" t="str">
        <f>IF(Z13="","",IF(YEAR(EXPEDIENTE!$F$25)+2=YEAR(Z13),Z13,""))</f>
        <v/>
      </c>
      <c r="AD13" s="415" t="str">
        <f>IF(Z13="","",IF(YEAR(EXPEDIENTE!$F$25)+3=YEAR(Z13),Z13,""))</f>
        <v/>
      </c>
      <c r="AG13" s="395"/>
      <c r="AH13" s="395"/>
      <c r="AI13" s="395"/>
      <c r="AJ13" s="395"/>
      <c r="AK13" s="395"/>
      <c r="AL13" s="395"/>
      <c r="AM13" s="395"/>
      <c r="AN13" s="395"/>
      <c r="AO13" s="395"/>
      <c r="AP13" s="395"/>
      <c r="AQ13" s="395"/>
      <c r="AR13" s="395"/>
      <c r="AS13" s="395"/>
      <c r="AT13" s="395"/>
      <c r="AU13" s="395"/>
      <c r="AV13" s="395"/>
      <c r="AW13" s="395"/>
      <c r="AY13" s="426">
        <v>7</v>
      </c>
      <c r="AZ13" s="427">
        <f t="shared" si="1"/>
        <v>45108</v>
      </c>
      <c r="BK13" s="436">
        <f t="shared" si="2"/>
        <v>0</v>
      </c>
      <c r="BL13" s="437">
        <f t="shared" si="3"/>
        <v>0</v>
      </c>
      <c r="BM13" s="437">
        <f t="shared" si="4"/>
        <v>0</v>
      </c>
      <c r="BN13" s="437">
        <f t="shared" si="5"/>
        <v>0</v>
      </c>
      <c r="BO13" s="437">
        <f t="shared" si="6"/>
        <v>0</v>
      </c>
      <c r="BP13" s="437">
        <f t="shared" si="7"/>
        <v>0</v>
      </c>
      <c r="BQ13" s="437">
        <f t="shared" si="8"/>
        <v>0</v>
      </c>
      <c r="BR13" s="438">
        <f t="shared" si="55"/>
        <v>0</v>
      </c>
      <c r="BS13" s="439">
        <f t="shared" si="56"/>
        <v>0</v>
      </c>
      <c r="BX13" s="395"/>
      <c r="BY13" s="395"/>
      <c r="BZ13" s="395"/>
      <c r="CA13" s="395"/>
      <c r="CB13" s="395"/>
      <c r="CC13" s="395"/>
      <c r="CD13" s="395"/>
      <c r="CE13" s="395"/>
      <c r="CF13" s="395"/>
      <c r="CG13" s="395"/>
      <c r="CH13" s="395"/>
      <c r="CI13" s="395"/>
      <c r="CJ13" s="395"/>
      <c r="CK13" s="395"/>
      <c r="CL13" s="395"/>
      <c r="CM13" s="395"/>
      <c r="CN13" s="395"/>
      <c r="CP13" s="426">
        <v>7</v>
      </c>
      <c r="CQ13" s="427">
        <f t="shared" si="9"/>
        <v>45108</v>
      </c>
      <c r="DB13" s="440">
        <f t="shared" si="57"/>
        <v>0</v>
      </c>
      <c r="DC13" s="426">
        <f t="shared" si="58"/>
        <v>0</v>
      </c>
      <c r="DD13" s="426">
        <f t="shared" si="59"/>
        <v>0</v>
      </c>
      <c r="DE13" s="426">
        <f t="shared" si="60"/>
        <v>0</v>
      </c>
      <c r="DF13" s="426">
        <f t="shared" si="61"/>
        <v>0</v>
      </c>
      <c r="DG13" s="426">
        <f t="shared" si="62"/>
        <v>0</v>
      </c>
      <c r="DH13" s="426">
        <f t="shared" si="63"/>
        <v>0</v>
      </c>
      <c r="DI13" s="441">
        <f t="shared" si="64"/>
        <v>0</v>
      </c>
      <c r="DJ13" s="442">
        <f t="shared" si="65"/>
        <v>0</v>
      </c>
      <c r="DN13" s="395"/>
      <c r="DY13" s="433">
        <f t="shared" si="10"/>
        <v>45078</v>
      </c>
      <c r="DZ13" s="433">
        <f t="shared" si="11"/>
        <v>45107</v>
      </c>
      <c r="EA13" s="389" t="str">
        <f>IF(AND(DZ13&gt;=EXPEDIENTE!$F$25,DY13&lt;=EXPEDIENTE!$F$29),"SI","NO")</f>
        <v>NO</v>
      </c>
      <c r="EB13" s="426">
        <f t="shared" si="12"/>
        <v>0</v>
      </c>
      <c r="EC13" s="426">
        <f t="shared" si="13"/>
        <v>0</v>
      </c>
      <c r="ED13" s="426">
        <f t="shared" si="14"/>
        <v>0</v>
      </c>
      <c r="EE13" s="426">
        <f t="shared" si="15"/>
        <v>0</v>
      </c>
      <c r="EF13" s="426">
        <f t="shared" si="16"/>
        <v>0</v>
      </c>
      <c r="EG13" s="426">
        <f t="shared" si="17"/>
        <v>0</v>
      </c>
      <c r="EH13" s="426">
        <f t="shared" si="18"/>
        <v>0</v>
      </c>
      <c r="EI13" s="426">
        <f t="shared" si="19"/>
        <v>0</v>
      </c>
      <c r="EJ13" s="426">
        <f t="shared" si="20"/>
        <v>0</v>
      </c>
      <c r="EK13" s="426">
        <f t="shared" si="21"/>
        <v>0</v>
      </c>
      <c r="EL13" s="426">
        <f t="shared" si="22"/>
        <v>0</v>
      </c>
      <c r="EM13" s="426">
        <f t="shared" si="23"/>
        <v>0</v>
      </c>
      <c r="EN13" s="426">
        <f t="shared" si="24"/>
        <v>0</v>
      </c>
      <c r="EO13" s="426">
        <f t="shared" si="25"/>
        <v>0</v>
      </c>
      <c r="EP13" s="426">
        <f t="shared" si="26"/>
        <v>0</v>
      </c>
      <c r="EQ13" s="426">
        <f t="shared" si="27"/>
        <v>0</v>
      </c>
      <c r="ER13" s="426">
        <f t="shared" si="28"/>
        <v>0</v>
      </c>
      <c r="ES13" s="426">
        <f t="shared" si="29"/>
        <v>0</v>
      </c>
      <c r="ET13" s="426">
        <f t="shared" si="30"/>
        <v>0</v>
      </c>
      <c r="EU13" s="426">
        <f t="shared" si="31"/>
        <v>0</v>
      </c>
      <c r="EV13" s="426">
        <f t="shared" si="32"/>
        <v>0</v>
      </c>
      <c r="EW13" s="426">
        <f t="shared" si="33"/>
        <v>0</v>
      </c>
      <c r="EX13" s="426">
        <f t="shared" si="34"/>
        <v>0</v>
      </c>
      <c r="EY13" s="426">
        <f t="shared" si="35"/>
        <v>0</v>
      </c>
      <c r="EZ13" s="426">
        <f t="shared" si="36"/>
        <v>0</v>
      </c>
      <c r="FA13" s="426">
        <f t="shared" si="37"/>
        <v>0</v>
      </c>
      <c r="FB13" s="426">
        <f t="shared" si="38"/>
        <v>0</v>
      </c>
      <c r="FC13" s="426">
        <f t="shared" si="39"/>
        <v>0</v>
      </c>
      <c r="FD13" s="426">
        <f t="shared" si="40"/>
        <v>0</v>
      </c>
      <c r="FE13" s="426">
        <f t="shared" si="41"/>
        <v>0</v>
      </c>
      <c r="FF13" s="426">
        <f t="shared" si="42"/>
        <v>0</v>
      </c>
      <c r="FG13" s="426">
        <f t="shared" si="43"/>
        <v>0</v>
      </c>
      <c r="FH13" s="426">
        <f t="shared" si="66"/>
        <v>0</v>
      </c>
      <c r="FQ13" s="395"/>
      <c r="FR13" s="395"/>
      <c r="GC13" s="433">
        <f t="shared" si="44"/>
        <v>45078</v>
      </c>
      <c r="GD13" s="433">
        <f t="shared" si="45"/>
        <v>45107</v>
      </c>
      <c r="GE13" s="389" t="str">
        <f>IF(AND(GD13&gt;=EXPEDIENTE!$F$25,GC13&lt;=EXPEDIENTE!$F$29),"SI","NO")</f>
        <v>NO</v>
      </c>
      <c r="GF13" s="426">
        <f t="shared" si="67"/>
        <v>0</v>
      </c>
      <c r="GG13" s="426">
        <f t="shared" si="68"/>
        <v>0</v>
      </c>
      <c r="GH13" s="426">
        <f t="shared" si="69"/>
        <v>0</v>
      </c>
      <c r="GI13" s="426">
        <f t="shared" si="70"/>
        <v>0</v>
      </c>
      <c r="GJ13" s="426">
        <f t="shared" si="71"/>
        <v>0</v>
      </c>
      <c r="GK13" s="426">
        <f t="shared" si="72"/>
        <v>0</v>
      </c>
      <c r="GL13" s="426">
        <f t="shared" si="73"/>
        <v>0</v>
      </c>
      <c r="GM13" s="426">
        <f t="shared" si="74"/>
        <v>0</v>
      </c>
      <c r="GN13" s="426">
        <f t="shared" si="75"/>
        <v>0</v>
      </c>
      <c r="GO13" s="426">
        <f t="shared" si="76"/>
        <v>0</v>
      </c>
      <c r="GP13" s="426">
        <f t="shared" si="77"/>
        <v>0</v>
      </c>
      <c r="GQ13" s="426">
        <f t="shared" si="78"/>
        <v>0</v>
      </c>
      <c r="GR13" s="426">
        <f t="shared" si="79"/>
        <v>0</v>
      </c>
      <c r="GS13" s="426">
        <f t="shared" si="80"/>
        <v>0</v>
      </c>
      <c r="GT13" s="426">
        <f t="shared" si="81"/>
        <v>0</v>
      </c>
      <c r="GU13" s="426">
        <f t="shared" si="82"/>
        <v>0</v>
      </c>
      <c r="GV13" s="426">
        <f t="shared" si="83"/>
        <v>0</v>
      </c>
      <c r="GW13" s="426">
        <f t="shared" si="84"/>
        <v>0</v>
      </c>
      <c r="GX13" s="426">
        <f t="shared" si="85"/>
        <v>0</v>
      </c>
      <c r="GY13" s="426">
        <f t="shared" si="86"/>
        <v>0</v>
      </c>
      <c r="GZ13" s="426">
        <f t="shared" si="87"/>
        <v>0</v>
      </c>
      <c r="HA13" s="426">
        <f t="shared" si="88"/>
        <v>0</v>
      </c>
      <c r="HB13" s="426">
        <f t="shared" si="89"/>
        <v>0</v>
      </c>
      <c r="HC13" s="426">
        <f t="shared" si="90"/>
        <v>0</v>
      </c>
      <c r="HD13" s="426">
        <f t="shared" si="91"/>
        <v>0</v>
      </c>
      <c r="HE13" s="426">
        <f t="shared" si="92"/>
        <v>0</v>
      </c>
      <c r="HF13" s="426">
        <f t="shared" si="93"/>
        <v>0</v>
      </c>
      <c r="HG13" s="426">
        <f t="shared" si="94"/>
        <v>0</v>
      </c>
      <c r="HH13" s="426">
        <f t="shared" si="95"/>
        <v>0</v>
      </c>
      <c r="HI13" s="426">
        <f t="shared" si="96"/>
        <v>0</v>
      </c>
      <c r="HJ13" s="426">
        <f t="shared" si="97"/>
        <v>0</v>
      </c>
      <c r="HK13" s="426">
        <f t="shared" si="98"/>
        <v>0</v>
      </c>
      <c r="HL13" s="426">
        <f t="shared" si="99"/>
        <v>0</v>
      </c>
      <c r="HV13" s="395"/>
      <c r="IA13" s="396"/>
      <c r="IB13" s="395"/>
      <c r="ID13" s="396"/>
      <c r="IH13" s="395"/>
      <c r="IP13" s="396"/>
      <c r="IQ13" s="395"/>
      <c r="IS13" s="396"/>
      <c r="IW13" s="395"/>
      <c r="JC13" s="419">
        <v>9</v>
      </c>
      <c r="JD13" s="401">
        <f>JD8+2</f>
        <v>2</v>
      </c>
    </row>
    <row r="14" spans="1:266" x14ac:dyDescent="0.25">
      <c r="C14" s="209">
        <v>8</v>
      </c>
      <c r="D14" s="404"/>
      <c r="E14" s="420"/>
      <c r="F14" s="421"/>
      <c r="G14" s="422"/>
      <c r="H14" s="422"/>
      <c r="I14" s="422"/>
      <c r="J14" s="404"/>
      <c r="K14" s="410">
        <f t="shared" si="52"/>
        <v>76</v>
      </c>
      <c r="L14" s="410">
        <f t="shared" si="53"/>
        <v>76</v>
      </c>
      <c r="M14" s="410" t="str">
        <f t="shared" si="54"/>
        <v>X</v>
      </c>
      <c r="R14" s="447" t="s">
        <v>20</v>
      </c>
      <c r="S14" s="403">
        <f>MONTH(S12)</f>
        <v>1</v>
      </c>
      <c r="V14" s="982"/>
      <c r="W14" s="444" t="s">
        <v>30</v>
      </c>
      <c r="Y14" s="425">
        <f t="shared" si="0"/>
        <v>9</v>
      </c>
      <c r="Z14" s="415" t="str">
        <f>IF(Y14="","",IF(EDATE($Z$5,Y14)&gt;EXPEDIENTE!$F$27,"",EDATE($Z$5,Y14)))</f>
        <v/>
      </c>
      <c r="AA14" s="415" t="str">
        <f>IF(Z14="","",IF(YEAR(EXPEDIENTE!$F$25)=YEAR(Z14),Z14,""))</f>
        <v/>
      </c>
      <c r="AB14" s="415" t="str">
        <f>IF(Z14="","",IF(YEAR(EXPEDIENTE!$F$25)+1=YEAR(Z14),Z14,""))</f>
        <v/>
      </c>
      <c r="AC14" s="415" t="str">
        <f>IF(Z14="","",IF(YEAR(EXPEDIENTE!$F$25)+2=YEAR(Z14),Z14,""))</f>
        <v/>
      </c>
      <c r="AD14" s="415" t="str">
        <f>IF(Z14="","",IF(YEAR(EXPEDIENTE!$F$25)+3=YEAR(Z14),Z14,""))</f>
        <v/>
      </c>
      <c r="AG14" s="395"/>
      <c r="AH14" s="395"/>
      <c r="AI14" s="395"/>
      <c r="AJ14" s="395"/>
      <c r="AK14" s="395"/>
      <c r="AL14" s="395"/>
      <c r="AM14" s="395"/>
      <c r="AN14" s="395"/>
      <c r="AO14" s="395"/>
      <c r="AP14" s="395"/>
      <c r="AQ14" s="395"/>
      <c r="AR14" s="395"/>
      <c r="AS14" s="395"/>
      <c r="AT14" s="395"/>
      <c r="AU14" s="395"/>
      <c r="AV14" s="395"/>
      <c r="AW14" s="395"/>
      <c r="AY14" s="426">
        <v>8</v>
      </c>
      <c r="AZ14" s="427">
        <f t="shared" si="1"/>
        <v>45139</v>
      </c>
      <c r="BK14" s="436">
        <f t="shared" si="2"/>
        <v>0</v>
      </c>
      <c r="BL14" s="437">
        <f t="shared" si="3"/>
        <v>0</v>
      </c>
      <c r="BM14" s="437">
        <f t="shared" si="4"/>
        <v>0</v>
      </c>
      <c r="BN14" s="437">
        <f t="shared" si="5"/>
        <v>0</v>
      </c>
      <c r="BO14" s="437">
        <f t="shared" si="6"/>
        <v>0</v>
      </c>
      <c r="BP14" s="437">
        <f t="shared" si="7"/>
        <v>0</v>
      </c>
      <c r="BQ14" s="437">
        <f t="shared" si="8"/>
        <v>0</v>
      </c>
      <c r="BR14" s="438">
        <f t="shared" si="55"/>
        <v>0</v>
      </c>
      <c r="BS14" s="439">
        <f t="shared" si="56"/>
        <v>0</v>
      </c>
      <c r="BX14" s="395"/>
      <c r="BY14" s="395"/>
      <c r="BZ14" s="395"/>
      <c r="CA14" s="395"/>
      <c r="CB14" s="395"/>
      <c r="CC14" s="395"/>
      <c r="CD14" s="395"/>
      <c r="CE14" s="395"/>
      <c r="CF14" s="395"/>
      <c r="CG14" s="395"/>
      <c r="CH14" s="395"/>
      <c r="CI14" s="395"/>
      <c r="CJ14" s="395"/>
      <c r="CK14" s="395"/>
      <c r="CL14" s="395"/>
      <c r="CM14" s="395"/>
      <c r="CN14" s="395"/>
      <c r="CP14" s="426">
        <v>8</v>
      </c>
      <c r="CQ14" s="427">
        <f t="shared" si="9"/>
        <v>45139</v>
      </c>
      <c r="DB14" s="440">
        <f t="shared" si="57"/>
        <v>0</v>
      </c>
      <c r="DC14" s="426">
        <f t="shared" si="58"/>
        <v>0</v>
      </c>
      <c r="DD14" s="426">
        <f t="shared" si="59"/>
        <v>0</v>
      </c>
      <c r="DE14" s="426">
        <f t="shared" si="60"/>
        <v>0</v>
      </c>
      <c r="DF14" s="426">
        <f t="shared" si="61"/>
        <v>0</v>
      </c>
      <c r="DG14" s="426">
        <f t="shared" si="62"/>
        <v>0</v>
      </c>
      <c r="DH14" s="426">
        <f t="shared" si="63"/>
        <v>0</v>
      </c>
      <c r="DI14" s="441">
        <f t="shared" si="64"/>
        <v>0</v>
      </c>
      <c r="DJ14" s="442">
        <f t="shared" si="65"/>
        <v>0</v>
      </c>
      <c r="DN14" s="395"/>
      <c r="DY14" s="433">
        <f t="shared" si="10"/>
        <v>45108</v>
      </c>
      <c r="DZ14" s="433">
        <f t="shared" si="11"/>
        <v>45138</v>
      </c>
      <c r="EA14" s="389" t="str">
        <f>IF(AND(DZ14&gt;=EXPEDIENTE!$F$25,DY14&lt;=EXPEDIENTE!$F$29),"SI","NO")</f>
        <v>NO</v>
      </c>
      <c r="EB14" s="426">
        <f t="shared" si="12"/>
        <v>0</v>
      </c>
      <c r="EC14" s="426">
        <f t="shared" si="13"/>
        <v>0</v>
      </c>
      <c r="ED14" s="426">
        <f t="shared" si="14"/>
        <v>0</v>
      </c>
      <c r="EE14" s="426">
        <f t="shared" si="15"/>
        <v>0</v>
      </c>
      <c r="EF14" s="426">
        <f t="shared" si="16"/>
        <v>0</v>
      </c>
      <c r="EG14" s="426">
        <f t="shared" si="17"/>
        <v>0</v>
      </c>
      <c r="EH14" s="426">
        <f t="shared" si="18"/>
        <v>0</v>
      </c>
      <c r="EI14" s="426">
        <f t="shared" si="19"/>
        <v>0</v>
      </c>
      <c r="EJ14" s="426">
        <f t="shared" si="20"/>
        <v>0</v>
      </c>
      <c r="EK14" s="426">
        <f t="shared" si="21"/>
        <v>0</v>
      </c>
      <c r="EL14" s="426">
        <f t="shared" si="22"/>
        <v>0</v>
      </c>
      <c r="EM14" s="426">
        <f t="shared" si="23"/>
        <v>0</v>
      </c>
      <c r="EN14" s="426">
        <f t="shared" si="24"/>
        <v>0</v>
      </c>
      <c r="EO14" s="426">
        <f t="shared" si="25"/>
        <v>0</v>
      </c>
      <c r="EP14" s="426">
        <f t="shared" si="26"/>
        <v>0</v>
      </c>
      <c r="EQ14" s="426">
        <f t="shared" si="27"/>
        <v>0</v>
      </c>
      <c r="ER14" s="426">
        <f t="shared" si="28"/>
        <v>0</v>
      </c>
      <c r="ES14" s="426">
        <f t="shared" si="29"/>
        <v>0</v>
      </c>
      <c r="ET14" s="426">
        <f t="shared" si="30"/>
        <v>0</v>
      </c>
      <c r="EU14" s="426">
        <f t="shared" si="31"/>
        <v>0</v>
      </c>
      <c r="EV14" s="426">
        <f t="shared" si="32"/>
        <v>0</v>
      </c>
      <c r="EW14" s="426">
        <f t="shared" si="33"/>
        <v>0</v>
      </c>
      <c r="EX14" s="426">
        <f t="shared" si="34"/>
        <v>0</v>
      </c>
      <c r="EY14" s="426">
        <f t="shared" si="35"/>
        <v>0</v>
      </c>
      <c r="EZ14" s="426">
        <f t="shared" si="36"/>
        <v>0</v>
      </c>
      <c r="FA14" s="426">
        <f t="shared" si="37"/>
        <v>0</v>
      </c>
      <c r="FB14" s="426">
        <f t="shared" si="38"/>
        <v>0</v>
      </c>
      <c r="FC14" s="426">
        <f t="shared" si="39"/>
        <v>0</v>
      </c>
      <c r="FD14" s="426">
        <f t="shared" si="40"/>
        <v>0</v>
      </c>
      <c r="FE14" s="426">
        <f t="shared" si="41"/>
        <v>0</v>
      </c>
      <c r="FF14" s="426">
        <f t="shared" si="42"/>
        <v>0</v>
      </c>
      <c r="FG14" s="426">
        <f t="shared" si="43"/>
        <v>0</v>
      </c>
      <c r="FH14" s="426">
        <f t="shared" si="66"/>
        <v>0</v>
      </c>
      <c r="FQ14" s="395"/>
      <c r="FR14" s="395"/>
      <c r="GC14" s="433">
        <f t="shared" si="44"/>
        <v>45108</v>
      </c>
      <c r="GD14" s="433">
        <f t="shared" si="45"/>
        <v>45138</v>
      </c>
      <c r="GE14" s="389" t="str">
        <f>IF(AND(GD14&gt;=EXPEDIENTE!$F$25,GC14&lt;=EXPEDIENTE!$F$29),"SI","NO")</f>
        <v>NO</v>
      </c>
      <c r="GF14" s="426">
        <f t="shared" si="67"/>
        <v>0</v>
      </c>
      <c r="GG14" s="426">
        <f t="shared" si="68"/>
        <v>0</v>
      </c>
      <c r="GH14" s="426">
        <f t="shared" si="69"/>
        <v>0</v>
      </c>
      <c r="GI14" s="426">
        <f t="shared" si="70"/>
        <v>0</v>
      </c>
      <c r="GJ14" s="426">
        <f t="shared" si="71"/>
        <v>0</v>
      </c>
      <c r="GK14" s="426">
        <f t="shared" si="72"/>
        <v>0</v>
      </c>
      <c r="GL14" s="426">
        <f t="shared" si="73"/>
        <v>0</v>
      </c>
      <c r="GM14" s="426">
        <f t="shared" si="74"/>
        <v>0</v>
      </c>
      <c r="GN14" s="426">
        <f t="shared" si="75"/>
        <v>0</v>
      </c>
      <c r="GO14" s="426">
        <f t="shared" si="76"/>
        <v>0</v>
      </c>
      <c r="GP14" s="426">
        <f t="shared" si="77"/>
        <v>0</v>
      </c>
      <c r="GQ14" s="426">
        <f t="shared" si="78"/>
        <v>0</v>
      </c>
      <c r="GR14" s="426">
        <f t="shared" si="79"/>
        <v>0</v>
      </c>
      <c r="GS14" s="426">
        <f t="shared" si="80"/>
        <v>0</v>
      </c>
      <c r="GT14" s="426">
        <f t="shared" si="81"/>
        <v>0</v>
      </c>
      <c r="GU14" s="426">
        <f t="shared" si="82"/>
        <v>0</v>
      </c>
      <c r="GV14" s="426">
        <f t="shared" si="83"/>
        <v>0</v>
      </c>
      <c r="GW14" s="426">
        <f t="shared" si="84"/>
        <v>0</v>
      </c>
      <c r="GX14" s="426">
        <f t="shared" si="85"/>
        <v>0</v>
      </c>
      <c r="GY14" s="426">
        <f t="shared" si="86"/>
        <v>0</v>
      </c>
      <c r="GZ14" s="426">
        <f t="shared" si="87"/>
        <v>0</v>
      </c>
      <c r="HA14" s="426">
        <f t="shared" si="88"/>
        <v>0</v>
      </c>
      <c r="HB14" s="426">
        <f t="shared" si="89"/>
        <v>0</v>
      </c>
      <c r="HC14" s="426">
        <f t="shared" si="90"/>
        <v>0</v>
      </c>
      <c r="HD14" s="426">
        <f t="shared" si="91"/>
        <v>0</v>
      </c>
      <c r="HE14" s="426">
        <f t="shared" si="92"/>
        <v>0</v>
      </c>
      <c r="HF14" s="426">
        <f t="shared" si="93"/>
        <v>0</v>
      </c>
      <c r="HG14" s="426">
        <f t="shared" si="94"/>
        <v>0</v>
      </c>
      <c r="HH14" s="426">
        <f t="shared" si="95"/>
        <v>0</v>
      </c>
      <c r="HI14" s="426">
        <f t="shared" si="96"/>
        <v>0</v>
      </c>
      <c r="HJ14" s="426">
        <f t="shared" si="97"/>
        <v>0</v>
      </c>
      <c r="HK14" s="426">
        <f t="shared" si="98"/>
        <v>0</v>
      </c>
      <c r="HL14" s="426">
        <f t="shared" si="99"/>
        <v>0</v>
      </c>
      <c r="HV14" s="395"/>
      <c r="IA14" s="396"/>
      <c r="IB14" s="395"/>
      <c r="ID14" s="396"/>
      <c r="IH14" s="395"/>
      <c r="IP14" s="396"/>
      <c r="IQ14" s="395"/>
      <c r="IS14" s="396"/>
      <c r="IW14" s="395"/>
      <c r="JC14" s="445">
        <v>10</v>
      </c>
      <c r="JD14" s="401">
        <f>JD9+2</f>
        <v>2</v>
      </c>
    </row>
    <row r="15" spans="1:266" x14ac:dyDescent="0.25">
      <c r="C15" s="209">
        <v>9</v>
      </c>
      <c r="D15" s="404"/>
      <c r="E15" s="420"/>
      <c r="F15" s="421"/>
      <c r="G15" s="422"/>
      <c r="H15" s="422"/>
      <c r="I15" s="422"/>
      <c r="J15" s="404"/>
      <c r="K15" s="410">
        <f t="shared" si="52"/>
        <v>76</v>
      </c>
      <c r="L15" s="410">
        <f t="shared" si="53"/>
        <v>76</v>
      </c>
      <c r="M15" s="410" t="str">
        <f t="shared" si="54"/>
        <v>X</v>
      </c>
      <c r="O15" s="980" t="s">
        <v>436</v>
      </c>
      <c r="P15" s="980"/>
      <c r="R15" s="447" t="s">
        <v>21</v>
      </c>
      <c r="S15" s="403">
        <f>YEAR(S12)</f>
        <v>1900</v>
      </c>
      <c r="V15" s="982"/>
      <c r="W15" s="444" t="s">
        <v>260</v>
      </c>
      <c r="Y15" s="425">
        <f t="shared" si="0"/>
        <v>10</v>
      </c>
      <c r="Z15" s="415" t="str">
        <f>IF(Y15="","",IF(EDATE($Z$5,Y15)&gt;EXPEDIENTE!$F$27,"",EDATE($Z$5,Y15)))</f>
        <v/>
      </c>
      <c r="AA15" s="415" t="str">
        <f>IF(Z15="","",IF(YEAR(EXPEDIENTE!$F$25)=YEAR(Z15),Z15,""))</f>
        <v/>
      </c>
      <c r="AB15" s="415" t="str">
        <f>IF(Z15="","",IF(YEAR(EXPEDIENTE!$F$25)+1=YEAR(Z15),Z15,""))</f>
        <v/>
      </c>
      <c r="AC15" s="415" t="str">
        <f>IF(Z15="","",IF(YEAR(EXPEDIENTE!$F$25)+2=YEAR(Z15),Z15,""))</f>
        <v/>
      </c>
      <c r="AD15" s="415" t="str">
        <f>IF(Z15="","",IF(YEAR(EXPEDIENTE!$F$25)+3=YEAR(Z15),Z15,""))</f>
        <v/>
      </c>
      <c r="AG15" s="395"/>
      <c r="AH15" s="395"/>
      <c r="AI15" s="395"/>
      <c r="AJ15" s="395"/>
      <c r="AK15" s="395"/>
      <c r="AL15" s="395"/>
      <c r="AM15" s="395"/>
      <c r="AN15" s="395"/>
      <c r="AO15" s="395"/>
      <c r="AP15" s="395"/>
      <c r="AQ15" s="395"/>
      <c r="AR15" s="395"/>
      <c r="AS15" s="395"/>
      <c r="AT15" s="395"/>
      <c r="AU15" s="395"/>
      <c r="AW15" s="395"/>
      <c r="AY15" s="426">
        <v>9</v>
      </c>
      <c r="AZ15" s="427">
        <f t="shared" si="1"/>
        <v>45170</v>
      </c>
      <c r="BK15" s="436">
        <f t="shared" si="2"/>
        <v>0</v>
      </c>
      <c r="BL15" s="437">
        <f t="shared" si="3"/>
        <v>0</v>
      </c>
      <c r="BM15" s="437">
        <f t="shared" si="4"/>
        <v>0</v>
      </c>
      <c r="BN15" s="437">
        <f t="shared" si="5"/>
        <v>0</v>
      </c>
      <c r="BO15" s="437">
        <f t="shared" si="6"/>
        <v>0</v>
      </c>
      <c r="BP15" s="437">
        <f t="shared" si="7"/>
        <v>0</v>
      </c>
      <c r="BQ15" s="437">
        <f t="shared" si="8"/>
        <v>0</v>
      </c>
      <c r="BR15" s="438">
        <f t="shared" si="55"/>
        <v>0</v>
      </c>
      <c r="BS15" s="439">
        <f t="shared" si="56"/>
        <v>0</v>
      </c>
      <c r="BX15" s="395"/>
      <c r="BY15" s="395"/>
      <c r="BZ15" s="395"/>
      <c r="CA15" s="395"/>
      <c r="CB15" s="395"/>
      <c r="CC15" s="395"/>
      <c r="CD15" s="395"/>
      <c r="CE15" s="395"/>
      <c r="CF15" s="395"/>
      <c r="CG15" s="395"/>
      <c r="CH15" s="395"/>
      <c r="CI15" s="395"/>
      <c r="CJ15" s="395"/>
      <c r="CK15" s="395"/>
      <c r="CL15" s="395"/>
      <c r="CN15" s="395"/>
      <c r="CP15" s="426">
        <v>9</v>
      </c>
      <c r="CQ15" s="427">
        <f t="shared" si="9"/>
        <v>45170</v>
      </c>
      <c r="DB15" s="440">
        <f t="shared" si="57"/>
        <v>0</v>
      </c>
      <c r="DC15" s="426">
        <f t="shared" si="58"/>
        <v>0</v>
      </c>
      <c r="DD15" s="426">
        <f t="shared" si="59"/>
        <v>0</v>
      </c>
      <c r="DE15" s="426">
        <f t="shared" si="60"/>
        <v>0</v>
      </c>
      <c r="DF15" s="426">
        <f t="shared" si="61"/>
        <v>0</v>
      </c>
      <c r="DG15" s="426">
        <f t="shared" si="62"/>
        <v>0</v>
      </c>
      <c r="DH15" s="426">
        <f t="shared" si="63"/>
        <v>0</v>
      </c>
      <c r="DI15" s="441">
        <f t="shared" si="64"/>
        <v>0</v>
      </c>
      <c r="DJ15" s="442">
        <f t="shared" si="65"/>
        <v>0</v>
      </c>
      <c r="DN15" s="395"/>
      <c r="DY15" s="433">
        <f t="shared" si="10"/>
        <v>45139</v>
      </c>
      <c r="DZ15" s="433">
        <f t="shared" si="11"/>
        <v>45169</v>
      </c>
      <c r="EA15" s="389" t="str">
        <f>IF(AND(DZ15&gt;=EXPEDIENTE!$F$25,DY15&lt;=EXPEDIENTE!$F$29),"SI","NO")</f>
        <v>NO</v>
      </c>
      <c r="EB15" s="426">
        <f t="shared" si="12"/>
        <v>0</v>
      </c>
      <c r="EC15" s="426">
        <f t="shared" si="13"/>
        <v>0</v>
      </c>
      <c r="ED15" s="426">
        <f t="shared" si="14"/>
        <v>0</v>
      </c>
      <c r="EE15" s="426">
        <f t="shared" si="15"/>
        <v>0</v>
      </c>
      <c r="EF15" s="426">
        <f t="shared" si="16"/>
        <v>0</v>
      </c>
      <c r="EG15" s="426">
        <f t="shared" si="17"/>
        <v>0</v>
      </c>
      <c r="EH15" s="426">
        <f t="shared" si="18"/>
        <v>0</v>
      </c>
      <c r="EI15" s="426">
        <f t="shared" si="19"/>
        <v>0</v>
      </c>
      <c r="EJ15" s="426">
        <f t="shared" si="20"/>
        <v>0</v>
      </c>
      <c r="EK15" s="426">
        <f t="shared" si="21"/>
        <v>0</v>
      </c>
      <c r="EL15" s="426">
        <f t="shared" si="22"/>
        <v>0</v>
      </c>
      <c r="EM15" s="426">
        <f t="shared" si="23"/>
        <v>0</v>
      </c>
      <c r="EN15" s="426">
        <f t="shared" si="24"/>
        <v>0</v>
      </c>
      <c r="EO15" s="426">
        <f t="shared" si="25"/>
        <v>0</v>
      </c>
      <c r="EP15" s="426">
        <f t="shared" si="26"/>
        <v>0</v>
      </c>
      <c r="EQ15" s="426">
        <f t="shared" si="27"/>
        <v>0</v>
      </c>
      <c r="ER15" s="426">
        <f t="shared" si="28"/>
        <v>0</v>
      </c>
      <c r="ES15" s="426">
        <f t="shared" si="29"/>
        <v>0</v>
      </c>
      <c r="ET15" s="426">
        <f t="shared" si="30"/>
        <v>0</v>
      </c>
      <c r="EU15" s="426">
        <f t="shared" si="31"/>
        <v>0</v>
      </c>
      <c r="EV15" s="426">
        <f t="shared" si="32"/>
        <v>0</v>
      </c>
      <c r="EW15" s="426">
        <f t="shared" si="33"/>
        <v>0</v>
      </c>
      <c r="EX15" s="426">
        <f t="shared" si="34"/>
        <v>0</v>
      </c>
      <c r="EY15" s="426">
        <f t="shared" si="35"/>
        <v>0</v>
      </c>
      <c r="EZ15" s="426">
        <f t="shared" si="36"/>
        <v>0</v>
      </c>
      <c r="FA15" s="426">
        <f t="shared" si="37"/>
        <v>0</v>
      </c>
      <c r="FB15" s="426">
        <f t="shared" si="38"/>
        <v>0</v>
      </c>
      <c r="FC15" s="426">
        <f t="shared" si="39"/>
        <v>0</v>
      </c>
      <c r="FD15" s="426">
        <f t="shared" si="40"/>
        <v>0</v>
      </c>
      <c r="FE15" s="426">
        <f t="shared" si="41"/>
        <v>0</v>
      </c>
      <c r="FF15" s="426">
        <f t="shared" si="42"/>
        <v>0</v>
      </c>
      <c r="FG15" s="426">
        <f t="shared" si="43"/>
        <v>0</v>
      </c>
      <c r="FH15" s="426">
        <f t="shared" si="66"/>
        <v>0</v>
      </c>
      <c r="FR15" s="395"/>
      <c r="GC15" s="433">
        <f t="shared" si="44"/>
        <v>45139</v>
      </c>
      <c r="GD15" s="433">
        <f t="shared" si="45"/>
        <v>45169</v>
      </c>
      <c r="GE15" s="389" t="str">
        <f>IF(AND(GD15&gt;=EXPEDIENTE!$F$25,GC15&lt;=EXPEDIENTE!$F$29),"SI","NO")</f>
        <v>NO</v>
      </c>
      <c r="GF15" s="426">
        <f t="shared" si="67"/>
        <v>0</v>
      </c>
      <c r="GG15" s="426">
        <f t="shared" si="68"/>
        <v>0</v>
      </c>
      <c r="GH15" s="426">
        <f t="shared" si="69"/>
        <v>0</v>
      </c>
      <c r="GI15" s="426">
        <f t="shared" si="70"/>
        <v>0</v>
      </c>
      <c r="GJ15" s="426">
        <f t="shared" si="71"/>
        <v>0</v>
      </c>
      <c r="GK15" s="426">
        <f t="shared" si="72"/>
        <v>0</v>
      </c>
      <c r="GL15" s="426">
        <f t="shared" si="73"/>
        <v>0</v>
      </c>
      <c r="GM15" s="426">
        <f t="shared" si="74"/>
        <v>0</v>
      </c>
      <c r="GN15" s="426">
        <f t="shared" si="75"/>
        <v>0</v>
      </c>
      <c r="GO15" s="426">
        <f t="shared" si="76"/>
        <v>0</v>
      </c>
      <c r="GP15" s="426">
        <f t="shared" si="77"/>
        <v>0</v>
      </c>
      <c r="GQ15" s="426">
        <f t="shared" si="78"/>
        <v>0</v>
      </c>
      <c r="GR15" s="426">
        <f t="shared" si="79"/>
        <v>0</v>
      </c>
      <c r="GS15" s="426">
        <f t="shared" si="80"/>
        <v>0</v>
      </c>
      <c r="GT15" s="426">
        <f t="shared" si="81"/>
        <v>0</v>
      </c>
      <c r="GU15" s="426">
        <f t="shared" si="82"/>
        <v>0</v>
      </c>
      <c r="GV15" s="426">
        <f t="shared" si="83"/>
        <v>0</v>
      </c>
      <c r="GW15" s="426">
        <f t="shared" si="84"/>
        <v>0</v>
      </c>
      <c r="GX15" s="426">
        <f t="shared" si="85"/>
        <v>0</v>
      </c>
      <c r="GY15" s="426">
        <f t="shared" si="86"/>
        <v>0</v>
      </c>
      <c r="GZ15" s="426">
        <f t="shared" si="87"/>
        <v>0</v>
      </c>
      <c r="HA15" s="426">
        <f t="shared" si="88"/>
        <v>0</v>
      </c>
      <c r="HB15" s="426">
        <f t="shared" si="89"/>
        <v>0</v>
      </c>
      <c r="HC15" s="426">
        <f t="shared" si="90"/>
        <v>0</v>
      </c>
      <c r="HD15" s="426">
        <f t="shared" si="91"/>
        <v>0</v>
      </c>
      <c r="HE15" s="426">
        <f t="shared" si="92"/>
        <v>0</v>
      </c>
      <c r="HF15" s="426">
        <f t="shared" si="93"/>
        <v>0</v>
      </c>
      <c r="HG15" s="426">
        <f t="shared" si="94"/>
        <v>0</v>
      </c>
      <c r="HH15" s="426">
        <f t="shared" si="95"/>
        <v>0</v>
      </c>
      <c r="HI15" s="426">
        <f t="shared" si="96"/>
        <v>0</v>
      </c>
      <c r="HJ15" s="426">
        <f t="shared" si="97"/>
        <v>0</v>
      </c>
      <c r="HK15" s="426">
        <f t="shared" si="98"/>
        <v>0</v>
      </c>
      <c r="HL15" s="426">
        <f t="shared" si="99"/>
        <v>0</v>
      </c>
      <c r="JC15" s="409">
        <v>11</v>
      </c>
      <c r="JD15" s="401">
        <f t="shared" si="100"/>
        <v>4</v>
      </c>
    </row>
    <row r="16" spans="1:266" ht="15.75" customHeight="1" x14ac:dyDescent="0.25">
      <c r="C16" s="209">
        <v>10</v>
      </c>
      <c r="D16" s="404"/>
      <c r="E16" s="420"/>
      <c r="F16" s="421"/>
      <c r="G16" s="422"/>
      <c r="H16" s="422"/>
      <c r="I16" s="422"/>
      <c r="J16" s="404"/>
      <c r="K16" s="410">
        <f t="shared" si="52"/>
        <v>76</v>
      </c>
      <c r="L16" s="410">
        <f t="shared" si="53"/>
        <v>76</v>
      </c>
      <c r="M16" s="410" t="str">
        <f t="shared" si="54"/>
        <v>X</v>
      </c>
      <c r="R16" s="209"/>
      <c r="V16" s="982"/>
      <c r="W16" s="444" t="s">
        <v>261</v>
      </c>
      <c r="Y16" s="425">
        <f t="shared" si="0"/>
        <v>11</v>
      </c>
      <c r="Z16" s="415" t="str">
        <f>IF(Y16="","",IF(EDATE($Z$5,Y16)&gt;EXPEDIENTE!$F$27,"",EDATE($Z$5,Y16)))</f>
        <v/>
      </c>
      <c r="AA16" s="415" t="str">
        <f>IF(Z16="","",IF(YEAR(EXPEDIENTE!$F$25)=YEAR(Z16),Z16,""))</f>
        <v/>
      </c>
      <c r="AB16" s="415" t="str">
        <f>IF(Z16="","",IF(YEAR(EXPEDIENTE!$F$25)+1=YEAR(Z16),Z16,""))</f>
        <v/>
      </c>
      <c r="AC16" s="415" t="str">
        <f>IF(Z16="","",IF(YEAR(EXPEDIENTE!$F$25)+2=YEAR(Z16),Z16,""))</f>
        <v/>
      </c>
      <c r="AD16" s="415" t="str">
        <f>IF(Z16="","",IF(YEAR(EXPEDIENTE!$F$25)+3=YEAR(Z16),Z16,""))</f>
        <v/>
      </c>
      <c r="AG16" s="395"/>
      <c r="AH16" s="395"/>
      <c r="AI16" s="395"/>
      <c r="AJ16" s="395"/>
      <c r="AK16" s="395"/>
      <c r="AL16" s="395"/>
      <c r="AM16" s="395"/>
      <c r="AN16" s="395"/>
      <c r="AO16" s="395"/>
      <c r="AP16" s="395"/>
      <c r="AQ16" s="395"/>
      <c r="AR16" s="395"/>
      <c r="AS16" s="395"/>
      <c r="AT16" s="395"/>
      <c r="AU16" s="395"/>
      <c r="AW16" s="395"/>
      <c r="AY16" s="426">
        <v>10</v>
      </c>
      <c r="AZ16" s="427">
        <f t="shared" si="1"/>
        <v>45200</v>
      </c>
      <c r="BK16" s="436">
        <f t="shared" si="2"/>
        <v>0</v>
      </c>
      <c r="BL16" s="437">
        <f t="shared" si="3"/>
        <v>0</v>
      </c>
      <c r="BM16" s="437">
        <f t="shared" si="4"/>
        <v>0</v>
      </c>
      <c r="BN16" s="437">
        <f t="shared" si="5"/>
        <v>0</v>
      </c>
      <c r="BO16" s="437">
        <f t="shared" si="6"/>
        <v>0</v>
      </c>
      <c r="BP16" s="437">
        <f t="shared" si="7"/>
        <v>0</v>
      </c>
      <c r="BQ16" s="437">
        <f t="shared" si="8"/>
        <v>0</v>
      </c>
      <c r="BR16" s="438">
        <f t="shared" si="55"/>
        <v>0</v>
      </c>
      <c r="BS16" s="439">
        <f t="shared" si="56"/>
        <v>0</v>
      </c>
      <c r="BX16" s="395"/>
      <c r="BY16" s="395"/>
      <c r="BZ16" s="395"/>
      <c r="CA16" s="395"/>
      <c r="CB16" s="395"/>
      <c r="CC16" s="395"/>
      <c r="CD16" s="395"/>
      <c r="CE16" s="395"/>
      <c r="CF16" s="395"/>
      <c r="CG16" s="395"/>
      <c r="CH16" s="395"/>
      <c r="CI16" s="395"/>
      <c r="CJ16" s="395"/>
      <c r="CK16" s="395"/>
      <c r="CL16" s="395"/>
      <c r="CN16" s="395"/>
      <c r="CP16" s="426">
        <v>10</v>
      </c>
      <c r="CQ16" s="427">
        <f t="shared" si="9"/>
        <v>45200</v>
      </c>
      <c r="DB16" s="440">
        <f t="shared" si="57"/>
        <v>0</v>
      </c>
      <c r="DC16" s="426">
        <f t="shared" si="58"/>
        <v>0</v>
      </c>
      <c r="DD16" s="426">
        <f t="shared" si="59"/>
        <v>0</v>
      </c>
      <c r="DE16" s="426">
        <f t="shared" si="60"/>
        <v>0</v>
      </c>
      <c r="DF16" s="426">
        <f t="shared" si="61"/>
        <v>0</v>
      </c>
      <c r="DG16" s="426">
        <f t="shared" si="62"/>
        <v>0</v>
      </c>
      <c r="DH16" s="426">
        <f t="shared" si="63"/>
        <v>0</v>
      </c>
      <c r="DI16" s="441">
        <f t="shared" si="64"/>
        <v>0</v>
      </c>
      <c r="DJ16" s="442">
        <f t="shared" si="65"/>
        <v>0</v>
      </c>
      <c r="DN16" s="395"/>
      <c r="DY16" s="433">
        <f t="shared" si="10"/>
        <v>45170</v>
      </c>
      <c r="DZ16" s="433">
        <f t="shared" si="11"/>
        <v>45199</v>
      </c>
      <c r="EA16" s="389" t="str">
        <f>IF(AND(DZ16&gt;=EXPEDIENTE!$F$25,DY16&lt;=EXPEDIENTE!$F$29),"SI","NO")</f>
        <v>NO</v>
      </c>
      <c r="EB16" s="426">
        <f t="shared" si="12"/>
        <v>0</v>
      </c>
      <c r="EC16" s="426">
        <f t="shared" si="13"/>
        <v>0</v>
      </c>
      <c r="ED16" s="426">
        <f t="shared" si="14"/>
        <v>0</v>
      </c>
      <c r="EE16" s="426">
        <f t="shared" si="15"/>
        <v>0</v>
      </c>
      <c r="EF16" s="426">
        <f t="shared" si="16"/>
        <v>0</v>
      </c>
      <c r="EG16" s="426">
        <f t="shared" si="17"/>
        <v>0</v>
      </c>
      <c r="EH16" s="426">
        <f t="shared" si="18"/>
        <v>0</v>
      </c>
      <c r="EI16" s="426">
        <f t="shared" si="19"/>
        <v>0</v>
      </c>
      <c r="EJ16" s="426">
        <f t="shared" si="20"/>
        <v>0</v>
      </c>
      <c r="EK16" s="426">
        <f t="shared" si="21"/>
        <v>0</v>
      </c>
      <c r="EL16" s="426">
        <f t="shared" si="22"/>
        <v>0</v>
      </c>
      <c r="EM16" s="426">
        <f t="shared" si="23"/>
        <v>0</v>
      </c>
      <c r="EN16" s="426">
        <f t="shared" si="24"/>
        <v>0</v>
      </c>
      <c r="EO16" s="426">
        <f t="shared" si="25"/>
        <v>0</v>
      </c>
      <c r="EP16" s="426">
        <f t="shared" si="26"/>
        <v>0</v>
      </c>
      <c r="EQ16" s="426">
        <f t="shared" si="27"/>
        <v>0</v>
      </c>
      <c r="ER16" s="426">
        <f t="shared" si="28"/>
        <v>0</v>
      </c>
      <c r="ES16" s="426">
        <f t="shared" si="29"/>
        <v>0</v>
      </c>
      <c r="ET16" s="426">
        <f t="shared" si="30"/>
        <v>0</v>
      </c>
      <c r="EU16" s="426">
        <f t="shared" si="31"/>
        <v>0</v>
      </c>
      <c r="EV16" s="426">
        <f t="shared" si="32"/>
        <v>0</v>
      </c>
      <c r="EW16" s="426">
        <f t="shared" si="33"/>
        <v>0</v>
      </c>
      <c r="EX16" s="426">
        <f t="shared" si="34"/>
        <v>0</v>
      </c>
      <c r="EY16" s="426">
        <f t="shared" si="35"/>
        <v>0</v>
      </c>
      <c r="EZ16" s="426">
        <f t="shared" si="36"/>
        <v>0</v>
      </c>
      <c r="FA16" s="426">
        <f t="shared" si="37"/>
        <v>0</v>
      </c>
      <c r="FB16" s="426">
        <f t="shared" si="38"/>
        <v>0</v>
      </c>
      <c r="FC16" s="426">
        <f t="shared" si="39"/>
        <v>0</v>
      </c>
      <c r="FD16" s="426">
        <f t="shared" si="40"/>
        <v>0</v>
      </c>
      <c r="FE16" s="426">
        <f t="shared" si="41"/>
        <v>0</v>
      </c>
      <c r="FF16" s="426">
        <f t="shared" si="42"/>
        <v>0</v>
      </c>
      <c r="FG16" s="426">
        <f t="shared" si="43"/>
        <v>0</v>
      </c>
      <c r="FH16" s="426">
        <f t="shared" si="66"/>
        <v>0</v>
      </c>
      <c r="FR16" s="395"/>
      <c r="GC16" s="433">
        <f t="shared" si="44"/>
        <v>45170</v>
      </c>
      <c r="GD16" s="433">
        <f t="shared" si="45"/>
        <v>45199</v>
      </c>
      <c r="GE16" s="389" t="str">
        <f>IF(AND(GD16&gt;=EXPEDIENTE!$F$25,GC16&lt;=EXPEDIENTE!$F$29),"SI","NO")</f>
        <v>NO</v>
      </c>
      <c r="GF16" s="426">
        <f t="shared" si="67"/>
        <v>0</v>
      </c>
      <c r="GG16" s="426">
        <f t="shared" si="68"/>
        <v>0</v>
      </c>
      <c r="GH16" s="426">
        <f t="shared" si="69"/>
        <v>0</v>
      </c>
      <c r="GI16" s="426">
        <f t="shared" si="70"/>
        <v>0</v>
      </c>
      <c r="GJ16" s="426">
        <f t="shared" si="71"/>
        <v>0</v>
      </c>
      <c r="GK16" s="426">
        <f t="shared" si="72"/>
        <v>0</v>
      </c>
      <c r="GL16" s="426">
        <f t="shared" si="73"/>
        <v>0</v>
      </c>
      <c r="GM16" s="426">
        <f t="shared" si="74"/>
        <v>0</v>
      </c>
      <c r="GN16" s="426">
        <f t="shared" si="75"/>
        <v>0</v>
      </c>
      <c r="GO16" s="426">
        <f t="shared" si="76"/>
        <v>0</v>
      </c>
      <c r="GP16" s="426">
        <f t="shared" si="77"/>
        <v>0</v>
      </c>
      <c r="GQ16" s="426">
        <f t="shared" si="78"/>
        <v>0</v>
      </c>
      <c r="GR16" s="426">
        <f t="shared" si="79"/>
        <v>0</v>
      </c>
      <c r="GS16" s="426">
        <f t="shared" si="80"/>
        <v>0</v>
      </c>
      <c r="GT16" s="426">
        <f t="shared" si="81"/>
        <v>0</v>
      </c>
      <c r="GU16" s="426">
        <f t="shared" si="82"/>
        <v>0</v>
      </c>
      <c r="GV16" s="426">
        <f t="shared" si="83"/>
        <v>0</v>
      </c>
      <c r="GW16" s="426">
        <f t="shared" si="84"/>
        <v>0</v>
      </c>
      <c r="GX16" s="426">
        <f t="shared" si="85"/>
        <v>0</v>
      </c>
      <c r="GY16" s="426">
        <f t="shared" si="86"/>
        <v>0</v>
      </c>
      <c r="GZ16" s="426">
        <f t="shared" si="87"/>
        <v>0</v>
      </c>
      <c r="HA16" s="426">
        <f t="shared" si="88"/>
        <v>0</v>
      </c>
      <c r="HB16" s="426">
        <f t="shared" si="89"/>
        <v>0</v>
      </c>
      <c r="HC16" s="426">
        <f t="shared" si="90"/>
        <v>0</v>
      </c>
      <c r="HD16" s="426">
        <f t="shared" si="91"/>
        <v>0</v>
      </c>
      <c r="HE16" s="426">
        <f t="shared" si="92"/>
        <v>0</v>
      </c>
      <c r="HF16" s="426">
        <f t="shared" si="93"/>
        <v>0</v>
      </c>
      <c r="HG16" s="426">
        <f t="shared" si="94"/>
        <v>0</v>
      </c>
      <c r="HH16" s="426">
        <f t="shared" si="95"/>
        <v>0</v>
      </c>
      <c r="HI16" s="426">
        <f t="shared" si="96"/>
        <v>0</v>
      </c>
      <c r="HJ16" s="426">
        <f t="shared" si="97"/>
        <v>0</v>
      </c>
      <c r="HK16" s="426">
        <f t="shared" si="98"/>
        <v>0</v>
      </c>
      <c r="HL16" s="426">
        <f t="shared" si="99"/>
        <v>0</v>
      </c>
      <c r="JC16" s="419">
        <v>12</v>
      </c>
      <c r="JD16" s="401">
        <f t="shared" si="100"/>
        <v>4</v>
      </c>
    </row>
    <row r="17" spans="3:264" ht="15" customHeight="1" x14ac:dyDescent="0.25">
      <c r="C17" s="209">
        <v>11</v>
      </c>
      <c r="D17" s="404"/>
      <c r="E17" s="420"/>
      <c r="F17" s="421"/>
      <c r="G17" s="422"/>
      <c r="H17" s="422"/>
      <c r="I17" s="422"/>
      <c r="J17" s="404"/>
      <c r="K17" s="410">
        <f t="shared" si="52"/>
        <v>76</v>
      </c>
      <c r="L17" s="410">
        <f t="shared" si="53"/>
        <v>76</v>
      </c>
      <c r="M17" s="410" t="str">
        <f t="shared" si="54"/>
        <v>X</v>
      </c>
      <c r="O17" s="618" t="s">
        <v>435</v>
      </c>
      <c r="P17" s="617">
        <v>7200</v>
      </c>
      <c r="R17" s="447" t="s">
        <v>22</v>
      </c>
      <c r="S17" s="448">
        <f>DATE(YEAR(S12),MONTH(S12)+S10,DAY(S12))</f>
        <v>60</v>
      </c>
      <c r="V17" s="982"/>
      <c r="W17" s="444" t="s">
        <v>262</v>
      </c>
      <c r="Y17" s="425">
        <f t="shared" si="0"/>
        <v>12</v>
      </c>
      <c r="Z17" s="415" t="str">
        <f>IF(Y17="","",IF(EDATE($Z$5,Y17)&gt;EXPEDIENTE!$F$27,"",EDATE($Z$5,Y17)))</f>
        <v/>
      </c>
      <c r="AA17" s="415" t="str">
        <f>IF(Z17="","",IF(YEAR(EXPEDIENTE!$F$25)=YEAR(Z17),Z17,""))</f>
        <v/>
      </c>
      <c r="AB17" s="415" t="str">
        <f>IF(Z17="","",IF(YEAR(EXPEDIENTE!$F$25)+1=YEAR(Z17),Z17,""))</f>
        <v/>
      </c>
      <c r="AC17" s="415" t="str">
        <f>IF(Z17="","",IF(YEAR(EXPEDIENTE!$F$25)+2=YEAR(Z17),Z17,""))</f>
        <v/>
      </c>
      <c r="AD17" s="415" t="str">
        <f>IF(Z17="","",IF(YEAR(EXPEDIENTE!$F$25)+3=YEAR(Z17),Z17,""))</f>
        <v/>
      </c>
      <c r="AG17" s="395"/>
      <c r="AH17" s="395"/>
      <c r="AI17" s="997" t="s">
        <v>348</v>
      </c>
      <c r="AJ17" s="997"/>
      <c r="AK17" s="395"/>
      <c r="AL17" s="395"/>
      <c r="AM17" s="395"/>
      <c r="AN17" s="395"/>
      <c r="AO17" s="395"/>
      <c r="AP17" s="395"/>
      <c r="AQ17" s="395"/>
      <c r="AR17" s="395"/>
      <c r="AS17" s="395"/>
      <c r="AT17" s="395"/>
      <c r="AU17" s="395"/>
      <c r="AW17" s="395"/>
      <c r="AY17" s="426">
        <v>11</v>
      </c>
      <c r="AZ17" s="427">
        <f t="shared" si="1"/>
        <v>45231</v>
      </c>
      <c r="BK17" s="436">
        <f t="shared" si="2"/>
        <v>0</v>
      </c>
      <c r="BL17" s="437">
        <f t="shared" si="3"/>
        <v>0</v>
      </c>
      <c r="BM17" s="437">
        <f t="shared" si="4"/>
        <v>0</v>
      </c>
      <c r="BN17" s="437">
        <f t="shared" si="5"/>
        <v>0</v>
      </c>
      <c r="BO17" s="437">
        <f t="shared" si="6"/>
        <v>0</v>
      </c>
      <c r="BP17" s="437">
        <f t="shared" si="7"/>
        <v>0</v>
      </c>
      <c r="BQ17" s="437">
        <f t="shared" si="8"/>
        <v>0</v>
      </c>
      <c r="BR17" s="438">
        <f t="shared" si="55"/>
        <v>0</v>
      </c>
      <c r="BS17" s="439">
        <f t="shared" si="56"/>
        <v>0</v>
      </c>
      <c r="BX17" s="395"/>
      <c r="BY17" s="395"/>
      <c r="BZ17" s="997" t="s">
        <v>348</v>
      </c>
      <c r="CA17" s="997"/>
      <c r="CB17" s="395"/>
      <c r="CC17" s="395"/>
      <c r="CD17" s="395"/>
      <c r="CE17" s="395"/>
      <c r="CF17" s="395"/>
      <c r="CG17" s="395"/>
      <c r="CH17" s="395"/>
      <c r="CI17" s="395"/>
      <c r="CJ17" s="395"/>
      <c r="CK17" s="395"/>
      <c r="CL17" s="395"/>
      <c r="CN17" s="395"/>
      <c r="CP17" s="426">
        <v>11</v>
      </c>
      <c r="CQ17" s="427">
        <f t="shared" si="9"/>
        <v>45231</v>
      </c>
      <c r="DB17" s="440">
        <f t="shared" si="57"/>
        <v>0</v>
      </c>
      <c r="DC17" s="426">
        <f t="shared" si="58"/>
        <v>0</v>
      </c>
      <c r="DD17" s="426">
        <f t="shared" si="59"/>
        <v>0</v>
      </c>
      <c r="DE17" s="426">
        <f t="shared" si="60"/>
        <v>0</v>
      </c>
      <c r="DF17" s="426">
        <f t="shared" si="61"/>
        <v>0</v>
      </c>
      <c r="DG17" s="426">
        <f t="shared" si="62"/>
        <v>0</v>
      </c>
      <c r="DH17" s="426">
        <f t="shared" si="63"/>
        <v>0</v>
      </c>
      <c r="DI17" s="441">
        <f t="shared" si="64"/>
        <v>0</v>
      </c>
      <c r="DJ17" s="442">
        <f t="shared" si="65"/>
        <v>0</v>
      </c>
      <c r="DN17" s="395"/>
      <c r="DY17" s="433">
        <f t="shared" si="10"/>
        <v>45200</v>
      </c>
      <c r="DZ17" s="433">
        <f t="shared" si="11"/>
        <v>45230</v>
      </c>
      <c r="EA17" s="389" t="str">
        <f>IF(AND(DZ17&gt;=EXPEDIENTE!$F$25,DY17&lt;=EXPEDIENTE!$F$29),"SI","NO")</f>
        <v>NO</v>
      </c>
      <c r="EB17" s="426">
        <f t="shared" si="12"/>
        <v>0</v>
      </c>
      <c r="EC17" s="426">
        <f t="shared" si="13"/>
        <v>0</v>
      </c>
      <c r="ED17" s="426">
        <f t="shared" si="14"/>
        <v>0</v>
      </c>
      <c r="EE17" s="426">
        <f t="shared" si="15"/>
        <v>0</v>
      </c>
      <c r="EF17" s="426">
        <f t="shared" si="16"/>
        <v>0</v>
      </c>
      <c r="EG17" s="426">
        <f t="shared" si="17"/>
        <v>0</v>
      </c>
      <c r="EH17" s="426">
        <f t="shared" si="18"/>
        <v>0</v>
      </c>
      <c r="EI17" s="426">
        <f t="shared" si="19"/>
        <v>0</v>
      </c>
      <c r="EJ17" s="426">
        <f t="shared" si="20"/>
        <v>0</v>
      </c>
      <c r="EK17" s="426">
        <f t="shared" si="21"/>
        <v>0</v>
      </c>
      <c r="EL17" s="426">
        <f t="shared" si="22"/>
        <v>0</v>
      </c>
      <c r="EM17" s="426">
        <f t="shared" si="23"/>
        <v>0</v>
      </c>
      <c r="EN17" s="426">
        <f t="shared" si="24"/>
        <v>0</v>
      </c>
      <c r="EO17" s="426">
        <f t="shared" si="25"/>
        <v>0</v>
      </c>
      <c r="EP17" s="426">
        <f t="shared" si="26"/>
        <v>0</v>
      </c>
      <c r="EQ17" s="426">
        <f t="shared" si="27"/>
        <v>0</v>
      </c>
      <c r="ER17" s="426">
        <f t="shared" si="28"/>
        <v>0</v>
      </c>
      <c r="ES17" s="426">
        <f t="shared" si="29"/>
        <v>0</v>
      </c>
      <c r="ET17" s="426">
        <f t="shared" si="30"/>
        <v>0</v>
      </c>
      <c r="EU17" s="426">
        <f t="shared" si="31"/>
        <v>0</v>
      </c>
      <c r="EV17" s="426">
        <f t="shared" si="32"/>
        <v>0</v>
      </c>
      <c r="EW17" s="426">
        <f t="shared" si="33"/>
        <v>0</v>
      </c>
      <c r="EX17" s="426">
        <f t="shared" si="34"/>
        <v>0</v>
      </c>
      <c r="EY17" s="426">
        <f t="shared" si="35"/>
        <v>0</v>
      </c>
      <c r="EZ17" s="426">
        <f t="shared" si="36"/>
        <v>0</v>
      </c>
      <c r="FA17" s="426">
        <f t="shared" si="37"/>
        <v>0</v>
      </c>
      <c r="FB17" s="426">
        <f t="shared" si="38"/>
        <v>0</v>
      </c>
      <c r="FC17" s="426">
        <f t="shared" si="39"/>
        <v>0</v>
      </c>
      <c r="FD17" s="426">
        <f t="shared" si="40"/>
        <v>0</v>
      </c>
      <c r="FE17" s="426">
        <f t="shared" si="41"/>
        <v>0</v>
      </c>
      <c r="FF17" s="426">
        <f t="shared" si="42"/>
        <v>0</v>
      </c>
      <c r="FG17" s="426">
        <f t="shared" si="43"/>
        <v>0</v>
      </c>
      <c r="FH17" s="426">
        <f t="shared" si="66"/>
        <v>0</v>
      </c>
      <c r="FR17" s="395"/>
      <c r="GC17" s="433">
        <f t="shared" si="44"/>
        <v>45200</v>
      </c>
      <c r="GD17" s="433">
        <f t="shared" si="45"/>
        <v>45230</v>
      </c>
      <c r="GE17" s="389" t="str">
        <f>IF(AND(GD17&gt;=EXPEDIENTE!$F$25,GC17&lt;=EXPEDIENTE!$F$29),"SI","NO")</f>
        <v>NO</v>
      </c>
      <c r="GF17" s="426">
        <f t="shared" si="67"/>
        <v>0</v>
      </c>
      <c r="GG17" s="426">
        <f t="shared" si="68"/>
        <v>0</v>
      </c>
      <c r="GH17" s="426">
        <f t="shared" si="69"/>
        <v>0</v>
      </c>
      <c r="GI17" s="426">
        <f t="shared" si="70"/>
        <v>0</v>
      </c>
      <c r="GJ17" s="426">
        <f t="shared" si="71"/>
        <v>0</v>
      </c>
      <c r="GK17" s="426">
        <f t="shared" si="72"/>
        <v>0</v>
      </c>
      <c r="GL17" s="426">
        <f t="shared" si="73"/>
        <v>0</v>
      </c>
      <c r="GM17" s="426">
        <f t="shared" si="74"/>
        <v>0</v>
      </c>
      <c r="GN17" s="426">
        <f t="shared" si="75"/>
        <v>0</v>
      </c>
      <c r="GO17" s="426">
        <f t="shared" si="76"/>
        <v>0</v>
      </c>
      <c r="GP17" s="426">
        <f t="shared" si="77"/>
        <v>0</v>
      </c>
      <c r="GQ17" s="426">
        <f t="shared" si="78"/>
        <v>0</v>
      </c>
      <c r="GR17" s="426">
        <f t="shared" si="79"/>
        <v>0</v>
      </c>
      <c r="GS17" s="426">
        <f t="shared" si="80"/>
        <v>0</v>
      </c>
      <c r="GT17" s="426">
        <f t="shared" si="81"/>
        <v>0</v>
      </c>
      <c r="GU17" s="426">
        <f t="shared" si="82"/>
        <v>0</v>
      </c>
      <c r="GV17" s="426">
        <f t="shared" si="83"/>
        <v>0</v>
      </c>
      <c r="GW17" s="426">
        <f t="shared" si="84"/>
        <v>0</v>
      </c>
      <c r="GX17" s="426">
        <f t="shared" si="85"/>
        <v>0</v>
      </c>
      <c r="GY17" s="426">
        <f t="shared" si="86"/>
        <v>0</v>
      </c>
      <c r="GZ17" s="426">
        <f t="shared" si="87"/>
        <v>0</v>
      </c>
      <c r="HA17" s="426">
        <f t="shared" si="88"/>
        <v>0</v>
      </c>
      <c r="HB17" s="426">
        <f t="shared" si="89"/>
        <v>0</v>
      </c>
      <c r="HC17" s="426">
        <f t="shared" si="90"/>
        <v>0</v>
      </c>
      <c r="HD17" s="426">
        <f t="shared" si="91"/>
        <v>0</v>
      </c>
      <c r="HE17" s="426">
        <f t="shared" si="92"/>
        <v>0</v>
      </c>
      <c r="HF17" s="426">
        <f t="shared" si="93"/>
        <v>0</v>
      </c>
      <c r="HG17" s="426">
        <f t="shared" si="94"/>
        <v>0</v>
      </c>
      <c r="HH17" s="426">
        <f t="shared" si="95"/>
        <v>0</v>
      </c>
      <c r="HI17" s="426">
        <f t="shared" si="96"/>
        <v>0</v>
      </c>
      <c r="HJ17" s="426">
        <f t="shared" si="97"/>
        <v>0</v>
      </c>
      <c r="HK17" s="426">
        <f t="shared" si="98"/>
        <v>0</v>
      </c>
      <c r="HL17" s="426">
        <f t="shared" si="99"/>
        <v>0</v>
      </c>
      <c r="JC17" s="419">
        <v>13</v>
      </c>
      <c r="JD17" s="401">
        <f>JD12+2</f>
        <v>4</v>
      </c>
    </row>
    <row r="18" spans="3:264" ht="15" customHeight="1" thickBot="1" x14ac:dyDescent="0.3">
      <c r="C18" s="209">
        <v>12</v>
      </c>
      <c r="D18" s="404"/>
      <c r="E18" s="420"/>
      <c r="F18" s="421"/>
      <c r="G18" s="422"/>
      <c r="H18" s="422"/>
      <c r="I18" s="422"/>
      <c r="J18" s="404"/>
      <c r="K18" s="410">
        <f t="shared" si="52"/>
        <v>76</v>
      </c>
      <c r="L18" s="410">
        <f t="shared" si="53"/>
        <v>76</v>
      </c>
      <c r="M18" s="410" t="str">
        <f t="shared" si="54"/>
        <v>X</v>
      </c>
      <c r="R18" s="447" t="s">
        <v>23</v>
      </c>
      <c r="S18" s="448">
        <f>IF(DAY(S12)=DAY(S17),S17,DATE(YEAR(S17),MONTH(S17),1)-1)</f>
        <v>31</v>
      </c>
      <c r="V18" s="982"/>
      <c r="W18" s="444"/>
      <c r="Y18" s="425">
        <f t="shared" si="0"/>
        <v>13</v>
      </c>
      <c r="Z18" s="415" t="str">
        <f>IF(Y18="","",IF(EDATE($Z$5,Y18)&gt;EXPEDIENTE!$F$27,"",EDATE($Z$5,Y18)))</f>
        <v/>
      </c>
      <c r="AA18" s="415" t="str">
        <f>IF(Z18="","",IF(YEAR(EXPEDIENTE!$F$25)=YEAR(Z18),Z18,""))</f>
        <v/>
      </c>
      <c r="AB18" s="415" t="str">
        <f>IF(Z18="","",IF(YEAR(EXPEDIENTE!$F$25)+1=YEAR(Z18),Z18,""))</f>
        <v/>
      </c>
      <c r="AC18" s="415" t="str">
        <f>IF(Z18="","",IF(YEAR(EXPEDIENTE!$F$25)+2=YEAR(Z18),Z18,""))</f>
        <v/>
      </c>
      <c r="AD18" s="415" t="str">
        <f>IF(Z18="","",IF(YEAR(EXPEDIENTE!$F$25)+3=YEAR(Z18),Z18,""))</f>
        <v/>
      </c>
      <c r="AH18" s="395"/>
      <c r="AY18" s="426">
        <v>12</v>
      </c>
      <c r="AZ18" s="427">
        <f t="shared" si="1"/>
        <v>45261</v>
      </c>
      <c r="BK18" s="449">
        <f t="shared" si="2"/>
        <v>0</v>
      </c>
      <c r="BL18" s="450">
        <f t="shared" si="3"/>
        <v>0</v>
      </c>
      <c r="BM18" s="450">
        <f t="shared" si="4"/>
        <v>0</v>
      </c>
      <c r="BN18" s="450">
        <f t="shared" si="5"/>
        <v>0</v>
      </c>
      <c r="BO18" s="450">
        <f t="shared" si="6"/>
        <v>0</v>
      </c>
      <c r="BP18" s="450">
        <f t="shared" si="7"/>
        <v>0</v>
      </c>
      <c r="BQ18" s="450">
        <f t="shared" si="8"/>
        <v>0</v>
      </c>
      <c r="BR18" s="451">
        <f t="shared" si="55"/>
        <v>0</v>
      </c>
      <c r="BS18" s="452">
        <f t="shared" si="56"/>
        <v>0</v>
      </c>
      <c r="BY18" s="395"/>
      <c r="CP18" s="426">
        <v>12</v>
      </c>
      <c r="CQ18" s="427">
        <f t="shared" si="9"/>
        <v>45261</v>
      </c>
      <c r="DB18" s="453">
        <f t="shared" si="57"/>
        <v>0</v>
      </c>
      <c r="DC18" s="454">
        <f t="shared" si="58"/>
        <v>0</v>
      </c>
      <c r="DD18" s="454">
        <f t="shared" si="59"/>
        <v>0</v>
      </c>
      <c r="DE18" s="454">
        <f t="shared" si="60"/>
        <v>0</v>
      </c>
      <c r="DF18" s="454">
        <f t="shared" si="61"/>
        <v>0</v>
      </c>
      <c r="DG18" s="454">
        <f t="shared" si="62"/>
        <v>0</v>
      </c>
      <c r="DH18" s="454">
        <f t="shared" si="63"/>
        <v>0</v>
      </c>
      <c r="DI18" s="455">
        <f t="shared" si="64"/>
        <v>0</v>
      </c>
      <c r="DJ18" s="456">
        <f t="shared" si="65"/>
        <v>0</v>
      </c>
      <c r="DY18" s="433">
        <f t="shared" si="10"/>
        <v>45231</v>
      </c>
      <c r="DZ18" s="433">
        <f t="shared" si="11"/>
        <v>45260</v>
      </c>
      <c r="EA18" s="389" t="str">
        <f>IF(AND(DZ18&gt;=EXPEDIENTE!$F$25,DY18&lt;=EXPEDIENTE!$F$29),"SI","NO")</f>
        <v>NO</v>
      </c>
      <c r="EB18" s="426">
        <f t="shared" si="12"/>
        <v>0</v>
      </c>
      <c r="EC18" s="426">
        <f t="shared" si="13"/>
        <v>0</v>
      </c>
      <c r="ED18" s="426">
        <f t="shared" si="14"/>
        <v>0</v>
      </c>
      <c r="EE18" s="426">
        <f t="shared" si="15"/>
        <v>0</v>
      </c>
      <c r="EF18" s="426">
        <f t="shared" si="16"/>
        <v>0</v>
      </c>
      <c r="EG18" s="426">
        <f t="shared" si="17"/>
        <v>0</v>
      </c>
      <c r="EH18" s="426">
        <f t="shared" si="18"/>
        <v>0</v>
      </c>
      <c r="EI18" s="426">
        <f t="shared" si="19"/>
        <v>0</v>
      </c>
      <c r="EJ18" s="426">
        <f t="shared" si="20"/>
        <v>0</v>
      </c>
      <c r="EK18" s="426">
        <f t="shared" si="21"/>
        <v>0</v>
      </c>
      <c r="EL18" s="426">
        <f t="shared" si="22"/>
        <v>0</v>
      </c>
      <c r="EM18" s="426">
        <f t="shared" si="23"/>
        <v>0</v>
      </c>
      <c r="EN18" s="426">
        <f t="shared" si="24"/>
        <v>0</v>
      </c>
      <c r="EO18" s="426">
        <f t="shared" si="25"/>
        <v>0</v>
      </c>
      <c r="EP18" s="426">
        <f t="shared" si="26"/>
        <v>0</v>
      </c>
      <c r="EQ18" s="426">
        <f t="shared" si="27"/>
        <v>0</v>
      </c>
      <c r="ER18" s="426">
        <f t="shared" si="28"/>
        <v>0</v>
      </c>
      <c r="ES18" s="426">
        <f t="shared" si="29"/>
        <v>0</v>
      </c>
      <c r="ET18" s="426">
        <f t="shared" si="30"/>
        <v>0</v>
      </c>
      <c r="EU18" s="426">
        <f t="shared" si="31"/>
        <v>0</v>
      </c>
      <c r="EV18" s="426">
        <f t="shared" si="32"/>
        <v>0</v>
      </c>
      <c r="EW18" s="426">
        <f t="shared" si="33"/>
        <v>0</v>
      </c>
      <c r="EX18" s="426">
        <f t="shared" si="34"/>
        <v>0</v>
      </c>
      <c r="EY18" s="426">
        <f t="shared" si="35"/>
        <v>0</v>
      </c>
      <c r="EZ18" s="426">
        <f t="shared" si="36"/>
        <v>0</v>
      </c>
      <c r="FA18" s="426">
        <f t="shared" si="37"/>
        <v>0</v>
      </c>
      <c r="FB18" s="426">
        <f t="shared" si="38"/>
        <v>0</v>
      </c>
      <c r="FC18" s="426">
        <f t="shared" si="39"/>
        <v>0</v>
      </c>
      <c r="FD18" s="426">
        <f t="shared" si="40"/>
        <v>0</v>
      </c>
      <c r="FE18" s="426">
        <f t="shared" si="41"/>
        <v>0</v>
      </c>
      <c r="FF18" s="426">
        <f t="shared" si="42"/>
        <v>0</v>
      </c>
      <c r="FG18" s="426">
        <f t="shared" si="43"/>
        <v>0</v>
      </c>
      <c r="FH18" s="426">
        <f t="shared" si="66"/>
        <v>0</v>
      </c>
      <c r="GC18" s="433">
        <f t="shared" si="44"/>
        <v>45231</v>
      </c>
      <c r="GD18" s="433">
        <f t="shared" si="45"/>
        <v>45260</v>
      </c>
      <c r="GE18" s="389" t="str">
        <f>IF(AND(GD18&gt;=EXPEDIENTE!$F$25,GC18&lt;=EXPEDIENTE!$F$29),"SI","NO")</f>
        <v>NO</v>
      </c>
      <c r="GF18" s="426">
        <f t="shared" si="67"/>
        <v>0</v>
      </c>
      <c r="GG18" s="426">
        <f t="shared" si="68"/>
        <v>0</v>
      </c>
      <c r="GH18" s="426">
        <f t="shared" si="69"/>
        <v>0</v>
      </c>
      <c r="GI18" s="426">
        <f t="shared" si="70"/>
        <v>0</v>
      </c>
      <c r="GJ18" s="426">
        <f t="shared" si="71"/>
        <v>0</v>
      </c>
      <c r="GK18" s="426">
        <f t="shared" si="72"/>
        <v>0</v>
      </c>
      <c r="GL18" s="426">
        <f t="shared" si="73"/>
        <v>0</v>
      </c>
      <c r="GM18" s="426">
        <f t="shared" si="74"/>
        <v>0</v>
      </c>
      <c r="GN18" s="426">
        <f t="shared" si="75"/>
        <v>0</v>
      </c>
      <c r="GO18" s="426">
        <f t="shared" si="76"/>
        <v>0</v>
      </c>
      <c r="GP18" s="426">
        <f t="shared" si="77"/>
        <v>0</v>
      </c>
      <c r="GQ18" s="426">
        <f t="shared" si="78"/>
        <v>0</v>
      </c>
      <c r="GR18" s="426">
        <f t="shared" si="79"/>
        <v>0</v>
      </c>
      <c r="GS18" s="426">
        <f t="shared" si="80"/>
        <v>0</v>
      </c>
      <c r="GT18" s="426">
        <f t="shared" si="81"/>
        <v>0</v>
      </c>
      <c r="GU18" s="426">
        <f t="shared" si="82"/>
        <v>0</v>
      </c>
      <c r="GV18" s="426">
        <f t="shared" si="83"/>
        <v>0</v>
      </c>
      <c r="GW18" s="426">
        <f t="shared" si="84"/>
        <v>0</v>
      </c>
      <c r="GX18" s="426">
        <f t="shared" si="85"/>
        <v>0</v>
      </c>
      <c r="GY18" s="426">
        <f t="shared" si="86"/>
        <v>0</v>
      </c>
      <c r="GZ18" s="426">
        <f t="shared" si="87"/>
        <v>0</v>
      </c>
      <c r="HA18" s="426">
        <f t="shared" si="88"/>
        <v>0</v>
      </c>
      <c r="HB18" s="426">
        <f t="shared" si="89"/>
        <v>0</v>
      </c>
      <c r="HC18" s="426">
        <f t="shared" si="90"/>
        <v>0</v>
      </c>
      <c r="HD18" s="426">
        <f t="shared" si="91"/>
        <v>0</v>
      </c>
      <c r="HE18" s="426">
        <f t="shared" si="92"/>
        <v>0</v>
      </c>
      <c r="HF18" s="426">
        <f t="shared" si="93"/>
        <v>0</v>
      </c>
      <c r="HG18" s="426">
        <f t="shared" si="94"/>
        <v>0</v>
      </c>
      <c r="HH18" s="426">
        <f t="shared" si="95"/>
        <v>0</v>
      </c>
      <c r="HI18" s="426">
        <f t="shared" si="96"/>
        <v>0</v>
      </c>
      <c r="HJ18" s="426">
        <f t="shared" si="97"/>
        <v>0</v>
      </c>
      <c r="HK18" s="426">
        <f t="shared" si="98"/>
        <v>0</v>
      </c>
      <c r="HL18" s="426">
        <f t="shared" si="99"/>
        <v>0</v>
      </c>
      <c r="JC18" s="419">
        <v>14</v>
      </c>
      <c r="JD18" s="401">
        <f>JD13+2</f>
        <v>4</v>
      </c>
    </row>
    <row r="19" spans="3:264" ht="15.75" customHeight="1" thickBot="1" x14ac:dyDescent="0.3">
      <c r="C19" s="209">
        <v>13</v>
      </c>
      <c r="D19" s="404"/>
      <c r="E19" s="420"/>
      <c r="F19" s="421"/>
      <c r="G19" s="422"/>
      <c r="H19" s="422"/>
      <c r="I19" s="422"/>
      <c r="J19" s="404"/>
      <c r="K19" s="410">
        <f t="shared" si="52"/>
        <v>76</v>
      </c>
      <c r="L19" s="410">
        <f t="shared" si="53"/>
        <v>76</v>
      </c>
      <c r="M19" s="410" t="str">
        <f t="shared" si="54"/>
        <v>X</v>
      </c>
      <c r="V19" s="982"/>
      <c r="W19" s="444"/>
      <c r="Y19" s="425">
        <f t="shared" si="0"/>
        <v>14</v>
      </c>
      <c r="Z19" s="415" t="str">
        <f>IF(Y19="","",IF(EDATE($Z$5,Y19)&gt;EXPEDIENTE!$F$27,"",EDATE($Z$5,Y19)))</f>
        <v/>
      </c>
      <c r="AA19" s="415" t="str">
        <f>IF(Z19="","",IF(YEAR(EXPEDIENTE!$F$25)=YEAR(Z19),Z19,""))</f>
        <v/>
      </c>
      <c r="AB19" s="415" t="str">
        <f>IF(Z19="","",IF(YEAR(EXPEDIENTE!$F$25)+1=YEAR(Z19),Z19,""))</f>
        <v/>
      </c>
      <c r="AC19" s="415" t="str">
        <f>IF(Z19="","",IF(YEAR(EXPEDIENTE!$F$25)+2=YEAR(Z19),Z19,""))</f>
        <v/>
      </c>
      <c r="AD19" s="415" t="str">
        <f>IF(Z19="","",IF(YEAR(EXPEDIENTE!$F$25)+3=YEAR(Z19),Z19,""))</f>
        <v/>
      </c>
      <c r="AL19" s="1013" t="s">
        <v>349</v>
      </c>
      <c r="AM19" s="1014" t="s">
        <v>64</v>
      </c>
      <c r="AN19" s="1015" t="s">
        <v>71</v>
      </c>
      <c r="AO19" s="1016" t="s">
        <v>204</v>
      </c>
      <c r="AP19" s="1011" t="s">
        <v>109</v>
      </c>
      <c r="AQ19" s="960"/>
      <c r="AR19" s="1012"/>
      <c r="AS19" s="1011" t="s">
        <v>203</v>
      </c>
      <c r="AT19" s="960"/>
      <c r="AU19" s="1012"/>
      <c r="AV19" s="1025" t="s">
        <v>205</v>
      </c>
      <c r="AW19" s="1019" t="s">
        <v>206</v>
      </c>
      <c r="AZ19" s="457"/>
      <c r="CC19" s="1013" t="s">
        <v>349</v>
      </c>
      <c r="CD19" s="1014" t="s">
        <v>64</v>
      </c>
      <c r="CE19" s="1015" t="s">
        <v>71</v>
      </c>
      <c r="CF19" s="1016" t="s">
        <v>204</v>
      </c>
      <c r="CG19" s="1011" t="s">
        <v>109</v>
      </c>
      <c r="CH19" s="960"/>
      <c r="CI19" s="1012"/>
      <c r="CJ19" s="1011" t="s">
        <v>203</v>
      </c>
      <c r="CK19" s="960"/>
      <c r="CL19" s="1012"/>
      <c r="CM19" s="1025" t="s">
        <v>205</v>
      </c>
      <c r="CN19" s="1019" t="s">
        <v>206</v>
      </c>
      <c r="CQ19" s="457"/>
      <c r="DO19" s="458">
        <f>AF23</f>
        <v>2024</v>
      </c>
      <c r="DY19" s="433">
        <f>DATE(YEAR(DY20),MONTH(DY20)-1,1)</f>
        <v>45261</v>
      </c>
      <c r="DZ19" s="433">
        <f>DATE(YEAR(DZ20),MONTH(DZ20),1)-1</f>
        <v>45291</v>
      </c>
      <c r="EA19" s="389" t="str">
        <f>IF(AND(DZ19&gt;=EXPEDIENTE!$F$25,DY19&lt;=EXPEDIENTE!$F$29),"SI","NO")</f>
        <v>NO</v>
      </c>
      <c r="EB19" s="426">
        <f t="shared" si="12"/>
        <v>0</v>
      </c>
      <c r="EC19" s="426">
        <f t="shared" si="13"/>
        <v>0</v>
      </c>
      <c r="ED19" s="426">
        <f t="shared" si="14"/>
        <v>0</v>
      </c>
      <c r="EE19" s="426">
        <f t="shared" si="15"/>
        <v>0</v>
      </c>
      <c r="EF19" s="426">
        <f t="shared" si="16"/>
        <v>0</v>
      </c>
      <c r="EG19" s="426">
        <f t="shared" si="17"/>
        <v>0</v>
      </c>
      <c r="EH19" s="426">
        <f t="shared" si="18"/>
        <v>0</v>
      </c>
      <c r="EI19" s="426">
        <f t="shared" si="19"/>
        <v>0</v>
      </c>
      <c r="EJ19" s="426">
        <f t="shared" si="20"/>
        <v>0</v>
      </c>
      <c r="EK19" s="426">
        <f t="shared" si="21"/>
        <v>0</v>
      </c>
      <c r="EL19" s="426">
        <f t="shared" si="22"/>
        <v>0</v>
      </c>
      <c r="EM19" s="426">
        <f t="shared" si="23"/>
        <v>0</v>
      </c>
      <c r="EN19" s="426">
        <f t="shared" si="24"/>
        <v>0</v>
      </c>
      <c r="EO19" s="426">
        <f t="shared" si="25"/>
        <v>0</v>
      </c>
      <c r="EP19" s="426">
        <f t="shared" si="26"/>
        <v>0</v>
      </c>
      <c r="EQ19" s="426">
        <f t="shared" si="27"/>
        <v>0</v>
      </c>
      <c r="ER19" s="426">
        <f t="shared" si="28"/>
        <v>0</v>
      </c>
      <c r="ES19" s="426">
        <f t="shared" si="29"/>
        <v>0</v>
      </c>
      <c r="ET19" s="426">
        <f t="shared" si="30"/>
        <v>0</v>
      </c>
      <c r="EU19" s="426">
        <f t="shared" si="31"/>
        <v>0</v>
      </c>
      <c r="EV19" s="426">
        <f t="shared" si="32"/>
        <v>0</v>
      </c>
      <c r="EW19" s="426">
        <f t="shared" si="33"/>
        <v>0</v>
      </c>
      <c r="EX19" s="426">
        <f t="shared" si="34"/>
        <v>0</v>
      </c>
      <c r="EY19" s="426">
        <f t="shared" si="35"/>
        <v>0</v>
      </c>
      <c r="EZ19" s="426">
        <f t="shared" si="36"/>
        <v>0</v>
      </c>
      <c r="FA19" s="426">
        <f t="shared" si="37"/>
        <v>0</v>
      </c>
      <c r="FB19" s="426">
        <f t="shared" si="38"/>
        <v>0</v>
      </c>
      <c r="FC19" s="426">
        <f t="shared" si="39"/>
        <v>0</v>
      </c>
      <c r="FD19" s="426">
        <f t="shared" si="40"/>
        <v>0</v>
      </c>
      <c r="FE19" s="426">
        <f t="shared" si="41"/>
        <v>0</v>
      </c>
      <c r="FF19" s="426">
        <f t="shared" si="42"/>
        <v>0</v>
      </c>
      <c r="FG19" s="426">
        <f t="shared" si="43"/>
        <v>0</v>
      </c>
      <c r="FH19" s="426">
        <f t="shared" si="66"/>
        <v>0</v>
      </c>
      <c r="FS19" s="459">
        <f>BW23</f>
        <v>2024</v>
      </c>
      <c r="GC19" s="433">
        <f>DATE(YEAR(GC20),MONTH(GC20)-1,1)</f>
        <v>45261</v>
      </c>
      <c r="GD19" s="433">
        <f>DATE(YEAR(GD20),MONTH(GD20),1)-1</f>
        <v>45291</v>
      </c>
      <c r="GE19" s="389" t="str">
        <f>IF(AND(GD19&gt;=EXPEDIENTE!$F$25,GC19&lt;=EXPEDIENTE!$F$29),"SI","NO")</f>
        <v>NO</v>
      </c>
      <c r="GF19" s="426">
        <f t="shared" si="67"/>
        <v>0</v>
      </c>
      <c r="GG19" s="426">
        <f t="shared" si="68"/>
        <v>0</v>
      </c>
      <c r="GH19" s="426">
        <f t="shared" si="69"/>
        <v>0</v>
      </c>
      <c r="GI19" s="426">
        <f t="shared" si="70"/>
        <v>0</v>
      </c>
      <c r="GJ19" s="426">
        <f t="shared" si="71"/>
        <v>0</v>
      </c>
      <c r="GK19" s="426">
        <f t="shared" si="72"/>
        <v>0</v>
      </c>
      <c r="GL19" s="426">
        <f t="shared" si="73"/>
        <v>0</v>
      </c>
      <c r="GM19" s="426">
        <f t="shared" si="74"/>
        <v>0</v>
      </c>
      <c r="GN19" s="426">
        <f t="shared" si="75"/>
        <v>0</v>
      </c>
      <c r="GO19" s="426">
        <f t="shared" si="76"/>
        <v>0</v>
      </c>
      <c r="GP19" s="426">
        <f t="shared" si="77"/>
        <v>0</v>
      </c>
      <c r="GQ19" s="426">
        <f t="shared" si="78"/>
        <v>0</v>
      </c>
      <c r="GR19" s="426">
        <f t="shared" si="79"/>
        <v>0</v>
      </c>
      <c r="GS19" s="426">
        <f t="shared" si="80"/>
        <v>0</v>
      </c>
      <c r="GT19" s="426">
        <f t="shared" si="81"/>
        <v>0</v>
      </c>
      <c r="GU19" s="426">
        <f t="shared" si="82"/>
        <v>0</v>
      </c>
      <c r="GV19" s="426">
        <f t="shared" si="83"/>
        <v>0</v>
      </c>
      <c r="GW19" s="426">
        <f t="shared" si="84"/>
        <v>0</v>
      </c>
      <c r="GX19" s="426">
        <f t="shared" si="85"/>
        <v>0</v>
      </c>
      <c r="GY19" s="426">
        <f t="shared" si="86"/>
        <v>0</v>
      </c>
      <c r="GZ19" s="426">
        <f t="shared" si="87"/>
        <v>0</v>
      </c>
      <c r="HA19" s="426">
        <f t="shared" si="88"/>
        <v>0</v>
      </c>
      <c r="HB19" s="426">
        <f t="shared" si="89"/>
        <v>0</v>
      </c>
      <c r="HC19" s="426">
        <f t="shared" si="90"/>
        <v>0</v>
      </c>
      <c r="HD19" s="426">
        <f t="shared" si="91"/>
        <v>0</v>
      </c>
      <c r="HE19" s="426">
        <f t="shared" si="92"/>
        <v>0</v>
      </c>
      <c r="HF19" s="426">
        <f t="shared" si="93"/>
        <v>0</v>
      </c>
      <c r="HG19" s="426">
        <f t="shared" si="94"/>
        <v>0</v>
      </c>
      <c r="HH19" s="426">
        <f t="shared" si="95"/>
        <v>0</v>
      </c>
      <c r="HI19" s="426">
        <f t="shared" si="96"/>
        <v>0</v>
      </c>
      <c r="HJ19" s="426">
        <f t="shared" si="97"/>
        <v>0</v>
      </c>
      <c r="HK19" s="426">
        <f t="shared" si="98"/>
        <v>0</v>
      </c>
      <c r="HL19" s="426">
        <f t="shared" si="99"/>
        <v>0</v>
      </c>
      <c r="JC19" s="445">
        <v>15</v>
      </c>
      <c r="JD19" s="401">
        <f>JD14+2</f>
        <v>4</v>
      </c>
    </row>
    <row r="20" spans="3:264" ht="13.5" customHeight="1" thickBot="1" x14ac:dyDescent="0.3">
      <c r="C20" s="209">
        <v>14</v>
      </c>
      <c r="D20" s="404"/>
      <c r="E20" s="420"/>
      <c r="F20" s="421"/>
      <c r="G20" s="422"/>
      <c r="H20" s="422"/>
      <c r="I20" s="422"/>
      <c r="J20" s="404"/>
      <c r="K20" s="410">
        <f t="shared" si="52"/>
        <v>76</v>
      </c>
      <c r="L20" s="410">
        <f t="shared" si="53"/>
        <v>76</v>
      </c>
      <c r="M20" s="410" t="str">
        <f t="shared" si="54"/>
        <v>X</v>
      </c>
      <c r="R20" s="207" t="s">
        <v>242</v>
      </c>
      <c r="V20" s="982"/>
      <c r="W20" s="444"/>
      <c r="Y20" s="425">
        <f t="shared" si="0"/>
        <v>15</v>
      </c>
      <c r="Z20" s="415" t="str">
        <f>IF(Y20="","",IF(EDATE($Z$5,Y20)&gt;EXPEDIENTE!$F$27,"",EDATE($Z$5,Y20)))</f>
        <v/>
      </c>
      <c r="AA20" s="415" t="str">
        <f>IF(Z20="","",IF(YEAR(EXPEDIENTE!$F$25)=YEAR(Z20),Z20,""))</f>
        <v/>
      </c>
      <c r="AB20" s="415" t="str">
        <f>IF(Z20="","",IF(YEAR(EXPEDIENTE!$F$25)+1=YEAR(Z20),Z20,""))</f>
        <v/>
      </c>
      <c r="AC20" s="415" t="str">
        <f>IF(Z20="","",IF(YEAR(EXPEDIENTE!$F$25)+2=YEAR(Z20),Z20,""))</f>
        <v/>
      </c>
      <c r="AD20" s="415" t="str">
        <f>IF(Z20="","",IF(YEAR(EXPEDIENTE!$F$25)+3=YEAR(Z20),Z20,""))</f>
        <v/>
      </c>
      <c r="AH20" s="1002" t="s">
        <v>190</v>
      </c>
      <c r="AI20" s="1005" t="s">
        <v>191</v>
      </c>
      <c r="AJ20" s="1008" t="s">
        <v>192</v>
      </c>
      <c r="AL20" s="998"/>
      <c r="AM20" s="1000"/>
      <c r="AN20" s="970"/>
      <c r="AO20" s="1017"/>
      <c r="AP20" s="998" t="s">
        <v>193</v>
      </c>
      <c r="AQ20" s="1000" t="s">
        <v>110</v>
      </c>
      <c r="AR20" s="968" t="s">
        <v>81</v>
      </c>
      <c r="AS20" s="1027" t="s">
        <v>68</v>
      </c>
      <c r="AT20" s="970" t="s">
        <v>69</v>
      </c>
      <c r="AU20" s="968" t="s">
        <v>111</v>
      </c>
      <c r="AV20" s="1026"/>
      <c r="AW20" s="1020"/>
      <c r="AZ20" s="457"/>
      <c r="BA20" s="993" t="str">
        <f>CONCATENATE("P.P. OTRAS NÓMINAS ABONADAS EN ",AZ22)</f>
        <v>P.P. OTRAS NÓMINAS ABONADAS EN 2024</v>
      </c>
      <c r="BB20" s="994"/>
      <c r="BC20" s="994"/>
      <c r="BD20" s="994"/>
      <c r="BE20" s="994"/>
      <c r="BF20" s="994"/>
      <c r="BG20" s="994"/>
      <c r="BH20" s="994"/>
      <c r="BI20" s="995"/>
      <c r="BK20" s="993" t="e">
        <f>CONCATENATE("P.P. OTRAS NÓMINAS ABONADAS EN ",AZ38)</f>
        <v>#VALUE!</v>
      </c>
      <c r="BL20" s="994"/>
      <c r="BM20" s="994"/>
      <c r="BN20" s="994"/>
      <c r="BO20" s="994"/>
      <c r="BP20" s="994"/>
      <c r="BQ20" s="994"/>
      <c r="BR20" s="994"/>
      <c r="BS20" s="995"/>
      <c r="BU20" s="1031" t="s">
        <v>58</v>
      </c>
      <c r="BY20" s="1002" t="s">
        <v>190</v>
      </c>
      <c r="BZ20" s="1005" t="s">
        <v>191</v>
      </c>
      <c r="CA20" s="1008" t="s">
        <v>192</v>
      </c>
      <c r="CC20" s="998"/>
      <c r="CD20" s="1000"/>
      <c r="CE20" s="970"/>
      <c r="CF20" s="1017"/>
      <c r="CG20" s="998" t="s">
        <v>193</v>
      </c>
      <c r="CH20" s="1000" t="s">
        <v>110</v>
      </c>
      <c r="CI20" s="968" t="s">
        <v>81</v>
      </c>
      <c r="CJ20" s="1027" t="s">
        <v>68</v>
      </c>
      <c r="CK20" s="970" t="s">
        <v>69</v>
      </c>
      <c r="CL20" s="968" t="s">
        <v>111</v>
      </c>
      <c r="CM20" s="1026"/>
      <c r="CN20" s="1020"/>
      <c r="CQ20" s="457"/>
      <c r="CR20" s="993" t="str">
        <f>CONCATENATE("P.P. OTRAS NÓMINAS ABONADAS EN ",CQ22)</f>
        <v>P.P. OTRAS NÓMINAS ABONADAS EN 2024</v>
      </c>
      <c r="CS20" s="994"/>
      <c r="CT20" s="994"/>
      <c r="CU20" s="994"/>
      <c r="CV20" s="994"/>
      <c r="CW20" s="994"/>
      <c r="CX20" s="994"/>
      <c r="CY20" s="994"/>
      <c r="CZ20" s="995"/>
      <c r="DB20" s="993" t="e">
        <f>CONCATENATE("P.P. OTRAS NÓMINAS ABONADAS EN ",CQ38)</f>
        <v>#VALUE!</v>
      </c>
      <c r="DC20" s="994"/>
      <c r="DD20" s="994"/>
      <c r="DE20" s="994"/>
      <c r="DF20" s="994"/>
      <c r="DG20" s="994"/>
      <c r="DH20" s="994"/>
      <c r="DI20" s="994"/>
      <c r="DJ20" s="995"/>
      <c r="DL20" s="1031" t="s">
        <v>58</v>
      </c>
      <c r="DO20" s="957" t="s">
        <v>70</v>
      </c>
      <c r="DP20" s="960" t="s">
        <v>203</v>
      </c>
      <c r="DQ20" s="960"/>
      <c r="DR20" s="960"/>
      <c r="DS20" s="961" t="s">
        <v>134</v>
      </c>
      <c r="DT20" s="961" t="s">
        <v>353</v>
      </c>
      <c r="DU20" s="964" t="s">
        <v>354</v>
      </c>
      <c r="DV20" s="967" t="s">
        <v>206</v>
      </c>
      <c r="DX20" s="389">
        <v>1</v>
      </c>
      <c r="DY20" s="460">
        <f>DATE(YEAR(EXPEDIENTE!$F$25),MONTH(EXPEDIENTE!$F$25),1)</f>
        <v>45292</v>
      </c>
      <c r="DZ20" s="460">
        <f>EOMONTH(EXPEDIENTE!$F$25,0)</f>
        <v>45322</v>
      </c>
      <c r="EA20" s="389" t="str">
        <f>IF(AND(DZ20&gt;=EXPEDIENTE!$F$25,DY20&lt;=EXPEDIENTE!$F$29),"SI","NO")</f>
        <v>SI</v>
      </c>
      <c r="EB20" s="426">
        <f t="shared" si="12"/>
        <v>0</v>
      </c>
      <c r="EC20" s="426">
        <f t="shared" si="13"/>
        <v>0</v>
      </c>
      <c r="ED20" s="426">
        <f t="shared" si="14"/>
        <v>0</v>
      </c>
      <c r="EE20" s="426">
        <f t="shared" si="15"/>
        <v>0</v>
      </c>
      <c r="EF20" s="426">
        <f t="shared" si="16"/>
        <v>0</v>
      </c>
      <c r="EG20" s="426">
        <f t="shared" si="17"/>
        <v>0</v>
      </c>
      <c r="EH20" s="426">
        <f t="shared" si="18"/>
        <v>0</v>
      </c>
      <c r="EI20" s="426">
        <f t="shared" si="19"/>
        <v>0</v>
      </c>
      <c r="EJ20" s="426">
        <f t="shared" si="20"/>
        <v>0</v>
      </c>
      <c r="EK20" s="426">
        <f t="shared" si="21"/>
        <v>0</v>
      </c>
      <c r="EL20" s="426">
        <f t="shared" si="22"/>
        <v>0</v>
      </c>
      <c r="EM20" s="426">
        <f t="shared" si="23"/>
        <v>0</v>
      </c>
      <c r="EN20" s="426">
        <f t="shared" si="24"/>
        <v>0</v>
      </c>
      <c r="EO20" s="426">
        <f t="shared" si="25"/>
        <v>0</v>
      </c>
      <c r="EP20" s="426">
        <f t="shared" si="26"/>
        <v>0</v>
      </c>
      <c r="EQ20" s="426">
        <f t="shared" si="27"/>
        <v>0</v>
      </c>
      <c r="ER20" s="426">
        <f t="shared" si="28"/>
        <v>0</v>
      </c>
      <c r="ES20" s="426">
        <f t="shared" si="29"/>
        <v>0</v>
      </c>
      <c r="ET20" s="426">
        <f t="shared" si="30"/>
        <v>0</v>
      </c>
      <c r="EU20" s="426">
        <f t="shared" si="31"/>
        <v>0</v>
      </c>
      <c r="EV20" s="426">
        <f t="shared" si="32"/>
        <v>0</v>
      </c>
      <c r="EW20" s="426">
        <f t="shared" si="33"/>
        <v>0</v>
      </c>
      <c r="EX20" s="426">
        <f t="shared" si="34"/>
        <v>0</v>
      </c>
      <c r="EY20" s="426">
        <f t="shared" si="35"/>
        <v>0</v>
      </c>
      <c r="EZ20" s="426">
        <f t="shared" si="36"/>
        <v>0</v>
      </c>
      <c r="FA20" s="426">
        <f t="shared" si="37"/>
        <v>0</v>
      </c>
      <c r="FB20" s="426">
        <f t="shared" si="38"/>
        <v>0</v>
      </c>
      <c r="FC20" s="426">
        <f t="shared" si="39"/>
        <v>0</v>
      </c>
      <c r="FD20" s="426">
        <f t="shared" si="40"/>
        <v>0</v>
      </c>
      <c r="FE20" s="426">
        <f t="shared" si="41"/>
        <v>0</v>
      </c>
      <c r="FF20" s="426">
        <f t="shared" si="42"/>
        <v>0</v>
      </c>
      <c r="FG20" s="426">
        <f t="shared" si="43"/>
        <v>0</v>
      </c>
      <c r="FH20" s="426">
        <f t="shared" si="66"/>
        <v>0</v>
      </c>
      <c r="FS20" s="957" t="s">
        <v>70</v>
      </c>
      <c r="FT20" s="960" t="s">
        <v>203</v>
      </c>
      <c r="FU20" s="960"/>
      <c r="FV20" s="960"/>
      <c r="FW20" s="961" t="s">
        <v>134</v>
      </c>
      <c r="FX20" s="961" t="s">
        <v>353</v>
      </c>
      <c r="FY20" s="964" t="s">
        <v>354</v>
      </c>
      <c r="FZ20" s="967" t="s">
        <v>206</v>
      </c>
      <c r="GB20" s="389">
        <v>1</v>
      </c>
      <c r="GC20" s="460">
        <f>DATE(YEAR(EXPEDIENTE!$F$25),MONTH(EXPEDIENTE!$F$25),1)</f>
        <v>45292</v>
      </c>
      <c r="GD20" s="460">
        <f>EOMONTH(EXPEDIENTE!$F$25,0)</f>
        <v>45322</v>
      </c>
      <c r="GE20" s="389" t="str">
        <f>IF(AND(GD20&gt;=EXPEDIENTE!$F$25,GC20&lt;=EXPEDIENTE!$F$29),"SI","NO")</f>
        <v>SI</v>
      </c>
      <c r="GF20" s="426">
        <f t="shared" si="67"/>
        <v>0</v>
      </c>
      <c r="GG20" s="426">
        <f t="shared" si="68"/>
        <v>0</v>
      </c>
      <c r="GH20" s="426">
        <f t="shared" si="69"/>
        <v>0</v>
      </c>
      <c r="GI20" s="426">
        <f t="shared" si="70"/>
        <v>0</v>
      </c>
      <c r="GJ20" s="426">
        <f t="shared" si="71"/>
        <v>0</v>
      </c>
      <c r="GK20" s="426">
        <f t="shared" si="72"/>
        <v>0</v>
      </c>
      <c r="GL20" s="426">
        <f t="shared" si="73"/>
        <v>0</v>
      </c>
      <c r="GM20" s="426">
        <f t="shared" si="74"/>
        <v>0</v>
      </c>
      <c r="GN20" s="426">
        <f t="shared" si="75"/>
        <v>0</v>
      </c>
      <c r="GO20" s="426">
        <f t="shared" si="76"/>
        <v>0</v>
      </c>
      <c r="GP20" s="426">
        <f t="shared" si="77"/>
        <v>0</v>
      </c>
      <c r="GQ20" s="426">
        <f t="shared" si="78"/>
        <v>0</v>
      </c>
      <c r="GR20" s="426">
        <f t="shared" si="79"/>
        <v>0</v>
      </c>
      <c r="GS20" s="426">
        <f t="shared" si="80"/>
        <v>0</v>
      </c>
      <c r="GT20" s="426">
        <f t="shared" si="81"/>
        <v>0</v>
      </c>
      <c r="GU20" s="426">
        <f t="shared" si="82"/>
        <v>0</v>
      </c>
      <c r="GV20" s="426">
        <f t="shared" si="83"/>
        <v>0</v>
      </c>
      <c r="GW20" s="426">
        <f t="shared" si="84"/>
        <v>0</v>
      </c>
      <c r="GX20" s="426">
        <f t="shared" si="85"/>
        <v>0</v>
      </c>
      <c r="GY20" s="426">
        <f t="shared" si="86"/>
        <v>0</v>
      </c>
      <c r="GZ20" s="426">
        <f t="shared" si="87"/>
        <v>0</v>
      </c>
      <c r="HA20" s="426">
        <f t="shared" si="88"/>
        <v>0</v>
      </c>
      <c r="HB20" s="426">
        <f t="shared" si="89"/>
        <v>0</v>
      </c>
      <c r="HC20" s="426">
        <f t="shared" si="90"/>
        <v>0</v>
      </c>
      <c r="HD20" s="426">
        <f t="shared" si="91"/>
        <v>0</v>
      </c>
      <c r="HE20" s="426">
        <f t="shared" si="92"/>
        <v>0</v>
      </c>
      <c r="HF20" s="426">
        <f t="shared" si="93"/>
        <v>0</v>
      </c>
      <c r="HG20" s="426">
        <f t="shared" si="94"/>
        <v>0</v>
      </c>
      <c r="HH20" s="426">
        <f t="shared" si="95"/>
        <v>0</v>
      </c>
      <c r="HI20" s="426">
        <f t="shared" si="96"/>
        <v>0</v>
      </c>
      <c r="HJ20" s="426">
        <f t="shared" si="97"/>
        <v>0</v>
      </c>
      <c r="HK20" s="426">
        <f t="shared" si="98"/>
        <v>0</v>
      </c>
      <c r="HL20" s="426">
        <f t="shared" si="99"/>
        <v>0</v>
      </c>
      <c r="JC20" s="409">
        <v>16</v>
      </c>
      <c r="JD20" s="401">
        <f t="shared" si="100"/>
        <v>6</v>
      </c>
    </row>
    <row r="21" spans="3:264" ht="15" customHeight="1" thickBot="1" x14ac:dyDescent="0.3">
      <c r="C21" s="209">
        <v>15</v>
      </c>
      <c r="D21" s="404"/>
      <c r="E21" s="420"/>
      <c r="F21" s="421"/>
      <c r="G21" s="422"/>
      <c r="H21" s="422"/>
      <c r="I21" s="422"/>
      <c r="J21" s="404"/>
      <c r="K21" s="410">
        <f t="shared" si="52"/>
        <v>76</v>
      </c>
      <c r="L21" s="410">
        <f t="shared" si="53"/>
        <v>76</v>
      </c>
      <c r="M21" s="410" t="str">
        <f t="shared" si="54"/>
        <v>X</v>
      </c>
      <c r="V21" s="982"/>
      <c r="W21" s="444"/>
      <c r="Y21" s="425">
        <f t="shared" si="0"/>
        <v>16</v>
      </c>
      <c r="Z21" s="415" t="str">
        <f>IF(Y21="","",IF(EDATE($Z$5,Y21)&gt;EXPEDIENTE!$F$27,"",EDATE($Z$5,Y21)))</f>
        <v/>
      </c>
      <c r="AA21" s="415" t="str">
        <f>IF(Z21="","",IF(YEAR(EXPEDIENTE!$F$25)=YEAR(Z21),Z21,""))</f>
        <v/>
      </c>
      <c r="AB21" s="415" t="str">
        <f>IF(Z21="","",IF(YEAR(EXPEDIENTE!$F$25)+1=YEAR(Z21),Z21,""))</f>
        <v/>
      </c>
      <c r="AC21" s="415" t="str">
        <f>IF(Z21="","",IF(YEAR(EXPEDIENTE!$F$25)+2=YEAR(Z21),Z21,""))</f>
        <v/>
      </c>
      <c r="AD21" s="415" t="str">
        <f>IF(Z21="","",IF(YEAR(EXPEDIENTE!$F$25)+3=YEAR(Z21),Z21,""))</f>
        <v/>
      </c>
      <c r="AH21" s="1003"/>
      <c r="AI21" s="1006"/>
      <c r="AJ21" s="1009"/>
      <c r="AL21" s="998"/>
      <c r="AM21" s="1000"/>
      <c r="AN21" s="970"/>
      <c r="AO21" s="1017"/>
      <c r="AP21" s="998"/>
      <c r="AQ21" s="1000"/>
      <c r="AR21" s="968"/>
      <c r="AS21" s="1027"/>
      <c r="AT21" s="970"/>
      <c r="AU21" s="968"/>
      <c r="AV21" s="1026"/>
      <c r="AW21" s="1020"/>
      <c r="BA21" s="987">
        <f>'GASTOS EJER. 1'!$C$37</f>
        <v>0</v>
      </c>
      <c r="BB21" s="988">
        <f>'GASTOS EJER. 1'!$C$38</f>
        <v>0</v>
      </c>
      <c r="BC21" s="988">
        <f>'GASTOS EJER. 1'!$C$39</f>
        <v>0</v>
      </c>
      <c r="BD21" s="988">
        <f>'GASTOS EJER. 1'!$C$40</f>
        <v>0</v>
      </c>
      <c r="BE21" s="988">
        <f>'GASTOS EJER. 1'!$C$41</f>
        <v>0</v>
      </c>
      <c r="BF21" s="988">
        <f>'GASTOS EJER. 1'!$C$42</f>
        <v>0</v>
      </c>
      <c r="BG21" s="988">
        <f>'GASTOS EJER. 1'!$C$43</f>
        <v>0</v>
      </c>
      <c r="BH21" s="989">
        <f>'GASTOS EJER. 1'!$C$44</f>
        <v>0</v>
      </c>
      <c r="BI21" s="991" t="s">
        <v>58</v>
      </c>
      <c r="BK21" s="987">
        <f>'GASTOS EJER. 2'!$C$37</f>
        <v>0</v>
      </c>
      <c r="BL21" s="988">
        <f>'GASTOS EJER. 2'!$C$38</f>
        <v>0</v>
      </c>
      <c r="BM21" s="988">
        <f>'GASTOS EJER. 2'!$C$39</f>
        <v>0</v>
      </c>
      <c r="BN21" s="988">
        <f>'GASTOS EJER. 2'!$C$40</f>
        <v>0</v>
      </c>
      <c r="BO21" s="988">
        <f>'GASTOS EJER. 2'!$C$41</f>
        <v>0</v>
      </c>
      <c r="BP21" s="988">
        <f>'GASTOS EJER. 2'!$C$42</f>
        <v>0</v>
      </c>
      <c r="BQ21" s="988">
        <f>'GASTOS EJER. 2'!$C$43</f>
        <v>0</v>
      </c>
      <c r="BR21" s="989">
        <f>'GASTOS EJER. 2'!$C$44</f>
        <v>0</v>
      </c>
      <c r="BS21" s="991" t="s">
        <v>58</v>
      </c>
      <c r="BU21" s="1032"/>
      <c r="BY21" s="1003"/>
      <c r="BZ21" s="1006"/>
      <c r="CA21" s="1009"/>
      <c r="CC21" s="998"/>
      <c r="CD21" s="1000"/>
      <c r="CE21" s="970"/>
      <c r="CF21" s="1017"/>
      <c r="CG21" s="998"/>
      <c r="CH21" s="1000"/>
      <c r="CI21" s="968"/>
      <c r="CJ21" s="1027"/>
      <c r="CK21" s="970"/>
      <c r="CL21" s="968"/>
      <c r="CM21" s="1026"/>
      <c r="CN21" s="1020"/>
      <c r="CR21" s="987">
        <f>'GASTOS EJER. 1'!$C$37</f>
        <v>0</v>
      </c>
      <c r="CS21" s="988">
        <f>'GASTOS EJER. 1'!$C$38</f>
        <v>0</v>
      </c>
      <c r="CT21" s="988">
        <f>'GASTOS EJER. 1'!$C$39</f>
        <v>0</v>
      </c>
      <c r="CU21" s="988">
        <f>'GASTOS EJER. 1'!$C$40</f>
        <v>0</v>
      </c>
      <c r="CV21" s="988">
        <f>'GASTOS EJER. 1'!$C$41</f>
        <v>0</v>
      </c>
      <c r="CW21" s="988">
        <f>'GASTOS EJER. 1'!$C$42</f>
        <v>0</v>
      </c>
      <c r="CX21" s="988">
        <f>'GASTOS EJER. 1'!$C$43</f>
        <v>0</v>
      </c>
      <c r="CY21" s="989">
        <f>'GASTOS EJER. 1'!$C$44</f>
        <v>0</v>
      </c>
      <c r="CZ21" s="991" t="s">
        <v>58</v>
      </c>
      <c r="DB21" s="987">
        <f>'GASTOS EJER. 2'!$C$37</f>
        <v>0</v>
      </c>
      <c r="DC21" s="988">
        <f>'GASTOS EJER. 2'!$C$38</f>
        <v>0</v>
      </c>
      <c r="DD21" s="988">
        <f>'GASTOS EJER. 2'!$C$39</f>
        <v>0</v>
      </c>
      <c r="DE21" s="988">
        <f>'GASTOS EJER. 2'!$C$40</f>
        <v>0</v>
      </c>
      <c r="DF21" s="988">
        <f>'GASTOS EJER. 2'!$C$41</f>
        <v>0</v>
      </c>
      <c r="DG21" s="988">
        <f>'GASTOS EJER. 2'!$C$42</f>
        <v>0</v>
      </c>
      <c r="DH21" s="988">
        <f>'GASTOS EJER. 2'!$C$43</f>
        <v>0</v>
      </c>
      <c r="DI21" s="989">
        <f>'GASTOS EJER. 2'!$C$44</f>
        <v>0</v>
      </c>
      <c r="DJ21" s="991" t="s">
        <v>58</v>
      </c>
      <c r="DL21" s="1032"/>
      <c r="DO21" s="958"/>
      <c r="DP21" s="970" t="s">
        <v>68</v>
      </c>
      <c r="DQ21" s="970" t="s">
        <v>69</v>
      </c>
      <c r="DR21" s="970" t="s">
        <v>111</v>
      </c>
      <c r="DS21" s="962"/>
      <c r="DT21" s="962"/>
      <c r="DU21" s="965"/>
      <c r="DV21" s="968"/>
      <c r="DX21" s="389">
        <v>2</v>
      </c>
      <c r="DY21" s="433">
        <f>DATE(YEAR(DY20),MONTH(DY20)+1,1)</f>
        <v>45323</v>
      </c>
      <c r="DZ21" s="433">
        <f>EOMONTH(DATE(YEAR(DZ20),MONTH(DZ20),DAY(DZ20)+1),0)</f>
        <v>45351</v>
      </c>
      <c r="EA21" s="389" t="str">
        <f>IF(AND(DZ21&gt;=EXPEDIENTE!$F$25,DY21&lt;=EXPEDIENTE!$F$29),"SI","NO")</f>
        <v>SI</v>
      </c>
      <c r="EB21" s="426">
        <f t="shared" si="12"/>
        <v>0</v>
      </c>
      <c r="EC21" s="426">
        <f t="shared" si="13"/>
        <v>0</v>
      </c>
      <c r="ED21" s="426">
        <f t="shared" si="14"/>
        <v>0</v>
      </c>
      <c r="EE21" s="426">
        <f t="shared" si="15"/>
        <v>0</v>
      </c>
      <c r="EF21" s="426">
        <f t="shared" si="16"/>
        <v>0</v>
      </c>
      <c r="EG21" s="426">
        <f t="shared" si="17"/>
        <v>0</v>
      </c>
      <c r="EH21" s="426">
        <f t="shared" si="18"/>
        <v>0</v>
      </c>
      <c r="EI21" s="426">
        <f t="shared" si="19"/>
        <v>0</v>
      </c>
      <c r="EJ21" s="426">
        <f t="shared" si="20"/>
        <v>0</v>
      </c>
      <c r="EK21" s="426">
        <f t="shared" si="21"/>
        <v>0</v>
      </c>
      <c r="EL21" s="426">
        <f t="shared" si="22"/>
        <v>0</v>
      </c>
      <c r="EM21" s="426">
        <f t="shared" si="23"/>
        <v>0</v>
      </c>
      <c r="EN21" s="426">
        <f t="shared" si="24"/>
        <v>0</v>
      </c>
      <c r="EO21" s="426">
        <f t="shared" si="25"/>
        <v>0</v>
      </c>
      <c r="EP21" s="426">
        <f t="shared" si="26"/>
        <v>0</v>
      </c>
      <c r="EQ21" s="426">
        <f t="shared" si="27"/>
        <v>0</v>
      </c>
      <c r="ER21" s="426">
        <f t="shared" si="28"/>
        <v>0</v>
      </c>
      <c r="ES21" s="426">
        <f t="shared" si="29"/>
        <v>0</v>
      </c>
      <c r="ET21" s="426">
        <f t="shared" si="30"/>
        <v>0</v>
      </c>
      <c r="EU21" s="426">
        <f t="shared" si="31"/>
        <v>0</v>
      </c>
      <c r="EV21" s="426">
        <f t="shared" si="32"/>
        <v>0</v>
      </c>
      <c r="EW21" s="426">
        <f t="shared" si="33"/>
        <v>0</v>
      </c>
      <c r="EX21" s="426">
        <f t="shared" si="34"/>
        <v>0</v>
      </c>
      <c r="EY21" s="426">
        <f t="shared" si="35"/>
        <v>0</v>
      </c>
      <c r="EZ21" s="426">
        <f t="shared" si="36"/>
        <v>0</v>
      </c>
      <c r="FA21" s="426">
        <f t="shared" si="37"/>
        <v>0</v>
      </c>
      <c r="FB21" s="426">
        <f t="shared" si="38"/>
        <v>0</v>
      </c>
      <c r="FC21" s="426">
        <f t="shared" si="39"/>
        <v>0</v>
      </c>
      <c r="FD21" s="426">
        <f t="shared" si="40"/>
        <v>0</v>
      </c>
      <c r="FE21" s="426">
        <f t="shared" si="41"/>
        <v>0</v>
      </c>
      <c r="FF21" s="426">
        <f t="shared" si="42"/>
        <v>0</v>
      </c>
      <c r="FG21" s="426">
        <f t="shared" si="43"/>
        <v>0</v>
      </c>
      <c r="FH21" s="426">
        <f t="shared" si="66"/>
        <v>0</v>
      </c>
      <c r="FS21" s="958"/>
      <c r="FT21" s="970" t="s">
        <v>68</v>
      </c>
      <c r="FU21" s="970" t="s">
        <v>69</v>
      </c>
      <c r="FV21" s="970" t="s">
        <v>111</v>
      </c>
      <c r="FW21" s="962"/>
      <c r="FX21" s="962"/>
      <c r="FY21" s="965"/>
      <c r="FZ21" s="968"/>
      <c r="GB21" s="389">
        <v>2</v>
      </c>
      <c r="GC21" s="433">
        <f>DATE(YEAR(GC20),MONTH(GC20)+1,1)</f>
        <v>45323</v>
      </c>
      <c r="GD21" s="433">
        <f>EOMONTH(DATE(YEAR(GD20),MONTH(GD20),DAY(GD20)+1),0)</f>
        <v>45351</v>
      </c>
      <c r="GE21" s="389" t="str">
        <f>IF(AND(GD21&gt;=EXPEDIENTE!$F$25,GC21&lt;=EXPEDIENTE!$F$29),"SI","NO")</f>
        <v>SI</v>
      </c>
      <c r="GF21" s="426">
        <f t="shared" si="67"/>
        <v>0</v>
      </c>
      <c r="GG21" s="426">
        <f t="shared" si="68"/>
        <v>0</v>
      </c>
      <c r="GH21" s="426">
        <f t="shared" si="69"/>
        <v>0</v>
      </c>
      <c r="GI21" s="426">
        <f t="shared" si="70"/>
        <v>0</v>
      </c>
      <c r="GJ21" s="426">
        <f t="shared" si="71"/>
        <v>0</v>
      </c>
      <c r="GK21" s="426">
        <f t="shared" si="72"/>
        <v>0</v>
      </c>
      <c r="GL21" s="426">
        <f t="shared" si="73"/>
        <v>0</v>
      </c>
      <c r="GM21" s="426">
        <f t="shared" si="74"/>
        <v>0</v>
      </c>
      <c r="GN21" s="426">
        <f t="shared" si="75"/>
        <v>0</v>
      </c>
      <c r="GO21" s="426">
        <f t="shared" si="76"/>
        <v>0</v>
      </c>
      <c r="GP21" s="426">
        <f t="shared" si="77"/>
        <v>0</v>
      </c>
      <c r="GQ21" s="426">
        <f t="shared" si="78"/>
        <v>0</v>
      </c>
      <c r="GR21" s="426">
        <f t="shared" si="79"/>
        <v>0</v>
      </c>
      <c r="GS21" s="426">
        <f t="shared" si="80"/>
        <v>0</v>
      </c>
      <c r="GT21" s="426">
        <f t="shared" si="81"/>
        <v>0</v>
      </c>
      <c r="GU21" s="426">
        <f t="shared" si="82"/>
        <v>0</v>
      </c>
      <c r="GV21" s="426">
        <f t="shared" si="83"/>
        <v>0</v>
      </c>
      <c r="GW21" s="426">
        <f t="shared" si="84"/>
        <v>0</v>
      </c>
      <c r="GX21" s="426">
        <f t="shared" si="85"/>
        <v>0</v>
      </c>
      <c r="GY21" s="426">
        <f t="shared" si="86"/>
        <v>0</v>
      </c>
      <c r="GZ21" s="426">
        <f t="shared" si="87"/>
        <v>0</v>
      </c>
      <c r="HA21" s="426">
        <f t="shared" si="88"/>
        <v>0</v>
      </c>
      <c r="HB21" s="426">
        <f t="shared" si="89"/>
        <v>0</v>
      </c>
      <c r="HC21" s="426">
        <f t="shared" si="90"/>
        <v>0</v>
      </c>
      <c r="HD21" s="426">
        <f t="shared" si="91"/>
        <v>0</v>
      </c>
      <c r="HE21" s="426">
        <f t="shared" si="92"/>
        <v>0</v>
      </c>
      <c r="HF21" s="426">
        <f t="shared" si="93"/>
        <v>0</v>
      </c>
      <c r="HG21" s="426">
        <f t="shared" si="94"/>
        <v>0</v>
      </c>
      <c r="HH21" s="426">
        <f t="shared" si="95"/>
        <v>0</v>
      </c>
      <c r="HI21" s="426">
        <f t="shared" si="96"/>
        <v>0</v>
      </c>
      <c r="HJ21" s="426">
        <f t="shared" si="97"/>
        <v>0</v>
      </c>
      <c r="HK21" s="426">
        <f t="shared" si="98"/>
        <v>0</v>
      </c>
      <c r="HL21" s="426">
        <f t="shared" si="99"/>
        <v>0</v>
      </c>
      <c r="JC21" s="419">
        <v>17</v>
      </c>
      <c r="JD21" s="401">
        <f t="shared" si="100"/>
        <v>6</v>
      </c>
    </row>
    <row r="22" spans="3:264" ht="15.75" thickBot="1" x14ac:dyDescent="0.3">
      <c r="C22" s="209">
        <v>16</v>
      </c>
      <c r="D22" s="404"/>
      <c r="E22" s="420"/>
      <c r="F22" s="421"/>
      <c r="G22" s="422"/>
      <c r="H22" s="422"/>
      <c r="I22" s="422"/>
      <c r="J22" s="404"/>
      <c r="K22" s="410">
        <f t="shared" si="52"/>
        <v>76</v>
      </c>
      <c r="L22" s="410">
        <f t="shared" si="53"/>
        <v>76</v>
      </c>
      <c r="M22" s="410" t="str">
        <f t="shared" si="54"/>
        <v>X</v>
      </c>
      <c r="R22" s="207" t="s">
        <v>243</v>
      </c>
      <c r="V22" s="982"/>
      <c r="W22" s="444"/>
      <c r="Y22" s="425">
        <f t="shared" si="0"/>
        <v>17</v>
      </c>
      <c r="Z22" s="415" t="str">
        <f>IF(Y22="","",IF(EDATE($Z$5,Y22)&gt;EXPEDIENTE!$F$27,"",EDATE($Z$5,Y22)))</f>
        <v/>
      </c>
      <c r="AA22" s="415" t="str">
        <f>IF(Z22="","",IF(YEAR(EXPEDIENTE!$F$25)=YEAR(Z22),Z22,""))</f>
        <v/>
      </c>
      <c r="AB22" s="415" t="str">
        <f>IF(Z22="","",IF(YEAR(EXPEDIENTE!$F$25)+1=YEAR(Z22),Z22,""))</f>
        <v/>
      </c>
      <c r="AC22" s="415" t="str">
        <f>IF(Z22="","",IF(YEAR(EXPEDIENTE!$F$25)+2=YEAR(Z22),Z22,""))</f>
        <v/>
      </c>
      <c r="AD22" s="415" t="str">
        <f>IF(Z22="","",IF(YEAR(EXPEDIENTE!$F$25)+3=YEAR(Z22),Z22,""))</f>
        <v/>
      </c>
      <c r="AH22" s="1004"/>
      <c r="AI22" s="1007"/>
      <c r="AJ22" s="1010"/>
      <c r="AL22" s="999"/>
      <c r="AM22" s="1001"/>
      <c r="AN22" s="971"/>
      <c r="AO22" s="1018"/>
      <c r="AP22" s="999"/>
      <c r="AQ22" s="1001"/>
      <c r="AR22" s="969"/>
      <c r="AS22" s="1028"/>
      <c r="AT22" s="1029"/>
      <c r="AU22" s="1030"/>
      <c r="AV22" s="461">
        <f>AF23</f>
        <v>2024</v>
      </c>
      <c r="AW22" s="1021"/>
      <c r="AZ22" s="416">
        <f>AF23</f>
        <v>2024</v>
      </c>
      <c r="BA22" s="959"/>
      <c r="BB22" s="963"/>
      <c r="BC22" s="963"/>
      <c r="BD22" s="963"/>
      <c r="BE22" s="963"/>
      <c r="BF22" s="963"/>
      <c r="BG22" s="963"/>
      <c r="BH22" s="990"/>
      <c r="BI22" s="992"/>
      <c r="BK22" s="959"/>
      <c r="BL22" s="963"/>
      <c r="BM22" s="963"/>
      <c r="BN22" s="963"/>
      <c r="BO22" s="963"/>
      <c r="BP22" s="963"/>
      <c r="BQ22" s="963"/>
      <c r="BR22" s="990"/>
      <c r="BS22" s="992"/>
      <c r="BU22" s="462">
        <f>AF23</f>
        <v>2024</v>
      </c>
      <c r="BY22" s="1004"/>
      <c r="BZ22" s="1007"/>
      <c r="CA22" s="1010"/>
      <c r="CC22" s="999"/>
      <c r="CD22" s="1001"/>
      <c r="CE22" s="971"/>
      <c r="CF22" s="1018"/>
      <c r="CG22" s="999"/>
      <c r="CH22" s="1001"/>
      <c r="CI22" s="969"/>
      <c r="CJ22" s="1028"/>
      <c r="CK22" s="1029"/>
      <c r="CL22" s="1030"/>
      <c r="CM22" s="461">
        <f>BW23</f>
        <v>2024</v>
      </c>
      <c r="CN22" s="1021"/>
      <c r="CQ22" s="417">
        <f>BW23</f>
        <v>2024</v>
      </c>
      <c r="CR22" s="1022"/>
      <c r="CS22" s="1023"/>
      <c r="CT22" s="1023"/>
      <c r="CU22" s="1023"/>
      <c r="CV22" s="1023"/>
      <c r="CW22" s="1023"/>
      <c r="CX22" s="1023"/>
      <c r="CY22" s="1024"/>
      <c r="CZ22" s="992"/>
      <c r="DB22" s="1022"/>
      <c r="DC22" s="1023"/>
      <c r="DD22" s="1023"/>
      <c r="DE22" s="1023"/>
      <c r="DF22" s="1023"/>
      <c r="DG22" s="1023"/>
      <c r="DH22" s="1023"/>
      <c r="DI22" s="1024"/>
      <c r="DJ22" s="992"/>
      <c r="DL22" s="463">
        <f>BW23</f>
        <v>2024</v>
      </c>
      <c r="DO22" s="959"/>
      <c r="DP22" s="971"/>
      <c r="DQ22" s="971"/>
      <c r="DR22" s="971"/>
      <c r="DS22" s="963"/>
      <c r="DT22" s="963"/>
      <c r="DU22" s="966"/>
      <c r="DV22" s="969"/>
      <c r="DX22" s="389">
        <v>3</v>
      </c>
      <c r="DY22" s="433">
        <f t="shared" ref="DY22:DY69" si="101">DATE(YEAR(DY21),MONTH(DY21)+1,1)</f>
        <v>45352</v>
      </c>
      <c r="DZ22" s="433">
        <f t="shared" ref="DZ22:DZ69" si="102">EOMONTH(DATE(YEAR(DZ21),MONTH(DZ21),DAY(DZ21)+1),0)</f>
        <v>45382</v>
      </c>
      <c r="EA22" s="389" t="str">
        <f>IF(AND(DZ22&gt;=EXPEDIENTE!$F$25,DY22&lt;=EXPEDIENTE!$F$29),"SI","NO")</f>
        <v>SI</v>
      </c>
      <c r="EB22" s="426">
        <f t="shared" si="12"/>
        <v>0</v>
      </c>
      <c r="EC22" s="426">
        <f t="shared" si="13"/>
        <v>0</v>
      </c>
      <c r="ED22" s="426">
        <f t="shared" si="14"/>
        <v>0</v>
      </c>
      <c r="EE22" s="426">
        <f t="shared" si="15"/>
        <v>0</v>
      </c>
      <c r="EF22" s="426">
        <f t="shared" si="16"/>
        <v>0</v>
      </c>
      <c r="EG22" s="426">
        <f t="shared" si="17"/>
        <v>0</v>
      </c>
      <c r="EH22" s="426">
        <f t="shared" si="18"/>
        <v>0</v>
      </c>
      <c r="EI22" s="426">
        <f t="shared" si="19"/>
        <v>0</v>
      </c>
      <c r="EJ22" s="426">
        <f t="shared" si="20"/>
        <v>0</v>
      </c>
      <c r="EK22" s="426">
        <f t="shared" si="21"/>
        <v>0</v>
      </c>
      <c r="EL22" s="426">
        <f t="shared" si="22"/>
        <v>0</v>
      </c>
      <c r="EM22" s="426">
        <f t="shared" si="23"/>
        <v>0</v>
      </c>
      <c r="EN22" s="426">
        <f t="shared" si="24"/>
        <v>0</v>
      </c>
      <c r="EO22" s="426">
        <f t="shared" si="25"/>
        <v>0</v>
      </c>
      <c r="EP22" s="426">
        <f t="shared" si="26"/>
        <v>0</v>
      </c>
      <c r="EQ22" s="426">
        <f t="shared" si="27"/>
        <v>0</v>
      </c>
      <c r="ER22" s="426">
        <f t="shared" si="28"/>
        <v>0</v>
      </c>
      <c r="ES22" s="426">
        <f t="shared" si="29"/>
        <v>0</v>
      </c>
      <c r="ET22" s="426">
        <f t="shared" si="30"/>
        <v>0</v>
      </c>
      <c r="EU22" s="426">
        <f t="shared" si="31"/>
        <v>0</v>
      </c>
      <c r="EV22" s="426">
        <f t="shared" si="32"/>
        <v>0</v>
      </c>
      <c r="EW22" s="426">
        <f t="shared" si="33"/>
        <v>0</v>
      </c>
      <c r="EX22" s="426">
        <f t="shared" si="34"/>
        <v>0</v>
      </c>
      <c r="EY22" s="426">
        <f t="shared" si="35"/>
        <v>0</v>
      </c>
      <c r="EZ22" s="426">
        <f t="shared" si="36"/>
        <v>0</v>
      </c>
      <c r="FA22" s="426">
        <f t="shared" si="37"/>
        <v>0</v>
      </c>
      <c r="FB22" s="426">
        <f t="shared" si="38"/>
        <v>0</v>
      </c>
      <c r="FC22" s="426">
        <f t="shared" si="39"/>
        <v>0</v>
      </c>
      <c r="FD22" s="426">
        <f t="shared" si="40"/>
        <v>0</v>
      </c>
      <c r="FE22" s="426">
        <f t="shared" si="41"/>
        <v>0</v>
      </c>
      <c r="FF22" s="426">
        <f t="shared" si="42"/>
        <v>0</v>
      </c>
      <c r="FG22" s="426">
        <f t="shared" si="43"/>
        <v>0</v>
      </c>
      <c r="FH22" s="426">
        <f t="shared" si="66"/>
        <v>0</v>
      </c>
      <c r="FJ22" s="464">
        <f>AF23</f>
        <v>2024</v>
      </c>
      <c r="FK22" s="465" t="s">
        <v>76</v>
      </c>
      <c r="FL22" s="466" t="s">
        <v>208</v>
      </c>
      <c r="FM22" s="466" t="s">
        <v>136</v>
      </c>
      <c r="FN22" s="466" t="s">
        <v>194</v>
      </c>
      <c r="FO22" s="466" t="s">
        <v>351</v>
      </c>
      <c r="FP22" s="467" t="s">
        <v>58</v>
      </c>
      <c r="FS22" s="959"/>
      <c r="FT22" s="971"/>
      <c r="FU22" s="971"/>
      <c r="FV22" s="971"/>
      <c r="FW22" s="963"/>
      <c r="FX22" s="963"/>
      <c r="FY22" s="966"/>
      <c r="FZ22" s="969"/>
      <c r="GB22" s="389">
        <v>3</v>
      </c>
      <c r="GC22" s="433">
        <f t="shared" ref="GC22:GC69" si="103">DATE(YEAR(GC21),MONTH(GC21)+1,1)</f>
        <v>45352</v>
      </c>
      <c r="GD22" s="433">
        <f t="shared" ref="GD22:GD69" si="104">EOMONTH(DATE(YEAR(GD21),MONTH(GD21),DAY(GD21)+1),0)</f>
        <v>45382</v>
      </c>
      <c r="GE22" s="389" t="str">
        <f>IF(AND(GD22&gt;=EXPEDIENTE!$F$25,GC22&lt;=EXPEDIENTE!$F$29),"SI","NO")</f>
        <v>SI</v>
      </c>
      <c r="GF22" s="426">
        <f t="shared" si="67"/>
        <v>0</v>
      </c>
      <c r="GG22" s="426">
        <f t="shared" si="68"/>
        <v>0</v>
      </c>
      <c r="GH22" s="426">
        <f t="shared" si="69"/>
        <v>0</v>
      </c>
      <c r="GI22" s="426">
        <f t="shared" si="70"/>
        <v>0</v>
      </c>
      <c r="GJ22" s="426">
        <f t="shared" si="71"/>
        <v>0</v>
      </c>
      <c r="GK22" s="426">
        <f t="shared" si="72"/>
        <v>0</v>
      </c>
      <c r="GL22" s="426">
        <f t="shared" si="73"/>
        <v>0</v>
      </c>
      <c r="GM22" s="426">
        <f t="shared" si="74"/>
        <v>0</v>
      </c>
      <c r="GN22" s="426">
        <f t="shared" si="75"/>
        <v>0</v>
      </c>
      <c r="GO22" s="426">
        <f t="shared" si="76"/>
        <v>0</v>
      </c>
      <c r="GP22" s="426">
        <f t="shared" si="77"/>
        <v>0</v>
      </c>
      <c r="GQ22" s="426">
        <f t="shared" si="78"/>
        <v>0</v>
      </c>
      <c r="GR22" s="426">
        <f t="shared" si="79"/>
        <v>0</v>
      </c>
      <c r="GS22" s="426">
        <f t="shared" si="80"/>
        <v>0</v>
      </c>
      <c r="GT22" s="426">
        <f t="shared" si="81"/>
        <v>0</v>
      </c>
      <c r="GU22" s="426">
        <f t="shared" si="82"/>
        <v>0</v>
      </c>
      <c r="GV22" s="426">
        <f t="shared" si="83"/>
        <v>0</v>
      </c>
      <c r="GW22" s="426">
        <f t="shared" si="84"/>
        <v>0</v>
      </c>
      <c r="GX22" s="426">
        <f t="shared" si="85"/>
        <v>0</v>
      </c>
      <c r="GY22" s="426">
        <f t="shared" si="86"/>
        <v>0</v>
      </c>
      <c r="GZ22" s="426">
        <f t="shared" si="87"/>
        <v>0</v>
      </c>
      <c r="HA22" s="426">
        <f t="shared" si="88"/>
        <v>0</v>
      </c>
      <c r="HB22" s="426">
        <f t="shared" si="89"/>
        <v>0</v>
      </c>
      <c r="HC22" s="426">
        <f t="shared" si="90"/>
        <v>0</v>
      </c>
      <c r="HD22" s="426">
        <f t="shared" si="91"/>
        <v>0</v>
      </c>
      <c r="HE22" s="426">
        <f t="shared" si="92"/>
        <v>0</v>
      </c>
      <c r="HF22" s="426">
        <f t="shared" si="93"/>
        <v>0</v>
      </c>
      <c r="HG22" s="426">
        <f t="shared" si="94"/>
        <v>0</v>
      </c>
      <c r="HH22" s="426">
        <f t="shared" si="95"/>
        <v>0</v>
      </c>
      <c r="HI22" s="426">
        <f t="shared" si="96"/>
        <v>0</v>
      </c>
      <c r="HJ22" s="426">
        <f t="shared" si="97"/>
        <v>0</v>
      </c>
      <c r="HK22" s="426">
        <f t="shared" si="98"/>
        <v>0</v>
      </c>
      <c r="HL22" s="426">
        <f t="shared" si="99"/>
        <v>0</v>
      </c>
      <c r="HO22" s="468">
        <f>BW23</f>
        <v>2024</v>
      </c>
      <c r="HP22" s="465" t="s">
        <v>76</v>
      </c>
      <c r="HQ22" s="466" t="s">
        <v>208</v>
      </c>
      <c r="HR22" s="466" t="s">
        <v>136</v>
      </c>
      <c r="HS22" s="466" t="s">
        <v>194</v>
      </c>
      <c r="HT22" s="466" t="s">
        <v>351</v>
      </c>
      <c r="HU22" s="467" t="s">
        <v>58</v>
      </c>
      <c r="JC22" s="419">
        <v>18</v>
      </c>
      <c r="JD22" s="401">
        <f t="shared" si="100"/>
        <v>6</v>
      </c>
    </row>
    <row r="23" spans="3:264" ht="15.75" thickBot="1" x14ac:dyDescent="0.3">
      <c r="C23" s="209">
        <v>17</v>
      </c>
      <c r="D23" s="404"/>
      <c r="E23" s="420"/>
      <c r="F23" s="421"/>
      <c r="G23" s="422"/>
      <c r="H23" s="422"/>
      <c r="I23" s="422"/>
      <c r="J23" s="404"/>
      <c r="K23" s="410">
        <f t="shared" si="52"/>
        <v>76</v>
      </c>
      <c r="L23" s="410">
        <f t="shared" si="53"/>
        <v>76</v>
      </c>
      <c r="M23" s="410" t="str">
        <f t="shared" si="54"/>
        <v>X</v>
      </c>
      <c r="V23" s="982"/>
      <c r="W23" s="444"/>
      <c r="Y23" s="425">
        <f t="shared" si="0"/>
        <v>18</v>
      </c>
      <c r="Z23" s="415" t="str">
        <f>IF(Y23="","",IF(EDATE($Z$5,Y23)&gt;EXPEDIENTE!$F$27,"",EDATE($Z$5,Y23)))</f>
        <v/>
      </c>
      <c r="AA23" s="415" t="str">
        <f>IF(Z23="","",IF(YEAR(EXPEDIENTE!$F$25)=YEAR(Z23),Z23,""))</f>
        <v/>
      </c>
      <c r="AB23" s="415" t="str">
        <f>IF(Z23="","",IF(YEAR(EXPEDIENTE!$F$25)+1=YEAR(Z23),Z23,""))</f>
        <v/>
      </c>
      <c r="AC23" s="415" t="str">
        <f>IF(Z23="","",IF(YEAR(EXPEDIENTE!$F$25)+2=YEAR(Z23),Z23,""))</f>
        <v/>
      </c>
      <c r="AD23" s="415" t="str">
        <f>IF(Z23="","",IF(YEAR(EXPEDIENTE!$F$25)+3=YEAR(Z23),Z23,""))</f>
        <v/>
      </c>
      <c r="AF23" s="469">
        <f>YEAR(EXPEDIENTE!$F$25)</f>
        <v>2024</v>
      </c>
      <c r="AG23" s="470">
        <v>1</v>
      </c>
      <c r="AH23" s="471">
        <f>'GASTOS EJER. 1'!M37</f>
        <v>0</v>
      </c>
      <c r="AI23" s="472">
        <f>'GASTOS EJER. 1'!X37</f>
        <v>0</v>
      </c>
      <c r="AJ23" s="473">
        <f>AH23-AI23</f>
        <v>0</v>
      </c>
      <c r="AL23" s="474">
        <f>'GASTOS EJER. 1'!F37+'GASTOS EJER. 1'!L37-'GASTOS EJER. 1'!X37-'GASTOS EJER. 1'!Y37</f>
        <v>0</v>
      </c>
      <c r="AM23" s="475" t="str">
        <f>IF('GASTOS EJER. 1'!AA37="","",'GASTOS EJER. 1'!AA37)</f>
        <v/>
      </c>
      <c r="AN23" s="472">
        <f>'GASTOS EJER. 1'!Y37</f>
        <v>0</v>
      </c>
      <c r="AO23" s="476" t="str">
        <f>IF('GASTOS EJER. 1'!AB37="","",'GASTOS EJER. 1'!AB37)</f>
        <v/>
      </c>
      <c r="AP23" s="477">
        <f>IF(AND(AM23&gt;=EXPEDIENTE!$I$25,AM23&lt;=EXPEDIENTE!$I$29),AL23,0)</f>
        <v>0</v>
      </c>
      <c r="AQ23" s="429">
        <f>IF(AND(AO23&gt;=EXPEDIENTE!$I$25,AO23&lt;=EXPEDIENTE!$I$29),AN23,0)</f>
        <v>0</v>
      </c>
      <c r="AR23" s="473">
        <f>AP23+AQ23</f>
        <v>0</v>
      </c>
      <c r="AS23" s="478" t="str">
        <f>IF('GASTOS EJER. 1'!D37="","",'GASTOS EJER. 1'!D37)</f>
        <v/>
      </c>
      <c r="AT23" s="479" t="str">
        <f>IF('GASTOS EJER. 1'!E37="","",'GASTOS EJER. 1'!E37)</f>
        <v/>
      </c>
      <c r="AU23" s="480">
        <f>IF(OR(AS23="",AT23=""),0,DATEDIF(AS23,AT23,"M")+1)</f>
        <v>0</v>
      </c>
      <c r="AV23" s="481">
        <f t="shared" ref="AV23:AV30" si="105">IF(OR(AS23="",AT23=""),0,IF(YEAR(AS23)&lt;$AV$22,DATEDIF(DATE($AV$22,1,1),AT23,"M")+1,AU23))</f>
        <v>0</v>
      </c>
      <c r="AW23" s="482">
        <f>IF(OR(AS23="",AT23=""),0,ROUND(AR23/AU23,2))</f>
        <v>0</v>
      </c>
      <c r="AY23" s="426">
        <v>1</v>
      </c>
      <c r="AZ23" s="427">
        <f t="shared" ref="AZ23:AZ34" si="106">DATE($AZ$22,AY23,1)</f>
        <v>45292</v>
      </c>
      <c r="BA23" s="428">
        <f>IF($AH$23=0,0,IF($BA$21=0,0,IF(AND(AZ23&gt;=$AS$23,AZ23&lt;=$AT$23),$AW$23,0)))</f>
        <v>0</v>
      </c>
      <c r="BB23" s="429">
        <f>IF($AH$24=0,0,IF($BB$21=0,0,IF(AND(AZ23&gt;=$AS$24,AZ23&lt;=$AT$24),$AW$24,0)))</f>
        <v>0</v>
      </c>
      <c r="BC23" s="429">
        <f>IF($AH$25=0,0,IF($BC$21=0,0,IF(AND(AZ23&gt;=$AS$25,AZ23&lt;=$AT$25),$AW$25,0)))</f>
        <v>0</v>
      </c>
      <c r="BD23" s="429">
        <f t="shared" ref="BD23" si="107">IF($AH$26=0,0,IF($BD$21=0,0,IF(AND(AZ23&gt;=$AS$26,AZ23&lt;=$AT$26),$AW$26,0)))</f>
        <v>0</v>
      </c>
      <c r="BE23" s="429">
        <f t="shared" ref="BE23" si="108">IF($AH$27=0,0,IF($BE$21=0,0,IF(AND(AZ23&gt;=$AS$27,AZ23&lt;=$AT$27),$AW$27,0)))</f>
        <v>0</v>
      </c>
      <c r="BF23" s="429">
        <f>IF($AH$28=0,0,IF($BF$21=0,0,IF(AND(AZ23&gt;=$AS$28,AZ23&lt;=$AT$28),$AW$28,0)))</f>
        <v>0</v>
      </c>
      <c r="BG23" s="429">
        <f>IF($AH$29=0,0,IF($BG$21=0,0,IF(AND(AZ23&gt;=$AS$29,AZ23&lt;=$AT$29),$AW$29,0)))</f>
        <v>0</v>
      </c>
      <c r="BH23" s="430">
        <f>IF($AH$30=0,0,IF($BH$21=0,0,IF(AND(AZ23&gt;=$AS$30,AZ23&lt;=$AT$30),$AW$30,0)))</f>
        <v>0</v>
      </c>
      <c r="BI23" s="431">
        <f>SUM(BA23:BH23)</f>
        <v>0</v>
      </c>
      <c r="BK23" s="987">
        <f>IF($AH$39=0,0,IF($BK$21=0,0,IF(AND(AZ23&gt;=$AS$39,AZ23&lt;=$AT$39),$AW$39,0)))</f>
        <v>0</v>
      </c>
      <c r="BL23" s="988">
        <f>IF($AH$40=0,0,IF($BL$21=0,0,IF(AND(AZ23&gt;=$AS$40,AZ23&lt;=$AT$40),$AW$40,0)))</f>
        <v>0</v>
      </c>
      <c r="BM23" s="988">
        <f>IF($AH$41=0,0,IF($BM$21=0,0,IF(AND(AZ23&gt;=$AS$41,AZ23&lt;=$AT$41),$AW$41,0)))</f>
        <v>0</v>
      </c>
      <c r="BN23" s="988">
        <f>IF($AH$42=0,0,IF($BN$21=0,0,IF(AND(AZ23&gt;=$AS$42,AZ23&lt;=$AT$42),$AW$42,0)))</f>
        <v>0</v>
      </c>
      <c r="BO23" s="988">
        <f>IF($AH$43=0,0,IF($BO$21=0,0,IF(AND(AZ23&gt;=$AS$43,AZ23&lt;=$AT$43),$AW$43,0)))</f>
        <v>0</v>
      </c>
      <c r="BP23" s="988">
        <f>IF($AH$44=0,0,IF($BP$21=0,0,IF(AND(AZ23&gt;=$AS$44,AZ23&lt;=$AT$44),$AW$44,0)))</f>
        <v>0</v>
      </c>
      <c r="BQ23" s="988">
        <f>IF($AH$45=0,0,IF($BQ$21=0,0,IF(AND(AZ23&gt;=$AS$45,AZ23&lt;=$AT$45),$AW$45,0)))</f>
        <v>0</v>
      </c>
      <c r="BR23" s="989">
        <f>IF($AH$46=0,0,IF($BR$21=0,0,IF(AND(AZ23&gt;=$AS$46,AZ23&lt;=$AT$46),$AW$46,0)))</f>
        <v>0</v>
      </c>
      <c r="BS23" s="991">
        <f t="shared" ref="BS23:BS34" si="109">SUM(BK23:BR23)</f>
        <v>0</v>
      </c>
      <c r="BU23" s="483">
        <f>BI23+BS23</f>
        <v>0</v>
      </c>
      <c r="BW23" s="484">
        <f>YEAR(EXPEDIENTE!$I$25)</f>
        <v>2024</v>
      </c>
      <c r="BX23" s="470">
        <v>1</v>
      </c>
      <c r="BY23" s="471">
        <f>'GASTOS EJER. 1'!BN37</f>
        <v>0</v>
      </c>
      <c r="BZ23" s="472">
        <f>'GASTOS EJER. 1'!CM37</f>
        <v>0</v>
      </c>
      <c r="CA23" s="473">
        <f>BY23-BZ23</f>
        <v>0</v>
      </c>
      <c r="CC23" s="474">
        <f>'GASTOS EJER. 1'!AW37+'GASTOS EJER. 1'!BM37-'GASTOS EJER. 1'!CM37-'GASTOS EJER. 1'!CP37</f>
        <v>0</v>
      </c>
      <c r="CD23" s="475" t="str">
        <f>IF('GASTOS EJER. 1'!CT37="","",'GASTOS EJER. 1'!CT37)</f>
        <v/>
      </c>
      <c r="CE23" s="472">
        <f>'GASTOS EJER. 1'!CP37</f>
        <v>0</v>
      </c>
      <c r="CF23" s="476" t="str">
        <f>IF('GASTOS EJER. 1'!CW37="","",'GASTOS EJER. 1'!CW37)</f>
        <v/>
      </c>
      <c r="CG23" s="477">
        <f>IF(AND(CD23&gt;=EXPEDIENTE!$I$25,CD23&lt;=EXPEDIENTE!$I$29),CC23,0)</f>
        <v>0</v>
      </c>
      <c r="CH23" s="429">
        <f>IF(AND(CF23&gt;=EXPEDIENTE!$I$25,CF23&lt;=EXPEDIENTE!$I$29),CE23,0)</f>
        <v>0</v>
      </c>
      <c r="CI23" s="473">
        <f>CG23+CH23</f>
        <v>0</v>
      </c>
      <c r="CJ23" s="478" t="str">
        <f>IF('GASTOS EJER. 1'!AQ37="","",'GASTOS EJER. 1'!AQ37)</f>
        <v/>
      </c>
      <c r="CK23" s="479" t="str">
        <f>IF('GASTOS EJER. 1'!AT37="","",'GASTOS EJER. 1'!AT37)</f>
        <v/>
      </c>
      <c r="CL23" s="480">
        <f>IF(OR(CJ23="",CK23=""),0,DATEDIF(CJ23,CK23,"M")+1)</f>
        <v>0</v>
      </c>
      <c r="CM23" s="481">
        <f t="shared" ref="CM23:CM30" si="110">IF(OR(CJ23="",CK23=""),0,IF(YEAR(CJ23)&lt;$AV$22,DATEDIF(DATE($AV$22,1,1),CK23,"M")+1,CL23))</f>
        <v>0</v>
      </c>
      <c r="CN23" s="482">
        <f>IF(OR(CJ23="",CK23=""),0,ROUND(CI23/CL23,2))</f>
        <v>0</v>
      </c>
      <c r="CP23" s="426">
        <v>1</v>
      </c>
      <c r="CQ23" s="427">
        <f t="shared" ref="CQ23:CQ34" si="111">DATE($AZ$22,CP23,1)</f>
        <v>45292</v>
      </c>
      <c r="CR23" s="428">
        <f>IF($BY$23=0,0,IF($CR$21=0,0,IF(AND($CQ23&gt;=$CJ$23,$CQ23&lt;=$CK$23),$CN$23,0)))</f>
        <v>0</v>
      </c>
      <c r="CS23" s="429">
        <f>IF($BY$24=0,0,IF($CS$21=0,0,IF(AND($CQ23&gt;=$CJ$24,$CQ23&lt;=$CK$24),$CN$24,0)))</f>
        <v>0</v>
      </c>
      <c r="CT23" s="429">
        <f>IF($BY$25=0,0,IF($CT$21=0,0,IF(AND($CQ23&gt;=$CJ$25,$CQ23&lt;=$CK$25),$CN$25,0)))</f>
        <v>0</v>
      </c>
      <c r="CU23" s="429">
        <f>IF($BY$26=0,0,IF($CU$21=0,0,IF(AND($CQ23&gt;=$CJ$26,$CQ23&lt;=$CK$26),$CN$26,0)))</f>
        <v>0</v>
      </c>
      <c r="CV23" s="429">
        <f>IF($BY$27=0,0,IF($CV$21=0,0,IF(AND($CQ23&gt;=$CJ$27,$CQ23&lt;=$CK$27),$CN$27,0)))</f>
        <v>0</v>
      </c>
      <c r="CW23" s="429">
        <f>IF($BY$28=0,0,IF($CW$21=0,0,IF(AND($CQ23&gt;=$CJ$28,$CQ23&lt;=$CK$28),$CN$28,0)))</f>
        <v>0</v>
      </c>
      <c r="CX23" s="429">
        <f>IF($BY$29=0,0,IF($CX$21=0,0,IF(AND($CQ23&gt;=$CJ$29,$CQ23&lt;=$CK$29),$CN$29,0)))</f>
        <v>0</v>
      </c>
      <c r="CY23" s="430">
        <f>IF($BY$30=0,0,IF($CX$21=0,0,IF(AND($CQ23&gt;=$CJ$30,$CQ23&lt;=$CK$30),$CN$30,0)))</f>
        <v>0</v>
      </c>
      <c r="CZ23" s="431">
        <f>SUM(CR23:CY23)</f>
        <v>0</v>
      </c>
      <c r="DB23" s="428">
        <f>IF($BY$39=0,0,IF($DB$21=0,0,IF(AND($CQ23&gt;=$CJ$39,$CQ23&lt;=$CK$39),$CN$39,0)))</f>
        <v>0</v>
      </c>
      <c r="DC23" s="429">
        <f>IF($BY$40=0,0,IF($DC$21=0,0,IF(AND($CQ23&gt;=$CJ$40,$CQ23&lt;=$CK$40),$CN$40,0)))</f>
        <v>0</v>
      </c>
      <c r="DD23" s="429">
        <f>IF($BY$41=0,0,IF($DD$21=0,0,IF(AND($CQ23&gt;=$CJ$41,$CQ23&lt;=$CK$41),$CN$41,0)))</f>
        <v>0</v>
      </c>
      <c r="DE23" s="429">
        <f>IF($BY$42=0,0,IF($DE$21=0,0,IF(AND($CQ23&gt;=$CJ$42,$CQ23&lt;=$CK$42),$CN$42,0)))</f>
        <v>0</v>
      </c>
      <c r="DF23" s="429">
        <f>IF($BY$43=0,0,IF($DF$21=0,0,IF(AND($CQ23&gt;=$CJ$43,$CQ23&lt;=$CK$43),$CN$43,0)))</f>
        <v>0</v>
      </c>
      <c r="DG23" s="429">
        <f>IF($BY$44=0,0,IF($DG$21=0,0,IF(AND($CQ23&gt;=$CJ$44,$CQ23&lt;=$CK$44),$CN$44,0)))</f>
        <v>0</v>
      </c>
      <c r="DH23" s="429">
        <f>IF($BY$45=0,0,IF($DH$21=0,0,IF(AND($CQ23&gt;=$CJ$45,$CQ23&lt;=$CK$45),$CN$45,0)))</f>
        <v>0</v>
      </c>
      <c r="DI23" s="430">
        <f>IF($BY$46=0,0,IF($DI$21=0,0,IF(AND($CQ23&gt;=$CJ$46,$CQ23&lt;=$CK$46),$CN$46,0)))</f>
        <v>0</v>
      </c>
      <c r="DJ23" s="431">
        <f t="shared" ref="DJ23:DJ34" si="112">SUM(DB23:DI23)</f>
        <v>0</v>
      </c>
      <c r="DL23" s="483">
        <f>CZ23+DJ23</f>
        <v>0</v>
      </c>
      <c r="DN23" s="470">
        <v>1</v>
      </c>
      <c r="DO23" s="485">
        <f>'GASTOS EJER. 1'!$C37</f>
        <v>0</v>
      </c>
      <c r="DP23" s="479" t="str">
        <f>AS23</f>
        <v/>
      </c>
      <c r="DQ23" s="479" t="str">
        <f t="shared" ref="DQ23:DR23" si="113">AT23</f>
        <v/>
      </c>
      <c r="DR23" s="486">
        <f t="shared" si="113"/>
        <v>0</v>
      </c>
      <c r="DS23" s="487">
        <f>'GASTOS EJER. 1'!X37</f>
        <v>0</v>
      </c>
      <c r="DT23" s="475" t="str">
        <f>IF(DS23=0,"",'GASTOS EJER. 1'!AA37)</f>
        <v/>
      </c>
      <c r="DU23" s="475" t="str">
        <f t="shared" ref="DU23:DU30" si="114">IF(DT23="","",EOMONTH(DATE(YEAR(DT23),MONTH(DT23)+1,1),0))</f>
        <v/>
      </c>
      <c r="DV23" s="473" t="e">
        <f>IF(AND(DU23&gt;=EXPEDIENTE!$F$25,DU23&lt;=EXPEDIENTE!$F$29),ROUNDDOWN(DS23/DR23,2),0)</f>
        <v>#DIV/0!</v>
      </c>
      <c r="DX23" s="389">
        <v>4</v>
      </c>
      <c r="DY23" s="433">
        <f t="shared" si="101"/>
        <v>45383</v>
      </c>
      <c r="DZ23" s="433">
        <f t="shared" si="102"/>
        <v>45412</v>
      </c>
      <c r="EA23" s="389" t="str">
        <f>IF(AND(DZ23&gt;=EXPEDIENTE!$F$25,DY23&lt;=EXPEDIENTE!$F$29),"SI","NO")</f>
        <v>SI</v>
      </c>
      <c r="EB23" s="426">
        <f t="shared" si="12"/>
        <v>0</v>
      </c>
      <c r="EC23" s="426">
        <f t="shared" si="13"/>
        <v>0</v>
      </c>
      <c r="ED23" s="426">
        <f t="shared" si="14"/>
        <v>0</v>
      </c>
      <c r="EE23" s="426">
        <f t="shared" si="15"/>
        <v>0</v>
      </c>
      <c r="EF23" s="426">
        <f t="shared" si="16"/>
        <v>0</v>
      </c>
      <c r="EG23" s="426">
        <f t="shared" si="17"/>
        <v>0</v>
      </c>
      <c r="EH23" s="426">
        <f t="shared" si="18"/>
        <v>0</v>
      </c>
      <c r="EI23" s="426">
        <f t="shared" si="19"/>
        <v>0</v>
      </c>
      <c r="EJ23" s="426">
        <f t="shared" si="20"/>
        <v>0</v>
      </c>
      <c r="EK23" s="426">
        <f t="shared" si="21"/>
        <v>0</v>
      </c>
      <c r="EL23" s="426">
        <f t="shared" si="22"/>
        <v>0</v>
      </c>
      <c r="EM23" s="426">
        <f t="shared" si="23"/>
        <v>0</v>
      </c>
      <c r="EN23" s="426">
        <f t="shared" si="24"/>
        <v>0</v>
      </c>
      <c r="EO23" s="426">
        <f t="shared" si="25"/>
        <v>0</v>
      </c>
      <c r="EP23" s="426">
        <f t="shared" si="26"/>
        <v>0</v>
      </c>
      <c r="EQ23" s="426">
        <f t="shared" si="27"/>
        <v>0</v>
      </c>
      <c r="ER23" s="426">
        <f t="shared" si="28"/>
        <v>0</v>
      </c>
      <c r="ES23" s="426">
        <f t="shared" si="29"/>
        <v>0</v>
      </c>
      <c r="ET23" s="426">
        <f t="shared" si="30"/>
        <v>0</v>
      </c>
      <c r="EU23" s="426">
        <f t="shared" si="31"/>
        <v>0</v>
      </c>
      <c r="EV23" s="426">
        <f t="shared" si="32"/>
        <v>0</v>
      </c>
      <c r="EW23" s="426">
        <f t="shared" si="33"/>
        <v>0</v>
      </c>
      <c r="EX23" s="426">
        <f t="shared" si="34"/>
        <v>0</v>
      </c>
      <c r="EY23" s="426">
        <f t="shared" si="35"/>
        <v>0</v>
      </c>
      <c r="EZ23" s="426">
        <f t="shared" si="36"/>
        <v>0</v>
      </c>
      <c r="FA23" s="426">
        <f t="shared" si="37"/>
        <v>0</v>
      </c>
      <c r="FB23" s="426">
        <f t="shared" si="38"/>
        <v>0</v>
      </c>
      <c r="FC23" s="426">
        <f t="shared" si="39"/>
        <v>0</v>
      </c>
      <c r="FD23" s="426">
        <f t="shared" si="40"/>
        <v>0</v>
      </c>
      <c r="FE23" s="426">
        <f t="shared" si="41"/>
        <v>0</v>
      </c>
      <c r="FF23" s="426">
        <f t="shared" si="42"/>
        <v>0</v>
      </c>
      <c r="FG23" s="426">
        <f t="shared" si="43"/>
        <v>0</v>
      </c>
      <c r="FH23" s="426">
        <f t="shared" si="66"/>
        <v>0</v>
      </c>
      <c r="FJ23" s="121">
        <v>1</v>
      </c>
      <c r="FK23" s="488">
        <f>DATE(YEAR(EXPEDIENTE!$F$25),FJ23,1)</f>
        <v>45292</v>
      </c>
      <c r="FL23" s="488" t="str">
        <f>IF('GASTOS EJER. 1'!I49="","",'GASTOS EJER. 1'!I49)</f>
        <v/>
      </c>
      <c r="FM23" s="489">
        <f>'GASTOS EJER. 1'!X20</f>
        <v>0</v>
      </c>
      <c r="FN23" s="489">
        <f>'GASTOS EJER. 1'!H49</f>
        <v>0</v>
      </c>
      <c r="FO23" s="437">
        <f>VLOOKUP(FK23,$DY$7:$FH$69,36,FALSE)</f>
        <v>0</v>
      </c>
      <c r="FP23" s="489">
        <f t="shared" ref="FP23:FP34" si="115">SUM(FM23:FO23)</f>
        <v>0</v>
      </c>
      <c r="FR23" s="470">
        <v>1</v>
      </c>
      <c r="FS23" s="485">
        <f>'GASTOS EJER. 1'!$C37</f>
        <v>0</v>
      </c>
      <c r="FT23" s="479" t="str">
        <f>CJ23</f>
        <v/>
      </c>
      <c r="FU23" s="479" t="str">
        <f>CK23</f>
        <v/>
      </c>
      <c r="FV23" s="486">
        <f>CL23</f>
        <v>0</v>
      </c>
      <c r="FW23" s="487">
        <f>'GASTOS EJER. 1'!CM37</f>
        <v>0</v>
      </c>
      <c r="FX23" s="475" t="str">
        <f>IF(FW23=0,"",'GASTOS EJER. 1'!CT37)</f>
        <v/>
      </c>
      <c r="FY23" s="475" t="str">
        <f t="shared" ref="FY23:FY30" si="116">IF(FX23="","",EOMONTH(DATE(YEAR(FX23),MONTH(FX23)+1,1),0))</f>
        <v/>
      </c>
      <c r="FZ23" s="473" t="e">
        <f>IF(AND(FY23&gt;=EXPEDIENTE!$F$25,FY23&lt;=EXPEDIENTE!$F$29),ROUNDDOWN(FW23/FV23,2),0)</f>
        <v>#DIV/0!</v>
      </c>
      <c r="GB23" s="389">
        <v>4</v>
      </c>
      <c r="GC23" s="433">
        <f t="shared" si="103"/>
        <v>45383</v>
      </c>
      <c r="GD23" s="433">
        <f t="shared" si="104"/>
        <v>45412</v>
      </c>
      <c r="GE23" s="389" t="str">
        <f>IF(AND(GD23&gt;=EXPEDIENTE!$F$25,GC23&lt;=EXPEDIENTE!$F$29),"SI","NO")</f>
        <v>SI</v>
      </c>
      <c r="GF23" s="426">
        <f t="shared" si="67"/>
        <v>0</v>
      </c>
      <c r="GG23" s="426">
        <f t="shared" si="68"/>
        <v>0</v>
      </c>
      <c r="GH23" s="426">
        <f t="shared" si="69"/>
        <v>0</v>
      </c>
      <c r="GI23" s="426">
        <f t="shared" si="70"/>
        <v>0</v>
      </c>
      <c r="GJ23" s="426">
        <f t="shared" si="71"/>
        <v>0</v>
      </c>
      <c r="GK23" s="426">
        <f t="shared" si="72"/>
        <v>0</v>
      </c>
      <c r="GL23" s="426">
        <f t="shared" si="73"/>
        <v>0</v>
      </c>
      <c r="GM23" s="426">
        <f t="shared" si="74"/>
        <v>0</v>
      </c>
      <c r="GN23" s="426">
        <f t="shared" si="75"/>
        <v>0</v>
      </c>
      <c r="GO23" s="426">
        <f t="shared" si="76"/>
        <v>0</v>
      </c>
      <c r="GP23" s="426">
        <f t="shared" si="77"/>
        <v>0</v>
      </c>
      <c r="GQ23" s="426">
        <f t="shared" si="78"/>
        <v>0</v>
      </c>
      <c r="GR23" s="426">
        <f t="shared" si="79"/>
        <v>0</v>
      </c>
      <c r="GS23" s="426">
        <f t="shared" si="80"/>
        <v>0</v>
      </c>
      <c r="GT23" s="426">
        <f t="shared" si="81"/>
        <v>0</v>
      </c>
      <c r="GU23" s="426">
        <f t="shared" si="82"/>
        <v>0</v>
      </c>
      <c r="GV23" s="426">
        <f t="shared" si="83"/>
        <v>0</v>
      </c>
      <c r="GW23" s="426">
        <f t="shared" si="84"/>
        <v>0</v>
      </c>
      <c r="GX23" s="426">
        <f t="shared" si="85"/>
        <v>0</v>
      </c>
      <c r="GY23" s="426">
        <f t="shared" si="86"/>
        <v>0</v>
      </c>
      <c r="GZ23" s="426">
        <f t="shared" si="87"/>
        <v>0</v>
      </c>
      <c r="HA23" s="426">
        <f t="shared" si="88"/>
        <v>0</v>
      </c>
      <c r="HB23" s="426">
        <f t="shared" si="89"/>
        <v>0</v>
      </c>
      <c r="HC23" s="426">
        <f t="shared" si="90"/>
        <v>0</v>
      </c>
      <c r="HD23" s="426">
        <f t="shared" si="91"/>
        <v>0</v>
      </c>
      <c r="HE23" s="426">
        <f t="shared" si="92"/>
        <v>0</v>
      </c>
      <c r="HF23" s="426">
        <f t="shared" si="93"/>
        <v>0</v>
      </c>
      <c r="HG23" s="426">
        <f t="shared" si="94"/>
        <v>0</v>
      </c>
      <c r="HH23" s="426">
        <f t="shared" si="95"/>
        <v>0</v>
      </c>
      <c r="HI23" s="426">
        <f t="shared" si="96"/>
        <v>0</v>
      </c>
      <c r="HJ23" s="426">
        <f t="shared" si="97"/>
        <v>0</v>
      </c>
      <c r="HK23" s="426">
        <f t="shared" si="98"/>
        <v>0</v>
      </c>
      <c r="HL23" s="426">
        <f t="shared" si="99"/>
        <v>0</v>
      </c>
      <c r="HO23" s="121">
        <v>1</v>
      </c>
      <c r="HP23" s="488">
        <f>DATE(YEAR(EXPEDIENTE!$F$25),HO23,1)</f>
        <v>45292</v>
      </c>
      <c r="HQ23" s="488" t="str">
        <f>IF('GASTOS EJER. 1'!BF49="","",'GASTOS EJER. 1'!BF49)</f>
        <v/>
      </c>
      <c r="HR23" s="489">
        <f>'GASTOS EJER. 1'!CM20</f>
        <v>0</v>
      </c>
      <c r="HS23" s="489">
        <f>'GASTOS EJER. 1'!BA49</f>
        <v>0</v>
      </c>
      <c r="HT23" s="437">
        <f>VLOOKUP(HP23,$GC$7:$HL$69,36,FALSE)</f>
        <v>0</v>
      </c>
      <c r="HU23" s="489">
        <f t="shared" ref="HU23:HU34" si="117">SUM(HR23:HT23)</f>
        <v>0</v>
      </c>
      <c r="JC23" s="419">
        <v>19</v>
      </c>
      <c r="JD23" s="401">
        <f t="shared" si="100"/>
        <v>6</v>
      </c>
    </row>
    <row r="24" spans="3:264" ht="15.75" thickBot="1" x14ac:dyDescent="0.3">
      <c r="C24" s="209">
        <v>18</v>
      </c>
      <c r="D24" s="404"/>
      <c r="E24" s="420"/>
      <c r="F24" s="421"/>
      <c r="G24" s="422"/>
      <c r="H24" s="422"/>
      <c r="I24" s="422"/>
      <c r="J24" s="404"/>
      <c r="K24" s="410">
        <f t="shared" si="52"/>
        <v>76</v>
      </c>
      <c r="L24" s="410">
        <f t="shared" si="53"/>
        <v>76</v>
      </c>
      <c r="M24" s="410" t="str">
        <f t="shared" si="54"/>
        <v>X</v>
      </c>
      <c r="V24" s="982"/>
      <c r="W24" s="444"/>
      <c r="Y24" s="425">
        <f t="shared" si="0"/>
        <v>19</v>
      </c>
      <c r="Z24" s="415" t="str">
        <f>IF(Y24="","",IF(EDATE($Z$5,Y24)&gt;EXPEDIENTE!$F$27,"",EDATE($Z$5,Y24)))</f>
        <v/>
      </c>
      <c r="AA24" s="415" t="str">
        <f>IF(Z24="","",IF(YEAR(EXPEDIENTE!$F$25)=YEAR(Z24),Z24,""))</f>
        <v/>
      </c>
      <c r="AB24" s="415" t="str">
        <f>IF(Z24="","",IF(YEAR(EXPEDIENTE!$F$25)+1=YEAR(Z24),Z24,""))</f>
        <v/>
      </c>
      <c r="AC24" s="415" t="str">
        <f>IF(Z24="","",IF(YEAR(EXPEDIENTE!$F$25)+2=YEAR(Z24),Z24,""))</f>
        <v/>
      </c>
      <c r="AD24" s="415" t="str">
        <f>IF(Z24="","",IF(YEAR(EXPEDIENTE!$F$25)+3=YEAR(Z24),Z24,""))</f>
        <v/>
      </c>
      <c r="AG24" s="490">
        <v>2</v>
      </c>
      <c r="AH24" s="491">
        <f>'GASTOS EJER. 1'!M38</f>
        <v>0</v>
      </c>
      <c r="AI24" s="492">
        <f>'GASTOS EJER. 1'!X38</f>
        <v>0</v>
      </c>
      <c r="AJ24" s="493">
        <f t="shared" ref="AJ24:AJ30" si="118">AH24-AI24</f>
        <v>0</v>
      </c>
      <c r="AL24" s="494">
        <f>'GASTOS EJER. 1'!F38+'GASTOS EJER. 1'!L38-'GASTOS EJER. 1'!X38-'GASTOS EJER. 1'!Y38</f>
        <v>0</v>
      </c>
      <c r="AM24" s="495" t="str">
        <f>IF('GASTOS EJER. 1'!AA38="","",'GASTOS EJER. 1'!AA38)</f>
        <v/>
      </c>
      <c r="AN24" s="492">
        <f>'GASTOS EJER. 1'!Y38</f>
        <v>0</v>
      </c>
      <c r="AO24" s="496" t="str">
        <f>IF('GASTOS EJER. 1'!AB38="","",'GASTOS EJER. 1'!AB38)</f>
        <v/>
      </c>
      <c r="AP24" s="497">
        <f>IF(AND(AM24&gt;=EXPEDIENTE!$I$25,AM24&lt;=EXPEDIENTE!$I$29),AL24,0)</f>
        <v>0</v>
      </c>
      <c r="AQ24" s="426">
        <f>IF(AND(AO24&gt;=EXPEDIENTE!$I$25,AO24&lt;=EXPEDIENTE!$I$29),AN24,0)</f>
        <v>0</v>
      </c>
      <c r="AR24" s="493">
        <f t="shared" ref="AR24:AR30" si="119">AP24+AQ24</f>
        <v>0</v>
      </c>
      <c r="AS24" s="498" t="str">
        <f>IF('GASTOS EJER. 1'!D38="","",'GASTOS EJER. 1'!D38)</f>
        <v/>
      </c>
      <c r="AT24" s="499" t="str">
        <f>IF('GASTOS EJER. 1'!E38="","",'GASTOS EJER. 1'!E38)</f>
        <v/>
      </c>
      <c r="AU24" s="500">
        <f t="shared" ref="AU24:AU30" si="120">IF(OR(AS24="",AT24=""),0,DATEDIF(AS24,AT24,"M")+1)</f>
        <v>0</v>
      </c>
      <c r="AV24" s="501">
        <f t="shared" si="105"/>
        <v>0</v>
      </c>
      <c r="AW24" s="442">
        <f t="shared" ref="AW24:AW30" si="121">IF(OR(AS24="",AT24=""),0,ROUND(AR24/AU24,2))</f>
        <v>0</v>
      </c>
      <c r="AY24" s="426">
        <v>2</v>
      </c>
      <c r="AZ24" s="427">
        <f t="shared" si="106"/>
        <v>45323</v>
      </c>
      <c r="BA24" s="436">
        <f t="shared" ref="BA24:BA34" si="122">IF($AH$23=0,0,IF($BA$21=0,0,IF(AND(AZ24&gt;=$AS$23,AZ24&lt;=$AT$23),$AW$23,0)))</f>
        <v>0</v>
      </c>
      <c r="BB24" s="437">
        <f t="shared" ref="BB24:BB34" si="123">IF($AH$24=0,0,IF($BB$21=0,0,IF(AND(AZ24&gt;=$AS$24,AZ24&lt;=$AT$24),$AW$24,0)))</f>
        <v>0</v>
      </c>
      <c r="BC24" s="437">
        <f t="shared" ref="BC24:BC34" si="124">IF($AH$25=0,0,IF($BC$21=0,0,IF(AND(AZ24&gt;=$AS$25,AZ24&lt;=$AT$25),$AW$25,0)))</f>
        <v>0</v>
      </c>
      <c r="BD24" s="437">
        <f t="shared" ref="BD24:BD34" si="125">IF($AH$26=0,0,IF($BD$21=0,0,IF(AND(AZ24&gt;=$AS$26,AZ24&lt;=$AT$26),$AW$26,0)))</f>
        <v>0</v>
      </c>
      <c r="BE24" s="437">
        <f t="shared" ref="BE24:BE34" si="126">IF($AH$27=0,0,IF($BE$21=0,0,IF(AND(AZ24&gt;=$AS$27,AZ24&lt;=$AT$27),$AW$27,0)))</f>
        <v>0</v>
      </c>
      <c r="BF24" s="437">
        <f t="shared" ref="BF24:BF34" si="127">IF($AH$28=0,0,IF($BF$21=0,0,IF(AND(AZ24&gt;=$AS$28,AZ24&lt;=$AT$28),$AW$28,0)))</f>
        <v>0</v>
      </c>
      <c r="BG24" s="437">
        <f t="shared" ref="BG24:BG34" si="128">IF($AH$29=0,0,IF($BG$21=0,0,IF(AND(AZ24&gt;=$AS$29,AZ24&lt;=$AT$29),$AW$29,0)))</f>
        <v>0</v>
      </c>
      <c r="BH24" s="438">
        <f t="shared" ref="BH24:BH34" si="129">IF($AH$30=0,0,IF($BH$21=0,0,IF(AND(AZ24&gt;=$AS$30,AZ24&lt;=$AT$30),$AW$30,0)))</f>
        <v>0</v>
      </c>
      <c r="BI24" s="439">
        <f t="shared" ref="BI24:BI34" si="130">SUM(BA24:BH24)</f>
        <v>0</v>
      </c>
      <c r="BK24" s="959">
        <f t="shared" ref="BK24:BK34" si="131">IF($AH$39=0,0,IF($BK$21=0,0,IF(AND(AZ24&gt;=$AS$39,AZ24&lt;=$AT$39),$AW$39,0)))</f>
        <v>0</v>
      </c>
      <c r="BL24" s="963">
        <f t="shared" ref="BL24:BL33" si="132">IF($AH$40=0,0,IF($BL$21=0,0,IF(AND(AZ24&gt;=$AS$40,AZ24&lt;=$AT$40),$AW$40,0)))</f>
        <v>0</v>
      </c>
      <c r="BM24" s="963">
        <f t="shared" ref="BM24:BM33" si="133">IF($AH$41=0,0,IF($BM$21=0,0,IF(AND(AZ24&gt;=$AS$41,AZ24&lt;=$AT$41),$AW$41,0)))</f>
        <v>0</v>
      </c>
      <c r="BN24" s="963">
        <f t="shared" ref="BN24:BN34" si="134">IF($AH$42=0,0,IF($BN$21=0,0,IF(AND(AZ24&gt;=$AS$42,AZ24&lt;=$AT$42),$AW$42,0)))</f>
        <v>0</v>
      </c>
      <c r="BO24" s="963">
        <f t="shared" ref="BO24:BO34" si="135">IF($AH$43=0,0,IF($BO$21=0,0,IF(AND(AZ24&gt;=$AS$43,AZ24&lt;=$AT$43),$AW$43,0)))</f>
        <v>0</v>
      </c>
      <c r="BP24" s="963">
        <f t="shared" ref="BP24:BP34" si="136">IF($AH$44=0,0,IF($BP$21=0,0,IF(AND(AZ24&gt;=$AS$44,AZ24&lt;=$AT$44),$AW$44,0)))</f>
        <v>0</v>
      </c>
      <c r="BQ24" s="963">
        <f t="shared" ref="BQ24:BQ34" si="137">IF($AH$45=0,0,IF($BQ$21=0,0,IF(AND(AZ24&gt;=$AS$45,AZ24&lt;=$AT$45),$AW$45,0)))</f>
        <v>0</v>
      </c>
      <c r="BR24" s="990">
        <f t="shared" ref="BR24:BR34" si="138">IF($AH$46=0,0,IF($BR$21=0,0,IF(AND(AZ24&gt;=$AS$46,AZ24&lt;=$AT$46),$AW$46,0)))</f>
        <v>0</v>
      </c>
      <c r="BS24" s="992">
        <f t="shared" si="109"/>
        <v>0</v>
      </c>
      <c r="BU24" s="439">
        <f t="shared" ref="BU24:BU34" si="139">BI24+BS24</f>
        <v>0</v>
      </c>
      <c r="BX24" s="490">
        <v>2</v>
      </c>
      <c r="BY24" s="491">
        <f>'GASTOS EJER. 1'!BN38</f>
        <v>0</v>
      </c>
      <c r="BZ24" s="492">
        <f>'GASTOS EJER. 1'!CM38</f>
        <v>0</v>
      </c>
      <c r="CA24" s="493">
        <f t="shared" ref="CA24:CA30" si="140">BY24-BZ24</f>
        <v>0</v>
      </c>
      <c r="CC24" s="494">
        <f>'GASTOS EJER. 1'!AW38+'GASTOS EJER. 1'!BM38-'GASTOS EJER. 1'!CM38-'GASTOS EJER. 1'!CP38</f>
        <v>0</v>
      </c>
      <c r="CD24" s="495" t="str">
        <f>IF('GASTOS EJER. 1'!CT38="","",'GASTOS EJER. 1'!CT38)</f>
        <v/>
      </c>
      <c r="CE24" s="492">
        <f>'GASTOS EJER. 1'!CP38</f>
        <v>0</v>
      </c>
      <c r="CF24" s="496" t="str">
        <f>IF('GASTOS EJER. 1'!CW38="","",'GASTOS EJER. 1'!CW38)</f>
        <v/>
      </c>
      <c r="CG24" s="497">
        <f>IF(AND(CD24&gt;=EXPEDIENTE!$I$25,CD24&lt;=EXPEDIENTE!$I$29),CC24,0)</f>
        <v>0</v>
      </c>
      <c r="CH24" s="426">
        <f>IF(AND(CF24&gt;=EXPEDIENTE!$I$25,CF24&lt;=EXPEDIENTE!$I$29),CE24,0)</f>
        <v>0</v>
      </c>
      <c r="CI24" s="493">
        <f t="shared" ref="CI24:CI30" si="141">CG24+CH24</f>
        <v>0</v>
      </c>
      <c r="CJ24" s="498" t="str">
        <f>IF('GASTOS EJER. 1'!AQ38="","",'GASTOS EJER. 1'!AQ38)</f>
        <v/>
      </c>
      <c r="CK24" s="499" t="str">
        <f>IF('GASTOS EJER. 1'!AT38="","",'GASTOS EJER. 1'!AT38)</f>
        <v/>
      </c>
      <c r="CL24" s="500">
        <f t="shared" ref="CL24:CL30" si="142">IF(OR(CJ24="",CK24=""),0,DATEDIF(CJ24,CK24,"M")+1)</f>
        <v>0</v>
      </c>
      <c r="CM24" s="501">
        <f t="shared" si="110"/>
        <v>0</v>
      </c>
      <c r="CN24" s="442">
        <f t="shared" ref="CN24:CN30" si="143">IF(OR(CJ24="",CK24=""),0,ROUND(CI24/CL24,2))</f>
        <v>0</v>
      </c>
      <c r="CP24" s="426">
        <v>2</v>
      </c>
      <c r="CQ24" s="427">
        <f t="shared" si="111"/>
        <v>45323</v>
      </c>
      <c r="CR24" s="440">
        <f t="shared" ref="CR24:CR34" si="144">IF($BY$23=0,0,IF($CR$21=0,0,IF(AND($CQ24&gt;=$CJ$23,$CQ24&lt;=$CK$23),$CN$23,0)))</f>
        <v>0</v>
      </c>
      <c r="CS24" s="426">
        <f t="shared" ref="CS24:CS34" si="145">IF($BY$24=0,0,IF($CS$21=0,0,IF(AND($CQ24&gt;=$CJ$24,$CQ24&lt;=$CK$24),$CN$24,0)))</f>
        <v>0</v>
      </c>
      <c r="CT24" s="426">
        <f t="shared" ref="CT24:CT34" si="146">IF($BY$25=0,0,IF($CT$21=0,0,IF(AND($CQ24&gt;=$CJ$25,$CQ24&lt;=$CK$25),$CN$25,0)))</f>
        <v>0</v>
      </c>
      <c r="CU24" s="426">
        <f t="shared" ref="CU24:CU34" si="147">IF($BY$26=0,0,IF($CU$21=0,0,IF(AND($CQ24&gt;=$CJ$26,$CQ24&lt;=$CK$26),$CN$26,0)))</f>
        <v>0</v>
      </c>
      <c r="CV24" s="426">
        <f t="shared" ref="CV24:CV34" si="148">IF($BY$27=0,0,IF($CV$21=0,0,IF(AND($CQ24&gt;=$CJ$27,$CQ24&lt;=$CK$27),$CN$27,0)))</f>
        <v>0</v>
      </c>
      <c r="CW24" s="426">
        <f t="shared" ref="CW24:CW34" si="149">IF($BY$28=0,0,IF($CW$21=0,0,IF(AND($CQ24&gt;=$CJ$28,$CQ24&lt;=$CK$28),$CN$28,0)))</f>
        <v>0</v>
      </c>
      <c r="CX24" s="426">
        <f t="shared" ref="CX24:CX34" si="150">IF($BY$29=0,0,IF($CX$21=0,0,IF(AND($CQ24&gt;=$CJ$29,$CQ24&lt;=$CK$29),$CN$29,0)))</f>
        <v>0</v>
      </c>
      <c r="CY24" s="441">
        <f t="shared" ref="CY24:CY34" si="151">IF($BY$30=0,0,IF($CX$21=0,0,IF(AND($CQ24&gt;=$CJ$30,$CQ24&lt;=$CK$30),$CN$30,0)))</f>
        <v>0</v>
      </c>
      <c r="CZ24" s="439">
        <f t="shared" ref="CZ24:CZ34" si="152">SUM(CR24:CY24)</f>
        <v>0</v>
      </c>
      <c r="DB24" s="440">
        <f t="shared" ref="DB24:DB34" si="153">IF($BY$39=0,0,IF($DB$21=0,0,IF(AND($CQ24&gt;=$CJ$39,$CQ24&lt;=$CK$39),$CN$39,0)))</f>
        <v>0</v>
      </c>
      <c r="DC24" s="426">
        <f t="shared" ref="DC24:DC34" si="154">IF($BY$40=0,0,IF($DC$21=0,0,IF(AND($CQ24&gt;=$CJ$40,$CQ24&lt;=$CK$40),$CN$40,0)))</f>
        <v>0</v>
      </c>
      <c r="DD24" s="426">
        <f t="shared" ref="DD24:DD34" si="155">IF($BY$41=0,0,IF($DD$21=0,0,IF(AND($CQ24&gt;=$CJ$41,$CQ24&lt;=$CK$41),$CN$41,0)))</f>
        <v>0</v>
      </c>
      <c r="DE24" s="426">
        <f t="shared" ref="DE24:DE34" si="156">IF($BY$42=0,0,IF($DE$21=0,0,IF(AND($CQ24&gt;=$CJ$42,$CQ24&lt;=$CK$42),$CN$42,0)))</f>
        <v>0</v>
      </c>
      <c r="DF24" s="426">
        <f t="shared" ref="DF24:DF34" si="157">IF($BY$43=0,0,IF($DF$21=0,0,IF(AND($CQ24&gt;=$CJ$43,$CQ24&lt;=$CK$43),$CN$43,0)))</f>
        <v>0</v>
      </c>
      <c r="DG24" s="426">
        <f t="shared" ref="DG24:DG34" si="158">IF($BY$44=0,0,IF($DG$21=0,0,IF(AND($CQ24&gt;=$CJ$44,$CQ24&lt;=$CK$44),$CN$44,0)))</f>
        <v>0</v>
      </c>
      <c r="DH24" s="426">
        <f t="shared" ref="DH24:DH34" si="159">IF($BY$45=0,0,IF($DH$21=0,0,IF(AND($CQ24&gt;=$CJ$45,$CQ24&lt;=$CK$45),$CN$45,0)))</f>
        <v>0</v>
      </c>
      <c r="DI24" s="441">
        <f t="shared" ref="DI24:DI34" si="160">IF($BY$46=0,0,IF($DI$21=0,0,IF(AND($CQ24&gt;=$CJ$46,$CQ24&lt;=$CK$46),$CN$46,0)))</f>
        <v>0</v>
      </c>
      <c r="DJ24" s="439">
        <f t="shared" si="112"/>
        <v>0</v>
      </c>
      <c r="DL24" s="439">
        <f t="shared" ref="DL24:DL34" si="161">CZ24+DJ24</f>
        <v>0</v>
      </c>
      <c r="DN24" s="490">
        <v>2</v>
      </c>
      <c r="DO24" s="502">
        <f>'GASTOS EJER. 1'!$C38</f>
        <v>0</v>
      </c>
      <c r="DP24" s="499" t="str">
        <f t="shared" ref="DP24:DP30" si="162">AS24</f>
        <v/>
      </c>
      <c r="DQ24" s="499" t="str">
        <f t="shared" ref="DQ24:DQ30" si="163">AT24</f>
        <v/>
      </c>
      <c r="DR24" s="389">
        <f t="shared" ref="DR24:DR30" si="164">AU24</f>
        <v>0</v>
      </c>
      <c r="DS24" s="503">
        <f>'GASTOS EJER. 1'!X38</f>
        <v>0</v>
      </c>
      <c r="DT24" s="495" t="str">
        <f>IF(DS24=0,"",'GASTOS EJER. 1'!AA38)</f>
        <v/>
      </c>
      <c r="DU24" s="495" t="str">
        <f t="shared" si="114"/>
        <v/>
      </c>
      <c r="DV24" s="493" t="e">
        <f>IF(AND(DU24&gt;=EXPEDIENTE!$F$25,DU24&lt;=EXPEDIENTE!$F$29),ROUNDDOWN(DS24/DR24,2),0)</f>
        <v>#DIV/0!</v>
      </c>
      <c r="DX24" s="389">
        <v>5</v>
      </c>
      <c r="DY24" s="433">
        <f t="shared" si="101"/>
        <v>45413</v>
      </c>
      <c r="DZ24" s="433">
        <f t="shared" si="102"/>
        <v>45443</v>
      </c>
      <c r="EA24" s="389" t="str">
        <f>IF(AND(DZ24&gt;=EXPEDIENTE!$F$25,DY24&lt;=EXPEDIENTE!$F$29),"SI","NO")</f>
        <v>SI</v>
      </c>
      <c r="EB24" s="426">
        <f t="shared" si="12"/>
        <v>0</v>
      </c>
      <c r="EC24" s="426">
        <f t="shared" si="13"/>
        <v>0</v>
      </c>
      <c r="ED24" s="426">
        <f t="shared" si="14"/>
        <v>0</v>
      </c>
      <c r="EE24" s="426">
        <f t="shared" si="15"/>
        <v>0</v>
      </c>
      <c r="EF24" s="426">
        <f t="shared" si="16"/>
        <v>0</v>
      </c>
      <c r="EG24" s="426">
        <f t="shared" si="17"/>
        <v>0</v>
      </c>
      <c r="EH24" s="426">
        <f t="shared" si="18"/>
        <v>0</v>
      </c>
      <c r="EI24" s="426">
        <f t="shared" si="19"/>
        <v>0</v>
      </c>
      <c r="EJ24" s="426">
        <f t="shared" si="20"/>
        <v>0</v>
      </c>
      <c r="EK24" s="426">
        <f t="shared" si="21"/>
        <v>0</v>
      </c>
      <c r="EL24" s="426">
        <f t="shared" si="22"/>
        <v>0</v>
      </c>
      <c r="EM24" s="426">
        <f t="shared" si="23"/>
        <v>0</v>
      </c>
      <c r="EN24" s="426">
        <f t="shared" si="24"/>
        <v>0</v>
      </c>
      <c r="EO24" s="426">
        <f t="shared" si="25"/>
        <v>0</v>
      </c>
      <c r="EP24" s="426">
        <f t="shared" si="26"/>
        <v>0</v>
      </c>
      <c r="EQ24" s="426">
        <f t="shared" si="27"/>
        <v>0</v>
      </c>
      <c r="ER24" s="426">
        <f t="shared" si="28"/>
        <v>0</v>
      </c>
      <c r="ES24" s="426">
        <f t="shared" si="29"/>
        <v>0</v>
      </c>
      <c r="ET24" s="426">
        <f t="shared" si="30"/>
        <v>0</v>
      </c>
      <c r="EU24" s="426">
        <f t="shared" si="31"/>
        <v>0</v>
      </c>
      <c r="EV24" s="426">
        <f t="shared" si="32"/>
        <v>0</v>
      </c>
      <c r="EW24" s="426">
        <f t="shared" si="33"/>
        <v>0</v>
      </c>
      <c r="EX24" s="426">
        <f t="shared" si="34"/>
        <v>0</v>
      </c>
      <c r="EY24" s="426">
        <f t="shared" si="35"/>
        <v>0</v>
      </c>
      <c r="EZ24" s="426">
        <f t="shared" si="36"/>
        <v>0</v>
      </c>
      <c r="FA24" s="426">
        <f t="shared" si="37"/>
        <v>0</v>
      </c>
      <c r="FB24" s="426">
        <f t="shared" si="38"/>
        <v>0</v>
      </c>
      <c r="FC24" s="426">
        <f t="shared" si="39"/>
        <v>0</v>
      </c>
      <c r="FD24" s="426">
        <f t="shared" si="40"/>
        <v>0</v>
      </c>
      <c r="FE24" s="426">
        <f t="shared" si="41"/>
        <v>0</v>
      </c>
      <c r="FF24" s="426">
        <f t="shared" si="42"/>
        <v>0</v>
      </c>
      <c r="FG24" s="426">
        <f t="shared" si="43"/>
        <v>0</v>
      </c>
      <c r="FH24" s="426">
        <f t="shared" si="66"/>
        <v>0</v>
      </c>
      <c r="FJ24" s="121">
        <v>2</v>
      </c>
      <c r="FK24" s="495">
        <f>DATE(YEAR(EXPEDIENTE!$F$25),FJ24,1)</f>
        <v>45323</v>
      </c>
      <c r="FL24" s="495" t="str">
        <f>IF('GASTOS EJER. 1'!I50="","",'GASTOS EJER. 1'!I50)</f>
        <v/>
      </c>
      <c r="FM24" s="503">
        <f>'GASTOS EJER. 1'!X21</f>
        <v>0</v>
      </c>
      <c r="FN24" s="503">
        <f>'GASTOS EJER. 1'!H50</f>
        <v>0</v>
      </c>
      <c r="FO24" s="426">
        <f t="shared" ref="FO24:FO34" si="165">VLOOKUP(FK24,$DY$7:$FH$69,36,FALSE)</f>
        <v>0</v>
      </c>
      <c r="FP24" s="503">
        <f t="shared" si="115"/>
        <v>0</v>
      </c>
      <c r="FR24" s="490">
        <v>2</v>
      </c>
      <c r="FS24" s="502">
        <f>'GASTOS EJER. 1'!$C38</f>
        <v>0</v>
      </c>
      <c r="FT24" s="499" t="str">
        <f t="shared" ref="FT24:FT30" si="166">CJ24</f>
        <v/>
      </c>
      <c r="FU24" s="499" t="str">
        <f t="shared" ref="FU24:FU30" si="167">CK24</f>
        <v/>
      </c>
      <c r="FV24" s="389">
        <f t="shared" ref="FV24:FV30" si="168">CL24</f>
        <v>0</v>
      </c>
      <c r="FW24" s="503">
        <f>'GASTOS EJER. 1'!CM38</f>
        <v>0</v>
      </c>
      <c r="FX24" s="495" t="str">
        <f>IF(FW24=0,"",'GASTOS EJER. 1'!CT38)</f>
        <v/>
      </c>
      <c r="FY24" s="495" t="str">
        <f t="shared" si="116"/>
        <v/>
      </c>
      <c r="FZ24" s="493" t="e">
        <f>IF(AND(FY24&gt;=EXPEDIENTE!$F$25,FY24&lt;=EXPEDIENTE!$F$29),ROUNDDOWN(FW24/FV24,2),0)</f>
        <v>#DIV/0!</v>
      </c>
      <c r="GB24" s="389">
        <v>5</v>
      </c>
      <c r="GC24" s="433">
        <f t="shared" si="103"/>
        <v>45413</v>
      </c>
      <c r="GD24" s="433">
        <f t="shared" si="104"/>
        <v>45443</v>
      </c>
      <c r="GE24" s="389" t="str">
        <f>IF(AND(GD24&gt;=EXPEDIENTE!$F$25,GC24&lt;=EXPEDIENTE!$F$29),"SI","NO")</f>
        <v>SI</v>
      </c>
      <c r="GF24" s="426">
        <f t="shared" si="67"/>
        <v>0</v>
      </c>
      <c r="GG24" s="426">
        <f t="shared" si="68"/>
        <v>0</v>
      </c>
      <c r="GH24" s="426">
        <f t="shared" si="69"/>
        <v>0</v>
      </c>
      <c r="GI24" s="426">
        <f t="shared" si="70"/>
        <v>0</v>
      </c>
      <c r="GJ24" s="426">
        <f t="shared" si="71"/>
        <v>0</v>
      </c>
      <c r="GK24" s="426">
        <f t="shared" si="72"/>
        <v>0</v>
      </c>
      <c r="GL24" s="426">
        <f t="shared" si="73"/>
        <v>0</v>
      </c>
      <c r="GM24" s="426">
        <f t="shared" si="74"/>
        <v>0</v>
      </c>
      <c r="GN24" s="426">
        <f t="shared" si="75"/>
        <v>0</v>
      </c>
      <c r="GO24" s="426">
        <f t="shared" si="76"/>
        <v>0</v>
      </c>
      <c r="GP24" s="426">
        <f t="shared" si="77"/>
        <v>0</v>
      </c>
      <c r="GQ24" s="426">
        <f t="shared" si="78"/>
        <v>0</v>
      </c>
      <c r="GR24" s="426">
        <f t="shared" si="79"/>
        <v>0</v>
      </c>
      <c r="GS24" s="426">
        <f t="shared" si="80"/>
        <v>0</v>
      </c>
      <c r="GT24" s="426">
        <f t="shared" si="81"/>
        <v>0</v>
      </c>
      <c r="GU24" s="426">
        <f t="shared" si="82"/>
        <v>0</v>
      </c>
      <c r="GV24" s="426">
        <f t="shared" si="83"/>
        <v>0</v>
      </c>
      <c r="GW24" s="426">
        <f t="shared" si="84"/>
        <v>0</v>
      </c>
      <c r="GX24" s="426">
        <f t="shared" si="85"/>
        <v>0</v>
      </c>
      <c r="GY24" s="426">
        <f t="shared" si="86"/>
        <v>0</v>
      </c>
      <c r="GZ24" s="426">
        <f t="shared" si="87"/>
        <v>0</v>
      </c>
      <c r="HA24" s="426">
        <f t="shared" si="88"/>
        <v>0</v>
      </c>
      <c r="HB24" s="426">
        <f t="shared" si="89"/>
        <v>0</v>
      </c>
      <c r="HC24" s="426">
        <f t="shared" si="90"/>
        <v>0</v>
      </c>
      <c r="HD24" s="426">
        <f t="shared" si="91"/>
        <v>0</v>
      </c>
      <c r="HE24" s="426">
        <f t="shared" si="92"/>
        <v>0</v>
      </c>
      <c r="HF24" s="426">
        <f t="shared" si="93"/>
        <v>0</v>
      </c>
      <c r="HG24" s="426">
        <f t="shared" si="94"/>
        <v>0</v>
      </c>
      <c r="HH24" s="426">
        <f t="shared" si="95"/>
        <v>0</v>
      </c>
      <c r="HI24" s="426">
        <f t="shared" si="96"/>
        <v>0</v>
      </c>
      <c r="HJ24" s="426">
        <f t="shared" si="97"/>
        <v>0</v>
      </c>
      <c r="HK24" s="426">
        <f t="shared" si="98"/>
        <v>0</v>
      </c>
      <c r="HL24" s="426">
        <f t="shared" si="99"/>
        <v>0</v>
      </c>
      <c r="HO24" s="121">
        <v>2</v>
      </c>
      <c r="HP24" s="495">
        <f>DATE(YEAR(EXPEDIENTE!$F$25),HO24,1)</f>
        <v>45323</v>
      </c>
      <c r="HQ24" s="495" t="str">
        <f>IF('GASTOS EJER. 1'!BF50="","",'GASTOS EJER. 1'!BF50)</f>
        <v/>
      </c>
      <c r="HR24" s="503">
        <f>'GASTOS EJER. 1'!CM21</f>
        <v>0</v>
      </c>
      <c r="HS24" s="503">
        <f>'GASTOS EJER. 1'!BA50</f>
        <v>0</v>
      </c>
      <c r="HT24" s="426">
        <f t="shared" ref="HT24:HT34" si="169">VLOOKUP(HP24,$GC$7:$HL$69,36,FALSE)</f>
        <v>0</v>
      </c>
      <c r="HU24" s="503">
        <f t="shared" si="117"/>
        <v>0</v>
      </c>
      <c r="JC24" s="445">
        <v>20</v>
      </c>
      <c r="JD24" s="401">
        <f t="shared" si="100"/>
        <v>6</v>
      </c>
    </row>
    <row r="25" spans="3:264" x14ac:dyDescent="0.25">
      <c r="C25" s="209">
        <v>19</v>
      </c>
      <c r="D25" s="404"/>
      <c r="E25" s="420"/>
      <c r="F25" s="421"/>
      <c r="G25" s="422"/>
      <c r="H25" s="422"/>
      <c r="I25" s="422"/>
      <c r="J25" s="404"/>
      <c r="K25" s="410">
        <f t="shared" si="52"/>
        <v>76</v>
      </c>
      <c r="L25" s="410">
        <f t="shared" si="53"/>
        <v>76</v>
      </c>
      <c r="M25" s="410" t="str">
        <f t="shared" si="54"/>
        <v>X</v>
      </c>
      <c r="V25" s="982"/>
      <c r="W25" s="444"/>
      <c r="Y25" s="425">
        <f t="shared" si="0"/>
        <v>20</v>
      </c>
      <c r="Z25" s="415" t="str">
        <f>IF(Y25="","",IF(EDATE($Z$5,Y25)&gt;EXPEDIENTE!$F$27,"",EDATE($Z$5,Y25)))</f>
        <v/>
      </c>
      <c r="AA25" s="415" t="str">
        <f>IF(Z25="","",IF(YEAR(EXPEDIENTE!$F$25)=YEAR(Z25),Z25,""))</f>
        <v/>
      </c>
      <c r="AB25" s="415" t="str">
        <f>IF(Z25="","",IF(YEAR(EXPEDIENTE!$F$25)+1=YEAR(Z25),Z25,""))</f>
        <v/>
      </c>
      <c r="AC25" s="415" t="str">
        <f>IF(Z25="","",IF(YEAR(EXPEDIENTE!$F$25)+2=YEAR(Z25),Z25,""))</f>
        <v/>
      </c>
      <c r="AD25" s="415" t="str">
        <f>IF(Z25="","",IF(YEAR(EXPEDIENTE!$F$25)+3=YEAR(Z25),Z25,""))</f>
        <v/>
      </c>
      <c r="AG25" s="490">
        <v>3</v>
      </c>
      <c r="AH25" s="491">
        <f>'GASTOS EJER. 1'!M39</f>
        <v>0</v>
      </c>
      <c r="AI25" s="492">
        <f>'GASTOS EJER. 1'!X39</f>
        <v>0</v>
      </c>
      <c r="AJ25" s="493">
        <f t="shared" si="118"/>
        <v>0</v>
      </c>
      <c r="AL25" s="494">
        <f>'GASTOS EJER. 1'!F39+'GASTOS EJER. 1'!L39-'GASTOS EJER. 1'!X39-'GASTOS EJER. 1'!Y39</f>
        <v>0</v>
      </c>
      <c r="AM25" s="495" t="str">
        <f>IF('GASTOS EJER. 1'!AA39="","",'GASTOS EJER. 1'!AA39)</f>
        <v/>
      </c>
      <c r="AN25" s="492">
        <f>'GASTOS EJER. 1'!Y39</f>
        <v>0</v>
      </c>
      <c r="AO25" s="496" t="str">
        <f>IF('GASTOS EJER. 1'!AB39="","",'GASTOS EJER. 1'!AB39)</f>
        <v/>
      </c>
      <c r="AP25" s="497">
        <f>IF(AND(AM25&gt;=EXPEDIENTE!$I$25,AM25&lt;=EXPEDIENTE!$I$29),AL25,0)</f>
        <v>0</v>
      </c>
      <c r="AQ25" s="426">
        <f>IF(AND(AO25&gt;=EXPEDIENTE!$I$25,AO25&lt;=EXPEDIENTE!$I$29),AN25,0)</f>
        <v>0</v>
      </c>
      <c r="AR25" s="493">
        <f t="shared" si="119"/>
        <v>0</v>
      </c>
      <c r="AS25" s="498" t="str">
        <f>IF('GASTOS EJER. 1'!D39="","",'GASTOS EJER. 1'!D39)</f>
        <v/>
      </c>
      <c r="AT25" s="499" t="str">
        <f>IF('GASTOS EJER. 1'!E39="","",'GASTOS EJER. 1'!E39)</f>
        <v/>
      </c>
      <c r="AU25" s="500">
        <f t="shared" si="120"/>
        <v>0</v>
      </c>
      <c r="AV25" s="501">
        <f t="shared" si="105"/>
        <v>0</v>
      </c>
      <c r="AW25" s="442">
        <f t="shared" si="121"/>
        <v>0</v>
      </c>
      <c r="AY25" s="426">
        <v>3</v>
      </c>
      <c r="AZ25" s="427">
        <f t="shared" si="106"/>
        <v>45352</v>
      </c>
      <c r="BA25" s="436">
        <f t="shared" si="122"/>
        <v>0</v>
      </c>
      <c r="BB25" s="437">
        <f t="shared" si="123"/>
        <v>0</v>
      </c>
      <c r="BC25" s="437">
        <f t="shared" si="124"/>
        <v>0</v>
      </c>
      <c r="BD25" s="437">
        <f t="shared" si="125"/>
        <v>0</v>
      </c>
      <c r="BE25" s="437">
        <f t="shared" si="126"/>
        <v>0</v>
      </c>
      <c r="BF25" s="437">
        <f t="shared" si="127"/>
        <v>0</v>
      </c>
      <c r="BG25" s="437">
        <f t="shared" si="128"/>
        <v>0</v>
      </c>
      <c r="BH25" s="438">
        <f t="shared" si="129"/>
        <v>0</v>
      </c>
      <c r="BI25" s="439">
        <f t="shared" si="130"/>
        <v>0</v>
      </c>
      <c r="BK25" s="428">
        <f t="shared" si="131"/>
        <v>0</v>
      </c>
      <c r="BL25" s="429">
        <f t="shared" si="132"/>
        <v>0</v>
      </c>
      <c r="BM25" s="429">
        <f t="shared" si="133"/>
        <v>0</v>
      </c>
      <c r="BN25" s="429">
        <f t="shared" si="134"/>
        <v>0</v>
      </c>
      <c r="BO25" s="429">
        <f t="shared" si="135"/>
        <v>0</v>
      </c>
      <c r="BP25" s="429">
        <f t="shared" si="136"/>
        <v>0</v>
      </c>
      <c r="BQ25" s="429">
        <f t="shared" si="137"/>
        <v>0</v>
      </c>
      <c r="BR25" s="430">
        <f t="shared" si="138"/>
        <v>0</v>
      </c>
      <c r="BS25" s="431">
        <f t="shared" si="109"/>
        <v>0</v>
      </c>
      <c r="BU25" s="439">
        <f t="shared" si="139"/>
        <v>0</v>
      </c>
      <c r="BX25" s="490">
        <v>3</v>
      </c>
      <c r="BY25" s="491">
        <f>'GASTOS EJER. 1'!BN39</f>
        <v>0</v>
      </c>
      <c r="BZ25" s="492">
        <f>'GASTOS EJER. 1'!CM39</f>
        <v>0</v>
      </c>
      <c r="CA25" s="493">
        <f t="shared" si="140"/>
        <v>0</v>
      </c>
      <c r="CC25" s="494">
        <f>'GASTOS EJER. 1'!AW39+'GASTOS EJER. 1'!BM39-'GASTOS EJER. 1'!CM39-'GASTOS EJER. 1'!CP39</f>
        <v>0</v>
      </c>
      <c r="CD25" s="495" t="str">
        <f>IF('GASTOS EJER. 1'!CT39="","",'GASTOS EJER. 1'!CT39)</f>
        <v/>
      </c>
      <c r="CE25" s="492">
        <f>'GASTOS EJER. 1'!CP39</f>
        <v>0</v>
      </c>
      <c r="CF25" s="496" t="str">
        <f>IF('GASTOS EJER. 1'!CW39="","",'GASTOS EJER. 1'!CW39)</f>
        <v/>
      </c>
      <c r="CG25" s="497">
        <f>IF(AND(CD25&gt;=EXPEDIENTE!$I$25,CD25&lt;=EXPEDIENTE!$I$29),CC25,0)</f>
        <v>0</v>
      </c>
      <c r="CH25" s="426">
        <f>IF(AND(CF25&gt;=EXPEDIENTE!$I$25,CF25&lt;=EXPEDIENTE!$I$29),CE25,0)</f>
        <v>0</v>
      </c>
      <c r="CI25" s="493">
        <f t="shared" si="141"/>
        <v>0</v>
      </c>
      <c r="CJ25" s="498" t="str">
        <f>IF('GASTOS EJER. 1'!AQ39="","",'GASTOS EJER. 1'!AQ39)</f>
        <v/>
      </c>
      <c r="CK25" s="499" t="str">
        <f>IF('GASTOS EJER. 1'!AT39="","",'GASTOS EJER. 1'!AT39)</f>
        <v/>
      </c>
      <c r="CL25" s="500">
        <f t="shared" si="142"/>
        <v>0</v>
      </c>
      <c r="CM25" s="501">
        <f t="shared" si="110"/>
        <v>0</v>
      </c>
      <c r="CN25" s="442">
        <f t="shared" si="143"/>
        <v>0</v>
      </c>
      <c r="CP25" s="426">
        <v>3</v>
      </c>
      <c r="CQ25" s="427">
        <f t="shared" si="111"/>
        <v>45352</v>
      </c>
      <c r="CR25" s="440">
        <f t="shared" si="144"/>
        <v>0</v>
      </c>
      <c r="CS25" s="426">
        <f t="shared" si="145"/>
        <v>0</v>
      </c>
      <c r="CT25" s="426">
        <f t="shared" si="146"/>
        <v>0</v>
      </c>
      <c r="CU25" s="426">
        <f t="shared" si="147"/>
        <v>0</v>
      </c>
      <c r="CV25" s="426">
        <f t="shared" si="148"/>
        <v>0</v>
      </c>
      <c r="CW25" s="426">
        <f t="shared" si="149"/>
        <v>0</v>
      </c>
      <c r="CX25" s="426">
        <f t="shared" si="150"/>
        <v>0</v>
      </c>
      <c r="CY25" s="441">
        <f t="shared" si="151"/>
        <v>0</v>
      </c>
      <c r="CZ25" s="439">
        <f t="shared" si="152"/>
        <v>0</v>
      </c>
      <c r="DB25" s="440">
        <f t="shared" si="153"/>
        <v>0</v>
      </c>
      <c r="DC25" s="426">
        <f t="shared" si="154"/>
        <v>0</v>
      </c>
      <c r="DD25" s="426">
        <f t="shared" si="155"/>
        <v>0</v>
      </c>
      <c r="DE25" s="426">
        <f t="shared" si="156"/>
        <v>0</v>
      </c>
      <c r="DF25" s="426">
        <f t="shared" si="157"/>
        <v>0</v>
      </c>
      <c r="DG25" s="426">
        <f t="shared" si="158"/>
        <v>0</v>
      </c>
      <c r="DH25" s="426">
        <f t="shared" si="159"/>
        <v>0</v>
      </c>
      <c r="DI25" s="441">
        <f t="shared" si="160"/>
        <v>0</v>
      </c>
      <c r="DJ25" s="439">
        <f t="shared" si="112"/>
        <v>0</v>
      </c>
      <c r="DL25" s="439">
        <f t="shared" si="161"/>
        <v>0</v>
      </c>
      <c r="DN25" s="490">
        <v>3</v>
      </c>
      <c r="DO25" s="502">
        <f>'GASTOS EJER. 1'!$C39</f>
        <v>0</v>
      </c>
      <c r="DP25" s="499" t="str">
        <f t="shared" si="162"/>
        <v/>
      </c>
      <c r="DQ25" s="499" t="str">
        <f t="shared" si="163"/>
        <v/>
      </c>
      <c r="DR25" s="389">
        <f t="shared" si="164"/>
        <v>0</v>
      </c>
      <c r="DS25" s="503">
        <f>'GASTOS EJER. 1'!X39</f>
        <v>0</v>
      </c>
      <c r="DT25" s="495" t="str">
        <f>IF(DS25=0,"",'GASTOS EJER. 1'!AA39)</f>
        <v/>
      </c>
      <c r="DU25" s="495" t="str">
        <f t="shared" si="114"/>
        <v/>
      </c>
      <c r="DV25" s="493" t="e">
        <f>IF(AND(DU25&gt;=EXPEDIENTE!$F$25,DU25&lt;=EXPEDIENTE!$F$29),ROUNDDOWN(DS25/DR25,2),0)</f>
        <v>#DIV/0!</v>
      </c>
      <c r="DX25" s="389">
        <v>6</v>
      </c>
      <c r="DY25" s="433">
        <f t="shared" si="101"/>
        <v>45444</v>
      </c>
      <c r="DZ25" s="433">
        <f t="shared" si="102"/>
        <v>45473</v>
      </c>
      <c r="EA25" s="389" t="str">
        <f>IF(AND(DZ25&gt;=EXPEDIENTE!$F$25,DY25&lt;=EXPEDIENTE!$F$29),"SI","NO")</f>
        <v>SI</v>
      </c>
      <c r="EB25" s="426">
        <f t="shared" si="12"/>
        <v>0</v>
      </c>
      <c r="EC25" s="426">
        <f t="shared" si="13"/>
        <v>0</v>
      </c>
      <c r="ED25" s="426">
        <f t="shared" si="14"/>
        <v>0</v>
      </c>
      <c r="EE25" s="426">
        <f t="shared" si="15"/>
        <v>0</v>
      </c>
      <c r="EF25" s="426">
        <f t="shared" si="16"/>
        <v>0</v>
      </c>
      <c r="EG25" s="426">
        <f t="shared" si="17"/>
        <v>0</v>
      </c>
      <c r="EH25" s="426">
        <f t="shared" si="18"/>
        <v>0</v>
      </c>
      <c r="EI25" s="426">
        <f t="shared" si="19"/>
        <v>0</v>
      </c>
      <c r="EJ25" s="426">
        <f t="shared" si="20"/>
        <v>0</v>
      </c>
      <c r="EK25" s="426">
        <f t="shared" si="21"/>
        <v>0</v>
      </c>
      <c r="EL25" s="426">
        <f t="shared" si="22"/>
        <v>0</v>
      </c>
      <c r="EM25" s="426">
        <f t="shared" si="23"/>
        <v>0</v>
      </c>
      <c r="EN25" s="426">
        <f t="shared" si="24"/>
        <v>0</v>
      </c>
      <c r="EO25" s="426">
        <f t="shared" si="25"/>
        <v>0</v>
      </c>
      <c r="EP25" s="426">
        <f t="shared" si="26"/>
        <v>0</v>
      </c>
      <c r="EQ25" s="426">
        <f t="shared" si="27"/>
        <v>0</v>
      </c>
      <c r="ER25" s="426">
        <f t="shared" si="28"/>
        <v>0</v>
      </c>
      <c r="ES25" s="426">
        <f t="shared" si="29"/>
        <v>0</v>
      </c>
      <c r="ET25" s="426">
        <f t="shared" si="30"/>
        <v>0</v>
      </c>
      <c r="EU25" s="426">
        <f t="shared" si="31"/>
        <v>0</v>
      </c>
      <c r="EV25" s="426">
        <f t="shared" si="32"/>
        <v>0</v>
      </c>
      <c r="EW25" s="426">
        <f t="shared" si="33"/>
        <v>0</v>
      </c>
      <c r="EX25" s="426">
        <f t="shared" si="34"/>
        <v>0</v>
      </c>
      <c r="EY25" s="426">
        <f t="shared" si="35"/>
        <v>0</v>
      </c>
      <c r="EZ25" s="426">
        <f t="shared" si="36"/>
        <v>0</v>
      </c>
      <c r="FA25" s="426">
        <f t="shared" si="37"/>
        <v>0</v>
      </c>
      <c r="FB25" s="426">
        <f t="shared" si="38"/>
        <v>0</v>
      </c>
      <c r="FC25" s="426">
        <f t="shared" si="39"/>
        <v>0</v>
      </c>
      <c r="FD25" s="426">
        <f t="shared" si="40"/>
        <v>0</v>
      </c>
      <c r="FE25" s="426">
        <f t="shared" si="41"/>
        <v>0</v>
      </c>
      <c r="FF25" s="426">
        <f t="shared" si="42"/>
        <v>0</v>
      </c>
      <c r="FG25" s="426">
        <f t="shared" si="43"/>
        <v>0</v>
      </c>
      <c r="FH25" s="426">
        <f t="shared" si="66"/>
        <v>0</v>
      </c>
      <c r="FJ25" s="121">
        <v>3</v>
      </c>
      <c r="FK25" s="495">
        <f>DATE(YEAR(EXPEDIENTE!$F$25),FJ25,1)</f>
        <v>45352</v>
      </c>
      <c r="FL25" s="495" t="str">
        <f>IF('GASTOS EJER. 1'!I51="","",'GASTOS EJER. 1'!I51)</f>
        <v/>
      </c>
      <c r="FM25" s="503">
        <f>'GASTOS EJER. 1'!X22</f>
        <v>0</v>
      </c>
      <c r="FN25" s="503">
        <f>'GASTOS EJER. 1'!H51</f>
        <v>0</v>
      </c>
      <c r="FO25" s="426">
        <f t="shared" si="165"/>
        <v>0</v>
      </c>
      <c r="FP25" s="503">
        <f t="shared" si="115"/>
        <v>0</v>
      </c>
      <c r="FR25" s="490">
        <v>3</v>
      </c>
      <c r="FS25" s="502">
        <f>'GASTOS EJER. 1'!$C39</f>
        <v>0</v>
      </c>
      <c r="FT25" s="499" t="str">
        <f t="shared" si="166"/>
        <v/>
      </c>
      <c r="FU25" s="499" t="str">
        <f t="shared" si="167"/>
        <v/>
      </c>
      <c r="FV25" s="389">
        <f t="shared" si="168"/>
        <v>0</v>
      </c>
      <c r="FW25" s="503">
        <f>'GASTOS EJER. 1'!CM39</f>
        <v>0</v>
      </c>
      <c r="FX25" s="495" t="str">
        <f>IF(FW25=0,"",'GASTOS EJER. 1'!CT39)</f>
        <v/>
      </c>
      <c r="FY25" s="495" t="str">
        <f t="shared" si="116"/>
        <v/>
      </c>
      <c r="FZ25" s="493" t="e">
        <f>IF(AND(FY25&gt;=EXPEDIENTE!$F$25,FY25&lt;=EXPEDIENTE!$F$29),ROUNDDOWN(FW25/FV25,2),0)</f>
        <v>#DIV/0!</v>
      </c>
      <c r="GB25" s="389">
        <v>6</v>
      </c>
      <c r="GC25" s="433">
        <f t="shared" si="103"/>
        <v>45444</v>
      </c>
      <c r="GD25" s="433">
        <f t="shared" si="104"/>
        <v>45473</v>
      </c>
      <c r="GE25" s="389" t="str">
        <f>IF(AND(GD25&gt;=EXPEDIENTE!$F$25,GC25&lt;=EXPEDIENTE!$F$29),"SI","NO")</f>
        <v>SI</v>
      </c>
      <c r="GF25" s="426">
        <f t="shared" si="67"/>
        <v>0</v>
      </c>
      <c r="GG25" s="426">
        <f t="shared" si="68"/>
        <v>0</v>
      </c>
      <c r="GH25" s="426">
        <f t="shared" si="69"/>
        <v>0</v>
      </c>
      <c r="GI25" s="426">
        <f t="shared" si="70"/>
        <v>0</v>
      </c>
      <c r="GJ25" s="426">
        <f t="shared" si="71"/>
        <v>0</v>
      </c>
      <c r="GK25" s="426">
        <f t="shared" si="72"/>
        <v>0</v>
      </c>
      <c r="GL25" s="426">
        <f t="shared" si="73"/>
        <v>0</v>
      </c>
      <c r="GM25" s="426">
        <f t="shared" si="74"/>
        <v>0</v>
      </c>
      <c r="GN25" s="426">
        <f t="shared" si="75"/>
        <v>0</v>
      </c>
      <c r="GO25" s="426">
        <f t="shared" si="76"/>
        <v>0</v>
      </c>
      <c r="GP25" s="426">
        <f t="shared" si="77"/>
        <v>0</v>
      </c>
      <c r="GQ25" s="426">
        <f t="shared" si="78"/>
        <v>0</v>
      </c>
      <c r="GR25" s="426">
        <f t="shared" si="79"/>
        <v>0</v>
      </c>
      <c r="GS25" s="426">
        <f t="shared" si="80"/>
        <v>0</v>
      </c>
      <c r="GT25" s="426">
        <f t="shared" si="81"/>
        <v>0</v>
      </c>
      <c r="GU25" s="426">
        <f t="shared" si="82"/>
        <v>0</v>
      </c>
      <c r="GV25" s="426">
        <f t="shared" si="83"/>
        <v>0</v>
      </c>
      <c r="GW25" s="426">
        <f t="shared" si="84"/>
        <v>0</v>
      </c>
      <c r="GX25" s="426">
        <f t="shared" si="85"/>
        <v>0</v>
      </c>
      <c r="GY25" s="426">
        <f t="shared" si="86"/>
        <v>0</v>
      </c>
      <c r="GZ25" s="426">
        <f t="shared" si="87"/>
        <v>0</v>
      </c>
      <c r="HA25" s="426">
        <f t="shared" si="88"/>
        <v>0</v>
      </c>
      <c r="HB25" s="426">
        <f t="shared" si="89"/>
        <v>0</v>
      </c>
      <c r="HC25" s="426">
        <f t="shared" si="90"/>
        <v>0</v>
      </c>
      <c r="HD25" s="426">
        <f t="shared" si="91"/>
        <v>0</v>
      </c>
      <c r="HE25" s="426">
        <f t="shared" si="92"/>
        <v>0</v>
      </c>
      <c r="HF25" s="426">
        <f t="shared" si="93"/>
        <v>0</v>
      </c>
      <c r="HG25" s="426">
        <f t="shared" si="94"/>
        <v>0</v>
      </c>
      <c r="HH25" s="426">
        <f t="shared" si="95"/>
        <v>0</v>
      </c>
      <c r="HI25" s="426">
        <f t="shared" si="96"/>
        <v>0</v>
      </c>
      <c r="HJ25" s="426">
        <f t="shared" si="97"/>
        <v>0</v>
      </c>
      <c r="HK25" s="426">
        <f t="shared" si="98"/>
        <v>0</v>
      </c>
      <c r="HL25" s="426">
        <f t="shared" si="99"/>
        <v>0</v>
      </c>
      <c r="HO25" s="121">
        <v>3</v>
      </c>
      <c r="HP25" s="495">
        <f>DATE(YEAR(EXPEDIENTE!$F$25),HO25,1)</f>
        <v>45352</v>
      </c>
      <c r="HQ25" s="495" t="str">
        <f>IF('GASTOS EJER. 1'!BF51="","",'GASTOS EJER. 1'!BF51)</f>
        <v/>
      </c>
      <c r="HR25" s="503">
        <f>'GASTOS EJER. 1'!CM22</f>
        <v>0</v>
      </c>
      <c r="HS25" s="503">
        <f>'GASTOS EJER. 1'!BA51</f>
        <v>0</v>
      </c>
      <c r="HT25" s="426">
        <f t="shared" si="169"/>
        <v>0</v>
      </c>
      <c r="HU25" s="503">
        <f t="shared" si="117"/>
        <v>0</v>
      </c>
      <c r="JC25" s="409">
        <v>21</v>
      </c>
      <c r="JD25" s="401">
        <f t="shared" si="100"/>
        <v>8</v>
      </c>
    </row>
    <row r="26" spans="3:264" x14ac:dyDescent="0.25">
      <c r="C26" s="209">
        <v>20</v>
      </c>
      <c r="D26" s="404"/>
      <c r="E26" s="420"/>
      <c r="F26" s="421"/>
      <c r="G26" s="422"/>
      <c r="H26" s="422"/>
      <c r="I26" s="422"/>
      <c r="J26" s="404"/>
      <c r="K26" s="410">
        <f t="shared" si="52"/>
        <v>76</v>
      </c>
      <c r="L26" s="410">
        <f t="shared" si="53"/>
        <v>76</v>
      </c>
      <c r="M26" s="410" t="str">
        <f t="shared" si="54"/>
        <v>X</v>
      </c>
      <c r="V26" s="982"/>
      <c r="W26" s="444"/>
      <c r="Y26" s="425">
        <f t="shared" si="0"/>
        <v>21</v>
      </c>
      <c r="Z26" s="415" t="str">
        <f>IF(Y26="","",IF(EDATE($Z$5,Y26)&gt;EXPEDIENTE!$F$27,"",EDATE($Z$5,Y26)))</f>
        <v/>
      </c>
      <c r="AA26" s="415" t="str">
        <f>IF(Z26="","",IF(YEAR(EXPEDIENTE!$F$25)=YEAR(Z26),Z26,""))</f>
        <v/>
      </c>
      <c r="AB26" s="415" t="str">
        <f>IF(Z26="","",IF(YEAR(EXPEDIENTE!$F$25)+1=YEAR(Z26),Z26,""))</f>
        <v/>
      </c>
      <c r="AC26" s="415" t="str">
        <f>IF(Z26="","",IF(YEAR(EXPEDIENTE!$F$25)+2=YEAR(Z26),Z26,""))</f>
        <v/>
      </c>
      <c r="AD26" s="415" t="str">
        <f>IF(Z26="","",IF(YEAR(EXPEDIENTE!$F$25)+3=YEAR(Z26),Z26,""))</f>
        <v/>
      </c>
      <c r="AG26" s="490">
        <v>4</v>
      </c>
      <c r="AH26" s="491">
        <f>'GASTOS EJER. 1'!M40</f>
        <v>0</v>
      </c>
      <c r="AI26" s="492">
        <f>'GASTOS EJER. 1'!X40</f>
        <v>0</v>
      </c>
      <c r="AJ26" s="493">
        <f t="shared" si="118"/>
        <v>0</v>
      </c>
      <c r="AL26" s="494">
        <f>'GASTOS EJER. 1'!F40+'GASTOS EJER. 1'!L40-'GASTOS EJER. 1'!X40-'GASTOS EJER. 1'!Y40</f>
        <v>0</v>
      </c>
      <c r="AM26" s="495" t="str">
        <f>IF('GASTOS EJER. 1'!AA40="","",'GASTOS EJER. 1'!AA40)</f>
        <v/>
      </c>
      <c r="AN26" s="492">
        <f>'GASTOS EJER. 1'!Y40</f>
        <v>0</v>
      </c>
      <c r="AO26" s="496" t="str">
        <f>IF('GASTOS EJER. 1'!AB40="","",'GASTOS EJER. 1'!AB40)</f>
        <v/>
      </c>
      <c r="AP26" s="497">
        <f>IF(AND(AM26&gt;=EXPEDIENTE!$I$25,AM26&lt;=EXPEDIENTE!$I$29),AL26,0)</f>
        <v>0</v>
      </c>
      <c r="AQ26" s="426">
        <f>IF(AND(AO26&gt;=EXPEDIENTE!$I$25,AO26&lt;=EXPEDIENTE!$I$29),AN26,0)</f>
        <v>0</v>
      </c>
      <c r="AR26" s="493">
        <f t="shared" si="119"/>
        <v>0</v>
      </c>
      <c r="AS26" s="498" t="str">
        <f>IF('GASTOS EJER. 1'!D40="","",'GASTOS EJER. 1'!D40)</f>
        <v/>
      </c>
      <c r="AT26" s="499" t="str">
        <f>IF('GASTOS EJER. 1'!E40="","",'GASTOS EJER. 1'!E40)</f>
        <v/>
      </c>
      <c r="AU26" s="500">
        <f t="shared" si="120"/>
        <v>0</v>
      </c>
      <c r="AV26" s="501">
        <f t="shared" si="105"/>
        <v>0</v>
      </c>
      <c r="AW26" s="442">
        <f t="shared" si="121"/>
        <v>0</v>
      </c>
      <c r="AY26" s="426">
        <v>4</v>
      </c>
      <c r="AZ26" s="427">
        <f t="shared" si="106"/>
        <v>45383</v>
      </c>
      <c r="BA26" s="436">
        <f t="shared" si="122"/>
        <v>0</v>
      </c>
      <c r="BB26" s="437">
        <f t="shared" si="123"/>
        <v>0</v>
      </c>
      <c r="BC26" s="437">
        <f t="shared" si="124"/>
        <v>0</v>
      </c>
      <c r="BD26" s="437">
        <f t="shared" si="125"/>
        <v>0</v>
      </c>
      <c r="BE26" s="437">
        <f t="shared" si="126"/>
        <v>0</v>
      </c>
      <c r="BF26" s="437">
        <f t="shared" si="127"/>
        <v>0</v>
      </c>
      <c r="BG26" s="437">
        <f t="shared" si="128"/>
        <v>0</v>
      </c>
      <c r="BH26" s="438">
        <f t="shared" si="129"/>
        <v>0</v>
      </c>
      <c r="BI26" s="439">
        <f t="shared" si="130"/>
        <v>0</v>
      </c>
      <c r="BK26" s="436">
        <f t="shared" si="131"/>
        <v>0</v>
      </c>
      <c r="BL26" s="437">
        <f t="shared" si="132"/>
        <v>0</v>
      </c>
      <c r="BM26" s="437">
        <f t="shared" si="133"/>
        <v>0</v>
      </c>
      <c r="BN26" s="437">
        <f t="shared" si="134"/>
        <v>0</v>
      </c>
      <c r="BO26" s="437">
        <f t="shared" si="135"/>
        <v>0</v>
      </c>
      <c r="BP26" s="437">
        <f t="shared" si="136"/>
        <v>0</v>
      </c>
      <c r="BQ26" s="437">
        <f t="shared" si="137"/>
        <v>0</v>
      </c>
      <c r="BR26" s="438">
        <f t="shared" si="138"/>
        <v>0</v>
      </c>
      <c r="BS26" s="439">
        <f t="shared" si="109"/>
        <v>0</v>
      </c>
      <c r="BU26" s="439">
        <f t="shared" si="139"/>
        <v>0</v>
      </c>
      <c r="BX26" s="490">
        <v>4</v>
      </c>
      <c r="BY26" s="491">
        <f>'GASTOS EJER. 1'!BN40</f>
        <v>0</v>
      </c>
      <c r="BZ26" s="492">
        <f>'GASTOS EJER. 1'!CM40</f>
        <v>0</v>
      </c>
      <c r="CA26" s="493">
        <f t="shared" si="140"/>
        <v>0</v>
      </c>
      <c r="CC26" s="494">
        <f>'GASTOS EJER. 1'!AW40+'GASTOS EJER. 1'!BM40-'GASTOS EJER. 1'!CM40-'GASTOS EJER. 1'!CP40</f>
        <v>0</v>
      </c>
      <c r="CD26" s="495" t="str">
        <f>IF('GASTOS EJER. 1'!CT40="","",'GASTOS EJER. 1'!CT40)</f>
        <v/>
      </c>
      <c r="CE26" s="492">
        <f>'GASTOS EJER. 1'!CP40</f>
        <v>0</v>
      </c>
      <c r="CF26" s="496" t="str">
        <f>IF('GASTOS EJER. 1'!CW40="","",'GASTOS EJER. 1'!CW40)</f>
        <v/>
      </c>
      <c r="CG26" s="497">
        <f>IF(AND(CD26&gt;=EXPEDIENTE!$I$25,CD26&lt;=EXPEDIENTE!$I$29),CC26,0)</f>
        <v>0</v>
      </c>
      <c r="CH26" s="426">
        <f>IF(AND(CF26&gt;=EXPEDIENTE!$I$25,CF26&lt;=EXPEDIENTE!$I$29),CE26,0)</f>
        <v>0</v>
      </c>
      <c r="CI26" s="493">
        <f t="shared" si="141"/>
        <v>0</v>
      </c>
      <c r="CJ26" s="498" t="str">
        <f>IF('GASTOS EJER. 1'!AQ40="","",'GASTOS EJER. 1'!AQ40)</f>
        <v/>
      </c>
      <c r="CK26" s="499" t="str">
        <f>IF('GASTOS EJER. 1'!AT40="","",'GASTOS EJER. 1'!AT40)</f>
        <v/>
      </c>
      <c r="CL26" s="500">
        <f t="shared" si="142"/>
        <v>0</v>
      </c>
      <c r="CM26" s="501">
        <f t="shared" si="110"/>
        <v>0</v>
      </c>
      <c r="CN26" s="442">
        <f t="shared" si="143"/>
        <v>0</v>
      </c>
      <c r="CP26" s="426">
        <v>4</v>
      </c>
      <c r="CQ26" s="427">
        <f t="shared" si="111"/>
        <v>45383</v>
      </c>
      <c r="CR26" s="440">
        <f t="shared" si="144"/>
        <v>0</v>
      </c>
      <c r="CS26" s="426">
        <f t="shared" si="145"/>
        <v>0</v>
      </c>
      <c r="CT26" s="426">
        <f t="shared" si="146"/>
        <v>0</v>
      </c>
      <c r="CU26" s="426">
        <f t="shared" si="147"/>
        <v>0</v>
      </c>
      <c r="CV26" s="426">
        <f t="shared" si="148"/>
        <v>0</v>
      </c>
      <c r="CW26" s="426">
        <f t="shared" si="149"/>
        <v>0</v>
      </c>
      <c r="CX26" s="426">
        <f t="shared" si="150"/>
        <v>0</v>
      </c>
      <c r="CY26" s="441">
        <f t="shared" si="151"/>
        <v>0</v>
      </c>
      <c r="CZ26" s="439">
        <f t="shared" si="152"/>
        <v>0</v>
      </c>
      <c r="DB26" s="440">
        <f t="shared" si="153"/>
        <v>0</v>
      </c>
      <c r="DC26" s="426">
        <f t="shared" si="154"/>
        <v>0</v>
      </c>
      <c r="DD26" s="426">
        <f t="shared" si="155"/>
        <v>0</v>
      </c>
      <c r="DE26" s="426">
        <f t="shared" si="156"/>
        <v>0</v>
      </c>
      <c r="DF26" s="426">
        <f t="shared" si="157"/>
        <v>0</v>
      </c>
      <c r="DG26" s="426">
        <f t="shared" si="158"/>
        <v>0</v>
      </c>
      <c r="DH26" s="426">
        <f t="shared" si="159"/>
        <v>0</v>
      </c>
      <c r="DI26" s="441">
        <f t="shared" si="160"/>
        <v>0</v>
      </c>
      <c r="DJ26" s="439">
        <f t="shared" si="112"/>
        <v>0</v>
      </c>
      <c r="DL26" s="439">
        <f t="shared" si="161"/>
        <v>0</v>
      </c>
      <c r="DN26" s="490">
        <v>4</v>
      </c>
      <c r="DO26" s="502">
        <f>'GASTOS EJER. 1'!$C40</f>
        <v>0</v>
      </c>
      <c r="DP26" s="499" t="str">
        <f t="shared" si="162"/>
        <v/>
      </c>
      <c r="DQ26" s="499" t="str">
        <f t="shared" si="163"/>
        <v/>
      </c>
      <c r="DR26" s="389">
        <f t="shared" si="164"/>
        <v>0</v>
      </c>
      <c r="DS26" s="503">
        <f>'GASTOS EJER. 1'!X40</f>
        <v>0</v>
      </c>
      <c r="DT26" s="495" t="str">
        <f>IF(DS26=0,"",'GASTOS EJER. 1'!AA40)</f>
        <v/>
      </c>
      <c r="DU26" s="495" t="str">
        <f t="shared" si="114"/>
        <v/>
      </c>
      <c r="DV26" s="493" t="e">
        <f>IF(AND(DU26&gt;=EXPEDIENTE!$F$25,DU26&lt;=EXPEDIENTE!$F$29),ROUNDDOWN(DS26/DR26,2),0)</f>
        <v>#DIV/0!</v>
      </c>
      <c r="DX26" s="389">
        <v>7</v>
      </c>
      <c r="DY26" s="433">
        <f t="shared" si="101"/>
        <v>45474</v>
      </c>
      <c r="DZ26" s="433">
        <f t="shared" si="102"/>
        <v>45504</v>
      </c>
      <c r="EA26" s="389" t="str">
        <f>IF(AND(DZ26&gt;=EXPEDIENTE!$F$25,DY26&lt;=EXPEDIENTE!$F$29),"SI","NO")</f>
        <v>SI</v>
      </c>
      <c r="EB26" s="426">
        <f t="shared" si="12"/>
        <v>0</v>
      </c>
      <c r="EC26" s="426">
        <f t="shared" si="13"/>
        <v>0</v>
      </c>
      <c r="ED26" s="426">
        <f t="shared" si="14"/>
        <v>0</v>
      </c>
      <c r="EE26" s="426">
        <f t="shared" si="15"/>
        <v>0</v>
      </c>
      <c r="EF26" s="426">
        <f t="shared" si="16"/>
        <v>0</v>
      </c>
      <c r="EG26" s="426">
        <f t="shared" si="17"/>
        <v>0</v>
      </c>
      <c r="EH26" s="426">
        <f t="shared" si="18"/>
        <v>0</v>
      </c>
      <c r="EI26" s="426">
        <f t="shared" si="19"/>
        <v>0</v>
      </c>
      <c r="EJ26" s="426">
        <f t="shared" si="20"/>
        <v>0</v>
      </c>
      <c r="EK26" s="426">
        <f t="shared" si="21"/>
        <v>0</v>
      </c>
      <c r="EL26" s="426">
        <f t="shared" si="22"/>
        <v>0</v>
      </c>
      <c r="EM26" s="426">
        <f t="shared" si="23"/>
        <v>0</v>
      </c>
      <c r="EN26" s="426">
        <f t="shared" si="24"/>
        <v>0</v>
      </c>
      <c r="EO26" s="426">
        <f t="shared" si="25"/>
        <v>0</v>
      </c>
      <c r="EP26" s="426">
        <f t="shared" si="26"/>
        <v>0</v>
      </c>
      <c r="EQ26" s="426">
        <f t="shared" si="27"/>
        <v>0</v>
      </c>
      <c r="ER26" s="426">
        <f t="shared" si="28"/>
        <v>0</v>
      </c>
      <c r="ES26" s="426">
        <f t="shared" si="29"/>
        <v>0</v>
      </c>
      <c r="ET26" s="426">
        <f t="shared" si="30"/>
        <v>0</v>
      </c>
      <c r="EU26" s="426">
        <f t="shared" si="31"/>
        <v>0</v>
      </c>
      <c r="EV26" s="426">
        <f t="shared" si="32"/>
        <v>0</v>
      </c>
      <c r="EW26" s="426">
        <f t="shared" si="33"/>
        <v>0</v>
      </c>
      <c r="EX26" s="426">
        <f t="shared" si="34"/>
        <v>0</v>
      </c>
      <c r="EY26" s="426">
        <f t="shared" si="35"/>
        <v>0</v>
      </c>
      <c r="EZ26" s="426">
        <f t="shared" si="36"/>
        <v>0</v>
      </c>
      <c r="FA26" s="426">
        <f t="shared" si="37"/>
        <v>0</v>
      </c>
      <c r="FB26" s="426">
        <f t="shared" si="38"/>
        <v>0</v>
      </c>
      <c r="FC26" s="426">
        <f t="shared" si="39"/>
        <v>0</v>
      </c>
      <c r="FD26" s="426">
        <f t="shared" si="40"/>
        <v>0</v>
      </c>
      <c r="FE26" s="426">
        <f t="shared" si="41"/>
        <v>0</v>
      </c>
      <c r="FF26" s="426">
        <f t="shared" si="42"/>
        <v>0</v>
      </c>
      <c r="FG26" s="426">
        <f t="shared" si="43"/>
        <v>0</v>
      </c>
      <c r="FH26" s="426">
        <f t="shared" si="66"/>
        <v>0</v>
      </c>
      <c r="FJ26" s="121">
        <v>4</v>
      </c>
      <c r="FK26" s="495">
        <f>DATE(YEAR(EXPEDIENTE!$F$25),FJ26,1)</f>
        <v>45383</v>
      </c>
      <c r="FL26" s="495" t="str">
        <f>IF('GASTOS EJER. 1'!I52="","",'GASTOS EJER. 1'!I52)</f>
        <v/>
      </c>
      <c r="FM26" s="503">
        <f>'GASTOS EJER. 1'!X23</f>
        <v>0</v>
      </c>
      <c r="FN26" s="503">
        <f>'GASTOS EJER. 1'!H52</f>
        <v>0</v>
      </c>
      <c r="FO26" s="426">
        <f t="shared" si="165"/>
        <v>0</v>
      </c>
      <c r="FP26" s="503">
        <f t="shared" si="115"/>
        <v>0</v>
      </c>
      <c r="FR26" s="490">
        <v>4</v>
      </c>
      <c r="FS26" s="502">
        <f>'GASTOS EJER. 1'!$C40</f>
        <v>0</v>
      </c>
      <c r="FT26" s="499" t="str">
        <f t="shared" si="166"/>
        <v/>
      </c>
      <c r="FU26" s="499" t="str">
        <f t="shared" si="167"/>
        <v/>
      </c>
      <c r="FV26" s="389">
        <f t="shared" si="168"/>
        <v>0</v>
      </c>
      <c r="FW26" s="503">
        <f>'GASTOS EJER. 1'!CM40</f>
        <v>0</v>
      </c>
      <c r="FX26" s="495" t="str">
        <f>IF(FW26=0,"",'GASTOS EJER. 1'!CT40)</f>
        <v/>
      </c>
      <c r="FY26" s="495" t="str">
        <f t="shared" si="116"/>
        <v/>
      </c>
      <c r="FZ26" s="493" t="e">
        <f>IF(AND(FY26&gt;=EXPEDIENTE!$F$25,FY26&lt;=EXPEDIENTE!$F$29),ROUNDDOWN(FW26/FV26,2),0)</f>
        <v>#DIV/0!</v>
      </c>
      <c r="GB26" s="389">
        <v>7</v>
      </c>
      <c r="GC26" s="433">
        <f t="shared" si="103"/>
        <v>45474</v>
      </c>
      <c r="GD26" s="433">
        <f t="shared" si="104"/>
        <v>45504</v>
      </c>
      <c r="GE26" s="389" t="str">
        <f>IF(AND(GD26&gt;=EXPEDIENTE!$F$25,GC26&lt;=EXPEDIENTE!$F$29),"SI","NO")</f>
        <v>SI</v>
      </c>
      <c r="GF26" s="426">
        <f t="shared" si="67"/>
        <v>0</v>
      </c>
      <c r="GG26" s="426">
        <f t="shared" si="68"/>
        <v>0</v>
      </c>
      <c r="GH26" s="426">
        <f t="shared" si="69"/>
        <v>0</v>
      </c>
      <c r="GI26" s="426">
        <f t="shared" si="70"/>
        <v>0</v>
      </c>
      <c r="GJ26" s="426">
        <f t="shared" si="71"/>
        <v>0</v>
      </c>
      <c r="GK26" s="426">
        <f t="shared" si="72"/>
        <v>0</v>
      </c>
      <c r="GL26" s="426">
        <f t="shared" si="73"/>
        <v>0</v>
      </c>
      <c r="GM26" s="426">
        <f t="shared" si="74"/>
        <v>0</v>
      </c>
      <c r="GN26" s="426">
        <f t="shared" si="75"/>
        <v>0</v>
      </c>
      <c r="GO26" s="426">
        <f t="shared" si="76"/>
        <v>0</v>
      </c>
      <c r="GP26" s="426">
        <f t="shared" si="77"/>
        <v>0</v>
      </c>
      <c r="GQ26" s="426">
        <f t="shared" si="78"/>
        <v>0</v>
      </c>
      <c r="GR26" s="426">
        <f t="shared" si="79"/>
        <v>0</v>
      </c>
      <c r="GS26" s="426">
        <f t="shared" si="80"/>
        <v>0</v>
      </c>
      <c r="GT26" s="426">
        <f t="shared" si="81"/>
        <v>0</v>
      </c>
      <c r="GU26" s="426">
        <f t="shared" si="82"/>
        <v>0</v>
      </c>
      <c r="GV26" s="426">
        <f t="shared" si="83"/>
        <v>0</v>
      </c>
      <c r="GW26" s="426">
        <f t="shared" si="84"/>
        <v>0</v>
      </c>
      <c r="GX26" s="426">
        <f t="shared" si="85"/>
        <v>0</v>
      </c>
      <c r="GY26" s="426">
        <f t="shared" si="86"/>
        <v>0</v>
      </c>
      <c r="GZ26" s="426">
        <f t="shared" si="87"/>
        <v>0</v>
      </c>
      <c r="HA26" s="426">
        <f t="shared" si="88"/>
        <v>0</v>
      </c>
      <c r="HB26" s="426">
        <f t="shared" si="89"/>
        <v>0</v>
      </c>
      <c r="HC26" s="426">
        <f t="shared" si="90"/>
        <v>0</v>
      </c>
      <c r="HD26" s="426">
        <f t="shared" si="91"/>
        <v>0</v>
      </c>
      <c r="HE26" s="426">
        <f t="shared" si="92"/>
        <v>0</v>
      </c>
      <c r="HF26" s="426">
        <f t="shared" si="93"/>
        <v>0</v>
      </c>
      <c r="HG26" s="426">
        <f t="shared" si="94"/>
        <v>0</v>
      </c>
      <c r="HH26" s="426">
        <f t="shared" si="95"/>
        <v>0</v>
      </c>
      <c r="HI26" s="426">
        <f t="shared" si="96"/>
        <v>0</v>
      </c>
      <c r="HJ26" s="426">
        <f t="shared" si="97"/>
        <v>0</v>
      </c>
      <c r="HK26" s="426">
        <f t="shared" si="98"/>
        <v>0</v>
      </c>
      <c r="HL26" s="426">
        <f t="shared" si="99"/>
        <v>0</v>
      </c>
      <c r="HO26" s="121">
        <v>4</v>
      </c>
      <c r="HP26" s="495">
        <f>DATE(YEAR(EXPEDIENTE!$F$25),HO26,1)</f>
        <v>45383</v>
      </c>
      <c r="HQ26" s="495" t="str">
        <f>IF('GASTOS EJER. 1'!BF52="","",'GASTOS EJER. 1'!BF52)</f>
        <v/>
      </c>
      <c r="HR26" s="503">
        <f>'GASTOS EJER. 1'!CM23</f>
        <v>0</v>
      </c>
      <c r="HS26" s="503">
        <f>'GASTOS EJER. 1'!BA52</f>
        <v>0</v>
      </c>
      <c r="HT26" s="426">
        <f t="shared" si="169"/>
        <v>0</v>
      </c>
      <c r="HU26" s="503">
        <f t="shared" si="117"/>
        <v>0</v>
      </c>
      <c r="JC26" s="419">
        <v>22</v>
      </c>
      <c r="JD26" s="401">
        <f t="shared" si="100"/>
        <v>8</v>
      </c>
    </row>
    <row r="27" spans="3:264" ht="15.75" thickBot="1" x14ac:dyDescent="0.3">
      <c r="C27" s="209">
        <v>21</v>
      </c>
      <c r="D27" s="404"/>
      <c r="E27" s="420"/>
      <c r="F27" s="421"/>
      <c r="G27" s="422"/>
      <c r="H27" s="422"/>
      <c r="I27" s="422"/>
      <c r="J27" s="404"/>
      <c r="K27" s="410">
        <f t="shared" si="52"/>
        <v>76</v>
      </c>
      <c r="L27" s="410">
        <f t="shared" si="53"/>
        <v>76</v>
      </c>
      <c r="M27" s="410" t="str">
        <f t="shared" si="54"/>
        <v>X</v>
      </c>
      <c r="V27" s="983"/>
      <c r="W27" s="424" t="s">
        <v>263</v>
      </c>
      <c r="Y27" s="425">
        <f t="shared" si="0"/>
        <v>22</v>
      </c>
      <c r="Z27" s="415" t="str">
        <f>IF(Y27="","",IF(EDATE($Z$5,Y27)&gt;EXPEDIENTE!$F$27,"",EDATE($Z$5,Y27)))</f>
        <v/>
      </c>
      <c r="AA27" s="415" t="str">
        <f>IF(Z27="","",IF(YEAR(EXPEDIENTE!$F$25)=YEAR(Z27),Z27,""))</f>
        <v/>
      </c>
      <c r="AB27" s="415" t="str">
        <f>IF(Z27="","",IF(YEAR(EXPEDIENTE!$F$25)+1=YEAR(Z27),Z27,""))</f>
        <v/>
      </c>
      <c r="AC27" s="415" t="str">
        <f>IF(Z27="","",IF(YEAR(EXPEDIENTE!$F$25)+2=YEAR(Z27),Z27,""))</f>
        <v/>
      </c>
      <c r="AD27" s="415" t="str">
        <f>IF(Z27="","",IF(YEAR(EXPEDIENTE!$F$25)+3=YEAR(Z27),Z27,""))</f>
        <v/>
      </c>
      <c r="AG27" s="490">
        <v>5</v>
      </c>
      <c r="AH27" s="491">
        <f>'GASTOS EJER. 1'!M41</f>
        <v>0</v>
      </c>
      <c r="AI27" s="492">
        <f>'GASTOS EJER. 1'!X41</f>
        <v>0</v>
      </c>
      <c r="AJ27" s="493">
        <f t="shared" si="118"/>
        <v>0</v>
      </c>
      <c r="AL27" s="494">
        <f>'GASTOS EJER. 1'!F41+'GASTOS EJER. 1'!L41-'GASTOS EJER. 1'!X41-'GASTOS EJER. 1'!Y41</f>
        <v>0</v>
      </c>
      <c r="AM27" s="495" t="str">
        <f>IF('GASTOS EJER. 1'!AA41="","",'GASTOS EJER. 1'!AA41)</f>
        <v/>
      </c>
      <c r="AN27" s="492">
        <f>'GASTOS EJER. 1'!Y41</f>
        <v>0</v>
      </c>
      <c r="AO27" s="496" t="str">
        <f>IF('GASTOS EJER. 1'!AB41="","",'GASTOS EJER. 1'!AB41)</f>
        <v/>
      </c>
      <c r="AP27" s="497">
        <f>IF(AND(AM27&gt;=EXPEDIENTE!$I$25,AM27&lt;=EXPEDIENTE!$I$29),AL27,0)</f>
        <v>0</v>
      </c>
      <c r="AQ27" s="426">
        <f>IF(AND(AO27&gt;=EXPEDIENTE!$I$25,AO27&lt;=EXPEDIENTE!$I$29),AN27,0)</f>
        <v>0</v>
      </c>
      <c r="AR27" s="493">
        <f t="shared" si="119"/>
        <v>0</v>
      </c>
      <c r="AS27" s="498" t="str">
        <f>IF('GASTOS EJER. 1'!D41="","",'GASTOS EJER. 1'!D41)</f>
        <v/>
      </c>
      <c r="AT27" s="499" t="str">
        <f>IF('GASTOS EJER. 1'!E41="","",'GASTOS EJER. 1'!E41)</f>
        <v/>
      </c>
      <c r="AU27" s="500">
        <f t="shared" si="120"/>
        <v>0</v>
      </c>
      <c r="AV27" s="501">
        <f t="shared" si="105"/>
        <v>0</v>
      </c>
      <c r="AW27" s="442">
        <f t="shared" si="121"/>
        <v>0</v>
      </c>
      <c r="AY27" s="426">
        <v>5</v>
      </c>
      <c r="AZ27" s="427">
        <f t="shared" si="106"/>
        <v>45413</v>
      </c>
      <c r="BA27" s="436">
        <f t="shared" si="122"/>
        <v>0</v>
      </c>
      <c r="BB27" s="437">
        <f t="shared" si="123"/>
        <v>0</v>
      </c>
      <c r="BC27" s="437">
        <f t="shared" si="124"/>
        <v>0</v>
      </c>
      <c r="BD27" s="437">
        <f t="shared" si="125"/>
        <v>0</v>
      </c>
      <c r="BE27" s="437">
        <f t="shared" si="126"/>
        <v>0</v>
      </c>
      <c r="BF27" s="437">
        <f t="shared" si="127"/>
        <v>0</v>
      </c>
      <c r="BG27" s="437">
        <f t="shared" si="128"/>
        <v>0</v>
      </c>
      <c r="BH27" s="438">
        <f t="shared" si="129"/>
        <v>0</v>
      </c>
      <c r="BI27" s="439">
        <f t="shared" si="130"/>
        <v>0</v>
      </c>
      <c r="BK27" s="436">
        <f t="shared" si="131"/>
        <v>0</v>
      </c>
      <c r="BL27" s="437">
        <f t="shared" si="132"/>
        <v>0</v>
      </c>
      <c r="BM27" s="437">
        <f t="shared" si="133"/>
        <v>0</v>
      </c>
      <c r="BN27" s="437">
        <f t="shared" si="134"/>
        <v>0</v>
      </c>
      <c r="BO27" s="437">
        <f t="shared" si="135"/>
        <v>0</v>
      </c>
      <c r="BP27" s="437">
        <f t="shared" si="136"/>
        <v>0</v>
      </c>
      <c r="BQ27" s="437">
        <f t="shared" si="137"/>
        <v>0</v>
      </c>
      <c r="BR27" s="438">
        <f t="shared" si="138"/>
        <v>0</v>
      </c>
      <c r="BS27" s="439">
        <f t="shared" si="109"/>
        <v>0</v>
      </c>
      <c r="BU27" s="439">
        <f t="shared" si="139"/>
        <v>0</v>
      </c>
      <c r="BX27" s="490">
        <v>5</v>
      </c>
      <c r="BY27" s="491">
        <f>'GASTOS EJER. 1'!BN41</f>
        <v>0</v>
      </c>
      <c r="BZ27" s="492">
        <f>'GASTOS EJER. 1'!CM41</f>
        <v>0</v>
      </c>
      <c r="CA27" s="493">
        <f t="shared" si="140"/>
        <v>0</v>
      </c>
      <c r="CC27" s="494">
        <f>'GASTOS EJER. 1'!AW41+'GASTOS EJER. 1'!BM41-'GASTOS EJER. 1'!CM41-'GASTOS EJER. 1'!CP41</f>
        <v>0</v>
      </c>
      <c r="CD27" s="495" t="str">
        <f>IF('GASTOS EJER. 1'!CT41="","",'GASTOS EJER. 1'!CT41)</f>
        <v/>
      </c>
      <c r="CE27" s="492">
        <f>'GASTOS EJER. 1'!CP41</f>
        <v>0</v>
      </c>
      <c r="CF27" s="496" t="str">
        <f>IF('GASTOS EJER. 1'!CW41="","",'GASTOS EJER. 1'!CW41)</f>
        <v/>
      </c>
      <c r="CG27" s="497">
        <f>IF(AND(CD27&gt;=EXPEDIENTE!$I$25,CD27&lt;=EXPEDIENTE!$I$29),CC27,0)</f>
        <v>0</v>
      </c>
      <c r="CH27" s="426">
        <f>IF(AND(CF27&gt;=EXPEDIENTE!$I$25,CF27&lt;=EXPEDIENTE!$I$29),CE27,0)</f>
        <v>0</v>
      </c>
      <c r="CI27" s="493">
        <f t="shared" si="141"/>
        <v>0</v>
      </c>
      <c r="CJ27" s="498" t="str">
        <f>IF('GASTOS EJER. 1'!AQ41="","",'GASTOS EJER. 1'!AQ41)</f>
        <v/>
      </c>
      <c r="CK27" s="499" t="str">
        <f>IF('GASTOS EJER. 1'!AT41="","",'GASTOS EJER. 1'!AT41)</f>
        <v/>
      </c>
      <c r="CL27" s="500">
        <f t="shared" si="142"/>
        <v>0</v>
      </c>
      <c r="CM27" s="501">
        <f t="shared" si="110"/>
        <v>0</v>
      </c>
      <c r="CN27" s="442">
        <f t="shared" si="143"/>
        <v>0</v>
      </c>
      <c r="CP27" s="426">
        <v>5</v>
      </c>
      <c r="CQ27" s="427">
        <f t="shared" si="111"/>
        <v>45413</v>
      </c>
      <c r="CR27" s="440">
        <f t="shared" si="144"/>
        <v>0</v>
      </c>
      <c r="CS27" s="426">
        <f t="shared" si="145"/>
        <v>0</v>
      </c>
      <c r="CT27" s="426">
        <f t="shared" si="146"/>
        <v>0</v>
      </c>
      <c r="CU27" s="426">
        <f t="shared" si="147"/>
        <v>0</v>
      </c>
      <c r="CV27" s="426">
        <f t="shared" si="148"/>
        <v>0</v>
      </c>
      <c r="CW27" s="426">
        <f t="shared" si="149"/>
        <v>0</v>
      </c>
      <c r="CX27" s="426">
        <f t="shared" si="150"/>
        <v>0</v>
      </c>
      <c r="CY27" s="441">
        <f t="shared" si="151"/>
        <v>0</v>
      </c>
      <c r="CZ27" s="439">
        <f t="shared" si="152"/>
        <v>0</v>
      </c>
      <c r="DB27" s="440">
        <f t="shared" si="153"/>
        <v>0</v>
      </c>
      <c r="DC27" s="426">
        <f t="shared" si="154"/>
        <v>0</v>
      </c>
      <c r="DD27" s="426">
        <f t="shared" si="155"/>
        <v>0</v>
      </c>
      <c r="DE27" s="426">
        <f t="shared" si="156"/>
        <v>0</v>
      </c>
      <c r="DF27" s="426">
        <f t="shared" si="157"/>
        <v>0</v>
      </c>
      <c r="DG27" s="426">
        <f t="shared" si="158"/>
        <v>0</v>
      </c>
      <c r="DH27" s="426">
        <f t="shared" si="159"/>
        <v>0</v>
      </c>
      <c r="DI27" s="441">
        <f t="shared" si="160"/>
        <v>0</v>
      </c>
      <c r="DJ27" s="439">
        <f t="shared" si="112"/>
        <v>0</v>
      </c>
      <c r="DL27" s="439">
        <f t="shared" si="161"/>
        <v>0</v>
      </c>
      <c r="DN27" s="490">
        <v>5</v>
      </c>
      <c r="DO27" s="502">
        <f>'GASTOS EJER. 1'!$C41</f>
        <v>0</v>
      </c>
      <c r="DP27" s="499" t="str">
        <f t="shared" si="162"/>
        <v/>
      </c>
      <c r="DQ27" s="499" t="str">
        <f t="shared" si="163"/>
        <v/>
      </c>
      <c r="DR27" s="389">
        <f t="shared" si="164"/>
        <v>0</v>
      </c>
      <c r="DS27" s="503">
        <f>'GASTOS EJER. 1'!X41</f>
        <v>0</v>
      </c>
      <c r="DT27" s="495" t="str">
        <f>IF(DS27=0,"",'GASTOS EJER. 1'!AA41)</f>
        <v/>
      </c>
      <c r="DU27" s="495" t="str">
        <f t="shared" si="114"/>
        <v/>
      </c>
      <c r="DV27" s="493" t="e">
        <f>IF(AND(DU27&gt;=EXPEDIENTE!$F$25,DU27&lt;=EXPEDIENTE!$F$29),ROUNDDOWN(DS27/DR27,2),0)</f>
        <v>#DIV/0!</v>
      </c>
      <c r="DX27" s="389">
        <v>8</v>
      </c>
      <c r="DY27" s="433">
        <f t="shared" si="101"/>
        <v>45505</v>
      </c>
      <c r="DZ27" s="433">
        <f t="shared" si="102"/>
        <v>45535</v>
      </c>
      <c r="EA27" s="389" t="str">
        <f>IF(AND(DZ27&gt;=EXPEDIENTE!$F$25,DY27&lt;=EXPEDIENTE!$F$29),"SI","NO")</f>
        <v>SI</v>
      </c>
      <c r="EB27" s="426">
        <f t="shared" si="12"/>
        <v>0</v>
      </c>
      <c r="EC27" s="426">
        <f t="shared" si="13"/>
        <v>0</v>
      </c>
      <c r="ED27" s="426">
        <f t="shared" si="14"/>
        <v>0</v>
      </c>
      <c r="EE27" s="426">
        <f t="shared" si="15"/>
        <v>0</v>
      </c>
      <c r="EF27" s="426">
        <f t="shared" si="16"/>
        <v>0</v>
      </c>
      <c r="EG27" s="426">
        <f t="shared" si="17"/>
        <v>0</v>
      </c>
      <c r="EH27" s="426">
        <f t="shared" si="18"/>
        <v>0</v>
      </c>
      <c r="EI27" s="426">
        <f t="shared" si="19"/>
        <v>0</v>
      </c>
      <c r="EJ27" s="426">
        <f t="shared" si="20"/>
        <v>0</v>
      </c>
      <c r="EK27" s="426">
        <f t="shared" si="21"/>
        <v>0</v>
      </c>
      <c r="EL27" s="426">
        <f t="shared" si="22"/>
        <v>0</v>
      </c>
      <c r="EM27" s="426">
        <f t="shared" si="23"/>
        <v>0</v>
      </c>
      <c r="EN27" s="426">
        <f t="shared" si="24"/>
        <v>0</v>
      </c>
      <c r="EO27" s="426">
        <f t="shared" si="25"/>
        <v>0</v>
      </c>
      <c r="EP27" s="426">
        <f t="shared" si="26"/>
        <v>0</v>
      </c>
      <c r="EQ27" s="426">
        <f t="shared" si="27"/>
        <v>0</v>
      </c>
      <c r="ER27" s="426">
        <f t="shared" si="28"/>
        <v>0</v>
      </c>
      <c r="ES27" s="426">
        <f t="shared" si="29"/>
        <v>0</v>
      </c>
      <c r="ET27" s="426">
        <f t="shared" si="30"/>
        <v>0</v>
      </c>
      <c r="EU27" s="426">
        <f t="shared" si="31"/>
        <v>0</v>
      </c>
      <c r="EV27" s="426">
        <f t="shared" si="32"/>
        <v>0</v>
      </c>
      <c r="EW27" s="426">
        <f t="shared" si="33"/>
        <v>0</v>
      </c>
      <c r="EX27" s="426">
        <f t="shared" si="34"/>
        <v>0</v>
      </c>
      <c r="EY27" s="426">
        <f t="shared" si="35"/>
        <v>0</v>
      </c>
      <c r="EZ27" s="426">
        <f t="shared" si="36"/>
        <v>0</v>
      </c>
      <c r="FA27" s="426">
        <f t="shared" si="37"/>
        <v>0</v>
      </c>
      <c r="FB27" s="426">
        <f t="shared" si="38"/>
        <v>0</v>
      </c>
      <c r="FC27" s="426">
        <f t="shared" si="39"/>
        <v>0</v>
      </c>
      <c r="FD27" s="426">
        <f t="shared" si="40"/>
        <v>0</v>
      </c>
      <c r="FE27" s="426">
        <f t="shared" si="41"/>
        <v>0</v>
      </c>
      <c r="FF27" s="426">
        <f t="shared" si="42"/>
        <v>0</v>
      </c>
      <c r="FG27" s="426">
        <f t="shared" si="43"/>
        <v>0</v>
      </c>
      <c r="FH27" s="426">
        <f t="shared" si="66"/>
        <v>0</v>
      </c>
      <c r="FJ27" s="121">
        <v>5</v>
      </c>
      <c r="FK27" s="495">
        <f>DATE(YEAR(EXPEDIENTE!$F$25),FJ27,1)</f>
        <v>45413</v>
      </c>
      <c r="FL27" s="495" t="str">
        <f>IF('GASTOS EJER. 1'!I53="","",'GASTOS EJER. 1'!I53)</f>
        <v/>
      </c>
      <c r="FM27" s="503">
        <f>'GASTOS EJER. 1'!X24</f>
        <v>0</v>
      </c>
      <c r="FN27" s="503">
        <f>'GASTOS EJER. 1'!H53</f>
        <v>0</v>
      </c>
      <c r="FO27" s="426">
        <f t="shared" si="165"/>
        <v>0</v>
      </c>
      <c r="FP27" s="503">
        <f t="shared" si="115"/>
        <v>0</v>
      </c>
      <c r="FR27" s="490">
        <v>5</v>
      </c>
      <c r="FS27" s="502">
        <f>'GASTOS EJER. 1'!$C41</f>
        <v>0</v>
      </c>
      <c r="FT27" s="499" t="str">
        <f t="shared" si="166"/>
        <v/>
      </c>
      <c r="FU27" s="499" t="str">
        <f t="shared" si="167"/>
        <v/>
      </c>
      <c r="FV27" s="389">
        <f t="shared" si="168"/>
        <v>0</v>
      </c>
      <c r="FW27" s="503">
        <f>'GASTOS EJER. 1'!CM41</f>
        <v>0</v>
      </c>
      <c r="FX27" s="495" t="str">
        <f>IF(FW27=0,"",'GASTOS EJER. 1'!CT41)</f>
        <v/>
      </c>
      <c r="FY27" s="495" t="str">
        <f t="shared" si="116"/>
        <v/>
      </c>
      <c r="FZ27" s="493" t="e">
        <f>IF(AND(FY27&gt;=EXPEDIENTE!$F$25,FY27&lt;=EXPEDIENTE!$F$29),ROUNDDOWN(FW27/FV27,2),0)</f>
        <v>#DIV/0!</v>
      </c>
      <c r="GB27" s="389">
        <v>8</v>
      </c>
      <c r="GC27" s="433">
        <f t="shared" si="103"/>
        <v>45505</v>
      </c>
      <c r="GD27" s="433">
        <f t="shared" si="104"/>
        <v>45535</v>
      </c>
      <c r="GE27" s="389" t="str">
        <f>IF(AND(GD27&gt;=EXPEDIENTE!$F$25,GC27&lt;=EXPEDIENTE!$F$29),"SI","NO")</f>
        <v>SI</v>
      </c>
      <c r="GF27" s="426">
        <f t="shared" si="67"/>
        <v>0</v>
      </c>
      <c r="GG27" s="426">
        <f t="shared" si="68"/>
        <v>0</v>
      </c>
      <c r="GH27" s="426">
        <f t="shared" si="69"/>
        <v>0</v>
      </c>
      <c r="GI27" s="426">
        <f t="shared" si="70"/>
        <v>0</v>
      </c>
      <c r="GJ27" s="426">
        <f t="shared" si="71"/>
        <v>0</v>
      </c>
      <c r="GK27" s="426">
        <f t="shared" si="72"/>
        <v>0</v>
      </c>
      <c r="GL27" s="426">
        <f t="shared" si="73"/>
        <v>0</v>
      </c>
      <c r="GM27" s="426">
        <f t="shared" si="74"/>
        <v>0</v>
      </c>
      <c r="GN27" s="426">
        <f t="shared" si="75"/>
        <v>0</v>
      </c>
      <c r="GO27" s="426">
        <f t="shared" si="76"/>
        <v>0</v>
      </c>
      <c r="GP27" s="426">
        <f t="shared" si="77"/>
        <v>0</v>
      </c>
      <c r="GQ27" s="426">
        <f t="shared" si="78"/>
        <v>0</v>
      </c>
      <c r="GR27" s="426">
        <f t="shared" si="79"/>
        <v>0</v>
      </c>
      <c r="GS27" s="426">
        <f t="shared" si="80"/>
        <v>0</v>
      </c>
      <c r="GT27" s="426">
        <f t="shared" si="81"/>
        <v>0</v>
      </c>
      <c r="GU27" s="426">
        <f t="shared" si="82"/>
        <v>0</v>
      </c>
      <c r="GV27" s="426">
        <f t="shared" si="83"/>
        <v>0</v>
      </c>
      <c r="GW27" s="426">
        <f t="shared" si="84"/>
        <v>0</v>
      </c>
      <c r="GX27" s="426">
        <f t="shared" si="85"/>
        <v>0</v>
      </c>
      <c r="GY27" s="426">
        <f t="shared" si="86"/>
        <v>0</v>
      </c>
      <c r="GZ27" s="426">
        <f t="shared" si="87"/>
        <v>0</v>
      </c>
      <c r="HA27" s="426">
        <f t="shared" si="88"/>
        <v>0</v>
      </c>
      <c r="HB27" s="426">
        <f t="shared" si="89"/>
        <v>0</v>
      </c>
      <c r="HC27" s="426">
        <f t="shared" si="90"/>
        <v>0</v>
      </c>
      <c r="HD27" s="426">
        <f t="shared" si="91"/>
        <v>0</v>
      </c>
      <c r="HE27" s="426">
        <f t="shared" si="92"/>
        <v>0</v>
      </c>
      <c r="HF27" s="426">
        <f t="shared" si="93"/>
        <v>0</v>
      </c>
      <c r="HG27" s="426">
        <f t="shared" si="94"/>
        <v>0</v>
      </c>
      <c r="HH27" s="426">
        <f t="shared" si="95"/>
        <v>0</v>
      </c>
      <c r="HI27" s="426">
        <f t="shared" si="96"/>
        <v>0</v>
      </c>
      <c r="HJ27" s="426">
        <f t="shared" si="97"/>
        <v>0</v>
      </c>
      <c r="HK27" s="426">
        <f t="shared" si="98"/>
        <v>0</v>
      </c>
      <c r="HL27" s="426">
        <f t="shared" si="99"/>
        <v>0</v>
      </c>
      <c r="HO27" s="121">
        <v>5</v>
      </c>
      <c r="HP27" s="495">
        <f>DATE(YEAR(EXPEDIENTE!$F$25),HO27,1)</f>
        <v>45413</v>
      </c>
      <c r="HQ27" s="495" t="str">
        <f>IF('GASTOS EJER. 1'!BF53="","",'GASTOS EJER. 1'!BF53)</f>
        <v/>
      </c>
      <c r="HR27" s="503">
        <f>'GASTOS EJER. 1'!CM24</f>
        <v>0</v>
      </c>
      <c r="HS27" s="503">
        <f>'GASTOS EJER. 1'!BA53</f>
        <v>0</v>
      </c>
      <c r="HT27" s="426">
        <f t="shared" si="169"/>
        <v>0</v>
      </c>
      <c r="HU27" s="503">
        <f t="shared" si="117"/>
        <v>0</v>
      </c>
      <c r="JC27" s="419">
        <v>23</v>
      </c>
      <c r="JD27" s="401">
        <f t="shared" si="100"/>
        <v>8</v>
      </c>
    </row>
    <row r="28" spans="3:264" x14ac:dyDescent="0.25">
      <c r="C28" s="209">
        <v>22</v>
      </c>
      <c r="D28" s="404"/>
      <c r="E28" s="420"/>
      <c r="F28" s="421"/>
      <c r="G28" s="422"/>
      <c r="H28" s="422"/>
      <c r="I28" s="422"/>
      <c r="J28" s="404"/>
      <c r="K28" s="410">
        <f t="shared" si="52"/>
        <v>76</v>
      </c>
      <c r="L28" s="410">
        <f t="shared" si="53"/>
        <v>76</v>
      </c>
      <c r="M28" s="410" t="str">
        <f t="shared" si="54"/>
        <v>X</v>
      </c>
      <c r="V28" s="982" t="s">
        <v>264</v>
      </c>
      <c r="W28" s="413" t="s">
        <v>265</v>
      </c>
      <c r="Y28" s="425">
        <f t="shared" si="0"/>
        <v>23</v>
      </c>
      <c r="Z28" s="415" t="str">
        <f>IF(Y28="","",IF(EDATE($Z$5,Y28)&gt;EXPEDIENTE!$F$27,"",EDATE($Z$5,Y28)))</f>
        <v/>
      </c>
      <c r="AA28" s="415" t="str">
        <f>IF(Z28="","",IF(YEAR(EXPEDIENTE!$F$25)=YEAR(Z28),Z28,""))</f>
        <v/>
      </c>
      <c r="AB28" s="415" t="str">
        <f>IF(Z28="","",IF(YEAR(EXPEDIENTE!$F$25)+1=YEAR(Z28),Z28,""))</f>
        <v/>
      </c>
      <c r="AC28" s="415" t="str">
        <f>IF(Z28="","",IF(YEAR(EXPEDIENTE!$F$25)+2=YEAR(Z28),Z28,""))</f>
        <v/>
      </c>
      <c r="AD28" s="415" t="str">
        <f>IF(Z28="","",IF(YEAR(EXPEDIENTE!$F$25)+3=YEAR(Z28),Z28,""))</f>
        <v/>
      </c>
      <c r="AG28" s="490">
        <v>6</v>
      </c>
      <c r="AH28" s="491">
        <f>'GASTOS EJER. 1'!M42</f>
        <v>0</v>
      </c>
      <c r="AI28" s="492">
        <f>'GASTOS EJER. 1'!X42</f>
        <v>0</v>
      </c>
      <c r="AJ28" s="493">
        <f t="shared" si="118"/>
        <v>0</v>
      </c>
      <c r="AL28" s="494">
        <f>'GASTOS EJER. 1'!F42+'GASTOS EJER. 1'!L42-'GASTOS EJER. 1'!X42-'GASTOS EJER. 1'!Y42</f>
        <v>0</v>
      </c>
      <c r="AM28" s="495" t="str">
        <f>IF('GASTOS EJER. 1'!AA42="","",'GASTOS EJER. 1'!AA42)</f>
        <v/>
      </c>
      <c r="AN28" s="492">
        <f>'GASTOS EJER. 1'!Y42</f>
        <v>0</v>
      </c>
      <c r="AO28" s="496" t="str">
        <f>IF('GASTOS EJER. 1'!AB42="","",'GASTOS EJER. 1'!AB42)</f>
        <v/>
      </c>
      <c r="AP28" s="497">
        <f>IF(AND(AM28&gt;=EXPEDIENTE!$I$25,AM28&lt;=EXPEDIENTE!$I$29),AL28,0)</f>
        <v>0</v>
      </c>
      <c r="AQ28" s="426">
        <f>IF(AND(AO28&gt;=EXPEDIENTE!$I$25,AO28&lt;=EXPEDIENTE!$I$29),AN28,0)</f>
        <v>0</v>
      </c>
      <c r="AR28" s="493">
        <f t="shared" si="119"/>
        <v>0</v>
      </c>
      <c r="AS28" s="498" t="str">
        <f>IF('GASTOS EJER. 1'!D42="","",'GASTOS EJER. 1'!D42)</f>
        <v/>
      </c>
      <c r="AT28" s="499" t="str">
        <f>IF('GASTOS EJER. 1'!E42="","",'GASTOS EJER. 1'!E42)</f>
        <v/>
      </c>
      <c r="AU28" s="500">
        <f t="shared" si="120"/>
        <v>0</v>
      </c>
      <c r="AV28" s="501">
        <f t="shared" si="105"/>
        <v>0</v>
      </c>
      <c r="AW28" s="442">
        <f t="shared" si="121"/>
        <v>0</v>
      </c>
      <c r="AY28" s="426">
        <v>6</v>
      </c>
      <c r="AZ28" s="427">
        <f t="shared" si="106"/>
        <v>45444</v>
      </c>
      <c r="BA28" s="436">
        <f t="shared" si="122"/>
        <v>0</v>
      </c>
      <c r="BB28" s="437">
        <f t="shared" si="123"/>
        <v>0</v>
      </c>
      <c r="BC28" s="437">
        <f t="shared" si="124"/>
        <v>0</v>
      </c>
      <c r="BD28" s="437">
        <f t="shared" si="125"/>
        <v>0</v>
      </c>
      <c r="BE28" s="437">
        <f t="shared" si="126"/>
        <v>0</v>
      </c>
      <c r="BF28" s="437">
        <f t="shared" si="127"/>
        <v>0</v>
      </c>
      <c r="BG28" s="437">
        <f t="shared" si="128"/>
        <v>0</v>
      </c>
      <c r="BH28" s="438">
        <f t="shared" si="129"/>
        <v>0</v>
      </c>
      <c r="BI28" s="439">
        <f t="shared" si="130"/>
        <v>0</v>
      </c>
      <c r="BK28" s="436">
        <f t="shared" si="131"/>
        <v>0</v>
      </c>
      <c r="BL28" s="437">
        <f t="shared" si="132"/>
        <v>0</v>
      </c>
      <c r="BM28" s="437">
        <f t="shared" si="133"/>
        <v>0</v>
      </c>
      <c r="BN28" s="437">
        <f t="shared" si="134"/>
        <v>0</v>
      </c>
      <c r="BO28" s="437">
        <f t="shared" si="135"/>
        <v>0</v>
      </c>
      <c r="BP28" s="437">
        <f t="shared" si="136"/>
        <v>0</v>
      </c>
      <c r="BQ28" s="437">
        <f t="shared" si="137"/>
        <v>0</v>
      </c>
      <c r="BR28" s="438">
        <f t="shared" si="138"/>
        <v>0</v>
      </c>
      <c r="BS28" s="439">
        <f t="shared" si="109"/>
        <v>0</v>
      </c>
      <c r="BU28" s="439">
        <f t="shared" si="139"/>
        <v>0</v>
      </c>
      <c r="BX28" s="490">
        <v>6</v>
      </c>
      <c r="BY28" s="491">
        <f>'GASTOS EJER. 1'!BN42</f>
        <v>0</v>
      </c>
      <c r="BZ28" s="492">
        <f>'GASTOS EJER. 1'!CM42</f>
        <v>0</v>
      </c>
      <c r="CA28" s="493">
        <f t="shared" si="140"/>
        <v>0</v>
      </c>
      <c r="CC28" s="494">
        <f>'GASTOS EJER. 1'!AW42+'GASTOS EJER. 1'!BM42-'GASTOS EJER. 1'!CM42-'GASTOS EJER. 1'!CP42</f>
        <v>0</v>
      </c>
      <c r="CD28" s="495" t="str">
        <f>IF('GASTOS EJER. 1'!CT42="","",'GASTOS EJER. 1'!CT42)</f>
        <v/>
      </c>
      <c r="CE28" s="492">
        <f>'GASTOS EJER. 1'!CP42</f>
        <v>0</v>
      </c>
      <c r="CF28" s="496" t="str">
        <f>IF('GASTOS EJER. 1'!CW42="","",'GASTOS EJER. 1'!CW42)</f>
        <v/>
      </c>
      <c r="CG28" s="497">
        <f>IF(AND(CD28&gt;=EXPEDIENTE!$I$25,CD28&lt;=EXPEDIENTE!$I$29),CC28,0)</f>
        <v>0</v>
      </c>
      <c r="CH28" s="426">
        <f>IF(AND(CF28&gt;=EXPEDIENTE!$I$25,CF28&lt;=EXPEDIENTE!$I$29),CE28,0)</f>
        <v>0</v>
      </c>
      <c r="CI28" s="493">
        <f t="shared" si="141"/>
        <v>0</v>
      </c>
      <c r="CJ28" s="498" t="str">
        <f>IF('GASTOS EJER. 1'!AQ42="","",'GASTOS EJER. 1'!AQ42)</f>
        <v/>
      </c>
      <c r="CK28" s="499" t="str">
        <f>IF('GASTOS EJER. 1'!AT42="","",'GASTOS EJER. 1'!AT42)</f>
        <v/>
      </c>
      <c r="CL28" s="500">
        <f t="shared" si="142"/>
        <v>0</v>
      </c>
      <c r="CM28" s="501">
        <f t="shared" si="110"/>
        <v>0</v>
      </c>
      <c r="CN28" s="442">
        <f t="shared" si="143"/>
        <v>0</v>
      </c>
      <c r="CP28" s="426">
        <v>6</v>
      </c>
      <c r="CQ28" s="427">
        <f t="shared" si="111"/>
        <v>45444</v>
      </c>
      <c r="CR28" s="440">
        <f t="shared" si="144"/>
        <v>0</v>
      </c>
      <c r="CS28" s="426">
        <f t="shared" si="145"/>
        <v>0</v>
      </c>
      <c r="CT28" s="426">
        <f t="shared" si="146"/>
        <v>0</v>
      </c>
      <c r="CU28" s="426">
        <f t="shared" si="147"/>
        <v>0</v>
      </c>
      <c r="CV28" s="426">
        <f t="shared" si="148"/>
        <v>0</v>
      </c>
      <c r="CW28" s="426">
        <f t="shared" si="149"/>
        <v>0</v>
      </c>
      <c r="CX28" s="426">
        <f t="shared" si="150"/>
        <v>0</v>
      </c>
      <c r="CY28" s="441">
        <f t="shared" si="151"/>
        <v>0</v>
      </c>
      <c r="CZ28" s="439">
        <f t="shared" si="152"/>
        <v>0</v>
      </c>
      <c r="DB28" s="440">
        <f t="shared" si="153"/>
        <v>0</v>
      </c>
      <c r="DC28" s="426">
        <f t="shared" si="154"/>
        <v>0</v>
      </c>
      <c r="DD28" s="426">
        <f t="shared" si="155"/>
        <v>0</v>
      </c>
      <c r="DE28" s="426">
        <f t="shared" si="156"/>
        <v>0</v>
      </c>
      <c r="DF28" s="426">
        <f t="shared" si="157"/>
        <v>0</v>
      </c>
      <c r="DG28" s="426">
        <f t="shared" si="158"/>
        <v>0</v>
      </c>
      <c r="DH28" s="426">
        <f t="shared" si="159"/>
        <v>0</v>
      </c>
      <c r="DI28" s="441">
        <f t="shared" si="160"/>
        <v>0</v>
      </c>
      <c r="DJ28" s="439">
        <f t="shared" si="112"/>
        <v>0</v>
      </c>
      <c r="DL28" s="439">
        <f t="shared" si="161"/>
        <v>0</v>
      </c>
      <c r="DN28" s="490">
        <v>6</v>
      </c>
      <c r="DO28" s="502">
        <f>'GASTOS EJER. 1'!$C42</f>
        <v>0</v>
      </c>
      <c r="DP28" s="499" t="str">
        <f t="shared" si="162"/>
        <v/>
      </c>
      <c r="DQ28" s="499" t="str">
        <f t="shared" si="163"/>
        <v/>
      </c>
      <c r="DR28" s="389">
        <f t="shared" si="164"/>
        <v>0</v>
      </c>
      <c r="DS28" s="503">
        <f>'GASTOS EJER. 1'!X42</f>
        <v>0</v>
      </c>
      <c r="DT28" s="495" t="str">
        <f>IF(DS28=0,"",'GASTOS EJER. 1'!AA42)</f>
        <v/>
      </c>
      <c r="DU28" s="495" t="str">
        <f t="shared" si="114"/>
        <v/>
      </c>
      <c r="DV28" s="493" t="e">
        <f>IF(AND(DU28&gt;=EXPEDIENTE!$F$25,DU28&lt;=EXPEDIENTE!$F$29),ROUNDDOWN(DS28/DR28,2),0)</f>
        <v>#DIV/0!</v>
      </c>
      <c r="DX28" s="389">
        <v>9</v>
      </c>
      <c r="DY28" s="433">
        <f t="shared" si="101"/>
        <v>45536</v>
      </c>
      <c r="DZ28" s="433">
        <f t="shared" si="102"/>
        <v>45565</v>
      </c>
      <c r="EA28" s="389" t="str">
        <f>IF(AND(DZ28&gt;=EXPEDIENTE!$F$25,DY28&lt;=EXPEDIENTE!$F$29),"SI","NO")</f>
        <v>SI</v>
      </c>
      <c r="EB28" s="426">
        <f t="shared" si="12"/>
        <v>0</v>
      </c>
      <c r="EC28" s="426">
        <f t="shared" si="13"/>
        <v>0</v>
      </c>
      <c r="ED28" s="426">
        <f t="shared" si="14"/>
        <v>0</v>
      </c>
      <c r="EE28" s="426">
        <f t="shared" si="15"/>
        <v>0</v>
      </c>
      <c r="EF28" s="426">
        <f t="shared" si="16"/>
        <v>0</v>
      </c>
      <c r="EG28" s="426">
        <f t="shared" si="17"/>
        <v>0</v>
      </c>
      <c r="EH28" s="426">
        <f t="shared" si="18"/>
        <v>0</v>
      </c>
      <c r="EI28" s="426">
        <f t="shared" si="19"/>
        <v>0</v>
      </c>
      <c r="EJ28" s="426">
        <f t="shared" si="20"/>
        <v>0</v>
      </c>
      <c r="EK28" s="426">
        <f t="shared" si="21"/>
        <v>0</v>
      </c>
      <c r="EL28" s="426">
        <f t="shared" si="22"/>
        <v>0</v>
      </c>
      <c r="EM28" s="426">
        <f t="shared" si="23"/>
        <v>0</v>
      </c>
      <c r="EN28" s="426">
        <f t="shared" si="24"/>
        <v>0</v>
      </c>
      <c r="EO28" s="426">
        <f t="shared" si="25"/>
        <v>0</v>
      </c>
      <c r="EP28" s="426">
        <f t="shared" si="26"/>
        <v>0</v>
      </c>
      <c r="EQ28" s="426">
        <f t="shared" si="27"/>
        <v>0</v>
      </c>
      <c r="ER28" s="426">
        <f t="shared" si="28"/>
        <v>0</v>
      </c>
      <c r="ES28" s="426">
        <f t="shared" si="29"/>
        <v>0</v>
      </c>
      <c r="ET28" s="426">
        <f t="shared" si="30"/>
        <v>0</v>
      </c>
      <c r="EU28" s="426">
        <f t="shared" si="31"/>
        <v>0</v>
      </c>
      <c r="EV28" s="426">
        <f t="shared" si="32"/>
        <v>0</v>
      </c>
      <c r="EW28" s="426">
        <f t="shared" si="33"/>
        <v>0</v>
      </c>
      <c r="EX28" s="426">
        <f t="shared" si="34"/>
        <v>0</v>
      </c>
      <c r="EY28" s="426">
        <f t="shared" si="35"/>
        <v>0</v>
      </c>
      <c r="EZ28" s="426">
        <f t="shared" si="36"/>
        <v>0</v>
      </c>
      <c r="FA28" s="426">
        <f t="shared" si="37"/>
        <v>0</v>
      </c>
      <c r="FB28" s="426">
        <f t="shared" si="38"/>
        <v>0</v>
      </c>
      <c r="FC28" s="426">
        <f t="shared" si="39"/>
        <v>0</v>
      </c>
      <c r="FD28" s="426">
        <f t="shared" si="40"/>
        <v>0</v>
      </c>
      <c r="FE28" s="426">
        <f t="shared" si="41"/>
        <v>0</v>
      </c>
      <c r="FF28" s="426">
        <f t="shared" si="42"/>
        <v>0</v>
      </c>
      <c r="FG28" s="426">
        <f t="shared" si="43"/>
        <v>0</v>
      </c>
      <c r="FH28" s="426">
        <f t="shared" si="66"/>
        <v>0</v>
      </c>
      <c r="FJ28" s="121">
        <v>6</v>
      </c>
      <c r="FK28" s="495">
        <f>DATE(YEAR(EXPEDIENTE!$F$25),FJ28,1)</f>
        <v>45444</v>
      </c>
      <c r="FL28" s="495" t="str">
        <f>IF('GASTOS EJER. 1'!I54="","",'GASTOS EJER. 1'!I54)</f>
        <v/>
      </c>
      <c r="FM28" s="503">
        <f>'GASTOS EJER. 1'!X25</f>
        <v>0</v>
      </c>
      <c r="FN28" s="503">
        <f>'GASTOS EJER. 1'!H54</f>
        <v>0</v>
      </c>
      <c r="FO28" s="426">
        <f t="shared" si="165"/>
        <v>0</v>
      </c>
      <c r="FP28" s="503">
        <f t="shared" si="115"/>
        <v>0</v>
      </c>
      <c r="FR28" s="490">
        <v>6</v>
      </c>
      <c r="FS28" s="502">
        <f>'GASTOS EJER. 1'!$C42</f>
        <v>0</v>
      </c>
      <c r="FT28" s="499" t="str">
        <f t="shared" si="166"/>
        <v/>
      </c>
      <c r="FU28" s="499" t="str">
        <f t="shared" si="167"/>
        <v/>
      </c>
      <c r="FV28" s="389">
        <f t="shared" si="168"/>
        <v>0</v>
      </c>
      <c r="FW28" s="503">
        <f>'GASTOS EJER. 1'!CM42</f>
        <v>0</v>
      </c>
      <c r="FX28" s="495" t="str">
        <f>IF(FW28=0,"",'GASTOS EJER. 1'!CT42)</f>
        <v/>
      </c>
      <c r="FY28" s="495" t="str">
        <f t="shared" si="116"/>
        <v/>
      </c>
      <c r="FZ28" s="493" t="e">
        <f>IF(AND(FY28&gt;=EXPEDIENTE!$F$25,FY28&lt;=EXPEDIENTE!$F$29),ROUNDDOWN(FW28/FV28,2),0)</f>
        <v>#DIV/0!</v>
      </c>
      <c r="GB28" s="389">
        <v>9</v>
      </c>
      <c r="GC28" s="433">
        <f t="shared" si="103"/>
        <v>45536</v>
      </c>
      <c r="GD28" s="433">
        <f t="shared" si="104"/>
        <v>45565</v>
      </c>
      <c r="GE28" s="389" t="str">
        <f>IF(AND(GD28&gt;=EXPEDIENTE!$F$25,GC28&lt;=EXPEDIENTE!$F$29),"SI","NO")</f>
        <v>SI</v>
      </c>
      <c r="GF28" s="426">
        <f t="shared" si="67"/>
        <v>0</v>
      </c>
      <c r="GG28" s="426">
        <f t="shared" si="68"/>
        <v>0</v>
      </c>
      <c r="GH28" s="426">
        <f t="shared" si="69"/>
        <v>0</v>
      </c>
      <c r="GI28" s="426">
        <f t="shared" si="70"/>
        <v>0</v>
      </c>
      <c r="GJ28" s="426">
        <f t="shared" si="71"/>
        <v>0</v>
      </c>
      <c r="GK28" s="426">
        <f t="shared" si="72"/>
        <v>0</v>
      </c>
      <c r="GL28" s="426">
        <f t="shared" si="73"/>
        <v>0</v>
      </c>
      <c r="GM28" s="426">
        <f t="shared" si="74"/>
        <v>0</v>
      </c>
      <c r="GN28" s="426">
        <f t="shared" si="75"/>
        <v>0</v>
      </c>
      <c r="GO28" s="426">
        <f t="shared" si="76"/>
        <v>0</v>
      </c>
      <c r="GP28" s="426">
        <f t="shared" si="77"/>
        <v>0</v>
      </c>
      <c r="GQ28" s="426">
        <f t="shared" si="78"/>
        <v>0</v>
      </c>
      <c r="GR28" s="426">
        <f t="shared" si="79"/>
        <v>0</v>
      </c>
      <c r="GS28" s="426">
        <f t="shared" si="80"/>
        <v>0</v>
      </c>
      <c r="GT28" s="426">
        <f t="shared" si="81"/>
        <v>0</v>
      </c>
      <c r="GU28" s="426">
        <f t="shared" si="82"/>
        <v>0</v>
      </c>
      <c r="GV28" s="426">
        <f t="shared" si="83"/>
        <v>0</v>
      </c>
      <c r="GW28" s="426">
        <f t="shared" si="84"/>
        <v>0</v>
      </c>
      <c r="GX28" s="426">
        <f t="shared" si="85"/>
        <v>0</v>
      </c>
      <c r="GY28" s="426">
        <f t="shared" si="86"/>
        <v>0</v>
      </c>
      <c r="GZ28" s="426">
        <f t="shared" si="87"/>
        <v>0</v>
      </c>
      <c r="HA28" s="426">
        <f t="shared" si="88"/>
        <v>0</v>
      </c>
      <c r="HB28" s="426">
        <f t="shared" si="89"/>
        <v>0</v>
      </c>
      <c r="HC28" s="426">
        <f t="shared" si="90"/>
        <v>0</v>
      </c>
      <c r="HD28" s="426">
        <f t="shared" si="91"/>
        <v>0</v>
      </c>
      <c r="HE28" s="426">
        <f t="shared" si="92"/>
        <v>0</v>
      </c>
      <c r="HF28" s="426">
        <f t="shared" si="93"/>
        <v>0</v>
      </c>
      <c r="HG28" s="426">
        <f t="shared" si="94"/>
        <v>0</v>
      </c>
      <c r="HH28" s="426">
        <f t="shared" si="95"/>
        <v>0</v>
      </c>
      <c r="HI28" s="426">
        <f t="shared" si="96"/>
        <v>0</v>
      </c>
      <c r="HJ28" s="426">
        <f t="shared" si="97"/>
        <v>0</v>
      </c>
      <c r="HK28" s="426">
        <f t="shared" si="98"/>
        <v>0</v>
      </c>
      <c r="HL28" s="426">
        <f t="shared" si="99"/>
        <v>0</v>
      </c>
      <c r="HO28" s="121">
        <v>6</v>
      </c>
      <c r="HP28" s="495">
        <f>DATE(YEAR(EXPEDIENTE!$F$25),HO28,1)</f>
        <v>45444</v>
      </c>
      <c r="HQ28" s="495" t="str">
        <f>IF('GASTOS EJER. 1'!BF54="","",'GASTOS EJER. 1'!BF54)</f>
        <v/>
      </c>
      <c r="HR28" s="503">
        <f>'GASTOS EJER. 1'!CM25</f>
        <v>0</v>
      </c>
      <c r="HS28" s="503">
        <f>'GASTOS EJER. 1'!BA54</f>
        <v>0</v>
      </c>
      <c r="HT28" s="426">
        <f t="shared" si="169"/>
        <v>0</v>
      </c>
      <c r="HU28" s="503">
        <f t="shared" si="117"/>
        <v>0</v>
      </c>
      <c r="JC28" s="419">
        <v>24</v>
      </c>
      <c r="JD28" s="401">
        <f t="shared" si="100"/>
        <v>8</v>
      </c>
    </row>
    <row r="29" spans="3:264" x14ac:dyDescent="0.25">
      <c r="C29" s="209">
        <v>23</v>
      </c>
      <c r="D29" s="404"/>
      <c r="E29" s="420"/>
      <c r="F29" s="421"/>
      <c r="G29" s="422"/>
      <c r="H29" s="422"/>
      <c r="I29" s="422"/>
      <c r="J29" s="404"/>
      <c r="K29" s="410">
        <f t="shared" si="52"/>
        <v>76</v>
      </c>
      <c r="L29" s="410">
        <f t="shared" si="53"/>
        <v>76</v>
      </c>
      <c r="M29" s="410" t="str">
        <f t="shared" si="54"/>
        <v>X</v>
      </c>
      <c r="V29" s="982"/>
      <c r="W29" s="444" t="s">
        <v>266</v>
      </c>
      <c r="Y29" s="425">
        <f t="shared" si="0"/>
        <v>24</v>
      </c>
      <c r="Z29" s="415" t="str">
        <f>IF(Y29="","",IF(EDATE($Z$5,Y29)&gt;EXPEDIENTE!$F$27,"",EDATE($Z$5,Y29)))</f>
        <v/>
      </c>
      <c r="AA29" s="415" t="str">
        <f>IF(Z29="","",IF(YEAR(EXPEDIENTE!$F$25)=YEAR(Z29),Z29,""))</f>
        <v/>
      </c>
      <c r="AB29" s="415" t="str">
        <f>IF(Z29="","",IF(YEAR(EXPEDIENTE!$F$25)+1=YEAR(Z29),Z29,""))</f>
        <v/>
      </c>
      <c r="AC29" s="415" t="str">
        <f>IF(Z29="","",IF(YEAR(EXPEDIENTE!$F$25)+2=YEAR(Z29),Z29,""))</f>
        <v/>
      </c>
      <c r="AD29" s="415" t="str">
        <f>IF(Z29="","",IF(YEAR(EXPEDIENTE!$F$25)+3=YEAR(Z29),Z29,""))</f>
        <v/>
      </c>
      <c r="AG29" s="490">
        <v>7</v>
      </c>
      <c r="AH29" s="491">
        <f>'GASTOS EJER. 1'!M43</f>
        <v>0</v>
      </c>
      <c r="AI29" s="492">
        <f>'GASTOS EJER. 1'!X43</f>
        <v>0</v>
      </c>
      <c r="AJ29" s="493">
        <f t="shared" si="118"/>
        <v>0</v>
      </c>
      <c r="AL29" s="494">
        <f>'GASTOS EJER. 1'!F43+'GASTOS EJER. 1'!L43-'GASTOS EJER. 1'!X43-'GASTOS EJER. 1'!Y43</f>
        <v>0</v>
      </c>
      <c r="AM29" s="495" t="str">
        <f>IF('GASTOS EJER. 1'!AA43="","",'GASTOS EJER. 1'!AA43)</f>
        <v/>
      </c>
      <c r="AN29" s="492">
        <f>'GASTOS EJER. 1'!Y43</f>
        <v>0</v>
      </c>
      <c r="AO29" s="496" t="str">
        <f>IF('GASTOS EJER. 1'!AB43="","",'GASTOS EJER. 1'!AB43)</f>
        <v/>
      </c>
      <c r="AP29" s="497">
        <f>IF(AND(AM29&gt;=EXPEDIENTE!$I$25,AM29&lt;=EXPEDIENTE!$I$29),AL29,0)</f>
        <v>0</v>
      </c>
      <c r="AQ29" s="426">
        <f>IF(AND(AO29&gt;=EXPEDIENTE!$I$25,AO29&lt;=EXPEDIENTE!$I$29),AN29,0)</f>
        <v>0</v>
      </c>
      <c r="AR29" s="493">
        <f t="shared" si="119"/>
        <v>0</v>
      </c>
      <c r="AS29" s="498" t="str">
        <f>IF('GASTOS EJER. 1'!D43="","",'GASTOS EJER. 1'!D43)</f>
        <v/>
      </c>
      <c r="AT29" s="499" t="str">
        <f>IF('GASTOS EJER. 1'!E43="","",'GASTOS EJER. 1'!E43)</f>
        <v/>
      </c>
      <c r="AU29" s="500">
        <f t="shared" si="120"/>
        <v>0</v>
      </c>
      <c r="AV29" s="501">
        <f t="shared" si="105"/>
        <v>0</v>
      </c>
      <c r="AW29" s="442">
        <f t="shared" si="121"/>
        <v>0</v>
      </c>
      <c r="AY29" s="426">
        <v>7</v>
      </c>
      <c r="AZ29" s="427">
        <f t="shared" si="106"/>
        <v>45474</v>
      </c>
      <c r="BA29" s="436">
        <f t="shared" si="122"/>
        <v>0</v>
      </c>
      <c r="BB29" s="437">
        <f t="shared" si="123"/>
        <v>0</v>
      </c>
      <c r="BC29" s="437">
        <f t="shared" si="124"/>
        <v>0</v>
      </c>
      <c r="BD29" s="437">
        <f t="shared" si="125"/>
        <v>0</v>
      </c>
      <c r="BE29" s="437">
        <f t="shared" si="126"/>
        <v>0</v>
      </c>
      <c r="BF29" s="437">
        <f t="shared" si="127"/>
        <v>0</v>
      </c>
      <c r="BG29" s="437">
        <f t="shared" si="128"/>
        <v>0</v>
      </c>
      <c r="BH29" s="438">
        <f t="shared" si="129"/>
        <v>0</v>
      </c>
      <c r="BI29" s="439">
        <f t="shared" si="130"/>
        <v>0</v>
      </c>
      <c r="BK29" s="436">
        <f t="shared" si="131"/>
        <v>0</v>
      </c>
      <c r="BL29" s="437">
        <f t="shared" si="132"/>
        <v>0</v>
      </c>
      <c r="BM29" s="437">
        <f t="shared" si="133"/>
        <v>0</v>
      </c>
      <c r="BN29" s="437">
        <f t="shared" si="134"/>
        <v>0</v>
      </c>
      <c r="BO29" s="437">
        <f t="shared" si="135"/>
        <v>0</v>
      </c>
      <c r="BP29" s="437">
        <f t="shared" si="136"/>
        <v>0</v>
      </c>
      <c r="BQ29" s="437">
        <f t="shared" si="137"/>
        <v>0</v>
      </c>
      <c r="BR29" s="438">
        <f t="shared" si="138"/>
        <v>0</v>
      </c>
      <c r="BS29" s="439">
        <f t="shared" si="109"/>
        <v>0</v>
      </c>
      <c r="BU29" s="439">
        <f t="shared" si="139"/>
        <v>0</v>
      </c>
      <c r="BX29" s="490">
        <v>7</v>
      </c>
      <c r="BY29" s="491">
        <f>'GASTOS EJER. 1'!BN43</f>
        <v>0</v>
      </c>
      <c r="BZ29" s="492">
        <f>'GASTOS EJER. 1'!CM43</f>
        <v>0</v>
      </c>
      <c r="CA29" s="493">
        <f t="shared" si="140"/>
        <v>0</v>
      </c>
      <c r="CC29" s="494">
        <f>'GASTOS EJER. 1'!AW43+'GASTOS EJER. 1'!BM43-'GASTOS EJER. 1'!CM43-'GASTOS EJER. 1'!CP43</f>
        <v>0</v>
      </c>
      <c r="CD29" s="495" t="str">
        <f>IF('GASTOS EJER. 1'!CT43="","",'GASTOS EJER. 1'!CT43)</f>
        <v/>
      </c>
      <c r="CE29" s="492">
        <f>'GASTOS EJER. 1'!CP43</f>
        <v>0</v>
      </c>
      <c r="CF29" s="496" t="str">
        <f>IF('GASTOS EJER. 1'!CW43="","",'GASTOS EJER. 1'!CW43)</f>
        <v/>
      </c>
      <c r="CG29" s="497">
        <f>IF(AND(CD29&gt;=EXPEDIENTE!$I$25,CD29&lt;=EXPEDIENTE!$I$29),CC29,0)</f>
        <v>0</v>
      </c>
      <c r="CH29" s="426">
        <f>IF(AND(CF29&gt;=EXPEDIENTE!$I$25,CF29&lt;=EXPEDIENTE!$I$29),CE29,0)</f>
        <v>0</v>
      </c>
      <c r="CI29" s="493">
        <f t="shared" si="141"/>
        <v>0</v>
      </c>
      <c r="CJ29" s="498" t="str">
        <f>IF('GASTOS EJER. 1'!AQ43="","",'GASTOS EJER. 1'!AQ43)</f>
        <v/>
      </c>
      <c r="CK29" s="499" t="str">
        <f>IF('GASTOS EJER. 1'!AT43="","",'GASTOS EJER. 1'!AT43)</f>
        <v/>
      </c>
      <c r="CL29" s="500">
        <f t="shared" si="142"/>
        <v>0</v>
      </c>
      <c r="CM29" s="501">
        <f t="shared" si="110"/>
        <v>0</v>
      </c>
      <c r="CN29" s="442">
        <f t="shared" si="143"/>
        <v>0</v>
      </c>
      <c r="CP29" s="426">
        <v>7</v>
      </c>
      <c r="CQ29" s="427">
        <f t="shared" si="111"/>
        <v>45474</v>
      </c>
      <c r="CR29" s="440">
        <f t="shared" si="144"/>
        <v>0</v>
      </c>
      <c r="CS29" s="426">
        <f t="shared" si="145"/>
        <v>0</v>
      </c>
      <c r="CT29" s="426">
        <f t="shared" si="146"/>
        <v>0</v>
      </c>
      <c r="CU29" s="426">
        <f t="shared" si="147"/>
        <v>0</v>
      </c>
      <c r="CV29" s="426">
        <f t="shared" si="148"/>
        <v>0</v>
      </c>
      <c r="CW29" s="426">
        <f t="shared" si="149"/>
        <v>0</v>
      </c>
      <c r="CX29" s="426">
        <f t="shared" si="150"/>
        <v>0</v>
      </c>
      <c r="CY29" s="441">
        <f t="shared" si="151"/>
        <v>0</v>
      </c>
      <c r="CZ29" s="439">
        <f t="shared" si="152"/>
        <v>0</v>
      </c>
      <c r="DB29" s="440">
        <f t="shared" si="153"/>
        <v>0</v>
      </c>
      <c r="DC29" s="426">
        <f t="shared" si="154"/>
        <v>0</v>
      </c>
      <c r="DD29" s="426">
        <f t="shared" si="155"/>
        <v>0</v>
      </c>
      <c r="DE29" s="426">
        <f t="shared" si="156"/>
        <v>0</v>
      </c>
      <c r="DF29" s="426">
        <f t="shared" si="157"/>
        <v>0</v>
      </c>
      <c r="DG29" s="426">
        <f t="shared" si="158"/>
        <v>0</v>
      </c>
      <c r="DH29" s="426">
        <f t="shared" si="159"/>
        <v>0</v>
      </c>
      <c r="DI29" s="441">
        <f t="shared" si="160"/>
        <v>0</v>
      </c>
      <c r="DJ29" s="439">
        <f t="shared" si="112"/>
        <v>0</v>
      </c>
      <c r="DL29" s="439">
        <f t="shared" si="161"/>
        <v>0</v>
      </c>
      <c r="DN29" s="490">
        <v>7</v>
      </c>
      <c r="DO29" s="502">
        <f>'GASTOS EJER. 1'!$C43</f>
        <v>0</v>
      </c>
      <c r="DP29" s="499" t="str">
        <f t="shared" si="162"/>
        <v/>
      </c>
      <c r="DQ29" s="499" t="str">
        <f t="shared" si="163"/>
        <v/>
      </c>
      <c r="DR29" s="389">
        <f t="shared" si="164"/>
        <v>0</v>
      </c>
      <c r="DS29" s="503">
        <f>'GASTOS EJER. 1'!X43</f>
        <v>0</v>
      </c>
      <c r="DT29" s="495" t="str">
        <f>IF(DS29=0,"",'GASTOS EJER. 1'!AA43)</f>
        <v/>
      </c>
      <c r="DU29" s="495" t="str">
        <f t="shared" si="114"/>
        <v/>
      </c>
      <c r="DV29" s="493" t="e">
        <f>IF(AND(DU29&gt;=EXPEDIENTE!$F$25,DU29&lt;=EXPEDIENTE!$F$29),ROUNDDOWN(DS29/DR29,2),0)</f>
        <v>#DIV/0!</v>
      </c>
      <c r="DX29" s="389">
        <v>10</v>
      </c>
      <c r="DY29" s="433">
        <f t="shared" si="101"/>
        <v>45566</v>
      </c>
      <c r="DZ29" s="433">
        <f t="shared" si="102"/>
        <v>45596</v>
      </c>
      <c r="EA29" s="389" t="str">
        <f>IF(AND(DZ29&gt;=EXPEDIENTE!$F$25,DY29&lt;=EXPEDIENTE!$F$29),"SI","NO")</f>
        <v>SI</v>
      </c>
      <c r="EB29" s="426">
        <f t="shared" si="12"/>
        <v>0</v>
      </c>
      <c r="EC29" s="426">
        <f t="shared" si="13"/>
        <v>0</v>
      </c>
      <c r="ED29" s="426">
        <f t="shared" si="14"/>
        <v>0</v>
      </c>
      <c r="EE29" s="426">
        <f t="shared" si="15"/>
        <v>0</v>
      </c>
      <c r="EF29" s="426">
        <f t="shared" si="16"/>
        <v>0</v>
      </c>
      <c r="EG29" s="426">
        <f t="shared" si="17"/>
        <v>0</v>
      </c>
      <c r="EH29" s="426">
        <f t="shared" si="18"/>
        <v>0</v>
      </c>
      <c r="EI29" s="426">
        <f t="shared" si="19"/>
        <v>0</v>
      </c>
      <c r="EJ29" s="426">
        <f t="shared" si="20"/>
        <v>0</v>
      </c>
      <c r="EK29" s="426">
        <f t="shared" si="21"/>
        <v>0</v>
      </c>
      <c r="EL29" s="426">
        <f t="shared" si="22"/>
        <v>0</v>
      </c>
      <c r="EM29" s="426">
        <f t="shared" si="23"/>
        <v>0</v>
      </c>
      <c r="EN29" s="426">
        <f t="shared" si="24"/>
        <v>0</v>
      </c>
      <c r="EO29" s="426">
        <f t="shared" si="25"/>
        <v>0</v>
      </c>
      <c r="EP29" s="426">
        <f t="shared" si="26"/>
        <v>0</v>
      </c>
      <c r="EQ29" s="426">
        <f t="shared" si="27"/>
        <v>0</v>
      </c>
      <c r="ER29" s="426">
        <f t="shared" si="28"/>
        <v>0</v>
      </c>
      <c r="ES29" s="426">
        <f t="shared" si="29"/>
        <v>0</v>
      </c>
      <c r="ET29" s="426">
        <f t="shared" si="30"/>
        <v>0</v>
      </c>
      <c r="EU29" s="426">
        <f t="shared" si="31"/>
        <v>0</v>
      </c>
      <c r="EV29" s="426">
        <f t="shared" si="32"/>
        <v>0</v>
      </c>
      <c r="EW29" s="426">
        <f t="shared" si="33"/>
        <v>0</v>
      </c>
      <c r="EX29" s="426">
        <f t="shared" si="34"/>
        <v>0</v>
      </c>
      <c r="EY29" s="426">
        <f t="shared" si="35"/>
        <v>0</v>
      </c>
      <c r="EZ29" s="426">
        <f t="shared" si="36"/>
        <v>0</v>
      </c>
      <c r="FA29" s="426">
        <f t="shared" si="37"/>
        <v>0</v>
      </c>
      <c r="FB29" s="426">
        <f t="shared" si="38"/>
        <v>0</v>
      </c>
      <c r="FC29" s="426">
        <f t="shared" si="39"/>
        <v>0</v>
      </c>
      <c r="FD29" s="426">
        <f t="shared" si="40"/>
        <v>0</v>
      </c>
      <c r="FE29" s="426">
        <f t="shared" si="41"/>
        <v>0</v>
      </c>
      <c r="FF29" s="426">
        <f t="shared" si="42"/>
        <v>0</v>
      </c>
      <c r="FG29" s="426">
        <f t="shared" si="43"/>
        <v>0</v>
      </c>
      <c r="FH29" s="426">
        <f t="shared" si="66"/>
        <v>0</v>
      </c>
      <c r="FJ29" s="121">
        <v>7</v>
      </c>
      <c r="FK29" s="495">
        <f>DATE(YEAR(EXPEDIENTE!$F$25),FJ29,1)</f>
        <v>45474</v>
      </c>
      <c r="FL29" s="495" t="str">
        <f>IF('GASTOS EJER. 1'!I55="","",'GASTOS EJER. 1'!I55)</f>
        <v/>
      </c>
      <c r="FM29" s="503">
        <f>'GASTOS EJER. 1'!X26</f>
        <v>0</v>
      </c>
      <c r="FN29" s="503">
        <f>'GASTOS EJER. 1'!H55</f>
        <v>0</v>
      </c>
      <c r="FO29" s="426">
        <f t="shared" si="165"/>
        <v>0</v>
      </c>
      <c r="FP29" s="503">
        <f t="shared" si="115"/>
        <v>0</v>
      </c>
      <c r="FR29" s="490">
        <v>7</v>
      </c>
      <c r="FS29" s="502">
        <f>'GASTOS EJER. 1'!$C43</f>
        <v>0</v>
      </c>
      <c r="FT29" s="499" t="str">
        <f t="shared" si="166"/>
        <v/>
      </c>
      <c r="FU29" s="499" t="str">
        <f t="shared" si="167"/>
        <v/>
      </c>
      <c r="FV29" s="389">
        <f t="shared" si="168"/>
        <v>0</v>
      </c>
      <c r="FW29" s="503">
        <f>'GASTOS EJER. 1'!CM43</f>
        <v>0</v>
      </c>
      <c r="FX29" s="495" t="str">
        <f>IF(FW29=0,"",'GASTOS EJER. 1'!CT43)</f>
        <v/>
      </c>
      <c r="FY29" s="495" t="str">
        <f t="shared" si="116"/>
        <v/>
      </c>
      <c r="FZ29" s="493" t="e">
        <f>IF(AND(FY29&gt;=EXPEDIENTE!$F$25,FY29&lt;=EXPEDIENTE!$F$29),ROUNDDOWN(FW29/FV29,2),0)</f>
        <v>#DIV/0!</v>
      </c>
      <c r="GB29" s="389">
        <v>10</v>
      </c>
      <c r="GC29" s="433">
        <f t="shared" si="103"/>
        <v>45566</v>
      </c>
      <c r="GD29" s="433">
        <f t="shared" si="104"/>
        <v>45596</v>
      </c>
      <c r="GE29" s="389" t="str">
        <f>IF(AND(GD29&gt;=EXPEDIENTE!$F$25,GC29&lt;=EXPEDIENTE!$F$29),"SI","NO")</f>
        <v>SI</v>
      </c>
      <c r="GF29" s="426">
        <f t="shared" si="67"/>
        <v>0</v>
      </c>
      <c r="GG29" s="426">
        <f t="shared" si="68"/>
        <v>0</v>
      </c>
      <c r="GH29" s="426">
        <f t="shared" si="69"/>
        <v>0</v>
      </c>
      <c r="GI29" s="426">
        <f t="shared" si="70"/>
        <v>0</v>
      </c>
      <c r="GJ29" s="426">
        <f t="shared" si="71"/>
        <v>0</v>
      </c>
      <c r="GK29" s="426">
        <f t="shared" si="72"/>
        <v>0</v>
      </c>
      <c r="GL29" s="426">
        <f t="shared" si="73"/>
        <v>0</v>
      </c>
      <c r="GM29" s="426">
        <f t="shared" si="74"/>
        <v>0</v>
      </c>
      <c r="GN29" s="426">
        <f t="shared" si="75"/>
        <v>0</v>
      </c>
      <c r="GO29" s="426">
        <f t="shared" si="76"/>
        <v>0</v>
      </c>
      <c r="GP29" s="426">
        <f t="shared" si="77"/>
        <v>0</v>
      </c>
      <c r="GQ29" s="426">
        <f t="shared" si="78"/>
        <v>0</v>
      </c>
      <c r="GR29" s="426">
        <f t="shared" si="79"/>
        <v>0</v>
      </c>
      <c r="GS29" s="426">
        <f t="shared" si="80"/>
        <v>0</v>
      </c>
      <c r="GT29" s="426">
        <f t="shared" si="81"/>
        <v>0</v>
      </c>
      <c r="GU29" s="426">
        <f t="shared" si="82"/>
        <v>0</v>
      </c>
      <c r="GV29" s="426">
        <f t="shared" si="83"/>
        <v>0</v>
      </c>
      <c r="GW29" s="426">
        <f t="shared" si="84"/>
        <v>0</v>
      </c>
      <c r="GX29" s="426">
        <f t="shared" si="85"/>
        <v>0</v>
      </c>
      <c r="GY29" s="426">
        <f t="shared" si="86"/>
        <v>0</v>
      </c>
      <c r="GZ29" s="426">
        <f t="shared" si="87"/>
        <v>0</v>
      </c>
      <c r="HA29" s="426">
        <f t="shared" si="88"/>
        <v>0</v>
      </c>
      <c r="HB29" s="426">
        <f t="shared" si="89"/>
        <v>0</v>
      </c>
      <c r="HC29" s="426">
        <f t="shared" si="90"/>
        <v>0</v>
      </c>
      <c r="HD29" s="426">
        <f t="shared" si="91"/>
        <v>0</v>
      </c>
      <c r="HE29" s="426">
        <f t="shared" si="92"/>
        <v>0</v>
      </c>
      <c r="HF29" s="426">
        <f t="shared" si="93"/>
        <v>0</v>
      </c>
      <c r="HG29" s="426">
        <f t="shared" si="94"/>
        <v>0</v>
      </c>
      <c r="HH29" s="426">
        <f t="shared" si="95"/>
        <v>0</v>
      </c>
      <c r="HI29" s="426">
        <f t="shared" si="96"/>
        <v>0</v>
      </c>
      <c r="HJ29" s="426">
        <f t="shared" si="97"/>
        <v>0</v>
      </c>
      <c r="HK29" s="426">
        <f t="shared" si="98"/>
        <v>0</v>
      </c>
      <c r="HL29" s="426">
        <f t="shared" si="99"/>
        <v>0</v>
      </c>
      <c r="HO29" s="121">
        <v>7</v>
      </c>
      <c r="HP29" s="495">
        <f>DATE(YEAR(EXPEDIENTE!$F$25),HO29,1)</f>
        <v>45474</v>
      </c>
      <c r="HQ29" s="495" t="str">
        <f>IF('GASTOS EJER. 1'!BF55="","",'GASTOS EJER. 1'!BF55)</f>
        <v/>
      </c>
      <c r="HR29" s="503">
        <f>'GASTOS EJER. 1'!CM26</f>
        <v>0</v>
      </c>
      <c r="HS29" s="503">
        <f>'GASTOS EJER. 1'!BA55</f>
        <v>0</v>
      </c>
      <c r="HT29" s="426">
        <f t="shared" si="169"/>
        <v>0</v>
      </c>
      <c r="HU29" s="503">
        <f t="shared" si="117"/>
        <v>0</v>
      </c>
      <c r="JC29" s="445">
        <v>25</v>
      </c>
      <c r="JD29" s="401">
        <f t="shared" si="100"/>
        <v>8</v>
      </c>
    </row>
    <row r="30" spans="3:264" ht="15.75" customHeight="1" thickBot="1" x14ac:dyDescent="0.3">
      <c r="C30" s="209">
        <v>24</v>
      </c>
      <c r="D30" s="404"/>
      <c r="E30" s="420"/>
      <c r="F30" s="421"/>
      <c r="G30" s="422"/>
      <c r="H30" s="422"/>
      <c r="I30" s="422"/>
      <c r="J30" s="404"/>
      <c r="K30" s="410">
        <f t="shared" si="52"/>
        <v>76</v>
      </c>
      <c r="L30" s="410">
        <f t="shared" si="53"/>
        <v>76</v>
      </c>
      <c r="M30" s="410" t="str">
        <f t="shared" si="54"/>
        <v>X</v>
      </c>
      <c r="V30" s="982"/>
      <c r="W30" s="444" t="s">
        <v>267</v>
      </c>
      <c r="Y30" s="425">
        <f t="shared" si="0"/>
        <v>25</v>
      </c>
      <c r="Z30" s="415" t="str">
        <f>IF(Y30="","",IF(EDATE($Z$5,Y30)&gt;EXPEDIENTE!$F$27,"",EDATE($Z$5,Y30)))</f>
        <v/>
      </c>
      <c r="AA30" s="415" t="str">
        <f>IF(Z30="","",IF(YEAR(EXPEDIENTE!$F$25)=YEAR(Z30),Z30,""))</f>
        <v/>
      </c>
      <c r="AB30" s="415" t="str">
        <f>IF(Z30="","",IF(YEAR(EXPEDIENTE!$F$25)+1=YEAR(Z30),Z30,""))</f>
        <v/>
      </c>
      <c r="AC30" s="415" t="str">
        <f>IF(Z30="","",IF(YEAR(EXPEDIENTE!$F$25)+2=YEAR(Z30),Z30,""))</f>
        <v/>
      </c>
      <c r="AD30" s="415" t="str">
        <f>IF(Z30="","",IF(YEAR(EXPEDIENTE!$F$25)+3=YEAR(Z30),Z30,""))</f>
        <v/>
      </c>
      <c r="AG30" s="504">
        <v>8</v>
      </c>
      <c r="AH30" s="505">
        <f>'GASTOS EJER. 1'!M44</f>
        <v>0</v>
      </c>
      <c r="AI30" s="506">
        <f>'GASTOS EJER. 1'!X44</f>
        <v>0</v>
      </c>
      <c r="AJ30" s="507">
        <f t="shared" si="118"/>
        <v>0</v>
      </c>
      <c r="AL30" s="508">
        <f>'GASTOS EJER. 1'!F44+'GASTOS EJER. 1'!L44-'GASTOS EJER. 1'!X44-'GASTOS EJER. 1'!Y44</f>
        <v>0</v>
      </c>
      <c r="AM30" s="509" t="str">
        <f>IF('GASTOS EJER. 1'!AA44="","",'GASTOS EJER. 1'!AA44)</f>
        <v/>
      </c>
      <c r="AN30" s="506">
        <f>'GASTOS EJER. 1'!Y44</f>
        <v>0</v>
      </c>
      <c r="AO30" s="510" t="str">
        <f>IF('GASTOS EJER. 1'!AB44="","",'GASTOS EJER. 1'!AB44)</f>
        <v/>
      </c>
      <c r="AP30" s="511">
        <f>IF(AND(AM30&gt;=EXPEDIENTE!$I$25,AM30&lt;=EXPEDIENTE!$I$29),AL30,0)</f>
        <v>0</v>
      </c>
      <c r="AQ30" s="454">
        <f>IF(AND(AO30&gt;=EXPEDIENTE!$I$25,AO30&lt;=EXPEDIENTE!$I$29),AN30,0)</f>
        <v>0</v>
      </c>
      <c r="AR30" s="507">
        <f t="shared" si="119"/>
        <v>0</v>
      </c>
      <c r="AS30" s="512" t="str">
        <f>IF('GASTOS EJER. 1'!D44="","",'GASTOS EJER. 1'!D44)</f>
        <v/>
      </c>
      <c r="AT30" s="513" t="str">
        <f>IF('GASTOS EJER. 1'!E44="","",'GASTOS EJER. 1'!E44)</f>
        <v/>
      </c>
      <c r="AU30" s="514">
        <f t="shared" si="120"/>
        <v>0</v>
      </c>
      <c r="AV30" s="515">
        <f t="shared" si="105"/>
        <v>0</v>
      </c>
      <c r="AW30" s="456">
        <f t="shared" si="121"/>
        <v>0</v>
      </c>
      <c r="AY30" s="426">
        <v>8</v>
      </c>
      <c r="AZ30" s="427">
        <f t="shared" si="106"/>
        <v>45505</v>
      </c>
      <c r="BA30" s="436">
        <f t="shared" si="122"/>
        <v>0</v>
      </c>
      <c r="BB30" s="437">
        <f t="shared" si="123"/>
        <v>0</v>
      </c>
      <c r="BC30" s="437">
        <f t="shared" si="124"/>
        <v>0</v>
      </c>
      <c r="BD30" s="437">
        <f t="shared" si="125"/>
        <v>0</v>
      </c>
      <c r="BE30" s="437">
        <f t="shared" si="126"/>
        <v>0</v>
      </c>
      <c r="BF30" s="437">
        <f t="shared" si="127"/>
        <v>0</v>
      </c>
      <c r="BG30" s="437">
        <f t="shared" si="128"/>
        <v>0</v>
      </c>
      <c r="BH30" s="438">
        <f t="shared" si="129"/>
        <v>0</v>
      </c>
      <c r="BI30" s="439">
        <f t="shared" si="130"/>
        <v>0</v>
      </c>
      <c r="BK30" s="436">
        <f t="shared" si="131"/>
        <v>0</v>
      </c>
      <c r="BL30" s="437">
        <f t="shared" si="132"/>
        <v>0</v>
      </c>
      <c r="BM30" s="437">
        <f t="shared" si="133"/>
        <v>0</v>
      </c>
      <c r="BN30" s="437">
        <f t="shared" si="134"/>
        <v>0</v>
      </c>
      <c r="BO30" s="437">
        <f t="shared" si="135"/>
        <v>0</v>
      </c>
      <c r="BP30" s="437">
        <f t="shared" si="136"/>
        <v>0</v>
      </c>
      <c r="BQ30" s="437">
        <f t="shared" si="137"/>
        <v>0</v>
      </c>
      <c r="BR30" s="438">
        <f t="shared" si="138"/>
        <v>0</v>
      </c>
      <c r="BS30" s="439">
        <f t="shared" si="109"/>
        <v>0</v>
      </c>
      <c r="BU30" s="439">
        <f t="shared" si="139"/>
        <v>0</v>
      </c>
      <c r="BX30" s="504">
        <v>8</v>
      </c>
      <c r="BY30" s="505">
        <f>'GASTOS EJER. 1'!BN44</f>
        <v>0</v>
      </c>
      <c r="BZ30" s="506">
        <f>'GASTOS EJER. 1'!CM44</f>
        <v>0</v>
      </c>
      <c r="CA30" s="507">
        <f t="shared" si="140"/>
        <v>0</v>
      </c>
      <c r="CC30" s="508">
        <f>'GASTOS EJER. 1'!AW44+'GASTOS EJER. 1'!BM44-'GASTOS EJER. 1'!CM44-'GASTOS EJER. 1'!CP44</f>
        <v>0</v>
      </c>
      <c r="CD30" s="509" t="str">
        <f>IF('GASTOS EJER. 1'!CT44="","",'GASTOS EJER. 1'!CT44)</f>
        <v/>
      </c>
      <c r="CE30" s="506">
        <f>'GASTOS EJER. 1'!CP44</f>
        <v>0</v>
      </c>
      <c r="CF30" s="510" t="str">
        <f>IF('GASTOS EJER. 1'!CW44="","",'GASTOS EJER. 1'!CW44)</f>
        <v/>
      </c>
      <c r="CG30" s="511">
        <f>IF(AND(CD30&gt;=EXPEDIENTE!$I$25,CD30&lt;=EXPEDIENTE!$I$29),CC30,0)</f>
        <v>0</v>
      </c>
      <c r="CH30" s="454">
        <f>IF(AND(CF30&gt;=EXPEDIENTE!$I$25,CF30&lt;=EXPEDIENTE!$I$29),CE30,0)</f>
        <v>0</v>
      </c>
      <c r="CI30" s="507">
        <f t="shared" si="141"/>
        <v>0</v>
      </c>
      <c r="CJ30" s="512" t="str">
        <f>IF('GASTOS EJER. 1'!AQ44="","",'GASTOS EJER. 1'!AQ44)</f>
        <v/>
      </c>
      <c r="CK30" s="513" t="str">
        <f>IF('GASTOS EJER. 1'!AT44="","",'GASTOS EJER. 1'!AT44)</f>
        <v/>
      </c>
      <c r="CL30" s="514">
        <f t="shared" si="142"/>
        <v>0</v>
      </c>
      <c r="CM30" s="515">
        <f t="shared" si="110"/>
        <v>0</v>
      </c>
      <c r="CN30" s="456">
        <f t="shared" si="143"/>
        <v>0</v>
      </c>
      <c r="CP30" s="426">
        <v>8</v>
      </c>
      <c r="CQ30" s="427">
        <f t="shared" si="111"/>
        <v>45505</v>
      </c>
      <c r="CR30" s="440">
        <f t="shared" si="144"/>
        <v>0</v>
      </c>
      <c r="CS30" s="426">
        <f t="shared" si="145"/>
        <v>0</v>
      </c>
      <c r="CT30" s="426">
        <f t="shared" si="146"/>
        <v>0</v>
      </c>
      <c r="CU30" s="426">
        <f t="shared" si="147"/>
        <v>0</v>
      </c>
      <c r="CV30" s="426">
        <f t="shared" si="148"/>
        <v>0</v>
      </c>
      <c r="CW30" s="426">
        <f t="shared" si="149"/>
        <v>0</v>
      </c>
      <c r="CX30" s="426">
        <f t="shared" si="150"/>
        <v>0</v>
      </c>
      <c r="CY30" s="441">
        <f t="shared" si="151"/>
        <v>0</v>
      </c>
      <c r="CZ30" s="439">
        <f t="shared" si="152"/>
        <v>0</v>
      </c>
      <c r="DB30" s="440">
        <f t="shared" si="153"/>
        <v>0</v>
      </c>
      <c r="DC30" s="426">
        <f t="shared" si="154"/>
        <v>0</v>
      </c>
      <c r="DD30" s="426">
        <f t="shared" si="155"/>
        <v>0</v>
      </c>
      <c r="DE30" s="426">
        <f t="shared" si="156"/>
        <v>0</v>
      </c>
      <c r="DF30" s="426">
        <f t="shared" si="157"/>
        <v>0</v>
      </c>
      <c r="DG30" s="426">
        <f t="shared" si="158"/>
        <v>0</v>
      </c>
      <c r="DH30" s="426">
        <f t="shared" si="159"/>
        <v>0</v>
      </c>
      <c r="DI30" s="441">
        <f t="shared" si="160"/>
        <v>0</v>
      </c>
      <c r="DJ30" s="439">
        <f t="shared" si="112"/>
        <v>0</v>
      </c>
      <c r="DL30" s="439">
        <f t="shared" si="161"/>
        <v>0</v>
      </c>
      <c r="DN30" s="504">
        <v>8</v>
      </c>
      <c r="DO30" s="516">
        <f>'GASTOS EJER. 1'!$C44</f>
        <v>0</v>
      </c>
      <c r="DP30" s="513" t="str">
        <f t="shared" si="162"/>
        <v/>
      </c>
      <c r="DQ30" s="513" t="str">
        <f t="shared" si="163"/>
        <v/>
      </c>
      <c r="DR30" s="517">
        <f t="shared" si="164"/>
        <v>0</v>
      </c>
      <c r="DS30" s="518">
        <f>'GASTOS EJER. 1'!X44</f>
        <v>0</v>
      </c>
      <c r="DT30" s="509" t="str">
        <f>IF(DS30=0,"",'GASTOS EJER. 1'!AA44)</f>
        <v/>
      </c>
      <c r="DU30" s="509" t="str">
        <f t="shared" si="114"/>
        <v/>
      </c>
      <c r="DV30" s="507" t="e">
        <f>IF(AND(DU30&gt;=EXPEDIENTE!$F$25,DU30&lt;=EXPEDIENTE!$F$29),ROUNDDOWN(DS30/DR30,2),0)</f>
        <v>#DIV/0!</v>
      </c>
      <c r="DX30" s="389">
        <v>11</v>
      </c>
      <c r="DY30" s="433">
        <f t="shared" si="101"/>
        <v>45597</v>
      </c>
      <c r="DZ30" s="433">
        <f t="shared" si="102"/>
        <v>45626</v>
      </c>
      <c r="EA30" s="389" t="str">
        <f>IF(AND(DZ30&gt;=EXPEDIENTE!$F$25,DY30&lt;=EXPEDIENTE!$F$29),"SI","NO")</f>
        <v>SI</v>
      </c>
      <c r="EB30" s="426">
        <f t="shared" si="12"/>
        <v>0</v>
      </c>
      <c r="EC30" s="426">
        <f t="shared" si="13"/>
        <v>0</v>
      </c>
      <c r="ED30" s="426">
        <f t="shared" si="14"/>
        <v>0</v>
      </c>
      <c r="EE30" s="426">
        <f t="shared" si="15"/>
        <v>0</v>
      </c>
      <c r="EF30" s="426">
        <f t="shared" si="16"/>
        <v>0</v>
      </c>
      <c r="EG30" s="426">
        <f t="shared" si="17"/>
        <v>0</v>
      </c>
      <c r="EH30" s="426">
        <f t="shared" si="18"/>
        <v>0</v>
      </c>
      <c r="EI30" s="426">
        <f t="shared" si="19"/>
        <v>0</v>
      </c>
      <c r="EJ30" s="426">
        <f t="shared" si="20"/>
        <v>0</v>
      </c>
      <c r="EK30" s="426">
        <f t="shared" si="21"/>
        <v>0</v>
      </c>
      <c r="EL30" s="426">
        <f t="shared" si="22"/>
        <v>0</v>
      </c>
      <c r="EM30" s="426">
        <f t="shared" si="23"/>
        <v>0</v>
      </c>
      <c r="EN30" s="426">
        <f t="shared" si="24"/>
        <v>0</v>
      </c>
      <c r="EO30" s="426">
        <f t="shared" si="25"/>
        <v>0</v>
      </c>
      <c r="EP30" s="426">
        <f t="shared" si="26"/>
        <v>0</v>
      </c>
      <c r="EQ30" s="426">
        <f t="shared" si="27"/>
        <v>0</v>
      </c>
      <c r="ER30" s="426">
        <f t="shared" si="28"/>
        <v>0</v>
      </c>
      <c r="ES30" s="426">
        <f t="shared" si="29"/>
        <v>0</v>
      </c>
      <c r="ET30" s="426">
        <f t="shared" si="30"/>
        <v>0</v>
      </c>
      <c r="EU30" s="426">
        <f t="shared" si="31"/>
        <v>0</v>
      </c>
      <c r="EV30" s="426">
        <f t="shared" si="32"/>
        <v>0</v>
      </c>
      <c r="EW30" s="426">
        <f t="shared" si="33"/>
        <v>0</v>
      </c>
      <c r="EX30" s="426">
        <f t="shared" si="34"/>
        <v>0</v>
      </c>
      <c r="EY30" s="426">
        <f t="shared" si="35"/>
        <v>0</v>
      </c>
      <c r="EZ30" s="426">
        <f t="shared" si="36"/>
        <v>0</v>
      </c>
      <c r="FA30" s="426">
        <f t="shared" si="37"/>
        <v>0</v>
      </c>
      <c r="FB30" s="426">
        <f t="shared" si="38"/>
        <v>0</v>
      </c>
      <c r="FC30" s="426">
        <f t="shared" si="39"/>
        <v>0</v>
      </c>
      <c r="FD30" s="426">
        <f t="shared" si="40"/>
        <v>0</v>
      </c>
      <c r="FE30" s="426">
        <f t="shared" si="41"/>
        <v>0</v>
      </c>
      <c r="FF30" s="426">
        <f t="shared" si="42"/>
        <v>0</v>
      </c>
      <c r="FG30" s="426">
        <f t="shared" si="43"/>
        <v>0</v>
      </c>
      <c r="FH30" s="426">
        <f t="shared" si="66"/>
        <v>0</v>
      </c>
      <c r="FJ30" s="121">
        <v>8</v>
      </c>
      <c r="FK30" s="495">
        <f>DATE(YEAR(EXPEDIENTE!$F$25),FJ30,1)</f>
        <v>45505</v>
      </c>
      <c r="FL30" s="495" t="str">
        <f>IF('GASTOS EJER. 1'!I56="","",'GASTOS EJER. 1'!I56)</f>
        <v/>
      </c>
      <c r="FM30" s="503">
        <f>'GASTOS EJER. 1'!X27</f>
        <v>0</v>
      </c>
      <c r="FN30" s="503">
        <f>'GASTOS EJER. 1'!H56</f>
        <v>0</v>
      </c>
      <c r="FO30" s="426">
        <f t="shared" si="165"/>
        <v>0</v>
      </c>
      <c r="FP30" s="503">
        <f t="shared" si="115"/>
        <v>0</v>
      </c>
      <c r="FR30" s="504">
        <v>8</v>
      </c>
      <c r="FS30" s="516">
        <f>'GASTOS EJER. 1'!$C44</f>
        <v>0</v>
      </c>
      <c r="FT30" s="513" t="str">
        <f t="shared" si="166"/>
        <v/>
      </c>
      <c r="FU30" s="513" t="str">
        <f t="shared" si="167"/>
        <v/>
      </c>
      <c r="FV30" s="517">
        <f t="shared" si="168"/>
        <v>0</v>
      </c>
      <c r="FW30" s="518">
        <f>'GASTOS EJER. 1'!CM44</f>
        <v>0</v>
      </c>
      <c r="FX30" s="509" t="str">
        <f>IF(FW30=0,"",'GASTOS EJER. 1'!CT44)</f>
        <v/>
      </c>
      <c r="FY30" s="509" t="str">
        <f t="shared" si="116"/>
        <v/>
      </c>
      <c r="FZ30" s="507" t="e">
        <f>IF(AND(FY30&gt;=EXPEDIENTE!$F$25,FY30&lt;=EXPEDIENTE!$F$29),ROUNDDOWN(FW30/FV30,2),0)</f>
        <v>#DIV/0!</v>
      </c>
      <c r="GB30" s="389">
        <v>11</v>
      </c>
      <c r="GC30" s="433">
        <f t="shared" si="103"/>
        <v>45597</v>
      </c>
      <c r="GD30" s="433">
        <f t="shared" si="104"/>
        <v>45626</v>
      </c>
      <c r="GE30" s="389" t="str">
        <f>IF(AND(GD30&gt;=EXPEDIENTE!$F$25,GC30&lt;=EXPEDIENTE!$F$29),"SI","NO")</f>
        <v>SI</v>
      </c>
      <c r="GF30" s="426">
        <f t="shared" si="67"/>
        <v>0</v>
      </c>
      <c r="GG30" s="426">
        <f t="shared" si="68"/>
        <v>0</v>
      </c>
      <c r="GH30" s="426">
        <f t="shared" si="69"/>
        <v>0</v>
      </c>
      <c r="GI30" s="426">
        <f t="shared" si="70"/>
        <v>0</v>
      </c>
      <c r="GJ30" s="426">
        <f t="shared" si="71"/>
        <v>0</v>
      </c>
      <c r="GK30" s="426">
        <f t="shared" si="72"/>
        <v>0</v>
      </c>
      <c r="GL30" s="426">
        <f t="shared" si="73"/>
        <v>0</v>
      </c>
      <c r="GM30" s="426">
        <f t="shared" si="74"/>
        <v>0</v>
      </c>
      <c r="GN30" s="426">
        <f t="shared" si="75"/>
        <v>0</v>
      </c>
      <c r="GO30" s="426">
        <f t="shared" si="76"/>
        <v>0</v>
      </c>
      <c r="GP30" s="426">
        <f t="shared" si="77"/>
        <v>0</v>
      </c>
      <c r="GQ30" s="426">
        <f t="shared" si="78"/>
        <v>0</v>
      </c>
      <c r="GR30" s="426">
        <f t="shared" si="79"/>
        <v>0</v>
      </c>
      <c r="GS30" s="426">
        <f t="shared" si="80"/>
        <v>0</v>
      </c>
      <c r="GT30" s="426">
        <f t="shared" si="81"/>
        <v>0</v>
      </c>
      <c r="GU30" s="426">
        <f t="shared" si="82"/>
        <v>0</v>
      </c>
      <c r="GV30" s="426">
        <f t="shared" si="83"/>
        <v>0</v>
      </c>
      <c r="GW30" s="426">
        <f t="shared" si="84"/>
        <v>0</v>
      </c>
      <c r="GX30" s="426">
        <f t="shared" si="85"/>
        <v>0</v>
      </c>
      <c r="GY30" s="426">
        <f t="shared" si="86"/>
        <v>0</v>
      </c>
      <c r="GZ30" s="426">
        <f t="shared" si="87"/>
        <v>0</v>
      </c>
      <c r="HA30" s="426">
        <f t="shared" si="88"/>
        <v>0</v>
      </c>
      <c r="HB30" s="426">
        <f t="shared" si="89"/>
        <v>0</v>
      </c>
      <c r="HC30" s="426">
        <f t="shared" si="90"/>
        <v>0</v>
      </c>
      <c r="HD30" s="426">
        <f t="shared" si="91"/>
        <v>0</v>
      </c>
      <c r="HE30" s="426">
        <f t="shared" si="92"/>
        <v>0</v>
      </c>
      <c r="HF30" s="426">
        <f t="shared" si="93"/>
        <v>0</v>
      </c>
      <c r="HG30" s="426">
        <f t="shared" si="94"/>
        <v>0</v>
      </c>
      <c r="HH30" s="426">
        <f t="shared" si="95"/>
        <v>0</v>
      </c>
      <c r="HI30" s="426">
        <f t="shared" si="96"/>
        <v>0</v>
      </c>
      <c r="HJ30" s="426">
        <f t="shared" si="97"/>
        <v>0</v>
      </c>
      <c r="HK30" s="426">
        <f t="shared" si="98"/>
        <v>0</v>
      </c>
      <c r="HL30" s="426">
        <f t="shared" si="99"/>
        <v>0</v>
      </c>
      <c r="HO30" s="121">
        <v>8</v>
      </c>
      <c r="HP30" s="495">
        <f>DATE(YEAR(EXPEDIENTE!$F$25),HO30,1)</f>
        <v>45505</v>
      </c>
      <c r="HQ30" s="495" t="str">
        <f>IF('GASTOS EJER. 1'!BF56="","",'GASTOS EJER. 1'!BF56)</f>
        <v/>
      </c>
      <c r="HR30" s="503">
        <f>'GASTOS EJER. 1'!CM27</f>
        <v>0</v>
      </c>
      <c r="HS30" s="503">
        <f>'GASTOS EJER. 1'!BA56</f>
        <v>0</v>
      </c>
      <c r="HT30" s="426">
        <f t="shared" si="169"/>
        <v>0</v>
      </c>
      <c r="HU30" s="503">
        <f t="shared" si="117"/>
        <v>0</v>
      </c>
      <c r="JC30" s="409">
        <v>26</v>
      </c>
      <c r="JD30" s="401">
        <f t="shared" si="100"/>
        <v>10</v>
      </c>
    </row>
    <row r="31" spans="3:264" x14ac:dyDescent="0.25">
      <c r="C31" s="209">
        <v>25</v>
      </c>
      <c r="D31" s="404"/>
      <c r="E31" s="420"/>
      <c r="F31" s="421"/>
      <c r="G31" s="422"/>
      <c r="H31" s="422"/>
      <c r="I31" s="422"/>
      <c r="J31" s="404"/>
      <c r="K31" s="410">
        <f t="shared" si="52"/>
        <v>76</v>
      </c>
      <c r="L31" s="410">
        <f t="shared" si="53"/>
        <v>76</v>
      </c>
      <c r="M31" s="410" t="str">
        <f t="shared" si="54"/>
        <v>X</v>
      </c>
      <c r="V31" s="982"/>
      <c r="W31" s="444" t="s">
        <v>268</v>
      </c>
      <c r="Y31" s="425">
        <f t="shared" si="0"/>
        <v>26</v>
      </c>
      <c r="Z31" s="415" t="str">
        <f>IF(Y31="","",IF(EDATE($Z$5,Y31)&gt;EXPEDIENTE!$F$27,"",EDATE($Z$5,Y31)))</f>
        <v/>
      </c>
      <c r="AA31" s="415" t="str">
        <f>IF(Z31="","",IF(YEAR(EXPEDIENTE!$F$25)=YEAR(Z31),Z31,""))</f>
        <v/>
      </c>
      <c r="AB31" s="415" t="str">
        <f>IF(Z31="","",IF(YEAR(EXPEDIENTE!$F$25)+1=YEAR(Z31),Z31,""))</f>
        <v/>
      </c>
      <c r="AC31" s="415" t="str">
        <f>IF(Z31="","",IF(YEAR(EXPEDIENTE!$F$25)+2=YEAR(Z31),Z31,""))</f>
        <v/>
      </c>
      <c r="AD31" s="415" t="str">
        <f>IF(Z31="","",IF(YEAR(EXPEDIENTE!$F$25)+3=YEAR(Z31),Z31,""))</f>
        <v/>
      </c>
      <c r="AG31" s="395"/>
      <c r="AH31" s="395"/>
      <c r="AI31" s="395"/>
      <c r="AJ31" s="395"/>
      <c r="AK31" s="395"/>
      <c r="AL31" s="395"/>
      <c r="AM31" s="395"/>
      <c r="AN31" s="395"/>
      <c r="AO31" s="395"/>
      <c r="AP31" s="395"/>
      <c r="AQ31" s="395"/>
      <c r="AR31" s="395"/>
      <c r="AS31" s="395"/>
      <c r="AT31" s="395"/>
      <c r="AU31" s="395"/>
      <c r="AV31" s="395"/>
      <c r="AW31" s="395"/>
      <c r="AY31" s="426">
        <v>9</v>
      </c>
      <c r="AZ31" s="427">
        <f t="shared" si="106"/>
        <v>45536</v>
      </c>
      <c r="BA31" s="436">
        <f t="shared" si="122"/>
        <v>0</v>
      </c>
      <c r="BB31" s="437">
        <f t="shared" si="123"/>
        <v>0</v>
      </c>
      <c r="BC31" s="437">
        <f t="shared" si="124"/>
        <v>0</v>
      </c>
      <c r="BD31" s="437">
        <f t="shared" si="125"/>
        <v>0</v>
      </c>
      <c r="BE31" s="437">
        <f t="shared" si="126"/>
        <v>0</v>
      </c>
      <c r="BF31" s="437">
        <f t="shared" si="127"/>
        <v>0</v>
      </c>
      <c r="BG31" s="437">
        <f t="shared" si="128"/>
        <v>0</v>
      </c>
      <c r="BH31" s="438">
        <f t="shared" si="129"/>
        <v>0</v>
      </c>
      <c r="BI31" s="439">
        <f t="shared" si="130"/>
        <v>0</v>
      </c>
      <c r="BK31" s="436">
        <f t="shared" si="131"/>
        <v>0</v>
      </c>
      <c r="BL31" s="437">
        <f t="shared" si="132"/>
        <v>0</v>
      </c>
      <c r="BM31" s="437">
        <f t="shared" si="133"/>
        <v>0</v>
      </c>
      <c r="BN31" s="437">
        <f t="shared" si="134"/>
        <v>0</v>
      </c>
      <c r="BO31" s="437">
        <f t="shared" si="135"/>
        <v>0</v>
      </c>
      <c r="BP31" s="437">
        <f t="shared" si="136"/>
        <v>0</v>
      </c>
      <c r="BQ31" s="437">
        <f t="shared" si="137"/>
        <v>0</v>
      </c>
      <c r="BR31" s="438">
        <f t="shared" si="138"/>
        <v>0</v>
      </c>
      <c r="BS31" s="439">
        <f t="shared" si="109"/>
        <v>0</v>
      </c>
      <c r="BU31" s="439">
        <f t="shared" si="139"/>
        <v>0</v>
      </c>
      <c r="BX31" s="395"/>
      <c r="BY31" s="395"/>
      <c r="BZ31" s="395"/>
      <c r="CA31" s="395"/>
      <c r="CB31" s="395"/>
      <c r="CC31" s="395"/>
      <c r="CD31" s="395"/>
      <c r="CE31" s="395"/>
      <c r="CF31" s="395"/>
      <c r="CG31" s="395"/>
      <c r="CH31" s="395"/>
      <c r="CI31" s="395"/>
      <c r="CJ31" s="395"/>
      <c r="CK31" s="395"/>
      <c r="CL31" s="395"/>
      <c r="CM31" s="395"/>
      <c r="CN31" s="395"/>
      <c r="CP31" s="426">
        <v>9</v>
      </c>
      <c r="CQ31" s="427">
        <f t="shared" si="111"/>
        <v>45536</v>
      </c>
      <c r="CR31" s="440">
        <f t="shared" si="144"/>
        <v>0</v>
      </c>
      <c r="CS31" s="426">
        <f t="shared" si="145"/>
        <v>0</v>
      </c>
      <c r="CT31" s="426">
        <f t="shared" si="146"/>
        <v>0</v>
      </c>
      <c r="CU31" s="426">
        <f t="shared" si="147"/>
        <v>0</v>
      </c>
      <c r="CV31" s="426">
        <f t="shared" si="148"/>
        <v>0</v>
      </c>
      <c r="CW31" s="426">
        <f t="shared" si="149"/>
        <v>0</v>
      </c>
      <c r="CX31" s="426">
        <f t="shared" si="150"/>
        <v>0</v>
      </c>
      <c r="CY31" s="441">
        <f t="shared" si="151"/>
        <v>0</v>
      </c>
      <c r="CZ31" s="439">
        <f t="shared" si="152"/>
        <v>0</v>
      </c>
      <c r="DB31" s="440">
        <f t="shared" si="153"/>
        <v>0</v>
      </c>
      <c r="DC31" s="426">
        <f t="shared" si="154"/>
        <v>0</v>
      </c>
      <c r="DD31" s="426">
        <f t="shared" si="155"/>
        <v>0</v>
      </c>
      <c r="DE31" s="426">
        <f t="shared" si="156"/>
        <v>0</v>
      </c>
      <c r="DF31" s="426">
        <f t="shared" si="157"/>
        <v>0</v>
      </c>
      <c r="DG31" s="426">
        <f t="shared" si="158"/>
        <v>0</v>
      </c>
      <c r="DH31" s="426">
        <f t="shared" si="159"/>
        <v>0</v>
      </c>
      <c r="DI31" s="441">
        <f t="shared" si="160"/>
        <v>0</v>
      </c>
      <c r="DJ31" s="439">
        <f t="shared" si="112"/>
        <v>0</v>
      </c>
      <c r="DL31" s="439">
        <f t="shared" si="161"/>
        <v>0</v>
      </c>
      <c r="DN31" s="395"/>
      <c r="DX31" s="389">
        <v>12</v>
      </c>
      <c r="DY31" s="433">
        <f t="shared" si="101"/>
        <v>45627</v>
      </c>
      <c r="DZ31" s="433">
        <f t="shared" si="102"/>
        <v>45657</v>
      </c>
      <c r="EA31" s="389" t="str">
        <f>IF(AND(DZ31&gt;=EXPEDIENTE!$F$25,DY31&lt;=EXPEDIENTE!$F$29),"SI","NO")</f>
        <v>SI</v>
      </c>
      <c r="EB31" s="426">
        <f t="shared" si="12"/>
        <v>0</v>
      </c>
      <c r="EC31" s="426">
        <f t="shared" si="13"/>
        <v>0</v>
      </c>
      <c r="ED31" s="426">
        <f t="shared" si="14"/>
        <v>0</v>
      </c>
      <c r="EE31" s="426">
        <f t="shared" si="15"/>
        <v>0</v>
      </c>
      <c r="EF31" s="426">
        <f t="shared" si="16"/>
        <v>0</v>
      </c>
      <c r="EG31" s="426">
        <f t="shared" si="17"/>
        <v>0</v>
      </c>
      <c r="EH31" s="426">
        <f t="shared" si="18"/>
        <v>0</v>
      </c>
      <c r="EI31" s="426">
        <f t="shared" si="19"/>
        <v>0</v>
      </c>
      <c r="EJ31" s="426">
        <f t="shared" si="20"/>
        <v>0</v>
      </c>
      <c r="EK31" s="426">
        <f t="shared" si="21"/>
        <v>0</v>
      </c>
      <c r="EL31" s="426">
        <f t="shared" si="22"/>
        <v>0</v>
      </c>
      <c r="EM31" s="426">
        <f t="shared" si="23"/>
        <v>0</v>
      </c>
      <c r="EN31" s="426">
        <f t="shared" si="24"/>
        <v>0</v>
      </c>
      <c r="EO31" s="426">
        <f t="shared" si="25"/>
        <v>0</v>
      </c>
      <c r="EP31" s="426">
        <f t="shared" si="26"/>
        <v>0</v>
      </c>
      <c r="EQ31" s="426">
        <f t="shared" si="27"/>
        <v>0</v>
      </c>
      <c r="ER31" s="426">
        <f t="shared" si="28"/>
        <v>0</v>
      </c>
      <c r="ES31" s="426">
        <f t="shared" si="29"/>
        <v>0</v>
      </c>
      <c r="ET31" s="426">
        <f t="shared" si="30"/>
        <v>0</v>
      </c>
      <c r="EU31" s="426">
        <f t="shared" si="31"/>
        <v>0</v>
      </c>
      <c r="EV31" s="426">
        <f t="shared" si="32"/>
        <v>0</v>
      </c>
      <c r="EW31" s="426">
        <f t="shared" si="33"/>
        <v>0</v>
      </c>
      <c r="EX31" s="426">
        <f t="shared" si="34"/>
        <v>0</v>
      </c>
      <c r="EY31" s="426">
        <f t="shared" si="35"/>
        <v>0</v>
      </c>
      <c r="EZ31" s="426">
        <f t="shared" si="36"/>
        <v>0</v>
      </c>
      <c r="FA31" s="426">
        <f t="shared" si="37"/>
        <v>0</v>
      </c>
      <c r="FB31" s="426">
        <f t="shared" si="38"/>
        <v>0</v>
      </c>
      <c r="FC31" s="426">
        <f t="shared" si="39"/>
        <v>0</v>
      </c>
      <c r="FD31" s="426">
        <f t="shared" si="40"/>
        <v>0</v>
      </c>
      <c r="FE31" s="426">
        <f t="shared" si="41"/>
        <v>0</v>
      </c>
      <c r="FF31" s="426">
        <f t="shared" si="42"/>
        <v>0</v>
      </c>
      <c r="FG31" s="426">
        <f t="shared" si="43"/>
        <v>0</v>
      </c>
      <c r="FH31" s="426">
        <f t="shared" si="66"/>
        <v>0</v>
      </c>
      <c r="FJ31" s="121">
        <v>9</v>
      </c>
      <c r="FK31" s="495">
        <f>DATE(YEAR(EXPEDIENTE!$F$25),FJ31,1)</f>
        <v>45536</v>
      </c>
      <c r="FL31" s="495" t="str">
        <f>IF('GASTOS EJER. 1'!I57="","",'GASTOS EJER. 1'!I57)</f>
        <v/>
      </c>
      <c r="FM31" s="503">
        <f>'GASTOS EJER. 1'!X28</f>
        <v>0</v>
      </c>
      <c r="FN31" s="503">
        <f>'GASTOS EJER. 1'!H57</f>
        <v>0</v>
      </c>
      <c r="FO31" s="426">
        <f t="shared" si="165"/>
        <v>0</v>
      </c>
      <c r="FP31" s="503">
        <f t="shared" si="115"/>
        <v>0</v>
      </c>
      <c r="FR31" s="395"/>
      <c r="GB31" s="389">
        <v>12</v>
      </c>
      <c r="GC31" s="433">
        <f t="shared" si="103"/>
        <v>45627</v>
      </c>
      <c r="GD31" s="433">
        <f t="shared" si="104"/>
        <v>45657</v>
      </c>
      <c r="GE31" s="389" t="str">
        <f>IF(AND(GD31&gt;=EXPEDIENTE!$F$25,GC31&lt;=EXPEDIENTE!$F$29),"SI","NO")</f>
        <v>SI</v>
      </c>
      <c r="GF31" s="426">
        <f t="shared" si="67"/>
        <v>0</v>
      </c>
      <c r="GG31" s="426">
        <f t="shared" si="68"/>
        <v>0</v>
      </c>
      <c r="GH31" s="426">
        <f t="shared" si="69"/>
        <v>0</v>
      </c>
      <c r="GI31" s="426">
        <f t="shared" si="70"/>
        <v>0</v>
      </c>
      <c r="GJ31" s="426">
        <f t="shared" si="71"/>
        <v>0</v>
      </c>
      <c r="GK31" s="426">
        <f t="shared" si="72"/>
        <v>0</v>
      </c>
      <c r="GL31" s="426">
        <f t="shared" si="73"/>
        <v>0</v>
      </c>
      <c r="GM31" s="426">
        <f t="shared" si="74"/>
        <v>0</v>
      </c>
      <c r="GN31" s="426">
        <f t="shared" si="75"/>
        <v>0</v>
      </c>
      <c r="GO31" s="426">
        <f t="shared" si="76"/>
        <v>0</v>
      </c>
      <c r="GP31" s="426">
        <f t="shared" si="77"/>
        <v>0</v>
      </c>
      <c r="GQ31" s="426">
        <f t="shared" si="78"/>
        <v>0</v>
      </c>
      <c r="GR31" s="426">
        <f t="shared" si="79"/>
        <v>0</v>
      </c>
      <c r="GS31" s="426">
        <f t="shared" si="80"/>
        <v>0</v>
      </c>
      <c r="GT31" s="426">
        <f t="shared" si="81"/>
        <v>0</v>
      </c>
      <c r="GU31" s="426">
        <f t="shared" si="82"/>
        <v>0</v>
      </c>
      <c r="GV31" s="426">
        <f t="shared" si="83"/>
        <v>0</v>
      </c>
      <c r="GW31" s="426">
        <f t="shared" si="84"/>
        <v>0</v>
      </c>
      <c r="GX31" s="426">
        <f t="shared" si="85"/>
        <v>0</v>
      </c>
      <c r="GY31" s="426">
        <f t="shared" si="86"/>
        <v>0</v>
      </c>
      <c r="GZ31" s="426">
        <f t="shared" si="87"/>
        <v>0</v>
      </c>
      <c r="HA31" s="426">
        <f t="shared" si="88"/>
        <v>0</v>
      </c>
      <c r="HB31" s="426">
        <f t="shared" si="89"/>
        <v>0</v>
      </c>
      <c r="HC31" s="426">
        <f t="shared" si="90"/>
        <v>0</v>
      </c>
      <c r="HD31" s="426">
        <f t="shared" si="91"/>
        <v>0</v>
      </c>
      <c r="HE31" s="426">
        <f t="shared" si="92"/>
        <v>0</v>
      </c>
      <c r="HF31" s="426">
        <f t="shared" si="93"/>
        <v>0</v>
      </c>
      <c r="HG31" s="426">
        <f t="shared" si="94"/>
        <v>0</v>
      </c>
      <c r="HH31" s="426">
        <f t="shared" si="95"/>
        <v>0</v>
      </c>
      <c r="HI31" s="426">
        <f t="shared" si="96"/>
        <v>0</v>
      </c>
      <c r="HJ31" s="426">
        <f t="shared" si="97"/>
        <v>0</v>
      </c>
      <c r="HK31" s="426">
        <f t="shared" si="98"/>
        <v>0</v>
      </c>
      <c r="HL31" s="426">
        <f t="shared" si="99"/>
        <v>0</v>
      </c>
      <c r="HO31" s="121">
        <v>9</v>
      </c>
      <c r="HP31" s="495">
        <f>DATE(YEAR(EXPEDIENTE!$F$25),HO31,1)</f>
        <v>45536</v>
      </c>
      <c r="HQ31" s="495" t="str">
        <f>IF('GASTOS EJER. 1'!BF57="","",'GASTOS EJER. 1'!BF57)</f>
        <v/>
      </c>
      <c r="HR31" s="503">
        <f>'GASTOS EJER. 1'!CM28</f>
        <v>0</v>
      </c>
      <c r="HS31" s="503">
        <f>'GASTOS EJER. 1'!BA57</f>
        <v>0</v>
      </c>
      <c r="HT31" s="426">
        <f t="shared" si="169"/>
        <v>0</v>
      </c>
      <c r="HU31" s="503">
        <f t="shared" si="117"/>
        <v>0</v>
      </c>
      <c r="JC31" s="419">
        <v>27</v>
      </c>
      <c r="JD31" s="401">
        <f t="shared" si="100"/>
        <v>10</v>
      </c>
    </row>
    <row r="32" spans="3:264" ht="15.75" thickBot="1" x14ac:dyDescent="0.3">
      <c r="C32" s="209">
        <v>26</v>
      </c>
      <c r="D32" s="404"/>
      <c r="E32" s="420"/>
      <c r="F32" s="421"/>
      <c r="G32" s="422"/>
      <c r="H32" s="422"/>
      <c r="I32" s="422"/>
      <c r="J32" s="404"/>
      <c r="K32" s="410">
        <f t="shared" si="52"/>
        <v>76</v>
      </c>
      <c r="L32" s="410">
        <f t="shared" si="53"/>
        <v>76</v>
      </c>
      <c r="M32" s="410" t="str">
        <f t="shared" si="54"/>
        <v>X</v>
      </c>
      <c r="V32" s="983"/>
      <c r="W32" s="424" t="s">
        <v>269</v>
      </c>
      <c r="Y32" s="425">
        <f t="shared" si="0"/>
        <v>27</v>
      </c>
      <c r="Z32" s="415" t="str">
        <f>IF(Y32="","",IF(EDATE($Z$5,Y32)&gt;EXPEDIENTE!$F$27,"",EDATE($Z$5,Y32)))</f>
        <v/>
      </c>
      <c r="AA32" s="415" t="str">
        <f>IF(Z32="","",IF(YEAR(EXPEDIENTE!$F$25)=YEAR(Z32),Z32,""))</f>
        <v/>
      </c>
      <c r="AB32" s="415" t="str">
        <f>IF(Z32="","",IF(YEAR(EXPEDIENTE!$F$25)+1=YEAR(Z32),Z32,""))</f>
        <v/>
      </c>
      <c r="AC32" s="415" t="str">
        <f>IF(Z32="","",IF(YEAR(EXPEDIENTE!$F$25)+2=YEAR(Z32),Z32,""))</f>
        <v/>
      </c>
      <c r="AD32" s="415" t="str">
        <f>IF(Z32="","",IF(YEAR(EXPEDIENTE!$F$25)+3=YEAR(Z32),Z32,""))</f>
        <v/>
      </c>
      <c r="AG32" s="395"/>
      <c r="AH32" s="395"/>
      <c r="AI32" s="395"/>
      <c r="AJ32" s="395"/>
      <c r="AK32" s="395"/>
      <c r="AL32" s="395"/>
      <c r="AM32" s="395"/>
      <c r="AN32" s="395"/>
      <c r="AO32" s="395"/>
      <c r="AP32" s="395"/>
      <c r="AQ32" s="395"/>
      <c r="AR32" s="395"/>
      <c r="AS32" s="395"/>
      <c r="AT32" s="395"/>
      <c r="AU32" s="395"/>
      <c r="AV32" s="395"/>
      <c r="AW32" s="395"/>
      <c r="AY32" s="426">
        <v>10</v>
      </c>
      <c r="AZ32" s="427">
        <f t="shared" si="106"/>
        <v>45566</v>
      </c>
      <c r="BA32" s="436">
        <f t="shared" si="122"/>
        <v>0</v>
      </c>
      <c r="BB32" s="437">
        <f t="shared" si="123"/>
        <v>0</v>
      </c>
      <c r="BC32" s="437">
        <f t="shared" si="124"/>
        <v>0</v>
      </c>
      <c r="BD32" s="437">
        <f t="shared" si="125"/>
        <v>0</v>
      </c>
      <c r="BE32" s="437">
        <f t="shared" si="126"/>
        <v>0</v>
      </c>
      <c r="BF32" s="437">
        <f t="shared" si="127"/>
        <v>0</v>
      </c>
      <c r="BG32" s="437">
        <f t="shared" si="128"/>
        <v>0</v>
      </c>
      <c r="BH32" s="438">
        <f t="shared" si="129"/>
        <v>0</v>
      </c>
      <c r="BI32" s="439">
        <f t="shared" si="130"/>
        <v>0</v>
      </c>
      <c r="BK32" s="436">
        <f t="shared" si="131"/>
        <v>0</v>
      </c>
      <c r="BL32" s="437">
        <f t="shared" si="132"/>
        <v>0</v>
      </c>
      <c r="BM32" s="437">
        <f t="shared" si="133"/>
        <v>0</v>
      </c>
      <c r="BN32" s="437">
        <f t="shared" si="134"/>
        <v>0</v>
      </c>
      <c r="BO32" s="437">
        <f t="shared" si="135"/>
        <v>0</v>
      </c>
      <c r="BP32" s="437">
        <f t="shared" si="136"/>
        <v>0</v>
      </c>
      <c r="BQ32" s="437">
        <f t="shared" si="137"/>
        <v>0</v>
      </c>
      <c r="BR32" s="438">
        <f t="shared" si="138"/>
        <v>0</v>
      </c>
      <c r="BS32" s="439">
        <f t="shared" si="109"/>
        <v>0</v>
      </c>
      <c r="BU32" s="439">
        <f t="shared" si="139"/>
        <v>0</v>
      </c>
      <c r="BX32" s="395"/>
      <c r="BY32" s="395"/>
      <c r="BZ32" s="395"/>
      <c r="CA32" s="395"/>
      <c r="CB32" s="395"/>
      <c r="CC32" s="395"/>
      <c r="CD32" s="395"/>
      <c r="CE32" s="395"/>
      <c r="CF32" s="395"/>
      <c r="CG32" s="395"/>
      <c r="CH32" s="395"/>
      <c r="CI32" s="395"/>
      <c r="CJ32" s="395"/>
      <c r="CK32" s="395"/>
      <c r="CL32" s="395"/>
      <c r="CM32" s="395"/>
      <c r="CN32" s="395"/>
      <c r="CP32" s="426">
        <v>10</v>
      </c>
      <c r="CQ32" s="427">
        <f t="shared" si="111"/>
        <v>45566</v>
      </c>
      <c r="CR32" s="440">
        <f t="shared" si="144"/>
        <v>0</v>
      </c>
      <c r="CS32" s="426">
        <f t="shared" si="145"/>
        <v>0</v>
      </c>
      <c r="CT32" s="426">
        <f t="shared" si="146"/>
        <v>0</v>
      </c>
      <c r="CU32" s="426">
        <f t="shared" si="147"/>
        <v>0</v>
      </c>
      <c r="CV32" s="426">
        <f t="shared" si="148"/>
        <v>0</v>
      </c>
      <c r="CW32" s="426">
        <f t="shared" si="149"/>
        <v>0</v>
      </c>
      <c r="CX32" s="426">
        <f t="shared" si="150"/>
        <v>0</v>
      </c>
      <c r="CY32" s="441">
        <f t="shared" si="151"/>
        <v>0</v>
      </c>
      <c r="CZ32" s="439">
        <f t="shared" si="152"/>
        <v>0</v>
      </c>
      <c r="DB32" s="440">
        <f t="shared" si="153"/>
        <v>0</v>
      </c>
      <c r="DC32" s="426">
        <f t="shared" si="154"/>
        <v>0</v>
      </c>
      <c r="DD32" s="426">
        <f t="shared" si="155"/>
        <v>0</v>
      </c>
      <c r="DE32" s="426">
        <f t="shared" si="156"/>
        <v>0</v>
      </c>
      <c r="DF32" s="426">
        <f t="shared" si="157"/>
        <v>0</v>
      </c>
      <c r="DG32" s="426">
        <f t="shared" si="158"/>
        <v>0</v>
      </c>
      <c r="DH32" s="426">
        <f t="shared" si="159"/>
        <v>0</v>
      </c>
      <c r="DI32" s="441">
        <f t="shared" si="160"/>
        <v>0</v>
      </c>
      <c r="DJ32" s="439">
        <f t="shared" si="112"/>
        <v>0</v>
      </c>
      <c r="DL32" s="439">
        <f t="shared" si="161"/>
        <v>0</v>
      </c>
      <c r="DN32" s="395"/>
      <c r="DX32" s="389">
        <v>13</v>
      </c>
      <c r="DY32" s="433">
        <f t="shared" si="101"/>
        <v>45658</v>
      </c>
      <c r="DZ32" s="433">
        <f t="shared" si="102"/>
        <v>45688</v>
      </c>
      <c r="EA32" s="389" t="str">
        <f>IF(AND(DZ32&gt;=EXPEDIENTE!$F$25,DY32&lt;=EXPEDIENTE!$F$29),"SI","NO")</f>
        <v>SI</v>
      </c>
      <c r="EB32" s="426">
        <f t="shared" si="12"/>
        <v>0</v>
      </c>
      <c r="EC32" s="426">
        <f t="shared" si="13"/>
        <v>0</v>
      </c>
      <c r="ED32" s="426">
        <f t="shared" si="14"/>
        <v>0</v>
      </c>
      <c r="EE32" s="426">
        <f t="shared" si="15"/>
        <v>0</v>
      </c>
      <c r="EF32" s="426">
        <f t="shared" si="16"/>
        <v>0</v>
      </c>
      <c r="EG32" s="426">
        <f t="shared" si="17"/>
        <v>0</v>
      </c>
      <c r="EH32" s="426">
        <f t="shared" si="18"/>
        <v>0</v>
      </c>
      <c r="EI32" s="426">
        <f t="shared" si="19"/>
        <v>0</v>
      </c>
      <c r="EJ32" s="426">
        <f t="shared" si="20"/>
        <v>0</v>
      </c>
      <c r="EK32" s="426">
        <f t="shared" si="21"/>
        <v>0</v>
      </c>
      <c r="EL32" s="426">
        <f t="shared" si="22"/>
        <v>0</v>
      </c>
      <c r="EM32" s="426">
        <f t="shared" si="23"/>
        <v>0</v>
      </c>
      <c r="EN32" s="426">
        <f t="shared" si="24"/>
        <v>0</v>
      </c>
      <c r="EO32" s="426">
        <f t="shared" si="25"/>
        <v>0</v>
      </c>
      <c r="EP32" s="426">
        <f t="shared" si="26"/>
        <v>0</v>
      </c>
      <c r="EQ32" s="426">
        <f t="shared" si="27"/>
        <v>0</v>
      </c>
      <c r="ER32" s="426">
        <f t="shared" si="28"/>
        <v>0</v>
      </c>
      <c r="ES32" s="426">
        <f t="shared" si="29"/>
        <v>0</v>
      </c>
      <c r="ET32" s="426">
        <f t="shared" si="30"/>
        <v>0</v>
      </c>
      <c r="EU32" s="426">
        <f t="shared" si="31"/>
        <v>0</v>
      </c>
      <c r="EV32" s="426">
        <f t="shared" si="32"/>
        <v>0</v>
      </c>
      <c r="EW32" s="426">
        <f t="shared" si="33"/>
        <v>0</v>
      </c>
      <c r="EX32" s="426">
        <f t="shared" si="34"/>
        <v>0</v>
      </c>
      <c r="EY32" s="426">
        <f t="shared" si="35"/>
        <v>0</v>
      </c>
      <c r="EZ32" s="426">
        <f t="shared" si="36"/>
        <v>0</v>
      </c>
      <c r="FA32" s="426">
        <f t="shared" si="37"/>
        <v>0</v>
      </c>
      <c r="FB32" s="426">
        <f t="shared" si="38"/>
        <v>0</v>
      </c>
      <c r="FC32" s="426">
        <f t="shared" si="39"/>
        <v>0</v>
      </c>
      <c r="FD32" s="426">
        <f t="shared" si="40"/>
        <v>0</v>
      </c>
      <c r="FE32" s="426">
        <f t="shared" si="41"/>
        <v>0</v>
      </c>
      <c r="FF32" s="426">
        <f t="shared" si="42"/>
        <v>0</v>
      </c>
      <c r="FG32" s="426">
        <f t="shared" si="43"/>
        <v>0</v>
      </c>
      <c r="FH32" s="426">
        <f t="shared" si="66"/>
        <v>0</v>
      </c>
      <c r="FJ32" s="121">
        <v>10</v>
      </c>
      <c r="FK32" s="495">
        <f>DATE(YEAR(EXPEDIENTE!$F$25),FJ32,1)</f>
        <v>45566</v>
      </c>
      <c r="FL32" s="495" t="str">
        <f>IF('GASTOS EJER. 1'!I58="","",'GASTOS EJER. 1'!I58)</f>
        <v/>
      </c>
      <c r="FM32" s="503">
        <f>'GASTOS EJER. 1'!X29</f>
        <v>0</v>
      </c>
      <c r="FN32" s="503">
        <f>'GASTOS EJER. 1'!H58</f>
        <v>0</v>
      </c>
      <c r="FO32" s="426">
        <f t="shared" si="165"/>
        <v>0</v>
      </c>
      <c r="FP32" s="503">
        <f t="shared" si="115"/>
        <v>0</v>
      </c>
      <c r="FR32" s="395"/>
      <c r="GB32" s="389">
        <v>13</v>
      </c>
      <c r="GC32" s="433">
        <f t="shared" si="103"/>
        <v>45658</v>
      </c>
      <c r="GD32" s="433">
        <f t="shared" si="104"/>
        <v>45688</v>
      </c>
      <c r="GE32" s="389" t="str">
        <f>IF(AND(GD32&gt;=EXPEDIENTE!$F$25,GC32&lt;=EXPEDIENTE!$F$29),"SI","NO")</f>
        <v>SI</v>
      </c>
      <c r="GF32" s="426">
        <f t="shared" si="67"/>
        <v>0</v>
      </c>
      <c r="GG32" s="426">
        <f t="shared" si="68"/>
        <v>0</v>
      </c>
      <c r="GH32" s="426">
        <f t="shared" si="69"/>
        <v>0</v>
      </c>
      <c r="GI32" s="426">
        <f t="shared" si="70"/>
        <v>0</v>
      </c>
      <c r="GJ32" s="426">
        <f t="shared" si="71"/>
        <v>0</v>
      </c>
      <c r="GK32" s="426">
        <f t="shared" si="72"/>
        <v>0</v>
      </c>
      <c r="GL32" s="426">
        <f t="shared" si="73"/>
        <v>0</v>
      </c>
      <c r="GM32" s="426">
        <f t="shared" si="74"/>
        <v>0</v>
      </c>
      <c r="GN32" s="426">
        <f t="shared" si="75"/>
        <v>0</v>
      </c>
      <c r="GO32" s="426">
        <f t="shared" si="76"/>
        <v>0</v>
      </c>
      <c r="GP32" s="426">
        <f t="shared" si="77"/>
        <v>0</v>
      </c>
      <c r="GQ32" s="426">
        <f t="shared" si="78"/>
        <v>0</v>
      </c>
      <c r="GR32" s="426">
        <f t="shared" si="79"/>
        <v>0</v>
      </c>
      <c r="GS32" s="426">
        <f t="shared" si="80"/>
        <v>0</v>
      </c>
      <c r="GT32" s="426">
        <f t="shared" si="81"/>
        <v>0</v>
      </c>
      <c r="GU32" s="426">
        <f t="shared" si="82"/>
        <v>0</v>
      </c>
      <c r="GV32" s="426">
        <f t="shared" si="83"/>
        <v>0</v>
      </c>
      <c r="GW32" s="426">
        <f t="shared" si="84"/>
        <v>0</v>
      </c>
      <c r="GX32" s="426">
        <f t="shared" si="85"/>
        <v>0</v>
      </c>
      <c r="GY32" s="426">
        <f t="shared" si="86"/>
        <v>0</v>
      </c>
      <c r="GZ32" s="426">
        <f t="shared" si="87"/>
        <v>0</v>
      </c>
      <c r="HA32" s="426">
        <f t="shared" si="88"/>
        <v>0</v>
      </c>
      <c r="HB32" s="426">
        <f t="shared" si="89"/>
        <v>0</v>
      </c>
      <c r="HC32" s="426">
        <f t="shared" si="90"/>
        <v>0</v>
      </c>
      <c r="HD32" s="426">
        <f t="shared" si="91"/>
        <v>0</v>
      </c>
      <c r="HE32" s="426">
        <f t="shared" si="92"/>
        <v>0</v>
      </c>
      <c r="HF32" s="426">
        <f t="shared" si="93"/>
        <v>0</v>
      </c>
      <c r="HG32" s="426">
        <f t="shared" si="94"/>
        <v>0</v>
      </c>
      <c r="HH32" s="426">
        <f t="shared" si="95"/>
        <v>0</v>
      </c>
      <c r="HI32" s="426">
        <f t="shared" si="96"/>
        <v>0</v>
      </c>
      <c r="HJ32" s="426">
        <f t="shared" si="97"/>
        <v>0</v>
      </c>
      <c r="HK32" s="426">
        <f t="shared" si="98"/>
        <v>0</v>
      </c>
      <c r="HL32" s="426">
        <f t="shared" si="99"/>
        <v>0</v>
      </c>
      <c r="HO32" s="121">
        <v>10</v>
      </c>
      <c r="HP32" s="495">
        <f>DATE(YEAR(EXPEDIENTE!$F$25),HO32,1)</f>
        <v>45566</v>
      </c>
      <c r="HQ32" s="495" t="str">
        <f>IF('GASTOS EJER. 1'!BF58="","",'GASTOS EJER. 1'!BF58)</f>
        <v/>
      </c>
      <c r="HR32" s="503">
        <f>'GASTOS EJER. 1'!CM29</f>
        <v>0</v>
      </c>
      <c r="HS32" s="503">
        <f>'GASTOS EJER. 1'!BA58</f>
        <v>0</v>
      </c>
      <c r="HT32" s="426">
        <f t="shared" si="169"/>
        <v>0</v>
      </c>
      <c r="HU32" s="503">
        <f t="shared" si="117"/>
        <v>0</v>
      </c>
      <c r="JC32" s="419">
        <v>28</v>
      </c>
      <c r="JD32" s="401">
        <f t="shared" si="100"/>
        <v>10</v>
      </c>
    </row>
    <row r="33" spans="3:264" x14ac:dyDescent="0.25">
      <c r="C33" s="209">
        <v>27</v>
      </c>
      <c r="D33" s="404"/>
      <c r="E33" s="420"/>
      <c r="F33" s="421"/>
      <c r="G33" s="422"/>
      <c r="H33" s="422"/>
      <c r="I33" s="422"/>
      <c r="J33" s="404"/>
      <c r="K33" s="410">
        <f t="shared" si="52"/>
        <v>76</v>
      </c>
      <c r="L33" s="410">
        <f t="shared" si="53"/>
        <v>76</v>
      </c>
      <c r="M33" s="410" t="str">
        <f t="shared" si="54"/>
        <v>X</v>
      </c>
      <c r="Y33" s="425">
        <f t="shared" si="0"/>
        <v>28</v>
      </c>
      <c r="Z33" s="415" t="str">
        <f>IF(Y33="","",IF(EDATE($Z$5,Y33)&gt;EXPEDIENTE!$F$27,"",EDATE($Z$5,Y33)))</f>
        <v/>
      </c>
      <c r="AA33" s="415" t="str">
        <f>IF(Z33="","",IF(YEAR(EXPEDIENTE!$F$25)=YEAR(Z33),Z33,""))</f>
        <v/>
      </c>
      <c r="AB33" s="415" t="str">
        <f>IF(Z33="","",IF(YEAR(EXPEDIENTE!$F$25)+1=YEAR(Z33),Z33,""))</f>
        <v/>
      </c>
      <c r="AC33" s="415" t="str">
        <f>IF(Z33="","",IF(YEAR(EXPEDIENTE!$F$25)+2=YEAR(Z33),Z33,""))</f>
        <v/>
      </c>
      <c r="AD33" s="415" t="str">
        <f>IF(Z33="","",IF(YEAR(EXPEDIENTE!$F$25)+3=YEAR(Z33),Z33,""))</f>
        <v/>
      </c>
      <c r="AG33" s="395"/>
      <c r="AH33" s="395"/>
      <c r="AI33" s="395"/>
      <c r="AJ33" s="395"/>
      <c r="AK33" s="395"/>
      <c r="AL33" s="395"/>
      <c r="AM33" s="395"/>
      <c r="AN33" s="395"/>
      <c r="AO33" s="395"/>
      <c r="AP33" s="395"/>
      <c r="AQ33" s="395"/>
      <c r="AR33" s="395"/>
      <c r="AS33" s="395"/>
      <c r="AT33" s="395"/>
      <c r="AU33" s="395"/>
      <c r="AV33" s="395"/>
      <c r="AW33" s="395"/>
      <c r="AY33" s="426">
        <v>11</v>
      </c>
      <c r="AZ33" s="427">
        <f t="shared" si="106"/>
        <v>45597</v>
      </c>
      <c r="BA33" s="436">
        <f t="shared" si="122"/>
        <v>0</v>
      </c>
      <c r="BB33" s="437">
        <f t="shared" si="123"/>
        <v>0</v>
      </c>
      <c r="BC33" s="437">
        <f t="shared" si="124"/>
        <v>0</v>
      </c>
      <c r="BD33" s="437">
        <f t="shared" si="125"/>
        <v>0</v>
      </c>
      <c r="BE33" s="437">
        <f t="shared" si="126"/>
        <v>0</v>
      </c>
      <c r="BF33" s="437">
        <f t="shared" si="127"/>
        <v>0</v>
      </c>
      <c r="BG33" s="437">
        <f t="shared" si="128"/>
        <v>0</v>
      </c>
      <c r="BH33" s="438">
        <f t="shared" si="129"/>
        <v>0</v>
      </c>
      <c r="BI33" s="439">
        <f t="shared" si="130"/>
        <v>0</v>
      </c>
      <c r="BK33" s="436">
        <f t="shared" si="131"/>
        <v>0</v>
      </c>
      <c r="BL33" s="437">
        <f t="shared" si="132"/>
        <v>0</v>
      </c>
      <c r="BM33" s="437">
        <f t="shared" si="133"/>
        <v>0</v>
      </c>
      <c r="BN33" s="437">
        <f t="shared" si="134"/>
        <v>0</v>
      </c>
      <c r="BO33" s="437">
        <f t="shared" si="135"/>
        <v>0</v>
      </c>
      <c r="BP33" s="437">
        <f t="shared" si="136"/>
        <v>0</v>
      </c>
      <c r="BQ33" s="437">
        <f t="shared" si="137"/>
        <v>0</v>
      </c>
      <c r="BR33" s="438">
        <f t="shared" si="138"/>
        <v>0</v>
      </c>
      <c r="BS33" s="439">
        <f t="shared" si="109"/>
        <v>0</v>
      </c>
      <c r="BU33" s="439">
        <f t="shared" si="139"/>
        <v>0</v>
      </c>
      <c r="BX33" s="395"/>
      <c r="BY33" s="395"/>
      <c r="BZ33" s="395"/>
      <c r="CA33" s="395"/>
      <c r="CB33" s="395"/>
      <c r="CC33" s="395"/>
      <c r="CD33" s="395"/>
      <c r="CE33" s="395"/>
      <c r="CF33" s="395"/>
      <c r="CG33" s="395"/>
      <c r="CH33" s="395"/>
      <c r="CI33" s="395"/>
      <c r="CJ33" s="395"/>
      <c r="CK33" s="395"/>
      <c r="CL33" s="395"/>
      <c r="CM33" s="395"/>
      <c r="CN33" s="395"/>
      <c r="CP33" s="426">
        <v>11</v>
      </c>
      <c r="CQ33" s="427">
        <f t="shared" si="111"/>
        <v>45597</v>
      </c>
      <c r="CR33" s="440">
        <f t="shared" si="144"/>
        <v>0</v>
      </c>
      <c r="CS33" s="426">
        <f t="shared" si="145"/>
        <v>0</v>
      </c>
      <c r="CT33" s="426">
        <f t="shared" si="146"/>
        <v>0</v>
      </c>
      <c r="CU33" s="426">
        <f t="shared" si="147"/>
        <v>0</v>
      </c>
      <c r="CV33" s="426">
        <f t="shared" si="148"/>
        <v>0</v>
      </c>
      <c r="CW33" s="426">
        <f t="shared" si="149"/>
        <v>0</v>
      </c>
      <c r="CX33" s="426">
        <f t="shared" si="150"/>
        <v>0</v>
      </c>
      <c r="CY33" s="441">
        <f t="shared" si="151"/>
        <v>0</v>
      </c>
      <c r="CZ33" s="439">
        <f t="shared" si="152"/>
        <v>0</v>
      </c>
      <c r="DB33" s="440">
        <f t="shared" si="153"/>
        <v>0</v>
      </c>
      <c r="DC33" s="426">
        <f t="shared" si="154"/>
        <v>0</v>
      </c>
      <c r="DD33" s="426">
        <f t="shared" si="155"/>
        <v>0</v>
      </c>
      <c r="DE33" s="426">
        <f t="shared" si="156"/>
        <v>0</v>
      </c>
      <c r="DF33" s="426">
        <f t="shared" si="157"/>
        <v>0</v>
      </c>
      <c r="DG33" s="426">
        <f t="shared" si="158"/>
        <v>0</v>
      </c>
      <c r="DH33" s="426">
        <f t="shared" si="159"/>
        <v>0</v>
      </c>
      <c r="DI33" s="441">
        <f t="shared" si="160"/>
        <v>0</v>
      </c>
      <c r="DJ33" s="439">
        <f t="shared" si="112"/>
        <v>0</v>
      </c>
      <c r="DL33" s="439">
        <f t="shared" si="161"/>
        <v>0</v>
      </c>
      <c r="DN33" s="395"/>
      <c r="DX33" s="389">
        <v>14</v>
      </c>
      <c r="DY33" s="433">
        <f t="shared" si="101"/>
        <v>45689</v>
      </c>
      <c r="DZ33" s="433">
        <f t="shared" si="102"/>
        <v>45716</v>
      </c>
      <c r="EA33" s="389" t="str">
        <f>IF(AND(DZ33&gt;=EXPEDIENTE!$F$25,DY33&lt;=EXPEDIENTE!$F$29),"SI","NO")</f>
        <v>SI</v>
      </c>
      <c r="EB33" s="426">
        <f t="shared" si="12"/>
        <v>0</v>
      </c>
      <c r="EC33" s="426">
        <f t="shared" si="13"/>
        <v>0</v>
      </c>
      <c r="ED33" s="426">
        <f t="shared" si="14"/>
        <v>0</v>
      </c>
      <c r="EE33" s="426">
        <f t="shared" si="15"/>
        <v>0</v>
      </c>
      <c r="EF33" s="426">
        <f t="shared" si="16"/>
        <v>0</v>
      </c>
      <c r="EG33" s="426">
        <f t="shared" si="17"/>
        <v>0</v>
      </c>
      <c r="EH33" s="426">
        <f t="shared" si="18"/>
        <v>0</v>
      </c>
      <c r="EI33" s="426">
        <f t="shared" si="19"/>
        <v>0</v>
      </c>
      <c r="EJ33" s="426">
        <f t="shared" si="20"/>
        <v>0</v>
      </c>
      <c r="EK33" s="426">
        <f t="shared" si="21"/>
        <v>0</v>
      </c>
      <c r="EL33" s="426">
        <f t="shared" si="22"/>
        <v>0</v>
      </c>
      <c r="EM33" s="426">
        <f t="shared" si="23"/>
        <v>0</v>
      </c>
      <c r="EN33" s="426">
        <f t="shared" si="24"/>
        <v>0</v>
      </c>
      <c r="EO33" s="426">
        <f t="shared" si="25"/>
        <v>0</v>
      </c>
      <c r="EP33" s="426">
        <f t="shared" si="26"/>
        <v>0</v>
      </c>
      <c r="EQ33" s="426">
        <f t="shared" si="27"/>
        <v>0</v>
      </c>
      <c r="ER33" s="426">
        <f t="shared" si="28"/>
        <v>0</v>
      </c>
      <c r="ES33" s="426">
        <f t="shared" si="29"/>
        <v>0</v>
      </c>
      <c r="ET33" s="426">
        <f t="shared" si="30"/>
        <v>0</v>
      </c>
      <c r="EU33" s="426">
        <f t="shared" si="31"/>
        <v>0</v>
      </c>
      <c r="EV33" s="426">
        <f t="shared" si="32"/>
        <v>0</v>
      </c>
      <c r="EW33" s="426">
        <f t="shared" si="33"/>
        <v>0</v>
      </c>
      <c r="EX33" s="426">
        <f t="shared" si="34"/>
        <v>0</v>
      </c>
      <c r="EY33" s="426">
        <f t="shared" si="35"/>
        <v>0</v>
      </c>
      <c r="EZ33" s="426">
        <f t="shared" si="36"/>
        <v>0</v>
      </c>
      <c r="FA33" s="426">
        <f t="shared" si="37"/>
        <v>0</v>
      </c>
      <c r="FB33" s="426">
        <f t="shared" si="38"/>
        <v>0</v>
      </c>
      <c r="FC33" s="426">
        <f t="shared" si="39"/>
        <v>0</v>
      </c>
      <c r="FD33" s="426">
        <f t="shared" si="40"/>
        <v>0</v>
      </c>
      <c r="FE33" s="426">
        <f t="shared" si="41"/>
        <v>0</v>
      </c>
      <c r="FF33" s="426">
        <f t="shared" si="42"/>
        <v>0</v>
      </c>
      <c r="FG33" s="426">
        <f t="shared" si="43"/>
        <v>0</v>
      </c>
      <c r="FH33" s="426">
        <f t="shared" si="66"/>
        <v>0</v>
      </c>
      <c r="FJ33" s="121">
        <v>11</v>
      </c>
      <c r="FK33" s="495">
        <f>DATE(YEAR(EXPEDIENTE!$F$25),FJ33,1)</f>
        <v>45597</v>
      </c>
      <c r="FL33" s="495" t="str">
        <f>IF('GASTOS EJER. 1'!I59="","",'GASTOS EJER. 1'!I59)</f>
        <v/>
      </c>
      <c r="FM33" s="503">
        <f>'GASTOS EJER. 1'!X30</f>
        <v>0</v>
      </c>
      <c r="FN33" s="503">
        <f>'GASTOS EJER. 1'!H59</f>
        <v>0</v>
      </c>
      <c r="FO33" s="426">
        <f t="shared" si="165"/>
        <v>0</v>
      </c>
      <c r="FP33" s="503">
        <f t="shared" si="115"/>
        <v>0</v>
      </c>
      <c r="FR33" s="395"/>
      <c r="GB33" s="389">
        <v>14</v>
      </c>
      <c r="GC33" s="433">
        <f t="shared" si="103"/>
        <v>45689</v>
      </c>
      <c r="GD33" s="433">
        <f t="shared" si="104"/>
        <v>45716</v>
      </c>
      <c r="GE33" s="389" t="str">
        <f>IF(AND(GD33&gt;=EXPEDIENTE!$F$25,GC33&lt;=EXPEDIENTE!$F$29),"SI","NO")</f>
        <v>SI</v>
      </c>
      <c r="GF33" s="426">
        <f t="shared" si="67"/>
        <v>0</v>
      </c>
      <c r="GG33" s="426">
        <f t="shared" si="68"/>
        <v>0</v>
      </c>
      <c r="GH33" s="426">
        <f t="shared" si="69"/>
        <v>0</v>
      </c>
      <c r="GI33" s="426">
        <f t="shared" si="70"/>
        <v>0</v>
      </c>
      <c r="GJ33" s="426">
        <f t="shared" si="71"/>
        <v>0</v>
      </c>
      <c r="GK33" s="426">
        <f t="shared" si="72"/>
        <v>0</v>
      </c>
      <c r="GL33" s="426">
        <f t="shared" si="73"/>
        <v>0</v>
      </c>
      <c r="GM33" s="426">
        <f t="shared" si="74"/>
        <v>0</v>
      </c>
      <c r="GN33" s="426">
        <f t="shared" si="75"/>
        <v>0</v>
      </c>
      <c r="GO33" s="426">
        <f t="shared" si="76"/>
        <v>0</v>
      </c>
      <c r="GP33" s="426">
        <f t="shared" si="77"/>
        <v>0</v>
      </c>
      <c r="GQ33" s="426">
        <f t="shared" si="78"/>
        <v>0</v>
      </c>
      <c r="GR33" s="426">
        <f t="shared" si="79"/>
        <v>0</v>
      </c>
      <c r="GS33" s="426">
        <f t="shared" si="80"/>
        <v>0</v>
      </c>
      <c r="GT33" s="426">
        <f t="shared" si="81"/>
        <v>0</v>
      </c>
      <c r="GU33" s="426">
        <f t="shared" si="82"/>
        <v>0</v>
      </c>
      <c r="GV33" s="426">
        <f t="shared" si="83"/>
        <v>0</v>
      </c>
      <c r="GW33" s="426">
        <f t="shared" si="84"/>
        <v>0</v>
      </c>
      <c r="GX33" s="426">
        <f t="shared" si="85"/>
        <v>0</v>
      </c>
      <c r="GY33" s="426">
        <f t="shared" si="86"/>
        <v>0</v>
      </c>
      <c r="GZ33" s="426">
        <f t="shared" si="87"/>
        <v>0</v>
      </c>
      <c r="HA33" s="426">
        <f t="shared" si="88"/>
        <v>0</v>
      </c>
      <c r="HB33" s="426">
        <f t="shared" si="89"/>
        <v>0</v>
      </c>
      <c r="HC33" s="426">
        <f t="shared" si="90"/>
        <v>0</v>
      </c>
      <c r="HD33" s="426">
        <f t="shared" si="91"/>
        <v>0</v>
      </c>
      <c r="HE33" s="426">
        <f t="shared" si="92"/>
        <v>0</v>
      </c>
      <c r="HF33" s="426">
        <f t="shared" si="93"/>
        <v>0</v>
      </c>
      <c r="HG33" s="426">
        <f t="shared" si="94"/>
        <v>0</v>
      </c>
      <c r="HH33" s="426">
        <f t="shared" si="95"/>
        <v>0</v>
      </c>
      <c r="HI33" s="426">
        <f t="shared" si="96"/>
        <v>0</v>
      </c>
      <c r="HJ33" s="426">
        <f t="shared" si="97"/>
        <v>0</v>
      </c>
      <c r="HK33" s="426">
        <f t="shared" si="98"/>
        <v>0</v>
      </c>
      <c r="HL33" s="426">
        <f t="shared" si="99"/>
        <v>0</v>
      </c>
      <c r="HO33" s="121">
        <v>11</v>
      </c>
      <c r="HP33" s="495">
        <f>DATE(YEAR(EXPEDIENTE!$F$25),HO33,1)</f>
        <v>45597</v>
      </c>
      <c r="HQ33" s="495" t="str">
        <f>IF('GASTOS EJER. 1'!BF59="","",'GASTOS EJER. 1'!BF59)</f>
        <v/>
      </c>
      <c r="HR33" s="503">
        <f>'GASTOS EJER. 1'!CM30</f>
        <v>0</v>
      </c>
      <c r="HS33" s="503">
        <f>'GASTOS EJER. 1'!BA59</f>
        <v>0</v>
      </c>
      <c r="HT33" s="426">
        <f t="shared" si="169"/>
        <v>0</v>
      </c>
      <c r="HU33" s="503">
        <f t="shared" si="117"/>
        <v>0</v>
      </c>
      <c r="JC33" s="419">
        <v>29</v>
      </c>
      <c r="JD33" s="401">
        <f t="shared" si="100"/>
        <v>10</v>
      </c>
    </row>
    <row r="34" spans="3:264" ht="15.75" thickBot="1" x14ac:dyDescent="0.3">
      <c r="C34" s="209">
        <v>28</v>
      </c>
      <c r="D34" s="404"/>
      <c r="E34" s="420"/>
      <c r="F34" s="421"/>
      <c r="G34" s="422"/>
      <c r="H34" s="422"/>
      <c r="I34" s="422"/>
      <c r="J34" s="404"/>
      <c r="K34" s="410">
        <f t="shared" si="52"/>
        <v>76</v>
      </c>
      <c r="L34" s="410">
        <f t="shared" si="53"/>
        <v>76</v>
      </c>
      <c r="M34" s="410" t="str">
        <f t="shared" si="54"/>
        <v>X</v>
      </c>
      <c r="Y34" s="425">
        <f t="shared" si="0"/>
        <v>29</v>
      </c>
      <c r="Z34" s="415" t="str">
        <f>IF(Y34="","",IF(EDATE($Z$5,Y34)&gt;EXPEDIENTE!$F$27,"",EDATE($Z$5,Y34)))</f>
        <v/>
      </c>
      <c r="AA34" s="415" t="str">
        <f>IF(Z34="","",IF(YEAR(EXPEDIENTE!$F$25)=YEAR(Z34),Z34,""))</f>
        <v/>
      </c>
      <c r="AB34" s="415" t="str">
        <f>IF(Z34="","",IF(YEAR(EXPEDIENTE!$F$25)+1=YEAR(Z34),Z34,""))</f>
        <v/>
      </c>
      <c r="AC34" s="415" t="str">
        <f>IF(Z34="","",IF(YEAR(EXPEDIENTE!$F$25)+2=YEAR(Z34),Z34,""))</f>
        <v/>
      </c>
      <c r="AD34" s="415" t="str">
        <f>IF(Z34="","",IF(YEAR(EXPEDIENTE!$F$25)+3=YEAR(Z34),Z34,""))</f>
        <v/>
      </c>
      <c r="AG34" s="395"/>
      <c r="AH34" s="395"/>
      <c r="AI34" s="395"/>
      <c r="AJ34" s="395"/>
      <c r="AK34" s="395"/>
      <c r="AL34" s="395"/>
      <c r="AM34" s="395"/>
      <c r="AN34" s="395"/>
      <c r="AO34" s="395"/>
      <c r="AP34" s="395"/>
      <c r="AQ34" s="395"/>
      <c r="AR34" s="395"/>
      <c r="AS34" s="395"/>
      <c r="AT34" s="395"/>
      <c r="AU34" s="395"/>
      <c r="AV34" s="395"/>
      <c r="AW34" s="395"/>
      <c r="AY34" s="426">
        <v>12</v>
      </c>
      <c r="AZ34" s="427">
        <f t="shared" si="106"/>
        <v>45627</v>
      </c>
      <c r="BA34" s="449">
        <f t="shared" si="122"/>
        <v>0</v>
      </c>
      <c r="BB34" s="450">
        <f t="shared" si="123"/>
        <v>0</v>
      </c>
      <c r="BC34" s="450">
        <f t="shared" si="124"/>
        <v>0</v>
      </c>
      <c r="BD34" s="450">
        <f t="shared" si="125"/>
        <v>0</v>
      </c>
      <c r="BE34" s="450">
        <f t="shared" si="126"/>
        <v>0</v>
      </c>
      <c r="BF34" s="450">
        <f t="shared" si="127"/>
        <v>0</v>
      </c>
      <c r="BG34" s="450">
        <f t="shared" si="128"/>
        <v>0</v>
      </c>
      <c r="BH34" s="451">
        <f t="shared" si="129"/>
        <v>0</v>
      </c>
      <c r="BI34" s="452">
        <f t="shared" si="130"/>
        <v>0</v>
      </c>
      <c r="BK34" s="436">
        <f t="shared" si="131"/>
        <v>0</v>
      </c>
      <c r="BL34" s="437">
        <f>IF($AH$40=0,0,IF($BL$21=0,0,IF(AND(AZ34&gt;=$AS$40,AZ34&lt;=$AT$40),$AW$40,0)))</f>
        <v>0</v>
      </c>
      <c r="BM34" s="437">
        <f>IF($AH$41=0,0,IF($BM$21=0,0,IF(AND(AZ34&gt;=$AS$41,AZ34&lt;=$AT$41),$AW$41,0)))</f>
        <v>0</v>
      </c>
      <c r="BN34" s="437">
        <f t="shared" si="134"/>
        <v>0</v>
      </c>
      <c r="BO34" s="437">
        <f t="shared" si="135"/>
        <v>0</v>
      </c>
      <c r="BP34" s="437">
        <f t="shared" si="136"/>
        <v>0</v>
      </c>
      <c r="BQ34" s="437">
        <f t="shared" si="137"/>
        <v>0</v>
      </c>
      <c r="BR34" s="438">
        <f t="shared" si="138"/>
        <v>0</v>
      </c>
      <c r="BS34" s="439">
        <f t="shared" si="109"/>
        <v>0</v>
      </c>
      <c r="BU34" s="452">
        <f t="shared" si="139"/>
        <v>0</v>
      </c>
      <c r="BX34" s="395"/>
      <c r="BY34" s="395"/>
      <c r="BZ34" s="395"/>
      <c r="CA34" s="395"/>
      <c r="CB34" s="395"/>
      <c r="CC34" s="395"/>
      <c r="CD34" s="395"/>
      <c r="CE34" s="395"/>
      <c r="CF34" s="395"/>
      <c r="CG34" s="395"/>
      <c r="CH34" s="395"/>
      <c r="CI34" s="395"/>
      <c r="CJ34" s="395"/>
      <c r="CK34" s="395"/>
      <c r="CL34" s="395"/>
      <c r="CM34" s="395"/>
      <c r="CN34" s="395"/>
      <c r="CP34" s="426">
        <v>12</v>
      </c>
      <c r="CQ34" s="427">
        <f t="shared" si="111"/>
        <v>45627</v>
      </c>
      <c r="CR34" s="453">
        <f t="shared" si="144"/>
        <v>0</v>
      </c>
      <c r="CS34" s="454">
        <f t="shared" si="145"/>
        <v>0</v>
      </c>
      <c r="CT34" s="454">
        <f t="shared" si="146"/>
        <v>0</v>
      </c>
      <c r="CU34" s="454">
        <f t="shared" si="147"/>
        <v>0</v>
      </c>
      <c r="CV34" s="454">
        <f t="shared" si="148"/>
        <v>0</v>
      </c>
      <c r="CW34" s="454">
        <f t="shared" si="149"/>
        <v>0</v>
      </c>
      <c r="CX34" s="454">
        <f t="shared" si="150"/>
        <v>0</v>
      </c>
      <c r="CY34" s="455">
        <f t="shared" si="151"/>
        <v>0</v>
      </c>
      <c r="CZ34" s="452">
        <f t="shared" si="152"/>
        <v>0</v>
      </c>
      <c r="DB34" s="453">
        <f t="shared" si="153"/>
        <v>0</v>
      </c>
      <c r="DC34" s="454">
        <f t="shared" si="154"/>
        <v>0</v>
      </c>
      <c r="DD34" s="454">
        <f t="shared" si="155"/>
        <v>0</v>
      </c>
      <c r="DE34" s="454">
        <f t="shared" si="156"/>
        <v>0</v>
      </c>
      <c r="DF34" s="454">
        <f t="shared" si="157"/>
        <v>0</v>
      </c>
      <c r="DG34" s="454">
        <f t="shared" si="158"/>
        <v>0</v>
      </c>
      <c r="DH34" s="454">
        <f t="shared" si="159"/>
        <v>0</v>
      </c>
      <c r="DI34" s="455">
        <f t="shared" si="160"/>
        <v>0</v>
      </c>
      <c r="DJ34" s="452">
        <f t="shared" si="112"/>
        <v>0</v>
      </c>
      <c r="DL34" s="452">
        <f t="shared" si="161"/>
        <v>0</v>
      </c>
      <c r="DN34" s="395"/>
      <c r="DX34" s="389">
        <v>15</v>
      </c>
      <c r="DY34" s="433">
        <f t="shared" si="101"/>
        <v>45717</v>
      </c>
      <c r="DZ34" s="433">
        <f t="shared" si="102"/>
        <v>45747</v>
      </c>
      <c r="EA34" s="389" t="str">
        <f>IF(AND(DZ34&gt;=EXPEDIENTE!$F$25,DY34&lt;=EXPEDIENTE!$F$29),"SI","NO")</f>
        <v>SI</v>
      </c>
      <c r="EB34" s="426">
        <f t="shared" si="12"/>
        <v>0</v>
      </c>
      <c r="EC34" s="426">
        <f t="shared" si="13"/>
        <v>0</v>
      </c>
      <c r="ED34" s="426">
        <f t="shared" si="14"/>
        <v>0</v>
      </c>
      <c r="EE34" s="426">
        <f t="shared" si="15"/>
        <v>0</v>
      </c>
      <c r="EF34" s="426">
        <f t="shared" si="16"/>
        <v>0</v>
      </c>
      <c r="EG34" s="426">
        <f t="shared" si="17"/>
        <v>0</v>
      </c>
      <c r="EH34" s="426">
        <f t="shared" si="18"/>
        <v>0</v>
      </c>
      <c r="EI34" s="426">
        <f t="shared" si="19"/>
        <v>0</v>
      </c>
      <c r="EJ34" s="426">
        <f t="shared" si="20"/>
        <v>0</v>
      </c>
      <c r="EK34" s="426">
        <f t="shared" si="21"/>
        <v>0</v>
      </c>
      <c r="EL34" s="426">
        <f t="shared" si="22"/>
        <v>0</v>
      </c>
      <c r="EM34" s="426">
        <f t="shared" si="23"/>
        <v>0</v>
      </c>
      <c r="EN34" s="426">
        <f t="shared" si="24"/>
        <v>0</v>
      </c>
      <c r="EO34" s="426">
        <f t="shared" si="25"/>
        <v>0</v>
      </c>
      <c r="EP34" s="426">
        <f t="shared" si="26"/>
        <v>0</v>
      </c>
      <c r="EQ34" s="426">
        <f t="shared" si="27"/>
        <v>0</v>
      </c>
      <c r="ER34" s="426">
        <f t="shared" si="28"/>
        <v>0</v>
      </c>
      <c r="ES34" s="426">
        <f t="shared" si="29"/>
        <v>0</v>
      </c>
      <c r="ET34" s="426">
        <f t="shared" si="30"/>
        <v>0</v>
      </c>
      <c r="EU34" s="426">
        <f t="shared" si="31"/>
        <v>0</v>
      </c>
      <c r="EV34" s="426">
        <f t="shared" si="32"/>
        <v>0</v>
      </c>
      <c r="EW34" s="426">
        <f t="shared" si="33"/>
        <v>0</v>
      </c>
      <c r="EX34" s="426">
        <f t="shared" si="34"/>
        <v>0</v>
      </c>
      <c r="EY34" s="426">
        <f t="shared" si="35"/>
        <v>0</v>
      </c>
      <c r="EZ34" s="426">
        <f t="shared" si="36"/>
        <v>0</v>
      </c>
      <c r="FA34" s="426">
        <f t="shared" si="37"/>
        <v>0</v>
      </c>
      <c r="FB34" s="426">
        <f t="shared" si="38"/>
        <v>0</v>
      </c>
      <c r="FC34" s="426">
        <f t="shared" si="39"/>
        <v>0</v>
      </c>
      <c r="FD34" s="426">
        <f t="shared" si="40"/>
        <v>0</v>
      </c>
      <c r="FE34" s="426">
        <f t="shared" si="41"/>
        <v>0</v>
      </c>
      <c r="FF34" s="426">
        <f t="shared" si="42"/>
        <v>0</v>
      </c>
      <c r="FG34" s="426">
        <f t="shared" si="43"/>
        <v>0</v>
      </c>
      <c r="FH34" s="426">
        <f t="shared" si="66"/>
        <v>0</v>
      </c>
      <c r="FJ34" s="121">
        <v>12</v>
      </c>
      <c r="FK34" s="495">
        <f>DATE(YEAR(EXPEDIENTE!$F$25),FJ34,1)</f>
        <v>45627</v>
      </c>
      <c r="FL34" s="495" t="str">
        <f>IF('GASTOS EJER. 1'!I60="","",'GASTOS EJER. 1'!I60)</f>
        <v/>
      </c>
      <c r="FM34" s="503">
        <f>'GASTOS EJER. 1'!X31</f>
        <v>0</v>
      </c>
      <c r="FN34" s="503">
        <f>'GASTOS EJER. 1'!H60</f>
        <v>0</v>
      </c>
      <c r="FO34" s="426">
        <f t="shared" si="165"/>
        <v>0</v>
      </c>
      <c r="FP34" s="503">
        <f t="shared" si="115"/>
        <v>0</v>
      </c>
      <c r="FR34" s="395"/>
      <c r="GB34" s="389">
        <v>15</v>
      </c>
      <c r="GC34" s="433">
        <f t="shared" si="103"/>
        <v>45717</v>
      </c>
      <c r="GD34" s="433">
        <f t="shared" si="104"/>
        <v>45747</v>
      </c>
      <c r="GE34" s="389" t="str">
        <f>IF(AND(GD34&gt;=EXPEDIENTE!$F$25,GC34&lt;=EXPEDIENTE!$F$29),"SI","NO")</f>
        <v>SI</v>
      </c>
      <c r="GF34" s="426">
        <f t="shared" si="67"/>
        <v>0</v>
      </c>
      <c r="GG34" s="426">
        <f t="shared" si="68"/>
        <v>0</v>
      </c>
      <c r="GH34" s="426">
        <f t="shared" si="69"/>
        <v>0</v>
      </c>
      <c r="GI34" s="426">
        <f t="shared" si="70"/>
        <v>0</v>
      </c>
      <c r="GJ34" s="426">
        <f t="shared" si="71"/>
        <v>0</v>
      </c>
      <c r="GK34" s="426">
        <f t="shared" si="72"/>
        <v>0</v>
      </c>
      <c r="GL34" s="426">
        <f t="shared" si="73"/>
        <v>0</v>
      </c>
      <c r="GM34" s="426">
        <f t="shared" si="74"/>
        <v>0</v>
      </c>
      <c r="GN34" s="426">
        <f t="shared" si="75"/>
        <v>0</v>
      </c>
      <c r="GO34" s="426">
        <f t="shared" si="76"/>
        <v>0</v>
      </c>
      <c r="GP34" s="426">
        <f t="shared" si="77"/>
        <v>0</v>
      </c>
      <c r="GQ34" s="426">
        <f t="shared" si="78"/>
        <v>0</v>
      </c>
      <c r="GR34" s="426">
        <f t="shared" si="79"/>
        <v>0</v>
      </c>
      <c r="GS34" s="426">
        <f t="shared" si="80"/>
        <v>0</v>
      </c>
      <c r="GT34" s="426">
        <f t="shared" si="81"/>
        <v>0</v>
      </c>
      <c r="GU34" s="426">
        <f t="shared" si="82"/>
        <v>0</v>
      </c>
      <c r="GV34" s="426">
        <f t="shared" si="83"/>
        <v>0</v>
      </c>
      <c r="GW34" s="426">
        <f t="shared" si="84"/>
        <v>0</v>
      </c>
      <c r="GX34" s="426">
        <f t="shared" si="85"/>
        <v>0</v>
      </c>
      <c r="GY34" s="426">
        <f t="shared" si="86"/>
        <v>0</v>
      </c>
      <c r="GZ34" s="426">
        <f t="shared" si="87"/>
        <v>0</v>
      </c>
      <c r="HA34" s="426">
        <f t="shared" si="88"/>
        <v>0</v>
      </c>
      <c r="HB34" s="426">
        <f t="shared" si="89"/>
        <v>0</v>
      </c>
      <c r="HC34" s="426">
        <f t="shared" si="90"/>
        <v>0</v>
      </c>
      <c r="HD34" s="426">
        <f t="shared" si="91"/>
        <v>0</v>
      </c>
      <c r="HE34" s="426">
        <f t="shared" si="92"/>
        <v>0</v>
      </c>
      <c r="HF34" s="426">
        <f t="shared" si="93"/>
        <v>0</v>
      </c>
      <c r="HG34" s="426">
        <f t="shared" si="94"/>
        <v>0</v>
      </c>
      <c r="HH34" s="426">
        <f t="shared" si="95"/>
        <v>0</v>
      </c>
      <c r="HI34" s="426">
        <f t="shared" si="96"/>
        <v>0</v>
      </c>
      <c r="HJ34" s="426">
        <f t="shared" si="97"/>
        <v>0</v>
      </c>
      <c r="HK34" s="426">
        <f t="shared" si="98"/>
        <v>0</v>
      </c>
      <c r="HL34" s="426">
        <f t="shared" si="99"/>
        <v>0</v>
      </c>
      <c r="HO34" s="121">
        <v>12</v>
      </c>
      <c r="HP34" s="495">
        <f>DATE(YEAR(EXPEDIENTE!$F$25),HO34,1)</f>
        <v>45627</v>
      </c>
      <c r="HQ34" s="495" t="str">
        <f>IF('GASTOS EJER. 1'!BF60="","",'GASTOS EJER. 1'!BF60)</f>
        <v/>
      </c>
      <c r="HR34" s="503">
        <f>'GASTOS EJER. 1'!CM31</f>
        <v>0</v>
      </c>
      <c r="HS34" s="503">
        <f>'GASTOS EJER. 1'!BA60</f>
        <v>0</v>
      </c>
      <c r="HT34" s="426">
        <f t="shared" si="169"/>
        <v>0</v>
      </c>
      <c r="HU34" s="503">
        <f t="shared" si="117"/>
        <v>0</v>
      </c>
      <c r="JC34" s="445">
        <v>30</v>
      </c>
      <c r="JD34" s="401">
        <f t="shared" si="100"/>
        <v>10</v>
      </c>
    </row>
    <row r="35" spans="3:264" ht="15.75" customHeight="1" thickBot="1" x14ac:dyDescent="0.3">
      <c r="C35" s="209">
        <v>29</v>
      </c>
      <c r="D35" s="404"/>
      <c r="E35" s="420"/>
      <c r="F35" s="421"/>
      <c r="G35" s="422"/>
      <c r="H35" s="422"/>
      <c r="I35" s="422"/>
      <c r="J35" s="404"/>
      <c r="K35" s="410">
        <f t="shared" si="52"/>
        <v>76</v>
      </c>
      <c r="L35" s="410">
        <f t="shared" si="53"/>
        <v>76</v>
      </c>
      <c r="M35" s="410" t="str">
        <f t="shared" si="54"/>
        <v>X</v>
      </c>
      <c r="Y35" s="425">
        <f t="shared" si="0"/>
        <v>30</v>
      </c>
      <c r="Z35" s="415" t="str">
        <f>IF(Y35="","",IF(EDATE($Z$5,Y35)&gt;EXPEDIENTE!$F$27,"",EDATE($Z$5,Y35)))</f>
        <v/>
      </c>
      <c r="AA35" s="415" t="str">
        <f>IF(Z35="","",IF(YEAR(EXPEDIENTE!$F$25)=YEAR(Z35),Z35,""))</f>
        <v/>
      </c>
      <c r="AB35" s="415" t="str">
        <f>IF(Z35="","",IF(YEAR(EXPEDIENTE!$F$25)+1=YEAR(Z35),Z35,""))</f>
        <v/>
      </c>
      <c r="AC35" s="415" t="str">
        <f>IF(Z35="","",IF(YEAR(EXPEDIENTE!$F$25)+2=YEAR(Z35),Z35,""))</f>
        <v/>
      </c>
      <c r="AD35" s="415" t="str">
        <f>IF(Z35="","",IF(YEAR(EXPEDIENTE!$F$25)+3=YEAR(Z35),Z35,""))</f>
        <v/>
      </c>
      <c r="AG35" s="395"/>
      <c r="AL35" s="1013" t="s">
        <v>349</v>
      </c>
      <c r="AM35" s="1014" t="s">
        <v>64</v>
      </c>
      <c r="AN35" s="1015" t="s">
        <v>71</v>
      </c>
      <c r="AO35" s="1016" t="s">
        <v>204</v>
      </c>
      <c r="AP35" s="1011" t="s">
        <v>109</v>
      </c>
      <c r="AQ35" s="960"/>
      <c r="AR35" s="1012"/>
      <c r="AS35" s="1011" t="s">
        <v>203</v>
      </c>
      <c r="AT35" s="960"/>
      <c r="AU35" s="1012"/>
      <c r="AV35" s="1025" t="s">
        <v>205</v>
      </c>
      <c r="AW35" s="1019" t="s">
        <v>206</v>
      </c>
      <c r="AZ35" s="457"/>
      <c r="BX35" s="395"/>
      <c r="CC35" s="1013" t="s">
        <v>349</v>
      </c>
      <c r="CD35" s="1014" t="s">
        <v>64</v>
      </c>
      <c r="CE35" s="1015" t="s">
        <v>71</v>
      </c>
      <c r="CF35" s="1016" t="s">
        <v>204</v>
      </c>
      <c r="CG35" s="1011" t="s">
        <v>109</v>
      </c>
      <c r="CH35" s="960"/>
      <c r="CI35" s="1012"/>
      <c r="CJ35" s="1011" t="s">
        <v>203</v>
      </c>
      <c r="CK35" s="960"/>
      <c r="CL35" s="1012"/>
      <c r="CM35" s="1025" t="s">
        <v>205</v>
      </c>
      <c r="CN35" s="1019" t="s">
        <v>206</v>
      </c>
      <c r="CQ35" s="457"/>
      <c r="DN35" s="395"/>
      <c r="DO35" s="519" t="e">
        <f>AF39</f>
        <v>#VALUE!</v>
      </c>
      <c r="DP35" s="397"/>
      <c r="DQ35" s="397"/>
      <c r="DR35" s="397"/>
      <c r="DX35" s="389">
        <v>16</v>
      </c>
      <c r="DY35" s="433">
        <f t="shared" si="101"/>
        <v>45748</v>
      </c>
      <c r="DZ35" s="433">
        <f t="shared" si="102"/>
        <v>45777</v>
      </c>
      <c r="EA35" s="389" t="str">
        <f>IF(AND(DZ35&gt;=EXPEDIENTE!$F$25,DY35&lt;=EXPEDIENTE!$F$29),"SI","NO")</f>
        <v>SI</v>
      </c>
      <c r="EB35" s="426">
        <f t="shared" si="12"/>
        <v>0</v>
      </c>
      <c r="EC35" s="426">
        <f t="shared" si="13"/>
        <v>0</v>
      </c>
      <c r="ED35" s="426">
        <f t="shared" si="14"/>
        <v>0</v>
      </c>
      <c r="EE35" s="426">
        <f t="shared" si="15"/>
        <v>0</v>
      </c>
      <c r="EF35" s="426">
        <f t="shared" si="16"/>
        <v>0</v>
      </c>
      <c r="EG35" s="426">
        <f t="shared" si="17"/>
        <v>0</v>
      </c>
      <c r="EH35" s="426">
        <f t="shared" si="18"/>
        <v>0</v>
      </c>
      <c r="EI35" s="426">
        <f t="shared" si="19"/>
        <v>0</v>
      </c>
      <c r="EJ35" s="426">
        <f t="shared" si="20"/>
        <v>0</v>
      </c>
      <c r="EK35" s="426">
        <f t="shared" si="21"/>
        <v>0</v>
      </c>
      <c r="EL35" s="426">
        <f t="shared" si="22"/>
        <v>0</v>
      </c>
      <c r="EM35" s="426">
        <f t="shared" si="23"/>
        <v>0</v>
      </c>
      <c r="EN35" s="426">
        <f t="shared" si="24"/>
        <v>0</v>
      </c>
      <c r="EO35" s="426">
        <f t="shared" si="25"/>
        <v>0</v>
      </c>
      <c r="EP35" s="426">
        <f t="shared" si="26"/>
        <v>0</v>
      </c>
      <c r="EQ35" s="426">
        <f t="shared" si="27"/>
        <v>0</v>
      </c>
      <c r="ER35" s="426">
        <f t="shared" si="28"/>
        <v>0</v>
      </c>
      <c r="ES35" s="426">
        <f t="shared" si="29"/>
        <v>0</v>
      </c>
      <c r="ET35" s="426">
        <f t="shared" si="30"/>
        <v>0</v>
      </c>
      <c r="EU35" s="426">
        <f t="shared" si="31"/>
        <v>0</v>
      </c>
      <c r="EV35" s="426">
        <f t="shared" si="32"/>
        <v>0</v>
      </c>
      <c r="EW35" s="426">
        <f t="shared" si="33"/>
        <v>0</v>
      </c>
      <c r="EX35" s="426">
        <f t="shared" si="34"/>
        <v>0</v>
      </c>
      <c r="EY35" s="426">
        <f t="shared" si="35"/>
        <v>0</v>
      </c>
      <c r="EZ35" s="426">
        <f t="shared" si="36"/>
        <v>0</v>
      </c>
      <c r="FA35" s="426">
        <f t="shared" si="37"/>
        <v>0</v>
      </c>
      <c r="FB35" s="426">
        <f t="shared" si="38"/>
        <v>0</v>
      </c>
      <c r="FC35" s="426">
        <f t="shared" si="39"/>
        <v>0</v>
      </c>
      <c r="FD35" s="426">
        <f t="shared" si="40"/>
        <v>0</v>
      </c>
      <c r="FE35" s="426">
        <f t="shared" si="41"/>
        <v>0</v>
      </c>
      <c r="FF35" s="426">
        <f t="shared" si="42"/>
        <v>0</v>
      </c>
      <c r="FG35" s="426">
        <f t="shared" si="43"/>
        <v>0</v>
      </c>
      <c r="FH35" s="426">
        <f t="shared" si="66"/>
        <v>0</v>
      </c>
      <c r="FJ35" s="124"/>
      <c r="FK35" s="124"/>
      <c r="FL35" s="520"/>
      <c r="FM35" s="521"/>
      <c r="FN35" s="521"/>
      <c r="FP35" s="521"/>
      <c r="FR35" s="395"/>
      <c r="FS35" s="459" t="e">
        <f>BW39</f>
        <v>#VALUE!</v>
      </c>
      <c r="FT35" s="397"/>
      <c r="FU35" s="397"/>
      <c r="FV35" s="397"/>
      <c r="GB35" s="389">
        <v>16</v>
      </c>
      <c r="GC35" s="433">
        <f t="shared" si="103"/>
        <v>45748</v>
      </c>
      <c r="GD35" s="433">
        <f t="shared" si="104"/>
        <v>45777</v>
      </c>
      <c r="GE35" s="389" t="str">
        <f>IF(AND(GD35&gt;=EXPEDIENTE!$F$25,GC35&lt;=EXPEDIENTE!$F$29),"SI","NO")</f>
        <v>SI</v>
      </c>
      <c r="GF35" s="426">
        <f t="shared" si="67"/>
        <v>0</v>
      </c>
      <c r="GG35" s="426">
        <f t="shared" si="68"/>
        <v>0</v>
      </c>
      <c r="GH35" s="426">
        <f t="shared" si="69"/>
        <v>0</v>
      </c>
      <c r="GI35" s="426">
        <f t="shared" si="70"/>
        <v>0</v>
      </c>
      <c r="GJ35" s="426">
        <f t="shared" si="71"/>
        <v>0</v>
      </c>
      <c r="GK35" s="426">
        <f t="shared" si="72"/>
        <v>0</v>
      </c>
      <c r="GL35" s="426">
        <f t="shared" si="73"/>
        <v>0</v>
      </c>
      <c r="GM35" s="426">
        <f t="shared" si="74"/>
        <v>0</v>
      </c>
      <c r="GN35" s="426">
        <f t="shared" si="75"/>
        <v>0</v>
      </c>
      <c r="GO35" s="426">
        <f t="shared" si="76"/>
        <v>0</v>
      </c>
      <c r="GP35" s="426">
        <f t="shared" si="77"/>
        <v>0</v>
      </c>
      <c r="GQ35" s="426">
        <f t="shared" si="78"/>
        <v>0</v>
      </c>
      <c r="GR35" s="426">
        <f t="shared" si="79"/>
        <v>0</v>
      </c>
      <c r="GS35" s="426">
        <f t="shared" si="80"/>
        <v>0</v>
      </c>
      <c r="GT35" s="426">
        <f t="shared" si="81"/>
        <v>0</v>
      </c>
      <c r="GU35" s="426">
        <f t="shared" si="82"/>
        <v>0</v>
      </c>
      <c r="GV35" s="426">
        <f t="shared" si="83"/>
        <v>0</v>
      </c>
      <c r="GW35" s="426">
        <f t="shared" si="84"/>
        <v>0</v>
      </c>
      <c r="GX35" s="426">
        <f t="shared" si="85"/>
        <v>0</v>
      </c>
      <c r="GY35" s="426">
        <f t="shared" si="86"/>
        <v>0</v>
      </c>
      <c r="GZ35" s="426">
        <f t="shared" si="87"/>
        <v>0</v>
      </c>
      <c r="HA35" s="426">
        <f t="shared" si="88"/>
        <v>0</v>
      </c>
      <c r="HB35" s="426">
        <f t="shared" si="89"/>
        <v>0</v>
      </c>
      <c r="HC35" s="426">
        <f t="shared" si="90"/>
        <v>0</v>
      </c>
      <c r="HD35" s="426">
        <f t="shared" si="91"/>
        <v>0</v>
      </c>
      <c r="HE35" s="426">
        <f t="shared" si="92"/>
        <v>0</v>
      </c>
      <c r="HF35" s="426">
        <f t="shared" si="93"/>
        <v>0</v>
      </c>
      <c r="HG35" s="426">
        <f t="shared" si="94"/>
        <v>0</v>
      </c>
      <c r="HH35" s="426">
        <f t="shared" si="95"/>
        <v>0</v>
      </c>
      <c r="HI35" s="426">
        <f t="shared" si="96"/>
        <v>0</v>
      </c>
      <c r="HJ35" s="426">
        <f t="shared" si="97"/>
        <v>0</v>
      </c>
      <c r="HK35" s="426">
        <f t="shared" si="98"/>
        <v>0</v>
      </c>
      <c r="HL35" s="426">
        <f t="shared" si="99"/>
        <v>0</v>
      </c>
      <c r="HO35" s="124"/>
      <c r="HP35" s="124"/>
      <c r="HQ35" s="520"/>
      <c r="HR35" s="521"/>
      <c r="HS35" s="521"/>
      <c r="HU35" s="521"/>
      <c r="JC35" s="409">
        <v>31</v>
      </c>
      <c r="JD35" s="401">
        <f t="shared" si="100"/>
        <v>12</v>
      </c>
    </row>
    <row r="36" spans="3:264" ht="15.75" customHeight="1" thickBot="1" x14ac:dyDescent="0.3">
      <c r="C36" s="209">
        <v>30</v>
      </c>
      <c r="D36" s="404"/>
      <c r="E36" s="420"/>
      <c r="F36" s="421"/>
      <c r="G36" s="422"/>
      <c r="H36" s="422"/>
      <c r="I36" s="422"/>
      <c r="J36" s="404"/>
      <c r="K36" s="410">
        <f t="shared" si="52"/>
        <v>76</v>
      </c>
      <c r="L36" s="410">
        <f t="shared" si="53"/>
        <v>76</v>
      </c>
      <c r="M36" s="410" t="str">
        <f t="shared" si="54"/>
        <v>X</v>
      </c>
      <c r="Y36" s="425">
        <f t="shared" si="0"/>
        <v>31</v>
      </c>
      <c r="Z36" s="415" t="str">
        <f>IF(Y36="","",IF(EDATE($Z$5,Y36)&gt;EXPEDIENTE!$F$27,"",EDATE($Z$5,Y36)))</f>
        <v/>
      </c>
      <c r="AA36" s="415" t="str">
        <f>IF(Z36="","",IF(YEAR(EXPEDIENTE!$F$25)=YEAR(Z36),Z36,""))</f>
        <v/>
      </c>
      <c r="AB36" s="415" t="str">
        <f>IF(Z36="","",IF(YEAR(EXPEDIENTE!$F$25)+1=YEAR(Z36),Z36,""))</f>
        <v/>
      </c>
      <c r="AC36" s="415" t="str">
        <f>IF(Z36="","",IF(YEAR(EXPEDIENTE!$F$25)+2=YEAR(Z36),Z36,""))</f>
        <v/>
      </c>
      <c r="AD36" s="415" t="str">
        <f>IF(Z36="","",IF(YEAR(EXPEDIENTE!$F$25)+3=YEAR(Z36),Z36,""))</f>
        <v/>
      </c>
      <c r="AG36" s="395"/>
      <c r="AH36" s="1002" t="s">
        <v>190</v>
      </c>
      <c r="AI36" s="1005" t="s">
        <v>191</v>
      </c>
      <c r="AJ36" s="1008" t="s">
        <v>192</v>
      </c>
      <c r="AL36" s="998"/>
      <c r="AM36" s="1000"/>
      <c r="AN36" s="970"/>
      <c r="AO36" s="1017"/>
      <c r="AP36" s="998" t="s">
        <v>193</v>
      </c>
      <c r="AQ36" s="1000" t="s">
        <v>110</v>
      </c>
      <c r="AR36" s="968" t="s">
        <v>81</v>
      </c>
      <c r="AS36" s="1027" t="s">
        <v>68</v>
      </c>
      <c r="AT36" s="970" t="s">
        <v>69</v>
      </c>
      <c r="AU36" s="968" t="s">
        <v>111</v>
      </c>
      <c r="AV36" s="1026"/>
      <c r="AW36" s="1020"/>
      <c r="AZ36" s="457"/>
      <c r="BA36" s="993" t="e">
        <f>CONCATENATE("P.P. OTRAS NÓMINAS ABONADAS EN ",AZ38)</f>
        <v>#VALUE!</v>
      </c>
      <c r="BB36" s="994"/>
      <c r="BC36" s="994"/>
      <c r="BD36" s="994"/>
      <c r="BE36" s="994"/>
      <c r="BF36" s="994"/>
      <c r="BG36" s="994"/>
      <c r="BH36" s="994"/>
      <c r="BI36" s="995"/>
      <c r="BK36" s="993" t="e">
        <f>CONCATENATE("P.P. OTRAS NÓMINAS ABONADAS EN ",AZ54)</f>
        <v>#VALUE!</v>
      </c>
      <c r="BL36" s="994"/>
      <c r="BM36" s="994"/>
      <c r="BN36" s="994"/>
      <c r="BO36" s="994"/>
      <c r="BP36" s="994"/>
      <c r="BQ36" s="994"/>
      <c r="BR36" s="994"/>
      <c r="BS36" s="995"/>
      <c r="BU36" s="1031" t="s">
        <v>58</v>
      </c>
      <c r="BX36" s="395"/>
      <c r="BY36" s="1002" t="s">
        <v>190</v>
      </c>
      <c r="BZ36" s="1005" t="s">
        <v>191</v>
      </c>
      <c r="CA36" s="1008" t="s">
        <v>192</v>
      </c>
      <c r="CC36" s="998"/>
      <c r="CD36" s="1000"/>
      <c r="CE36" s="970"/>
      <c r="CF36" s="1017"/>
      <c r="CG36" s="998" t="s">
        <v>193</v>
      </c>
      <c r="CH36" s="1000" t="s">
        <v>110</v>
      </c>
      <c r="CI36" s="968" t="s">
        <v>81</v>
      </c>
      <c r="CJ36" s="1027" t="s">
        <v>68</v>
      </c>
      <c r="CK36" s="970" t="s">
        <v>69</v>
      </c>
      <c r="CL36" s="968" t="s">
        <v>111</v>
      </c>
      <c r="CM36" s="1026"/>
      <c r="CN36" s="1020"/>
      <c r="CQ36" s="457"/>
      <c r="CR36" s="993" t="e">
        <f>CONCATENATE("P.P. OTRAS NÓMINAS ABONADAS EN ",CQ38)</f>
        <v>#VALUE!</v>
      </c>
      <c r="CS36" s="994"/>
      <c r="CT36" s="994"/>
      <c r="CU36" s="994"/>
      <c r="CV36" s="994"/>
      <c r="CW36" s="994"/>
      <c r="CX36" s="994"/>
      <c r="CY36" s="994"/>
      <c r="CZ36" s="995"/>
      <c r="DB36" s="993" t="e">
        <f>CONCATENATE("P.P. OTRAS NÓMINAS ABONADAS EN ",CQ54)</f>
        <v>#VALUE!</v>
      </c>
      <c r="DC36" s="994"/>
      <c r="DD36" s="994"/>
      <c r="DE36" s="994"/>
      <c r="DF36" s="994"/>
      <c r="DG36" s="994"/>
      <c r="DH36" s="994"/>
      <c r="DI36" s="994"/>
      <c r="DJ36" s="995"/>
      <c r="DL36" s="1031" t="s">
        <v>58</v>
      </c>
      <c r="DN36" s="395"/>
      <c r="DO36" s="957" t="s">
        <v>70</v>
      </c>
      <c r="DP36" s="960" t="s">
        <v>203</v>
      </c>
      <c r="DQ36" s="960"/>
      <c r="DR36" s="960"/>
      <c r="DS36" s="961" t="s">
        <v>134</v>
      </c>
      <c r="DT36" s="961" t="s">
        <v>353</v>
      </c>
      <c r="DU36" s="964" t="s">
        <v>354</v>
      </c>
      <c r="DV36" s="967" t="s">
        <v>206</v>
      </c>
      <c r="DX36" s="389">
        <v>17</v>
      </c>
      <c r="DY36" s="433">
        <f t="shared" si="101"/>
        <v>45778</v>
      </c>
      <c r="DZ36" s="433">
        <f t="shared" si="102"/>
        <v>45808</v>
      </c>
      <c r="EA36" s="389" t="str">
        <f>IF(AND(DZ36&gt;=EXPEDIENTE!$F$25,DY36&lt;=EXPEDIENTE!$F$29),"SI","NO")</f>
        <v>SI</v>
      </c>
      <c r="EB36" s="426">
        <f t="shared" si="12"/>
        <v>0</v>
      </c>
      <c r="EC36" s="426">
        <f t="shared" si="13"/>
        <v>0</v>
      </c>
      <c r="ED36" s="426">
        <f t="shared" si="14"/>
        <v>0</v>
      </c>
      <c r="EE36" s="426">
        <f t="shared" si="15"/>
        <v>0</v>
      </c>
      <c r="EF36" s="426">
        <f t="shared" si="16"/>
        <v>0</v>
      </c>
      <c r="EG36" s="426">
        <f t="shared" si="17"/>
        <v>0</v>
      </c>
      <c r="EH36" s="426">
        <f t="shared" si="18"/>
        <v>0</v>
      </c>
      <c r="EI36" s="426">
        <f t="shared" si="19"/>
        <v>0</v>
      </c>
      <c r="EJ36" s="426">
        <f t="shared" si="20"/>
        <v>0</v>
      </c>
      <c r="EK36" s="426">
        <f t="shared" si="21"/>
        <v>0</v>
      </c>
      <c r="EL36" s="426">
        <f t="shared" si="22"/>
        <v>0</v>
      </c>
      <c r="EM36" s="426">
        <f t="shared" si="23"/>
        <v>0</v>
      </c>
      <c r="EN36" s="426">
        <f t="shared" si="24"/>
        <v>0</v>
      </c>
      <c r="EO36" s="426">
        <f t="shared" si="25"/>
        <v>0</v>
      </c>
      <c r="EP36" s="426">
        <f t="shared" si="26"/>
        <v>0</v>
      </c>
      <c r="EQ36" s="426">
        <f t="shared" si="27"/>
        <v>0</v>
      </c>
      <c r="ER36" s="426">
        <f t="shared" si="28"/>
        <v>0</v>
      </c>
      <c r="ES36" s="426">
        <f t="shared" si="29"/>
        <v>0</v>
      </c>
      <c r="ET36" s="426">
        <f t="shared" si="30"/>
        <v>0</v>
      </c>
      <c r="EU36" s="426">
        <f t="shared" si="31"/>
        <v>0</v>
      </c>
      <c r="EV36" s="426">
        <f t="shared" si="32"/>
        <v>0</v>
      </c>
      <c r="EW36" s="426">
        <f t="shared" si="33"/>
        <v>0</v>
      </c>
      <c r="EX36" s="426">
        <f t="shared" si="34"/>
        <v>0</v>
      </c>
      <c r="EY36" s="426">
        <f t="shared" si="35"/>
        <v>0</v>
      </c>
      <c r="EZ36" s="426">
        <f t="shared" si="36"/>
        <v>0</v>
      </c>
      <c r="FA36" s="426">
        <f t="shared" si="37"/>
        <v>0</v>
      </c>
      <c r="FB36" s="426">
        <f t="shared" si="38"/>
        <v>0</v>
      </c>
      <c r="FC36" s="426">
        <f t="shared" si="39"/>
        <v>0</v>
      </c>
      <c r="FD36" s="426">
        <f t="shared" si="40"/>
        <v>0</v>
      </c>
      <c r="FE36" s="426">
        <f t="shared" si="41"/>
        <v>0</v>
      </c>
      <c r="FF36" s="426">
        <f t="shared" si="42"/>
        <v>0</v>
      </c>
      <c r="FG36" s="426">
        <f t="shared" si="43"/>
        <v>0</v>
      </c>
      <c r="FH36" s="426">
        <f t="shared" si="66"/>
        <v>0</v>
      </c>
      <c r="FJ36" s="124"/>
      <c r="FK36" s="124"/>
      <c r="FL36" s="520"/>
      <c r="FM36" s="521"/>
      <c r="FN36" s="521"/>
      <c r="FP36" s="521"/>
      <c r="FR36" s="395"/>
      <c r="FS36" s="957" t="s">
        <v>70</v>
      </c>
      <c r="FT36" s="960" t="s">
        <v>203</v>
      </c>
      <c r="FU36" s="960"/>
      <c r="FV36" s="960"/>
      <c r="FW36" s="961" t="s">
        <v>134</v>
      </c>
      <c r="FX36" s="961" t="s">
        <v>353</v>
      </c>
      <c r="FY36" s="964" t="s">
        <v>354</v>
      </c>
      <c r="FZ36" s="967" t="s">
        <v>206</v>
      </c>
      <c r="GB36" s="389">
        <v>17</v>
      </c>
      <c r="GC36" s="433">
        <f t="shared" si="103"/>
        <v>45778</v>
      </c>
      <c r="GD36" s="433">
        <f t="shared" si="104"/>
        <v>45808</v>
      </c>
      <c r="GE36" s="389" t="str">
        <f>IF(AND(GD36&gt;=EXPEDIENTE!$F$25,GC36&lt;=EXPEDIENTE!$F$29),"SI","NO")</f>
        <v>SI</v>
      </c>
      <c r="GF36" s="426">
        <f t="shared" si="67"/>
        <v>0</v>
      </c>
      <c r="GG36" s="426">
        <f t="shared" si="68"/>
        <v>0</v>
      </c>
      <c r="GH36" s="426">
        <f t="shared" si="69"/>
        <v>0</v>
      </c>
      <c r="GI36" s="426">
        <f t="shared" si="70"/>
        <v>0</v>
      </c>
      <c r="GJ36" s="426">
        <f t="shared" si="71"/>
        <v>0</v>
      </c>
      <c r="GK36" s="426">
        <f t="shared" si="72"/>
        <v>0</v>
      </c>
      <c r="GL36" s="426">
        <f t="shared" si="73"/>
        <v>0</v>
      </c>
      <c r="GM36" s="426">
        <f t="shared" si="74"/>
        <v>0</v>
      </c>
      <c r="GN36" s="426">
        <f t="shared" si="75"/>
        <v>0</v>
      </c>
      <c r="GO36" s="426">
        <f t="shared" si="76"/>
        <v>0</v>
      </c>
      <c r="GP36" s="426">
        <f t="shared" si="77"/>
        <v>0</v>
      </c>
      <c r="GQ36" s="426">
        <f t="shared" si="78"/>
        <v>0</v>
      </c>
      <c r="GR36" s="426">
        <f t="shared" si="79"/>
        <v>0</v>
      </c>
      <c r="GS36" s="426">
        <f t="shared" si="80"/>
        <v>0</v>
      </c>
      <c r="GT36" s="426">
        <f t="shared" si="81"/>
        <v>0</v>
      </c>
      <c r="GU36" s="426">
        <f t="shared" si="82"/>
        <v>0</v>
      </c>
      <c r="GV36" s="426">
        <f t="shared" si="83"/>
        <v>0</v>
      </c>
      <c r="GW36" s="426">
        <f t="shared" si="84"/>
        <v>0</v>
      </c>
      <c r="GX36" s="426">
        <f t="shared" si="85"/>
        <v>0</v>
      </c>
      <c r="GY36" s="426">
        <f t="shared" si="86"/>
        <v>0</v>
      </c>
      <c r="GZ36" s="426">
        <f t="shared" si="87"/>
        <v>0</v>
      </c>
      <c r="HA36" s="426">
        <f t="shared" si="88"/>
        <v>0</v>
      </c>
      <c r="HB36" s="426">
        <f t="shared" si="89"/>
        <v>0</v>
      </c>
      <c r="HC36" s="426">
        <f t="shared" si="90"/>
        <v>0</v>
      </c>
      <c r="HD36" s="426">
        <f t="shared" si="91"/>
        <v>0</v>
      </c>
      <c r="HE36" s="426">
        <f t="shared" si="92"/>
        <v>0</v>
      </c>
      <c r="HF36" s="426">
        <f t="shared" si="93"/>
        <v>0</v>
      </c>
      <c r="HG36" s="426">
        <f t="shared" si="94"/>
        <v>0</v>
      </c>
      <c r="HH36" s="426">
        <f t="shared" si="95"/>
        <v>0</v>
      </c>
      <c r="HI36" s="426">
        <f t="shared" si="96"/>
        <v>0</v>
      </c>
      <c r="HJ36" s="426">
        <f t="shared" si="97"/>
        <v>0</v>
      </c>
      <c r="HK36" s="426">
        <f t="shared" si="98"/>
        <v>0</v>
      </c>
      <c r="HL36" s="426">
        <f t="shared" si="99"/>
        <v>0</v>
      </c>
      <c r="HO36" s="124"/>
      <c r="HP36" s="124"/>
      <c r="HQ36" s="520"/>
      <c r="HR36" s="521"/>
      <c r="HS36" s="521"/>
      <c r="HU36" s="521"/>
      <c r="JC36" s="419">
        <v>32</v>
      </c>
      <c r="JD36" s="401">
        <f t="shared" si="100"/>
        <v>12</v>
      </c>
    </row>
    <row r="37" spans="3:264" ht="15" customHeight="1" thickBot="1" x14ac:dyDescent="0.3">
      <c r="C37" s="209">
        <v>31</v>
      </c>
      <c r="D37" s="404"/>
      <c r="E37" s="420"/>
      <c r="F37" s="421"/>
      <c r="G37" s="422"/>
      <c r="H37" s="422"/>
      <c r="I37" s="422"/>
      <c r="J37" s="404"/>
      <c r="K37" s="410">
        <f t="shared" si="52"/>
        <v>76</v>
      </c>
      <c r="L37" s="410">
        <f t="shared" si="53"/>
        <v>76</v>
      </c>
      <c r="M37" s="410" t="str">
        <f t="shared" si="54"/>
        <v>X</v>
      </c>
      <c r="Y37" s="425">
        <f t="shared" si="0"/>
        <v>32</v>
      </c>
      <c r="Z37" s="415" t="str">
        <f>IF(Y37="","",IF(EDATE($Z$5,Y37)&gt;EXPEDIENTE!$F$27,"",EDATE($Z$5,Y37)))</f>
        <v/>
      </c>
      <c r="AA37" s="415" t="str">
        <f>IF(Z37="","",IF(YEAR(EXPEDIENTE!$F$25)=YEAR(Z37),Z37,""))</f>
        <v/>
      </c>
      <c r="AB37" s="415" t="str">
        <f>IF(Z37="","",IF(YEAR(EXPEDIENTE!$F$25)+1=YEAR(Z37),Z37,""))</f>
        <v/>
      </c>
      <c r="AC37" s="415" t="str">
        <f>IF(Z37="","",IF(YEAR(EXPEDIENTE!$F$25)+2=YEAR(Z37),Z37,""))</f>
        <v/>
      </c>
      <c r="AD37" s="415" t="str">
        <f>IF(Z37="","",IF(YEAR(EXPEDIENTE!$F$25)+3=YEAR(Z37),Z37,""))</f>
        <v/>
      </c>
      <c r="AG37" s="395"/>
      <c r="AH37" s="1003"/>
      <c r="AI37" s="1006"/>
      <c r="AJ37" s="1009"/>
      <c r="AL37" s="998"/>
      <c r="AM37" s="1000"/>
      <c r="AN37" s="970"/>
      <c r="AO37" s="1017"/>
      <c r="AP37" s="998"/>
      <c r="AQ37" s="1000"/>
      <c r="AR37" s="968"/>
      <c r="AS37" s="1027"/>
      <c r="AT37" s="970"/>
      <c r="AU37" s="968"/>
      <c r="AV37" s="1026"/>
      <c r="AW37" s="1020"/>
      <c r="BA37" s="987">
        <f>'GASTOS EJER. 2'!$C$37</f>
        <v>0</v>
      </c>
      <c r="BB37" s="988">
        <f>'GASTOS EJER. 2'!$C$38</f>
        <v>0</v>
      </c>
      <c r="BC37" s="988">
        <f>'GASTOS EJER. 2'!$C$39</f>
        <v>0</v>
      </c>
      <c r="BD37" s="988">
        <f>'GASTOS EJER. 2'!$C$40</f>
        <v>0</v>
      </c>
      <c r="BE37" s="988">
        <f>'GASTOS EJER. 2'!$C$41</f>
        <v>0</v>
      </c>
      <c r="BF37" s="988">
        <f>'GASTOS EJER. 2'!$C$42</f>
        <v>0</v>
      </c>
      <c r="BG37" s="988">
        <f>'GASTOS EJER. 2'!$C$43</f>
        <v>0</v>
      </c>
      <c r="BH37" s="989">
        <f>'GASTOS EJER. 2'!$C$44</f>
        <v>0</v>
      </c>
      <c r="BI37" s="991" t="s">
        <v>58</v>
      </c>
      <c r="BK37" s="987">
        <f>'GASTOS EJER, 3'!$C$37</f>
        <v>0</v>
      </c>
      <c r="BL37" s="988">
        <f>'GASTOS EJER, 3'!$C$38</f>
        <v>0</v>
      </c>
      <c r="BM37" s="988">
        <f>'GASTOS EJER, 3'!$C$39</f>
        <v>0</v>
      </c>
      <c r="BN37" s="988">
        <f>'GASTOS EJER, 3'!$C$40</f>
        <v>0</v>
      </c>
      <c r="BO37" s="988">
        <f>'GASTOS EJER, 3'!$C$41</f>
        <v>0</v>
      </c>
      <c r="BP37" s="988">
        <f>'GASTOS EJER, 3'!$C$42</f>
        <v>0</v>
      </c>
      <c r="BQ37" s="988">
        <f>'GASTOS EJER, 3'!$C$43</f>
        <v>0</v>
      </c>
      <c r="BR37" s="989">
        <f>'GASTOS EJER, 3'!$C$44</f>
        <v>0</v>
      </c>
      <c r="BS37" s="991" t="s">
        <v>58</v>
      </c>
      <c r="BU37" s="1032"/>
      <c r="BX37" s="395"/>
      <c r="BY37" s="1003"/>
      <c r="BZ37" s="1006"/>
      <c r="CA37" s="1009"/>
      <c r="CC37" s="998"/>
      <c r="CD37" s="1000"/>
      <c r="CE37" s="970"/>
      <c r="CF37" s="1017"/>
      <c r="CG37" s="998"/>
      <c r="CH37" s="1000"/>
      <c r="CI37" s="968"/>
      <c r="CJ37" s="1027"/>
      <c r="CK37" s="970"/>
      <c r="CL37" s="968"/>
      <c r="CM37" s="1026"/>
      <c r="CN37" s="1020"/>
      <c r="CR37" s="987">
        <f>'GASTOS EJER. 2'!$C$37</f>
        <v>0</v>
      </c>
      <c r="CS37" s="988">
        <f>'GASTOS EJER. 2'!$C$38</f>
        <v>0</v>
      </c>
      <c r="CT37" s="988">
        <f>'GASTOS EJER. 2'!$C$39</f>
        <v>0</v>
      </c>
      <c r="CU37" s="988">
        <f>'GASTOS EJER. 2'!$C$40</f>
        <v>0</v>
      </c>
      <c r="CV37" s="988">
        <f>'GASTOS EJER. 2'!$C$41</f>
        <v>0</v>
      </c>
      <c r="CW37" s="988">
        <f>'GASTOS EJER. 2'!$C$42</f>
        <v>0</v>
      </c>
      <c r="CX37" s="988">
        <f>'GASTOS EJER. 2'!$C$43</f>
        <v>0</v>
      </c>
      <c r="CY37" s="989">
        <f>'GASTOS EJER. 2'!$C$44</f>
        <v>0</v>
      </c>
      <c r="CZ37" s="991" t="s">
        <v>58</v>
      </c>
      <c r="DB37" s="987">
        <f>'GASTOS EJER, 3'!$C$37</f>
        <v>0</v>
      </c>
      <c r="DC37" s="988">
        <f>'GASTOS EJER, 3'!$C$38</f>
        <v>0</v>
      </c>
      <c r="DD37" s="988">
        <f>'GASTOS EJER, 3'!$C$39</f>
        <v>0</v>
      </c>
      <c r="DE37" s="988">
        <f>'GASTOS EJER, 3'!$C$40</f>
        <v>0</v>
      </c>
      <c r="DF37" s="988">
        <f>'GASTOS EJER, 3'!$C$41</f>
        <v>0</v>
      </c>
      <c r="DG37" s="988">
        <f>'GASTOS EJER, 3'!$C$42</f>
        <v>0</v>
      </c>
      <c r="DH37" s="988">
        <f>'GASTOS EJER, 3'!$C$43</f>
        <v>0</v>
      </c>
      <c r="DI37" s="989">
        <f>'GASTOS EJER, 3'!$C$44</f>
        <v>0</v>
      </c>
      <c r="DJ37" s="991" t="s">
        <v>58</v>
      </c>
      <c r="DL37" s="1032"/>
      <c r="DN37" s="395"/>
      <c r="DO37" s="958"/>
      <c r="DP37" s="970" t="s">
        <v>68</v>
      </c>
      <c r="DQ37" s="970" t="s">
        <v>69</v>
      </c>
      <c r="DR37" s="970" t="s">
        <v>111</v>
      </c>
      <c r="DS37" s="962"/>
      <c r="DT37" s="962"/>
      <c r="DU37" s="965"/>
      <c r="DV37" s="968"/>
      <c r="DX37" s="389">
        <v>18</v>
      </c>
      <c r="DY37" s="433">
        <f t="shared" si="101"/>
        <v>45809</v>
      </c>
      <c r="DZ37" s="433">
        <f t="shared" si="102"/>
        <v>45838</v>
      </c>
      <c r="EA37" s="389" t="str">
        <f>IF(AND(DZ37&gt;=EXPEDIENTE!$F$25,DY37&lt;=EXPEDIENTE!$F$29),"SI","NO")</f>
        <v>SI</v>
      </c>
      <c r="EB37" s="426">
        <f t="shared" si="12"/>
        <v>0</v>
      </c>
      <c r="EC37" s="426">
        <f t="shared" si="13"/>
        <v>0</v>
      </c>
      <c r="ED37" s="426">
        <f t="shared" si="14"/>
        <v>0</v>
      </c>
      <c r="EE37" s="426">
        <f t="shared" si="15"/>
        <v>0</v>
      </c>
      <c r="EF37" s="426">
        <f t="shared" si="16"/>
        <v>0</v>
      </c>
      <c r="EG37" s="426">
        <f t="shared" si="17"/>
        <v>0</v>
      </c>
      <c r="EH37" s="426">
        <f t="shared" si="18"/>
        <v>0</v>
      </c>
      <c r="EI37" s="426">
        <f t="shared" si="19"/>
        <v>0</v>
      </c>
      <c r="EJ37" s="426">
        <f t="shared" si="20"/>
        <v>0</v>
      </c>
      <c r="EK37" s="426">
        <f t="shared" si="21"/>
        <v>0</v>
      </c>
      <c r="EL37" s="426">
        <f t="shared" si="22"/>
        <v>0</v>
      </c>
      <c r="EM37" s="426">
        <f t="shared" si="23"/>
        <v>0</v>
      </c>
      <c r="EN37" s="426">
        <f t="shared" si="24"/>
        <v>0</v>
      </c>
      <c r="EO37" s="426">
        <f t="shared" si="25"/>
        <v>0</v>
      </c>
      <c r="EP37" s="426">
        <f t="shared" si="26"/>
        <v>0</v>
      </c>
      <c r="EQ37" s="426">
        <f t="shared" si="27"/>
        <v>0</v>
      </c>
      <c r="ER37" s="426">
        <f t="shared" si="28"/>
        <v>0</v>
      </c>
      <c r="ES37" s="426">
        <f t="shared" si="29"/>
        <v>0</v>
      </c>
      <c r="ET37" s="426">
        <f t="shared" si="30"/>
        <v>0</v>
      </c>
      <c r="EU37" s="426">
        <f t="shared" si="31"/>
        <v>0</v>
      </c>
      <c r="EV37" s="426">
        <f t="shared" si="32"/>
        <v>0</v>
      </c>
      <c r="EW37" s="426">
        <f t="shared" si="33"/>
        <v>0</v>
      </c>
      <c r="EX37" s="426">
        <f t="shared" si="34"/>
        <v>0</v>
      </c>
      <c r="EY37" s="426">
        <f t="shared" si="35"/>
        <v>0</v>
      </c>
      <c r="EZ37" s="426">
        <f t="shared" si="36"/>
        <v>0</v>
      </c>
      <c r="FA37" s="426">
        <f t="shared" si="37"/>
        <v>0</v>
      </c>
      <c r="FB37" s="426">
        <f t="shared" si="38"/>
        <v>0</v>
      </c>
      <c r="FC37" s="426">
        <f t="shared" si="39"/>
        <v>0</v>
      </c>
      <c r="FD37" s="426">
        <f t="shared" si="40"/>
        <v>0</v>
      </c>
      <c r="FE37" s="426">
        <f t="shared" si="41"/>
        <v>0</v>
      </c>
      <c r="FF37" s="426">
        <f t="shared" si="42"/>
        <v>0</v>
      </c>
      <c r="FG37" s="426">
        <f t="shared" si="43"/>
        <v>0</v>
      </c>
      <c r="FH37" s="426">
        <f t="shared" si="66"/>
        <v>0</v>
      </c>
      <c r="FR37" s="395"/>
      <c r="FS37" s="958"/>
      <c r="FT37" s="970" t="s">
        <v>68</v>
      </c>
      <c r="FU37" s="970" t="s">
        <v>69</v>
      </c>
      <c r="FV37" s="970" t="s">
        <v>111</v>
      </c>
      <c r="FW37" s="962"/>
      <c r="FX37" s="962"/>
      <c r="FY37" s="965"/>
      <c r="FZ37" s="968"/>
      <c r="GB37" s="389">
        <v>18</v>
      </c>
      <c r="GC37" s="433">
        <f t="shared" si="103"/>
        <v>45809</v>
      </c>
      <c r="GD37" s="433">
        <f t="shared" si="104"/>
        <v>45838</v>
      </c>
      <c r="GE37" s="389" t="str">
        <f>IF(AND(GD37&gt;=EXPEDIENTE!$F$25,GC37&lt;=EXPEDIENTE!$F$29),"SI","NO")</f>
        <v>SI</v>
      </c>
      <c r="GF37" s="426">
        <f t="shared" si="67"/>
        <v>0</v>
      </c>
      <c r="GG37" s="426">
        <f t="shared" si="68"/>
        <v>0</v>
      </c>
      <c r="GH37" s="426">
        <f t="shared" si="69"/>
        <v>0</v>
      </c>
      <c r="GI37" s="426">
        <f t="shared" si="70"/>
        <v>0</v>
      </c>
      <c r="GJ37" s="426">
        <f t="shared" si="71"/>
        <v>0</v>
      </c>
      <c r="GK37" s="426">
        <f t="shared" si="72"/>
        <v>0</v>
      </c>
      <c r="GL37" s="426">
        <f t="shared" si="73"/>
        <v>0</v>
      </c>
      <c r="GM37" s="426">
        <f t="shared" si="74"/>
        <v>0</v>
      </c>
      <c r="GN37" s="426">
        <f t="shared" si="75"/>
        <v>0</v>
      </c>
      <c r="GO37" s="426">
        <f t="shared" si="76"/>
        <v>0</v>
      </c>
      <c r="GP37" s="426">
        <f t="shared" si="77"/>
        <v>0</v>
      </c>
      <c r="GQ37" s="426">
        <f t="shared" si="78"/>
        <v>0</v>
      </c>
      <c r="GR37" s="426">
        <f t="shared" si="79"/>
        <v>0</v>
      </c>
      <c r="GS37" s="426">
        <f t="shared" si="80"/>
        <v>0</v>
      </c>
      <c r="GT37" s="426">
        <f t="shared" si="81"/>
        <v>0</v>
      </c>
      <c r="GU37" s="426">
        <f t="shared" si="82"/>
        <v>0</v>
      </c>
      <c r="GV37" s="426">
        <f t="shared" si="83"/>
        <v>0</v>
      </c>
      <c r="GW37" s="426">
        <f t="shared" si="84"/>
        <v>0</v>
      </c>
      <c r="GX37" s="426">
        <f t="shared" si="85"/>
        <v>0</v>
      </c>
      <c r="GY37" s="426">
        <f t="shared" si="86"/>
        <v>0</v>
      </c>
      <c r="GZ37" s="426">
        <f t="shared" si="87"/>
        <v>0</v>
      </c>
      <c r="HA37" s="426">
        <f t="shared" si="88"/>
        <v>0</v>
      </c>
      <c r="HB37" s="426">
        <f t="shared" si="89"/>
        <v>0</v>
      </c>
      <c r="HC37" s="426">
        <f t="shared" si="90"/>
        <v>0</v>
      </c>
      <c r="HD37" s="426">
        <f t="shared" si="91"/>
        <v>0</v>
      </c>
      <c r="HE37" s="426">
        <f t="shared" si="92"/>
        <v>0</v>
      </c>
      <c r="HF37" s="426">
        <f t="shared" si="93"/>
        <v>0</v>
      </c>
      <c r="HG37" s="426">
        <f t="shared" si="94"/>
        <v>0</v>
      </c>
      <c r="HH37" s="426">
        <f t="shared" si="95"/>
        <v>0</v>
      </c>
      <c r="HI37" s="426">
        <f t="shared" si="96"/>
        <v>0</v>
      </c>
      <c r="HJ37" s="426">
        <f t="shared" si="97"/>
        <v>0</v>
      </c>
      <c r="HK37" s="426">
        <f t="shared" si="98"/>
        <v>0</v>
      </c>
      <c r="HL37" s="426">
        <f t="shared" si="99"/>
        <v>0</v>
      </c>
      <c r="JC37" s="419">
        <v>33</v>
      </c>
      <c r="JD37" s="401">
        <f t="shared" si="100"/>
        <v>12</v>
      </c>
    </row>
    <row r="38" spans="3:264" ht="15.75" thickBot="1" x14ac:dyDescent="0.3">
      <c r="C38" s="209">
        <v>32</v>
      </c>
      <c r="D38" s="404"/>
      <c r="E38" s="420"/>
      <c r="F38" s="421"/>
      <c r="G38" s="422"/>
      <c r="H38" s="422"/>
      <c r="I38" s="422"/>
      <c r="J38" s="404"/>
      <c r="K38" s="410">
        <f t="shared" si="52"/>
        <v>76</v>
      </c>
      <c r="L38" s="410">
        <f t="shared" si="53"/>
        <v>76</v>
      </c>
      <c r="M38" s="410" t="str">
        <f t="shared" si="54"/>
        <v>X</v>
      </c>
      <c r="Y38" s="425">
        <f t="shared" si="0"/>
        <v>33</v>
      </c>
      <c r="Z38" s="415" t="str">
        <f>IF(Y38="","",IF(EDATE($Z$5,Y38)&gt;EXPEDIENTE!$F$27,"",EDATE($Z$5,Y38)))</f>
        <v/>
      </c>
      <c r="AA38" s="415" t="str">
        <f>IF(Z38="","",IF(YEAR(EXPEDIENTE!$F$25)=YEAR(Z38),Z38,""))</f>
        <v/>
      </c>
      <c r="AB38" s="415" t="str">
        <f>IF(Z38="","",IF(YEAR(EXPEDIENTE!$F$25)+1=YEAR(Z38),Z38,""))</f>
        <v/>
      </c>
      <c r="AC38" s="415" t="str">
        <f>IF(Z38="","",IF(YEAR(EXPEDIENTE!$F$25)+2=YEAR(Z38),Z38,""))</f>
        <v/>
      </c>
      <c r="AD38" s="415" t="str">
        <f>IF(Z38="","",IF(YEAR(EXPEDIENTE!$F$25)+3=YEAR(Z38),Z38,""))</f>
        <v/>
      </c>
      <c r="AG38" s="395"/>
      <c r="AH38" s="1004"/>
      <c r="AI38" s="1007"/>
      <c r="AJ38" s="1010"/>
      <c r="AL38" s="999"/>
      <c r="AM38" s="1001"/>
      <c r="AN38" s="971"/>
      <c r="AO38" s="1018"/>
      <c r="AP38" s="999"/>
      <c r="AQ38" s="1001"/>
      <c r="AR38" s="969"/>
      <c r="AS38" s="1028"/>
      <c r="AT38" s="1029"/>
      <c r="AU38" s="1030"/>
      <c r="AV38" s="461" t="e">
        <f>AF39</f>
        <v>#VALUE!</v>
      </c>
      <c r="AW38" s="1021"/>
      <c r="AZ38" s="416" t="e">
        <f>AF39</f>
        <v>#VALUE!</v>
      </c>
      <c r="BA38" s="959"/>
      <c r="BB38" s="963"/>
      <c r="BC38" s="963"/>
      <c r="BD38" s="963"/>
      <c r="BE38" s="963"/>
      <c r="BF38" s="963"/>
      <c r="BG38" s="963"/>
      <c r="BH38" s="990"/>
      <c r="BI38" s="992"/>
      <c r="BK38" s="959"/>
      <c r="BL38" s="963"/>
      <c r="BM38" s="963"/>
      <c r="BN38" s="963"/>
      <c r="BO38" s="963"/>
      <c r="BP38" s="963"/>
      <c r="BQ38" s="963"/>
      <c r="BR38" s="990"/>
      <c r="BS38" s="992"/>
      <c r="BU38" s="462" t="e">
        <f>AF39</f>
        <v>#VALUE!</v>
      </c>
      <c r="BX38" s="395"/>
      <c r="BY38" s="1004"/>
      <c r="BZ38" s="1007"/>
      <c r="CA38" s="1010"/>
      <c r="CC38" s="999"/>
      <c r="CD38" s="1001"/>
      <c r="CE38" s="971"/>
      <c r="CF38" s="1018"/>
      <c r="CG38" s="999"/>
      <c r="CH38" s="1001"/>
      <c r="CI38" s="969"/>
      <c r="CJ38" s="1028"/>
      <c r="CK38" s="1029"/>
      <c r="CL38" s="1030"/>
      <c r="CM38" s="461" t="e">
        <f>BW39</f>
        <v>#VALUE!</v>
      </c>
      <c r="CN38" s="1021"/>
      <c r="CQ38" s="417" t="e">
        <f>BW39</f>
        <v>#VALUE!</v>
      </c>
      <c r="CR38" s="1022"/>
      <c r="CS38" s="1023"/>
      <c r="CT38" s="1023"/>
      <c r="CU38" s="1023"/>
      <c r="CV38" s="1023"/>
      <c r="CW38" s="1023"/>
      <c r="CX38" s="1023"/>
      <c r="CY38" s="1024"/>
      <c r="CZ38" s="992"/>
      <c r="DB38" s="1022"/>
      <c r="DC38" s="1023"/>
      <c r="DD38" s="1023"/>
      <c r="DE38" s="1023"/>
      <c r="DF38" s="1023"/>
      <c r="DG38" s="1023"/>
      <c r="DH38" s="1023"/>
      <c r="DI38" s="1024"/>
      <c r="DJ38" s="992"/>
      <c r="DL38" s="463" t="e">
        <f>BW39</f>
        <v>#VALUE!</v>
      </c>
      <c r="DN38" s="395"/>
      <c r="DO38" s="959"/>
      <c r="DP38" s="971"/>
      <c r="DQ38" s="971"/>
      <c r="DR38" s="971"/>
      <c r="DS38" s="963"/>
      <c r="DT38" s="963"/>
      <c r="DU38" s="966"/>
      <c r="DV38" s="969"/>
      <c r="DX38" s="389">
        <v>19</v>
      </c>
      <c r="DY38" s="433">
        <f t="shared" si="101"/>
        <v>45839</v>
      </c>
      <c r="DZ38" s="433">
        <f t="shared" si="102"/>
        <v>45869</v>
      </c>
      <c r="EA38" s="389" t="str">
        <f>IF(AND(DZ38&gt;=EXPEDIENTE!$F$25,DY38&lt;=EXPEDIENTE!$F$29),"SI","NO")</f>
        <v>SI</v>
      </c>
      <c r="EB38" s="426">
        <f t="shared" si="12"/>
        <v>0</v>
      </c>
      <c r="EC38" s="426">
        <f t="shared" si="13"/>
        <v>0</v>
      </c>
      <c r="ED38" s="426">
        <f t="shared" si="14"/>
        <v>0</v>
      </c>
      <c r="EE38" s="426">
        <f t="shared" si="15"/>
        <v>0</v>
      </c>
      <c r="EF38" s="426">
        <f t="shared" si="16"/>
        <v>0</v>
      </c>
      <c r="EG38" s="426">
        <f t="shared" si="17"/>
        <v>0</v>
      </c>
      <c r="EH38" s="426">
        <f t="shared" si="18"/>
        <v>0</v>
      </c>
      <c r="EI38" s="426">
        <f t="shared" si="19"/>
        <v>0</v>
      </c>
      <c r="EJ38" s="426">
        <f t="shared" si="20"/>
        <v>0</v>
      </c>
      <c r="EK38" s="426">
        <f t="shared" si="21"/>
        <v>0</v>
      </c>
      <c r="EL38" s="426">
        <f t="shared" si="22"/>
        <v>0</v>
      </c>
      <c r="EM38" s="426">
        <f t="shared" si="23"/>
        <v>0</v>
      </c>
      <c r="EN38" s="426">
        <f t="shared" si="24"/>
        <v>0</v>
      </c>
      <c r="EO38" s="426">
        <f t="shared" si="25"/>
        <v>0</v>
      </c>
      <c r="EP38" s="426">
        <f t="shared" si="26"/>
        <v>0</v>
      </c>
      <c r="EQ38" s="426">
        <f t="shared" si="27"/>
        <v>0</v>
      </c>
      <c r="ER38" s="426">
        <f t="shared" si="28"/>
        <v>0</v>
      </c>
      <c r="ES38" s="426">
        <f t="shared" si="29"/>
        <v>0</v>
      </c>
      <c r="ET38" s="426">
        <f t="shared" si="30"/>
        <v>0</v>
      </c>
      <c r="EU38" s="426">
        <f t="shared" si="31"/>
        <v>0</v>
      </c>
      <c r="EV38" s="426">
        <f t="shared" si="32"/>
        <v>0</v>
      </c>
      <c r="EW38" s="426">
        <f t="shared" si="33"/>
        <v>0</v>
      </c>
      <c r="EX38" s="426">
        <f t="shared" si="34"/>
        <v>0</v>
      </c>
      <c r="EY38" s="426">
        <f t="shared" si="35"/>
        <v>0</v>
      </c>
      <c r="EZ38" s="426">
        <f t="shared" si="36"/>
        <v>0</v>
      </c>
      <c r="FA38" s="426">
        <f t="shared" si="37"/>
        <v>0</v>
      </c>
      <c r="FB38" s="426">
        <f t="shared" si="38"/>
        <v>0</v>
      </c>
      <c r="FC38" s="426">
        <f t="shared" si="39"/>
        <v>0</v>
      </c>
      <c r="FD38" s="426">
        <f t="shared" si="40"/>
        <v>0</v>
      </c>
      <c r="FE38" s="426">
        <f t="shared" si="41"/>
        <v>0</v>
      </c>
      <c r="FF38" s="426">
        <f t="shared" si="42"/>
        <v>0</v>
      </c>
      <c r="FG38" s="426">
        <f t="shared" si="43"/>
        <v>0</v>
      </c>
      <c r="FH38" s="426">
        <f t="shared" si="66"/>
        <v>0</v>
      </c>
      <c r="FJ38" s="464" t="e">
        <f>AZ38</f>
        <v>#VALUE!</v>
      </c>
      <c r="FK38" s="465" t="s">
        <v>76</v>
      </c>
      <c r="FL38" s="466" t="s">
        <v>208</v>
      </c>
      <c r="FM38" s="466" t="s">
        <v>136</v>
      </c>
      <c r="FN38" s="466" t="s">
        <v>194</v>
      </c>
      <c r="FO38" s="466" t="s">
        <v>351</v>
      </c>
      <c r="FP38" s="467" t="s">
        <v>58</v>
      </c>
      <c r="FR38" s="395"/>
      <c r="FS38" s="959"/>
      <c r="FT38" s="971"/>
      <c r="FU38" s="971"/>
      <c r="FV38" s="971"/>
      <c r="FW38" s="963"/>
      <c r="FX38" s="963"/>
      <c r="FY38" s="966"/>
      <c r="FZ38" s="969"/>
      <c r="GB38" s="389">
        <v>19</v>
      </c>
      <c r="GC38" s="433">
        <f t="shared" si="103"/>
        <v>45839</v>
      </c>
      <c r="GD38" s="433">
        <f t="shared" si="104"/>
        <v>45869</v>
      </c>
      <c r="GE38" s="389" t="str">
        <f>IF(AND(GD38&gt;=EXPEDIENTE!$F$25,GC38&lt;=EXPEDIENTE!$F$29),"SI","NO")</f>
        <v>SI</v>
      </c>
      <c r="GF38" s="426">
        <f t="shared" si="67"/>
        <v>0</v>
      </c>
      <c r="GG38" s="426">
        <f t="shared" si="68"/>
        <v>0</v>
      </c>
      <c r="GH38" s="426">
        <f t="shared" si="69"/>
        <v>0</v>
      </c>
      <c r="GI38" s="426">
        <f t="shared" si="70"/>
        <v>0</v>
      </c>
      <c r="GJ38" s="426">
        <f t="shared" si="71"/>
        <v>0</v>
      </c>
      <c r="GK38" s="426">
        <f t="shared" si="72"/>
        <v>0</v>
      </c>
      <c r="GL38" s="426">
        <f t="shared" si="73"/>
        <v>0</v>
      </c>
      <c r="GM38" s="426">
        <f t="shared" si="74"/>
        <v>0</v>
      </c>
      <c r="GN38" s="426">
        <f t="shared" si="75"/>
        <v>0</v>
      </c>
      <c r="GO38" s="426">
        <f t="shared" si="76"/>
        <v>0</v>
      </c>
      <c r="GP38" s="426">
        <f t="shared" si="77"/>
        <v>0</v>
      </c>
      <c r="GQ38" s="426">
        <f t="shared" si="78"/>
        <v>0</v>
      </c>
      <c r="GR38" s="426">
        <f t="shared" si="79"/>
        <v>0</v>
      </c>
      <c r="GS38" s="426">
        <f t="shared" si="80"/>
        <v>0</v>
      </c>
      <c r="GT38" s="426">
        <f t="shared" si="81"/>
        <v>0</v>
      </c>
      <c r="GU38" s="426">
        <f t="shared" si="82"/>
        <v>0</v>
      </c>
      <c r="GV38" s="426">
        <f t="shared" si="83"/>
        <v>0</v>
      </c>
      <c r="GW38" s="426">
        <f t="shared" si="84"/>
        <v>0</v>
      </c>
      <c r="GX38" s="426">
        <f t="shared" si="85"/>
        <v>0</v>
      </c>
      <c r="GY38" s="426">
        <f t="shared" si="86"/>
        <v>0</v>
      </c>
      <c r="GZ38" s="426">
        <f t="shared" si="87"/>
        <v>0</v>
      </c>
      <c r="HA38" s="426">
        <f t="shared" si="88"/>
        <v>0</v>
      </c>
      <c r="HB38" s="426">
        <f t="shared" si="89"/>
        <v>0</v>
      </c>
      <c r="HC38" s="426">
        <f t="shared" si="90"/>
        <v>0</v>
      </c>
      <c r="HD38" s="426">
        <f t="shared" si="91"/>
        <v>0</v>
      </c>
      <c r="HE38" s="426">
        <f t="shared" si="92"/>
        <v>0</v>
      </c>
      <c r="HF38" s="426">
        <f t="shared" si="93"/>
        <v>0</v>
      </c>
      <c r="HG38" s="426">
        <f t="shared" si="94"/>
        <v>0</v>
      </c>
      <c r="HH38" s="426">
        <f t="shared" si="95"/>
        <v>0</v>
      </c>
      <c r="HI38" s="426">
        <f t="shared" si="96"/>
        <v>0</v>
      </c>
      <c r="HJ38" s="426">
        <f t="shared" si="97"/>
        <v>0</v>
      </c>
      <c r="HK38" s="426">
        <f t="shared" si="98"/>
        <v>0</v>
      </c>
      <c r="HL38" s="426">
        <f t="shared" si="99"/>
        <v>0</v>
      </c>
      <c r="HO38" s="468" t="e">
        <f>BW39</f>
        <v>#VALUE!</v>
      </c>
      <c r="HP38" s="465" t="s">
        <v>76</v>
      </c>
      <c r="HQ38" s="466" t="s">
        <v>208</v>
      </c>
      <c r="HR38" s="466" t="s">
        <v>136</v>
      </c>
      <c r="HS38" s="466" t="s">
        <v>194</v>
      </c>
      <c r="HT38" s="466" t="s">
        <v>351</v>
      </c>
      <c r="HU38" s="467" t="s">
        <v>58</v>
      </c>
      <c r="JC38" s="419">
        <v>34</v>
      </c>
      <c r="JD38" s="401">
        <f t="shared" si="100"/>
        <v>12</v>
      </c>
    </row>
    <row r="39" spans="3:264" ht="15.75" thickBot="1" x14ac:dyDescent="0.3">
      <c r="C39" s="209">
        <v>33</v>
      </c>
      <c r="D39" s="404"/>
      <c r="E39" s="420"/>
      <c r="F39" s="421"/>
      <c r="G39" s="422"/>
      <c r="H39" s="422"/>
      <c r="I39" s="422"/>
      <c r="J39" s="404"/>
      <c r="K39" s="410">
        <f t="shared" si="52"/>
        <v>76</v>
      </c>
      <c r="L39" s="410">
        <f t="shared" si="53"/>
        <v>76</v>
      </c>
      <c r="M39" s="410" t="str">
        <f t="shared" si="54"/>
        <v>X</v>
      </c>
      <c r="Y39" s="425">
        <f t="shared" si="0"/>
        <v>34</v>
      </c>
      <c r="Z39" s="415" t="str">
        <f>IF(Y39="","",IF(EDATE($Z$5,Y39)&gt;EXPEDIENTE!$F$27,"",EDATE($Z$5,Y39)))</f>
        <v/>
      </c>
      <c r="AA39" s="415" t="str">
        <f>IF(Z39="","",IF(YEAR(EXPEDIENTE!$F$25)=YEAR(Z39),Z39,""))</f>
        <v/>
      </c>
      <c r="AB39" s="415" t="str">
        <f>IF(Z39="","",IF(YEAR(EXPEDIENTE!$F$25)+1=YEAR(Z39),Z39,""))</f>
        <v/>
      </c>
      <c r="AC39" s="415" t="str">
        <f>IF(Z39="","",IF(YEAR(EXPEDIENTE!$F$25)+2=YEAR(Z39),Z39,""))</f>
        <v/>
      </c>
      <c r="AD39" s="415" t="str">
        <f>IF(Z39="","",IF(YEAR(EXPEDIENTE!$F$25)+3=YEAR(Z39),Z39,""))</f>
        <v/>
      </c>
      <c r="AF39" s="469" t="e">
        <f>IF(YEAR(EXPEDIENTE!$F$29)&gt;=$AF$23+1,$AF$23+1,"")</f>
        <v>#VALUE!</v>
      </c>
      <c r="AG39" s="470">
        <v>9</v>
      </c>
      <c r="AH39" s="487">
        <f>'GASTOS EJER. 2'!M37</f>
        <v>0</v>
      </c>
      <c r="AI39" s="487">
        <f>'GASTOS EJER. 2'!X37</f>
        <v>0</v>
      </c>
      <c r="AJ39" s="473">
        <f>AH39-AI39</f>
        <v>0</v>
      </c>
      <c r="AL39" s="474">
        <f>'GASTOS EJER. 2'!F37+'GASTOS EJER. 2'!L37-'GASTOS EJER. 2'!X37-'GASTOS EJER. 2'!Y37</f>
        <v>0</v>
      </c>
      <c r="AM39" s="475" t="str">
        <f>IF('GASTOS EJER. 2'!AA37="","",'GASTOS EJER. 2'!AA37)</f>
        <v/>
      </c>
      <c r="AN39" s="472">
        <f>'GASTOS EJER. 2'!Y37</f>
        <v>0</v>
      </c>
      <c r="AO39" s="476" t="str">
        <f>IF('GASTOS EJER. 2'!AB37="","",'GASTOS EJER. 2'!AB37)</f>
        <v/>
      </c>
      <c r="AP39" s="477">
        <f>IF(AND(AM39&gt;=EXPEDIENTE!$I$25,AM39&lt;=EXPEDIENTE!$I$29),AL39,0)</f>
        <v>0</v>
      </c>
      <c r="AQ39" s="429">
        <f>IF(AND(AO39&gt;=EXPEDIENTE!$I$25,AO39&lt;=EXPEDIENTE!$I$29),AN39,0)</f>
        <v>0</v>
      </c>
      <c r="AR39" s="473">
        <f>AP39+AQ39</f>
        <v>0</v>
      </c>
      <c r="AS39" s="478" t="str">
        <f>IF('GASTOS EJER. 2'!D37="","",'GASTOS EJER. 2'!D37)</f>
        <v/>
      </c>
      <c r="AT39" s="479" t="str">
        <f>IF('GASTOS EJER. 2'!E37="","",'GASTOS EJER. 2'!E37)</f>
        <v/>
      </c>
      <c r="AU39" s="480">
        <f>IF(OR(AS39="",AT39=""),0,DATEDIF(AS39,AT39,"M")+1)</f>
        <v>0</v>
      </c>
      <c r="AV39" s="481">
        <f t="shared" ref="AV39:AV46" si="170">IF(OR(AS39="",AT39=""),0,IF(YEAR(AS39)&lt;$AV$22,DATEDIF(DATE($AV$22,1,1),AT39,"M")+1,AU39))</f>
        <v>0</v>
      </c>
      <c r="AW39" s="482">
        <f>IF(OR(AS39="",AT39=""),0,ROUND(AR39/AU39,2))</f>
        <v>0</v>
      </c>
      <c r="AY39" s="426">
        <v>1</v>
      </c>
      <c r="AZ39" s="427" t="e">
        <f t="shared" ref="AZ39:AZ50" si="171">IF($AZ$38="","",DATE($AZ$38,AY39,1))</f>
        <v>#VALUE!</v>
      </c>
      <c r="BA39" s="428">
        <f t="shared" ref="BA39:BA50" si="172">IF($AH$39=0,0,IF($BA$37=0,0,IF(AND(AZ39&gt;=$AS$39,AZ39&lt;=$AT$39),$AW$39,0)))</f>
        <v>0</v>
      </c>
      <c r="BB39" s="429">
        <f t="shared" ref="BB39:BB50" si="173">IF($AH$40=0,0,IF($BB$37=0,0,IF(AND(AZ39&gt;=$AS$40,AZ39&lt;=$AT$40),$AW$40,0)))</f>
        <v>0</v>
      </c>
      <c r="BC39" s="429">
        <f t="shared" ref="BC39:BC50" si="174">IF($AH$41=0,0,IF($BC$37=0,0,IF(AND(AZ39&gt;=$AS$41,AZ39&lt;=$AT$41),$AW$41,0)))</f>
        <v>0</v>
      </c>
      <c r="BD39" s="429">
        <f t="shared" ref="BD39:BD50" si="175">IF($AH$42=0,0,IF($BD$37=0,0,IF(AND(AZ39&gt;=$AS$42,AZ39&lt;=$AT$42),$AW$42,0)))</f>
        <v>0</v>
      </c>
      <c r="BE39" s="429">
        <f t="shared" ref="BE39:BE50" si="176">IF($AH$43=0,0,IF($BE$37=0,0,IF(AND(AZ39&gt;=$AS$43,AZ39&lt;=$AT$43),$AW$43,0)))</f>
        <v>0</v>
      </c>
      <c r="BF39" s="429">
        <f t="shared" ref="BF39:BF50" si="177">IF($AH$44=0,0,IF($BF$37=0,0,IF(AND(AZ39&gt;=$AS$44,AZ23&lt;=$AT$44),$AW$44,0)))</f>
        <v>0</v>
      </c>
      <c r="BG39" s="429">
        <f t="shared" ref="BG39:BG50" si="178">IF($AH$45=0,0,IF($BG$37=0,0,IF(AND(AZ39&gt;=$AS$45,AZ39&lt;=$AT$45),$AW$45,0)))</f>
        <v>0</v>
      </c>
      <c r="BH39" s="430">
        <f t="shared" ref="BH39:BH50" si="179">IF($AH$46=0,0,IF($BH$37=0,0,IF(AND(AZ39&gt;=$AS$46,AZ39&lt;=$AT$46),$AW$46,0)))</f>
        <v>0</v>
      </c>
      <c r="BI39" s="431">
        <f t="shared" ref="BI39:BI50" si="180">SUM(BA39:BH39)</f>
        <v>0</v>
      </c>
      <c r="BK39" s="428">
        <f>IF($AH$55=0,0,IF($BK$37=0,0,IF(AND(AZ39&gt;=$AS$55,AZ39&lt;=$AT$55),$AW$55,0)))</f>
        <v>0</v>
      </c>
      <c r="BL39" s="429">
        <f>IF($AH$56=0,0,IF($BL$37=0,0,IF(AND(AZ39&gt;=$AS$56,AZ39&lt;=$AT$56),$AW$56,0)))</f>
        <v>0</v>
      </c>
      <c r="BM39" s="429">
        <f>IF($AH$57=0,0,IF($BM$37=0,0,IF(AND(AZ39&gt;=$AS$57,AZ39&lt;=$AT$57),$AW$57,0)))</f>
        <v>0</v>
      </c>
      <c r="BN39" s="429">
        <f>IF($AH$58=0,0,IF($BN$37=0,0,IF(AND(AZ39&gt;=$AS$58,AZ39&lt;=$AT$58),$AW$58,0)))</f>
        <v>0</v>
      </c>
      <c r="BO39" s="429">
        <f>IF($AH$59=0,0,IF($BO$37=0,0,IF(AND(AZ39&gt;=$AS$59,AZ39&lt;=$AT$59),$AW$59,0)))</f>
        <v>0</v>
      </c>
      <c r="BP39" s="429">
        <f>IF($AH$60=0,0,IF($BP$37=0,0,IF(AND(AZ39&gt;=$AS$60,AZ39&lt;=$AT$60),$AW$60,0)))</f>
        <v>0</v>
      </c>
      <c r="BQ39" s="429">
        <f>IF($AH$61=0,0,IF($BQ$37=0,0,IF(AND(AZ39&gt;=$AS$61,AZ39&lt;=$AT$61),$AW$61,0)))</f>
        <v>0</v>
      </c>
      <c r="BR39" s="430">
        <f>IF($AH$62=0,0,IF($BR$37=0,0,IF(AND(AZ39&gt;=$AS$62,AZ39&lt;=$AT$62),$AW$62,0)))</f>
        <v>0</v>
      </c>
      <c r="BS39" s="431">
        <f>SUM(BK39:BR39)</f>
        <v>0</v>
      </c>
      <c r="BU39" s="483">
        <f>BI39+BS39</f>
        <v>0</v>
      </c>
      <c r="BW39" s="484" t="e">
        <f>IF(YEAR(EXPEDIENTE!$I$29)&gt;=$BW$23+1,$BW$23+1,"")</f>
        <v>#VALUE!</v>
      </c>
      <c r="BX39" s="470">
        <v>9</v>
      </c>
      <c r="BY39" s="487">
        <f>'GASTOS EJER. 2'!BN37</f>
        <v>0</v>
      </c>
      <c r="BZ39" s="487">
        <f>'GASTOS EJER. 2'!CM37</f>
        <v>0</v>
      </c>
      <c r="CA39" s="473">
        <f>BY39-BZ39</f>
        <v>0</v>
      </c>
      <c r="CC39" s="474">
        <f>'GASTOS EJER. 2'!AW37+'GASTOS EJER. 2'!BM37-'GASTOS EJER. 2'!CM37-'GASTOS EJER. 2'!CP37</f>
        <v>0</v>
      </c>
      <c r="CD39" s="475" t="str">
        <f>IF('GASTOS EJER. 2'!CT37="","",'GASTOS EJER. 2'!CT37)</f>
        <v/>
      </c>
      <c r="CE39" s="472">
        <f>'GASTOS EJER. 2'!CP37</f>
        <v>0</v>
      </c>
      <c r="CF39" s="476" t="str">
        <f>IF('GASTOS EJER. 2'!CW37="","",'GASTOS EJER. 2'!CW37)</f>
        <v/>
      </c>
      <c r="CG39" s="477">
        <f>IF(AND(CD39&gt;=EXPEDIENTE!$I$25,CD39&lt;=EXPEDIENTE!$I$29),CC39,0)</f>
        <v>0</v>
      </c>
      <c r="CH39" s="429">
        <f>IF(AND(CF39&gt;=EXPEDIENTE!$I$25,CF39&lt;=EXPEDIENTE!$I$29),CE39,0)</f>
        <v>0</v>
      </c>
      <c r="CI39" s="473">
        <f>CG39+CH39</f>
        <v>0</v>
      </c>
      <c r="CJ39" s="478" t="str">
        <f>IF('GASTOS EJER. 2'!AQ37="","",'GASTOS EJER. 2'!AQ37)</f>
        <v/>
      </c>
      <c r="CK39" s="479" t="str">
        <f>IF('GASTOS EJER. 2'!AT37="","",'GASTOS EJER. 2'!AT37)</f>
        <v/>
      </c>
      <c r="CL39" s="480">
        <f>IF(OR(CJ39="",CK39=""),0,DATEDIF(CJ39,CK39,"M")+1)</f>
        <v>0</v>
      </c>
      <c r="CM39" s="481">
        <f t="shared" ref="CM39:CM46" si="181">IF(OR(CJ39="",CK39=""),0,IF(YEAR(CJ39)&lt;$AV$22,DATEDIF(DATE($AV$22,1,1),CK39,"M")+1,CL39))</f>
        <v>0</v>
      </c>
      <c r="CN39" s="482">
        <f>IF(OR(CJ39="",CK39=""),0,ROUND(CI39/CL39,2))</f>
        <v>0</v>
      </c>
      <c r="CP39" s="426">
        <v>1</v>
      </c>
      <c r="CQ39" s="427" t="e">
        <f t="shared" ref="CQ39:CQ50" si="182">IF($AZ$38="","",DATE($AZ$38,CP39,1))</f>
        <v>#VALUE!</v>
      </c>
      <c r="CR39" s="428">
        <f>IF($BY$39=0,0,IF($CR$37=0,0,IF(AND($CQ39&gt;=$CJ$39,$CQ39&lt;=$CK$39),$CN$39,0)))</f>
        <v>0</v>
      </c>
      <c r="CS39" s="429">
        <f>IF($BY$40=0,0,IF($CS$37=0,0,IF(AND($CQ39&gt;=$CJ$40,$CQ39&lt;=$CK$40),$CN$40,0)))</f>
        <v>0</v>
      </c>
      <c r="CT39" s="429">
        <f>IF($BY$41=0,0,IF($CT$37=0,0,IF(AND($CQ39&gt;=$CJ$41,$CQ39&lt;=$CK$41),$CN$41,0)))</f>
        <v>0</v>
      </c>
      <c r="CU39" s="429">
        <f>IF($BY$42=0,0,IF($CU$37=0,0,IF(AND($CQ39&gt;=$CJ$42,$CQ39&lt;=$CK$42),$CN$42,0)))</f>
        <v>0</v>
      </c>
      <c r="CV39" s="429">
        <f>IF($BY$43=0,0,IF($CV$37=0,0,IF(AND($CQ39&gt;=$CJ$43,$CQ39&lt;=$CK$43),$CN$43,0)))</f>
        <v>0</v>
      </c>
      <c r="CW39" s="429">
        <f>IF($BY$44=0,0,IF($CW$37=0,0,IF(AND($CQ39&gt;=$CJ$44,$CQ39&lt;=$CK$44),$CN$44,0)))</f>
        <v>0</v>
      </c>
      <c r="CX39" s="429">
        <f>IF($BY$45=0,0,IF($CX$37=0,0,IF(AND($CQ39&gt;=$CJ$45,$CQ39&lt;=$CK$45),$CN$45,0)))</f>
        <v>0</v>
      </c>
      <c r="CY39" s="430">
        <f>IF($BY$46=0,0,IF($CY$37=0,0,IF(AND($CQ39&gt;=$CJ$46,$CQ39&lt;=$CK$46),$CN$46,0)))</f>
        <v>0</v>
      </c>
      <c r="CZ39" s="431">
        <f t="shared" ref="CZ39:CZ50" si="183">SUM(CR39:CY39)</f>
        <v>0</v>
      </c>
      <c r="DB39" s="428">
        <f>IF($BY$55=0,0,IF($DB$37=0,0,IF(AND($CQ39&gt;=$CJ$55,$CQ39&lt;=$CK$55),$CN$55,0)))</f>
        <v>0</v>
      </c>
      <c r="DC39" s="429">
        <f>IF($BY$56=0,0,IF($DC$37=0,0,IF(AND($CQ39&gt;=$CJ$56,$CQ39&lt;=$CK$56),$CN$56,0)))</f>
        <v>0</v>
      </c>
      <c r="DD39" s="429">
        <f>IF($BY$57=0,0,IF($DD$37=0,0,IF(AND($CQ39&gt;=$CJ$57,$CQ39&lt;=$CK$57),$CN$57,0)))</f>
        <v>0</v>
      </c>
      <c r="DE39" s="429">
        <f>IF($BY$58=0,0,IF($DE$37=0,0,IF(AND($CQ39&gt;=$CJ$58,$CQ39&lt;=$CK$58),$CN$58,0)))</f>
        <v>0</v>
      </c>
      <c r="DF39" s="429">
        <f>IF($BY$59=0,0,IF($DF$37=0,0,IF(AND($CQ39&gt;=$CJ$59,$CQ39&lt;=$CK$59),$CN$59,0)))</f>
        <v>0</v>
      </c>
      <c r="DG39" s="429">
        <f>IF($BY$60=0,0,IF($DG$37=0,0,IF(AND($CQ39&gt;=$CJ$60,$CQ39&lt;=$CK$60),$CN$60,0)))</f>
        <v>0</v>
      </c>
      <c r="DH39" s="429">
        <f>IF($BY$61=0,0,IF($DH$37=0,0,IF(AND($CQ39&gt;=$CJ$61,$CQ39&lt;=$CK$61),$CN$61,0)))</f>
        <v>0</v>
      </c>
      <c r="DI39" s="430">
        <f>IF($BY$62=0,0,IF($DI$37=0,0,IF(AND($CQ39&gt;=$CJ$62,$CQ39&lt;=$CK$62),$CN$62,0)))</f>
        <v>0</v>
      </c>
      <c r="DJ39" s="431">
        <f>SUM(DB39:DI39)</f>
        <v>0</v>
      </c>
      <c r="DL39" s="483">
        <f>CZ39+DJ39</f>
        <v>0</v>
      </c>
      <c r="DN39" s="470">
        <v>9</v>
      </c>
      <c r="DO39" s="485">
        <f>'GASTOS EJER. 2'!$C37</f>
        <v>0</v>
      </c>
      <c r="DP39" s="479" t="str">
        <f>AS39</f>
        <v/>
      </c>
      <c r="DQ39" s="479" t="str">
        <f t="shared" ref="DQ39" si="184">AT39</f>
        <v/>
      </c>
      <c r="DR39" s="486">
        <f t="shared" ref="DR39" si="185">AU39</f>
        <v>0</v>
      </c>
      <c r="DS39" s="487">
        <f>'GASTOS EJER. 2'!X37</f>
        <v>0</v>
      </c>
      <c r="DT39" s="475" t="str">
        <f>IF(DS39=0,"",'GASTOS EJER. 2'!AA37)</f>
        <v/>
      </c>
      <c r="DU39" s="475" t="str">
        <f t="shared" ref="DU39:DU46" si="186">IF(DT39="","",EOMONTH(DATE(YEAR(DT39),MONTH(DT39)+1,1),0))</f>
        <v/>
      </c>
      <c r="DV39" s="473" t="e">
        <f>IF(AND(DU39&gt;=EXPEDIENTE!$F$25,DU39&lt;=EXPEDIENTE!$F$29),ROUNDDOWN(DS39/DR39,2),0)</f>
        <v>#DIV/0!</v>
      </c>
      <c r="DX39" s="389">
        <v>20</v>
      </c>
      <c r="DY39" s="433">
        <f t="shared" si="101"/>
        <v>45870</v>
      </c>
      <c r="DZ39" s="433">
        <f t="shared" si="102"/>
        <v>45900</v>
      </c>
      <c r="EA39" s="389" t="str">
        <f>IF(AND(DZ39&gt;=EXPEDIENTE!$F$25,DY39&lt;=EXPEDIENTE!$F$29),"SI","NO")</f>
        <v>SI</v>
      </c>
      <c r="EB39" s="426">
        <f t="shared" ref="EB39:EB69" si="187">IF(AND($DY39&gt;=$DP$23,$DZ39&lt;=$DQ$23),$DV$23,0)</f>
        <v>0</v>
      </c>
      <c r="EC39" s="426">
        <f t="shared" ref="EC39:EC69" si="188">IF(AND($DY39&gt;=$DP$24,$DZ39&lt;=$DQ$24),$DV$24,0)</f>
        <v>0</v>
      </c>
      <c r="ED39" s="426">
        <f t="shared" ref="ED39:ED69" si="189">IF(AND($DY39&gt;=$DP$25,$DZ39&lt;=$DQ$25),$DV$25,0)</f>
        <v>0</v>
      </c>
      <c r="EE39" s="426">
        <f t="shared" ref="EE39:EE69" si="190">IF(AND($DY39&gt;=$DP$26,$DZ39&lt;=$DQ$26),$DV$26,0)</f>
        <v>0</v>
      </c>
      <c r="EF39" s="426">
        <f t="shared" ref="EF39:EF69" si="191">IF(AND($DY39&gt;=$DP$27,$DZ39&lt;=$DQ$27),$DV$27,0)</f>
        <v>0</v>
      </c>
      <c r="EG39" s="426">
        <f t="shared" ref="EG39:EG69" si="192">IF(AND($DY39&gt;=$DP$28,$DZ39&lt;=$DQ$28),$DV$28,0)</f>
        <v>0</v>
      </c>
      <c r="EH39" s="426">
        <f t="shared" ref="EH39:EH69" si="193">IF(AND($DY39&gt;=$DP$29,$DZ39&lt;=$DQ$29),$DV$29,0)</f>
        <v>0</v>
      </c>
      <c r="EI39" s="426">
        <f t="shared" ref="EI39:EI69" si="194">IF(AND($DY39&gt;=$DP$30,$DZ39&lt;=$DQ$30),$DV$30,0)</f>
        <v>0</v>
      </c>
      <c r="EJ39" s="426">
        <f t="shared" ref="EJ39:EJ69" si="195">IF(AND($DY39&gt;=$DP$39,$DZ39&lt;=$DQ$39),$DV$39,0)</f>
        <v>0</v>
      </c>
      <c r="EK39" s="426">
        <f t="shared" ref="EK39:EK69" si="196">IF(AND($DY39&gt;=$DP$40,$DZ39&lt;=$DQ$40),$DV$40,0)</f>
        <v>0</v>
      </c>
      <c r="EL39" s="426">
        <f t="shared" ref="EL39:EL69" si="197">IF(AND($DY39&gt;=$DP$41,$DZ39&lt;=$DQ$41),$DV$41,0)</f>
        <v>0</v>
      </c>
      <c r="EM39" s="426">
        <f t="shared" ref="EM39:EM69" si="198">IF(AND($DY39&gt;=$DP$42,$DZ39&lt;=$DQ$42),$DV$42,0)</f>
        <v>0</v>
      </c>
      <c r="EN39" s="426">
        <f t="shared" ref="EN39:EN69" si="199">IF(AND($DY39&gt;=$DP$43,$DZ39&lt;=$DQ$43),$DV$43,0)</f>
        <v>0</v>
      </c>
      <c r="EO39" s="426">
        <f t="shared" ref="EO39:EO69" si="200">IF(AND($DY39&gt;=$DP$44,$DZ39&lt;=$DQ$44),$DV$44,0)</f>
        <v>0</v>
      </c>
      <c r="EP39" s="426">
        <f t="shared" ref="EP39:EP69" si="201">IF(AND($DY39&gt;=$DP$45,$DZ39&lt;=$DQ$45),$DV$45,0)</f>
        <v>0</v>
      </c>
      <c r="EQ39" s="426">
        <f t="shared" ref="EQ39:EQ69" si="202">IF(AND($DY39&gt;=$DP$46,$DZ39&lt;=$DQ$46),$DV$46,0)</f>
        <v>0</v>
      </c>
      <c r="ER39" s="426">
        <f t="shared" ref="ER39:ER69" si="203">IF(AND($DY39&gt;=$DP$55,$DZ39&lt;=$DQ$55),$DV$55,0)</f>
        <v>0</v>
      </c>
      <c r="ES39" s="426">
        <f t="shared" ref="ES39:ES69" si="204">IF(AND($DY39&gt;=$DP$56,$DZ39&lt;=$DQ$56),$DV$56,0)</f>
        <v>0</v>
      </c>
      <c r="ET39" s="426">
        <f t="shared" ref="ET39:ET69" si="205">IF(AND($DY39&gt;=$DP$57,$DZ39&lt;=$DQ$57),$DV$57,0)</f>
        <v>0</v>
      </c>
      <c r="EU39" s="426">
        <f t="shared" ref="EU39:EU69" si="206">IF(AND($DY39&gt;=$DP$58,$DZ39&lt;=$DQ$58),$DV$58,0)</f>
        <v>0</v>
      </c>
      <c r="EV39" s="426">
        <f t="shared" ref="EV39:EV69" si="207">IF(AND($DY39&gt;=$DP$59,$DZ39&lt;=$DQ$59),$DV$59,0)</f>
        <v>0</v>
      </c>
      <c r="EW39" s="426">
        <f t="shared" ref="EW39:EW69" si="208">IF(AND($DY39&gt;=$DP$60,$DZ39&lt;=$DQ$60),$DV$60,0)</f>
        <v>0</v>
      </c>
      <c r="EX39" s="426">
        <f t="shared" ref="EX39:EX69" si="209">IF(AND($DY39&gt;=$DP$61,$DZ39&lt;=$DQ$61),$DV$61,0)</f>
        <v>0</v>
      </c>
      <c r="EY39" s="426">
        <f t="shared" ref="EY39:EY69" si="210">IF(AND($DY39&gt;=$DP$62,$DZ39&lt;=$DQ$62),$DV$62,0)</f>
        <v>0</v>
      </c>
      <c r="EZ39" s="426">
        <f t="shared" ref="EZ39:EZ69" si="211">IF(AND($DY39&gt;=$DP$71,$DZ39&lt;=$DQ$71),$DV$71,0)</f>
        <v>0</v>
      </c>
      <c r="FA39" s="426">
        <f t="shared" ref="FA39:FA69" si="212">IF(AND($DY39&gt;=$DP$72,$DZ39&lt;=$DQ$72),$DV$72,0)</f>
        <v>0</v>
      </c>
      <c r="FB39" s="426">
        <f t="shared" ref="FB39:FB69" si="213">IF(AND($DY39&gt;=$DP$73,$DZ39&lt;=$DQ$73),$DV$73,0)</f>
        <v>0</v>
      </c>
      <c r="FC39" s="426">
        <f t="shared" ref="FC39:FC69" si="214">IF(AND($DY39&gt;=$DP$74,$DZ39&lt;=$DQ$74),$DV$74,0)</f>
        <v>0</v>
      </c>
      <c r="FD39" s="426">
        <f t="shared" ref="FD39:FD69" si="215">IF(AND($DY39&gt;=$DP$75,$DZ39&lt;=$DQ$75),$DV$75,0)</f>
        <v>0</v>
      </c>
      <c r="FE39" s="426">
        <f t="shared" ref="FE39:FE69" si="216">IF(AND($DY39&gt;=$DP$76,$DZ39&lt;=$DQ$76),$DV$76,0)</f>
        <v>0</v>
      </c>
      <c r="FF39" s="426">
        <f t="shared" ref="FF39:FF69" si="217">IF(AND($DY39&gt;=$DP$77,$DZ39&lt;=$DQ$77),$DV$77,0)</f>
        <v>0</v>
      </c>
      <c r="FG39" s="426">
        <f t="shared" ref="FG39:FG69" si="218">IF(AND($DY39&gt;=$DP$78,$DZ39&lt;=$DQ$78),$DV$78,0)</f>
        <v>0</v>
      </c>
      <c r="FH39" s="426">
        <f t="shared" si="66"/>
        <v>0</v>
      </c>
      <c r="FJ39" s="121">
        <v>1</v>
      </c>
      <c r="FK39" s="488">
        <f>DATE(YEAR(EXPEDIENTE!$F$25)+1,FJ39,1)</f>
        <v>45658</v>
      </c>
      <c r="FL39" s="488" t="str">
        <f>IF('GASTOS EJER. 2'!I49="","",'GASTOS EJER. 2'!I49)</f>
        <v/>
      </c>
      <c r="FM39" s="489">
        <f>'GASTOS EJER. 2'!X20</f>
        <v>0</v>
      </c>
      <c r="FN39" s="489">
        <f>'GASTOS EJER. 2'!H49</f>
        <v>0</v>
      </c>
      <c r="FO39" s="437">
        <f>VLOOKUP(FK39,$DY$7:$FH$69,36,FALSE)</f>
        <v>0</v>
      </c>
      <c r="FP39" s="489">
        <f t="shared" ref="FP39:FP50" si="219">SUM(FM39:FO39)</f>
        <v>0</v>
      </c>
      <c r="FR39" s="470">
        <v>9</v>
      </c>
      <c r="FS39" s="485">
        <f>'GASTOS EJER. 2'!$C37</f>
        <v>0</v>
      </c>
      <c r="FT39" s="479" t="str">
        <f>CJ39</f>
        <v/>
      </c>
      <c r="FU39" s="479" t="str">
        <f>CK39</f>
        <v/>
      </c>
      <c r="FV39" s="486">
        <f>CL39</f>
        <v>0</v>
      </c>
      <c r="FW39" s="487">
        <f>'GASTOS EJER. 2'!CM37</f>
        <v>0</v>
      </c>
      <c r="FX39" s="475" t="str">
        <f>IF(FW39=0,"",'GASTOS EJER. 2'!CT37)</f>
        <v/>
      </c>
      <c r="FY39" s="475" t="str">
        <f t="shared" ref="FY39:FY46" si="220">IF(FX39="","",EOMONTH(DATE(YEAR(FX39),MONTH(FX39)+1,1),0))</f>
        <v/>
      </c>
      <c r="FZ39" s="473" t="e">
        <f>IF(AND(FY39&gt;=EXPEDIENTE!$F$25,FY39&lt;=EXPEDIENTE!$F$29),ROUNDDOWN(FW39/FV39,2),0)</f>
        <v>#DIV/0!</v>
      </c>
      <c r="GB39" s="389">
        <v>20</v>
      </c>
      <c r="GC39" s="433">
        <f t="shared" si="103"/>
        <v>45870</v>
      </c>
      <c r="GD39" s="433">
        <f t="shared" si="104"/>
        <v>45900</v>
      </c>
      <c r="GE39" s="389" t="str">
        <f>IF(AND(GD39&gt;=EXPEDIENTE!$F$25,GC39&lt;=EXPEDIENTE!$F$29),"SI","NO")</f>
        <v>SI</v>
      </c>
      <c r="GF39" s="426">
        <f t="shared" si="67"/>
        <v>0</v>
      </c>
      <c r="GG39" s="426">
        <f t="shared" si="68"/>
        <v>0</v>
      </c>
      <c r="GH39" s="426">
        <f t="shared" si="69"/>
        <v>0</v>
      </c>
      <c r="GI39" s="426">
        <f t="shared" si="70"/>
        <v>0</v>
      </c>
      <c r="GJ39" s="426">
        <f t="shared" si="71"/>
        <v>0</v>
      </c>
      <c r="GK39" s="426">
        <f t="shared" si="72"/>
        <v>0</v>
      </c>
      <c r="GL39" s="426">
        <f t="shared" si="73"/>
        <v>0</v>
      </c>
      <c r="GM39" s="426">
        <f t="shared" si="74"/>
        <v>0</v>
      </c>
      <c r="GN39" s="426">
        <f t="shared" si="75"/>
        <v>0</v>
      </c>
      <c r="GO39" s="426">
        <f t="shared" si="76"/>
        <v>0</v>
      </c>
      <c r="GP39" s="426">
        <f t="shared" si="77"/>
        <v>0</v>
      </c>
      <c r="GQ39" s="426">
        <f t="shared" si="78"/>
        <v>0</v>
      </c>
      <c r="GR39" s="426">
        <f t="shared" si="79"/>
        <v>0</v>
      </c>
      <c r="GS39" s="426">
        <f t="shared" si="80"/>
        <v>0</v>
      </c>
      <c r="GT39" s="426">
        <f t="shared" si="81"/>
        <v>0</v>
      </c>
      <c r="GU39" s="426">
        <f t="shared" si="82"/>
        <v>0</v>
      </c>
      <c r="GV39" s="426">
        <f t="shared" si="83"/>
        <v>0</v>
      </c>
      <c r="GW39" s="426">
        <f t="shared" si="84"/>
        <v>0</v>
      </c>
      <c r="GX39" s="426">
        <f t="shared" si="85"/>
        <v>0</v>
      </c>
      <c r="GY39" s="426">
        <f t="shared" si="86"/>
        <v>0</v>
      </c>
      <c r="GZ39" s="426">
        <f t="shared" si="87"/>
        <v>0</v>
      </c>
      <c r="HA39" s="426">
        <f t="shared" si="88"/>
        <v>0</v>
      </c>
      <c r="HB39" s="426">
        <f t="shared" si="89"/>
        <v>0</v>
      </c>
      <c r="HC39" s="426">
        <f t="shared" si="90"/>
        <v>0</v>
      </c>
      <c r="HD39" s="426">
        <f t="shared" si="91"/>
        <v>0</v>
      </c>
      <c r="HE39" s="426">
        <f t="shared" si="92"/>
        <v>0</v>
      </c>
      <c r="HF39" s="426">
        <f t="shared" si="93"/>
        <v>0</v>
      </c>
      <c r="HG39" s="426">
        <f t="shared" si="94"/>
        <v>0</v>
      </c>
      <c r="HH39" s="426">
        <f t="shared" si="95"/>
        <v>0</v>
      </c>
      <c r="HI39" s="426">
        <f t="shared" si="96"/>
        <v>0</v>
      </c>
      <c r="HJ39" s="426">
        <f t="shared" si="97"/>
        <v>0</v>
      </c>
      <c r="HK39" s="426">
        <f t="shared" si="98"/>
        <v>0</v>
      </c>
      <c r="HL39" s="426">
        <f t="shared" si="99"/>
        <v>0</v>
      </c>
      <c r="HO39" s="121">
        <v>1</v>
      </c>
      <c r="HP39" s="488">
        <f>DATE(YEAR(EXPEDIENTE!$F$25)+1,HO39,1)</f>
        <v>45658</v>
      </c>
      <c r="HQ39" s="488" t="str">
        <f>IF('GASTOS EJER. 2'!BF49="","",'GASTOS EJER. 2'!BF49)</f>
        <v/>
      </c>
      <c r="HR39" s="489">
        <f>'GASTOS EJER. 2'!CM20</f>
        <v>0</v>
      </c>
      <c r="HS39" s="489">
        <f>'GASTOS EJER. 2'!BA49</f>
        <v>0</v>
      </c>
      <c r="HT39" s="437">
        <f>VLOOKUP(HP39,$GC$7:$HL$69,36,FALSE)</f>
        <v>0</v>
      </c>
      <c r="HU39" s="489">
        <f t="shared" ref="HU39:HU50" si="221">SUM(HR39:HT39)</f>
        <v>0</v>
      </c>
      <c r="JC39" s="445">
        <v>35</v>
      </c>
      <c r="JD39" s="401">
        <f t="shared" si="100"/>
        <v>12</v>
      </c>
    </row>
    <row r="40" spans="3:264" x14ac:dyDescent="0.25">
      <c r="C40" s="209">
        <v>34</v>
      </c>
      <c r="D40" s="404"/>
      <c r="E40" s="420"/>
      <c r="F40" s="421"/>
      <c r="G40" s="422"/>
      <c r="H40" s="422"/>
      <c r="I40" s="422"/>
      <c r="J40" s="404"/>
      <c r="K40" s="410">
        <f t="shared" si="52"/>
        <v>76</v>
      </c>
      <c r="L40" s="410">
        <f t="shared" si="53"/>
        <v>76</v>
      </c>
      <c r="M40" s="410" t="str">
        <f t="shared" si="54"/>
        <v>X</v>
      </c>
      <c r="Y40" s="425">
        <f t="shared" si="0"/>
        <v>35</v>
      </c>
      <c r="Z40" s="415" t="str">
        <f>IF(Y40="","",IF(EDATE($Z$5,Y40)&gt;EXPEDIENTE!$F$27,"",EDATE($Z$5,Y40)))</f>
        <v/>
      </c>
      <c r="AA40" s="415" t="str">
        <f>IF(Z40="","",IF(YEAR(EXPEDIENTE!$F$25)=YEAR(Z40),Z40,""))</f>
        <v/>
      </c>
      <c r="AB40" s="415" t="str">
        <f>IF(Z40="","",IF(YEAR(EXPEDIENTE!$F$25)+1=YEAR(Z40),Z40,""))</f>
        <v/>
      </c>
      <c r="AC40" s="415" t="str">
        <f>IF(Z40="","",IF(YEAR(EXPEDIENTE!$F$25)+2=YEAR(Z40),Z40,""))</f>
        <v/>
      </c>
      <c r="AD40" s="415" t="str">
        <f>IF(Z40="","",IF(YEAR(EXPEDIENTE!$F$25)+3=YEAR(Z40),Z40,""))</f>
        <v/>
      </c>
      <c r="AG40" s="490">
        <v>10</v>
      </c>
      <c r="AH40" s="503">
        <f>'GASTOS EJER. 2'!M38</f>
        <v>0</v>
      </c>
      <c r="AI40" s="503">
        <f>'GASTOS EJER. 2'!X38</f>
        <v>0</v>
      </c>
      <c r="AJ40" s="493">
        <f t="shared" ref="AJ40:AJ46" si="222">AH40-AI40</f>
        <v>0</v>
      </c>
      <c r="AL40" s="494">
        <f>'GASTOS EJER. 2'!F38+'GASTOS EJER. 2'!L38-'GASTOS EJER. 2'!X38-'GASTOS EJER. 2'!Y38</f>
        <v>0</v>
      </c>
      <c r="AM40" s="495" t="str">
        <f>IF('GASTOS EJER. 2'!AA38="","",'GASTOS EJER. 2'!AA38)</f>
        <v/>
      </c>
      <c r="AN40" s="492">
        <f>'GASTOS EJER. 2'!Y38</f>
        <v>0</v>
      </c>
      <c r="AO40" s="496" t="str">
        <f>IF('GASTOS EJER. 2'!AB38="","",'GASTOS EJER. 2'!AB38)</f>
        <v/>
      </c>
      <c r="AP40" s="497">
        <f>IF(AND(AM40&gt;=EXPEDIENTE!$I$25,AM40&lt;=EXPEDIENTE!$I$29),AL40,0)</f>
        <v>0</v>
      </c>
      <c r="AQ40" s="426">
        <f>IF(AND(AO40&gt;=EXPEDIENTE!$I$25,AO40&lt;=EXPEDIENTE!$I$29),AN40,0)</f>
        <v>0</v>
      </c>
      <c r="AR40" s="493">
        <f t="shared" ref="AR40:AR46" si="223">AP40+AQ40</f>
        <v>0</v>
      </c>
      <c r="AS40" s="498" t="str">
        <f>IF('GASTOS EJER. 2'!D38="","",'GASTOS EJER. 2'!D38)</f>
        <v/>
      </c>
      <c r="AT40" s="499" t="str">
        <f>IF('GASTOS EJER. 2'!E38="","",'GASTOS EJER. 2'!E38)</f>
        <v/>
      </c>
      <c r="AU40" s="500">
        <f t="shared" ref="AU40:AU46" si="224">IF(OR(AS40="",AT40=""),0,DATEDIF(AS40,AT40,"M")+1)</f>
        <v>0</v>
      </c>
      <c r="AV40" s="501">
        <f t="shared" si="170"/>
        <v>0</v>
      </c>
      <c r="AW40" s="442">
        <f t="shared" ref="AW40:AW46" si="225">IF(OR(AS40="",AT40=""),0,ROUND(AR40/AU40,2))</f>
        <v>0</v>
      </c>
      <c r="AY40" s="426">
        <v>2</v>
      </c>
      <c r="AZ40" s="427" t="e">
        <f t="shared" si="171"/>
        <v>#VALUE!</v>
      </c>
      <c r="BA40" s="440">
        <f t="shared" si="172"/>
        <v>0</v>
      </c>
      <c r="BB40" s="426">
        <f t="shared" si="173"/>
        <v>0</v>
      </c>
      <c r="BC40" s="426">
        <f t="shared" si="174"/>
        <v>0</v>
      </c>
      <c r="BD40" s="426">
        <f t="shared" si="175"/>
        <v>0</v>
      </c>
      <c r="BE40" s="426">
        <f t="shared" si="176"/>
        <v>0</v>
      </c>
      <c r="BF40" s="426">
        <f t="shared" si="177"/>
        <v>0</v>
      </c>
      <c r="BG40" s="426">
        <f t="shared" si="178"/>
        <v>0</v>
      </c>
      <c r="BH40" s="441">
        <f t="shared" si="179"/>
        <v>0</v>
      </c>
      <c r="BI40" s="439">
        <f t="shared" si="180"/>
        <v>0</v>
      </c>
      <c r="BK40" s="436">
        <f t="shared" ref="BK40:BK50" si="226">IF($AH$55=0,0,IF($BK$37=0,0,IF(AND(AZ40&gt;=$AS$55,AZ40&lt;=$AT$55),$AW$55,0)))</f>
        <v>0</v>
      </c>
      <c r="BL40" s="437">
        <f t="shared" ref="BL40:BL50" si="227">IF($AH$56=0,0,IF($BL$37=0,0,IF(AND(AZ40&gt;=$AS$56,AZ40&lt;=$AT$56),$AW$56,0)))</f>
        <v>0</v>
      </c>
      <c r="BM40" s="437">
        <f t="shared" ref="BM40:BM50" si="228">IF($AH$57=0,0,IF($BM$37=0,0,IF(AND(AZ40&gt;=$AS$57,AZ40&lt;=$AT$57),$AW$57,0)))</f>
        <v>0</v>
      </c>
      <c r="BN40" s="437">
        <f t="shared" ref="BN40:BN50" si="229">IF($AH$58=0,0,IF($BN$37=0,0,IF(AND(AZ40&gt;=$AS$58,AZ40&lt;=$AT$58),$AW$58,0)))</f>
        <v>0</v>
      </c>
      <c r="BO40" s="437">
        <f t="shared" ref="BO40:BO50" si="230">IF($AH$59=0,0,IF($BO$37=0,0,IF(AND(AZ40&gt;=$AS$59,AZ40&lt;=$AT$59),$AW$59,0)))</f>
        <v>0</v>
      </c>
      <c r="BP40" s="437">
        <f t="shared" ref="BP40:BP50" si="231">IF($AH$60=0,0,IF($BP$37=0,0,IF(AND(AZ40&gt;=$AS$60,AZ40&lt;=$AT$60),$AW$60,0)))</f>
        <v>0</v>
      </c>
      <c r="BQ40" s="437">
        <f t="shared" ref="BQ40:BQ50" si="232">IF($AH$61=0,0,IF($BQ$37=0,0,IF(AND(AZ40&gt;=$AS$61,AZ40&lt;=$AT$61),$AW$61,0)))</f>
        <v>0</v>
      </c>
      <c r="BR40" s="438">
        <f t="shared" ref="BR40:BR50" si="233">IF($AH$62=0,0,IF($BR$37=0,0,IF(AND(AZ40&gt;=$AS$62,AZ40&lt;=$AT$62),$AW$62,0)))</f>
        <v>0</v>
      </c>
      <c r="BS40" s="439">
        <f t="shared" ref="BS40:BS50" si="234">SUM(BK40:BR40)</f>
        <v>0</v>
      </c>
      <c r="BU40" s="439">
        <f t="shared" ref="BU40:BU50" si="235">BI40+BS40</f>
        <v>0</v>
      </c>
      <c r="BX40" s="490">
        <v>10</v>
      </c>
      <c r="BY40" s="503">
        <f>'GASTOS EJER. 2'!BN38</f>
        <v>0</v>
      </c>
      <c r="BZ40" s="503">
        <f>'GASTOS EJER. 2'!CM38</f>
        <v>0</v>
      </c>
      <c r="CA40" s="493">
        <f t="shared" ref="CA40:CA46" si="236">BY40-BZ40</f>
        <v>0</v>
      </c>
      <c r="CC40" s="494">
        <f>'GASTOS EJER. 2'!AW38+'GASTOS EJER. 2'!BM38-'GASTOS EJER. 2'!CM38-'GASTOS EJER. 2'!CP38</f>
        <v>0</v>
      </c>
      <c r="CD40" s="495" t="str">
        <f>IF('GASTOS EJER. 2'!CT38="","",'GASTOS EJER. 2'!CT38)</f>
        <v/>
      </c>
      <c r="CE40" s="492">
        <f>'GASTOS EJER. 2'!CP38</f>
        <v>0</v>
      </c>
      <c r="CF40" s="496" t="str">
        <f>IF('GASTOS EJER. 2'!CW38="","",'GASTOS EJER. 2'!CW38)</f>
        <v/>
      </c>
      <c r="CG40" s="497">
        <f>IF(AND(CD40&gt;=EXPEDIENTE!$I$25,CD40&lt;=EXPEDIENTE!$I$29),CC40,0)</f>
        <v>0</v>
      </c>
      <c r="CH40" s="426">
        <f>IF(AND(CF40&gt;=EXPEDIENTE!$I$25,CF40&lt;=EXPEDIENTE!$I$29),CE40,0)</f>
        <v>0</v>
      </c>
      <c r="CI40" s="493">
        <f t="shared" ref="CI40:CI46" si="237">CG40+CH40</f>
        <v>0</v>
      </c>
      <c r="CJ40" s="498" t="str">
        <f>IF('GASTOS EJER. 2'!AQ38="","",'GASTOS EJER. 2'!AQ38)</f>
        <v/>
      </c>
      <c r="CK40" s="499" t="str">
        <f>IF('GASTOS EJER. 2'!AT38="","",'GASTOS EJER. 2'!AT38)</f>
        <v/>
      </c>
      <c r="CL40" s="500">
        <f t="shared" ref="CL40:CL46" si="238">IF(OR(CJ40="",CK40=""),0,DATEDIF(CJ40,CK40,"M")+1)</f>
        <v>0</v>
      </c>
      <c r="CM40" s="501">
        <f t="shared" si="181"/>
        <v>0</v>
      </c>
      <c r="CN40" s="442">
        <f t="shared" ref="CN40:CN46" si="239">IF(OR(CJ40="",CK40=""),0,ROUND(CI40/CL40,2))</f>
        <v>0</v>
      </c>
      <c r="CP40" s="426">
        <v>2</v>
      </c>
      <c r="CQ40" s="427" t="e">
        <f t="shared" si="182"/>
        <v>#VALUE!</v>
      </c>
      <c r="CR40" s="440">
        <f t="shared" ref="CR40:CR49" si="240">IF($BY$39=0,0,IF($CR$37=0,0,IF(AND($CQ40&gt;=$CJ$39,$CQ40&lt;=$CK$39),$CN$39,0)))</f>
        <v>0</v>
      </c>
      <c r="CS40" s="426">
        <f t="shared" ref="CS40:CS50" si="241">IF($BY$40=0,0,IF($CS$37=0,0,IF(AND($CQ40&gt;=$CJ$40,$CQ40&lt;=$CK$40),$CN$40,0)))</f>
        <v>0</v>
      </c>
      <c r="CT40" s="426">
        <f t="shared" ref="CT40:CT50" si="242">IF($BY$41=0,0,IF($CT$37=0,0,IF(AND($CQ40&gt;=$CJ$41,$CQ40&lt;=$CK$41),$CN$41,0)))</f>
        <v>0</v>
      </c>
      <c r="CU40" s="426">
        <f t="shared" ref="CU40:CU50" si="243">IF($BY$42=0,0,IF($CU$37=0,0,IF(AND($CQ40&gt;=$CJ$42,$CQ40&lt;=$CK$42),$CN$42,0)))</f>
        <v>0</v>
      </c>
      <c r="CV40" s="426">
        <f t="shared" ref="CV40:CV50" si="244">IF($BY$43=0,0,IF($CV$37=0,0,IF(AND($CQ40&gt;=$CJ$43,$CQ40&lt;=$CK$43),$CN$43,0)))</f>
        <v>0</v>
      </c>
      <c r="CW40" s="426">
        <f t="shared" ref="CW40:CW50" si="245">IF($BY$44=0,0,IF($CW$37=0,0,IF(AND($CQ40&gt;=$CJ$44,$CQ40&lt;=$CK$44),$CN$44,0)))</f>
        <v>0</v>
      </c>
      <c r="CX40" s="426">
        <f t="shared" ref="CX40:CX50" si="246">IF($BY$45=0,0,IF($CX$37=0,0,IF(AND($CQ40&gt;=$CJ$45,$CQ40&lt;=$CK$45),$CN$45,0)))</f>
        <v>0</v>
      </c>
      <c r="CY40" s="441">
        <f t="shared" ref="CY40:CY50" si="247">IF($BY$46=0,0,IF($CY$37=0,0,IF(AND($CQ40&gt;=$CJ$46,$CQ40&lt;=$CK$46),$CN$46,0)))</f>
        <v>0</v>
      </c>
      <c r="CZ40" s="439">
        <f t="shared" si="183"/>
        <v>0</v>
      </c>
      <c r="DB40" s="440">
        <f t="shared" ref="DB40:DB49" si="248">IF($BY$55=0,0,IF($DB$37=0,0,IF(AND($CQ40&gt;=$CJ$55,$CQ40&lt;=$CK$55),$CN$55,0)))</f>
        <v>0</v>
      </c>
      <c r="DC40" s="426">
        <f t="shared" ref="DC40:DC50" si="249">IF($BY$56=0,0,IF($DC$37=0,0,IF(AND($CQ40&gt;=$CJ$56,$CQ40&lt;=$CK$56),$CN$56,0)))</f>
        <v>0</v>
      </c>
      <c r="DD40" s="426">
        <f t="shared" ref="DD40:DD50" si="250">IF($BY$57=0,0,IF($DD$37=0,0,IF(AND($CQ40&gt;=$CJ$57,$CQ40&lt;=$CK$57),$CN$57,0)))</f>
        <v>0</v>
      </c>
      <c r="DE40" s="426">
        <f t="shared" ref="DE40:DE50" si="251">IF($BY$58=0,0,IF($DE$37=0,0,IF(AND($CQ40&gt;=$CJ$58,$CQ40&lt;=$CK$58),$CN$58,0)))</f>
        <v>0</v>
      </c>
      <c r="DF40" s="426">
        <f t="shared" ref="DF40:DF50" si="252">IF($BY$59=0,0,IF($DF$37=0,0,IF(AND($CQ40&gt;=$CJ$59,$CQ40&lt;=$CK$59),$CN$59,0)))</f>
        <v>0</v>
      </c>
      <c r="DG40" s="426">
        <f t="shared" ref="DG40:DG50" si="253">IF($BY$60=0,0,IF($DG$37=0,0,IF(AND($CQ40&gt;=$CJ$60,$CQ40&lt;=$CK$60),$CN$60,0)))</f>
        <v>0</v>
      </c>
      <c r="DH40" s="426">
        <f t="shared" ref="DH40:DH50" si="254">IF($BY$61=0,0,IF($DH$37=0,0,IF(AND($CQ40&gt;=$CJ$61,$CQ40&lt;=$CK$61),$CN$61,0)))</f>
        <v>0</v>
      </c>
      <c r="DI40" s="441">
        <f t="shared" ref="DI40:DI50" si="255">IF($BY$62=0,0,IF($DI$37=0,0,IF(AND($CQ40&gt;=$CJ$62,$CQ40&lt;=$CK$62),$CN$62,0)))</f>
        <v>0</v>
      </c>
      <c r="DJ40" s="439">
        <f t="shared" ref="DJ40:DJ50" si="256">SUM(DB40:DI40)</f>
        <v>0</v>
      </c>
      <c r="DL40" s="439">
        <f t="shared" ref="DL40:DL50" si="257">CZ40+DJ40</f>
        <v>0</v>
      </c>
      <c r="DN40" s="490">
        <v>10</v>
      </c>
      <c r="DO40" s="502">
        <f>'GASTOS EJER. 2'!$C38</f>
        <v>0</v>
      </c>
      <c r="DP40" s="499" t="str">
        <f t="shared" ref="DP40:DP46" si="258">AS40</f>
        <v/>
      </c>
      <c r="DQ40" s="499" t="str">
        <f t="shared" ref="DQ40:DQ46" si="259">AT40</f>
        <v/>
      </c>
      <c r="DR40" s="389">
        <f t="shared" ref="DR40:DR46" si="260">AU40</f>
        <v>0</v>
      </c>
      <c r="DS40" s="503">
        <f>'GASTOS EJER. 2'!X38</f>
        <v>0</v>
      </c>
      <c r="DT40" s="495" t="str">
        <f>IF(DS40=0,"",'GASTOS EJER. 2'!AA38)</f>
        <v/>
      </c>
      <c r="DU40" s="495" t="str">
        <f t="shared" si="186"/>
        <v/>
      </c>
      <c r="DV40" s="493" t="e">
        <f>IF(AND(DU40&gt;=EXPEDIENTE!$F$25,DU40&lt;=EXPEDIENTE!$F$29),ROUNDDOWN(DS40/DR40,2),0)</f>
        <v>#DIV/0!</v>
      </c>
      <c r="DX40" s="389">
        <v>21</v>
      </c>
      <c r="DY40" s="433">
        <f t="shared" si="101"/>
        <v>45901</v>
      </c>
      <c r="DZ40" s="433">
        <f t="shared" si="102"/>
        <v>45930</v>
      </c>
      <c r="EA40" s="389" t="str">
        <f>IF(AND(DZ40&gt;=EXPEDIENTE!$F$25,DY40&lt;=EXPEDIENTE!$F$29),"SI","NO")</f>
        <v>SI</v>
      </c>
      <c r="EB40" s="426">
        <f t="shared" si="187"/>
        <v>0</v>
      </c>
      <c r="EC40" s="426">
        <f t="shared" si="188"/>
        <v>0</v>
      </c>
      <c r="ED40" s="426">
        <f t="shared" si="189"/>
        <v>0</v>
      </c>
      <c r="EE40" s="426">
        <f t="shared" si="190"/>
        <v>0</v>
      </c>
      <c r="EF40" s="426">
        <f t="shared" si="191"/>
        <v>0</v>
      </c>
      <c r="EG40" s="426">
        <f t="shared" si="192"/>
        <v>0</v>
      </c>
      <c r="EH40" s="426">
        <f t="shared" si="193"/>
        <v>0</v>
      </c>
      <c r="EI40" s="426">
        <f t="shared" si="194"/>
        <v>0</v>
      </c>
      <c r="EJ40" s="426">
        <f t="shared" si="195"/>
        <v>0</v>
      </c>
      <c r="EK40" s="426">
        <f t="shared" si="196"/>
        <v>0</v>
      </c>
      <c r="EL40" s="426">
        <f t="shared" si="197"/>
        <v>0</v>
      </c>
      <c r="EM40" s="426">
        <f t="shared" si="198"/>
        <v>0</v>
      </c>
      <c r="EN40" s="426">
        <f t="shared" si="199"/>
        <v>0</v>
      </c>
      <c r="EO40" s="426">
        <f t="shared" si="200"/>
        <v>0</v>
      </c>
      <c r="EP40" s="426">
        <f t="shared" si="201"/>
        <v>0</v>
      </c>
      <c r="EQ40" s="426">
        <f t="shared" si="202"/>
        <v>0</v>
      </c>
      <c r="ER40" s="426">
        <f t="shared" si="203"/>
        <v>0</v>
      </c>
      <c r="ES40" s="426">
        <f t="shared" si="204"/>
        <v>0</v>
      </c>
      <c r="ET40" s="426">
        <f t="shared" si="205"/>
        <v>0</v>
      </c>
      <c r="EU40" s="426">
        <f t="shared" si="206"/>
        <v>0</v>
      </c>
      <c r="EV40" s="426">
        <f t="shared" si="207"/>
        <v>0</v>
      </c>
      <c r="EW40" s="426">
        <f t="shared" si="208"/>
        <v>0</v>
      </c>
      <c r="EX40" s="426">
        <f t="shared" si="209"/>
        <v>0</v>
      </c>
      <c r="EY40" s="426">
        <f t="shared" si="210"/>
        <v>0</v>
      </c>
      <c r="EZ40" s="426">
        <f t="shared" si="211"/>
        <v>0</v>
      </c>
      <c r="FA40" s="426">
        <f t="shared" si="212"/>
        <v>0</v>
      </c>
      <c r="FB40" s="426">
        <f t="shared" si="213"/>
        <v>0</v>
      </c>
      <c r="FC40" s="426">
        <f t="shared" si="214"/>
        <v>0</v>
      </c>
      <c r="FD40" s="426">
        <f t="shared" si="215"/>
        <v>0</v>
      </c>
      <c r="FE40" s="426">
        <f t="shared" si="216"/>
        <v>0</v>
      </c>
      <c r="FF40" s="426">
        <f t="shared" si="217"/>
        <v>0</v>
      </c>
      <c r="FG40" s="426">
        <f t="shared" si="218"/>
        <v>0</v>
      </c>
      <c r="FH40" s="426">
        <f t="shared" si="66"/>
        <v>0</v>
      </c>
      <c r="FJ40" s="121">
        <v>2</v>
      </c>
      <c r="FK40" s="495">
        <f>DATE(YEAR(EXPEDIENTE!$F$25)+1,FJ40,1)</f>
        <v>45689</v>
      </c>
      <c r="FL40" s="495" t="str">
        <f>IF('GASTOS EJER. 2'!I50="","",'GASTOS EJER. 2'!I50)</f>
        <v/>
      </c>
      <c r="FM40" s="503">
        <f>'GASTOS EJER. 2'!X21</f>
        <v>0</v>
      </c>
      <c r="FN40" s="503">
        <f>'GASTOS EJER. 2'!H50</f>
        <v>0</v>
      </c>
      <c r="FO40" s="426">
        <f t="shared" ref="FO40:FO50" si="261">VLOOKUP(FK40,$DY$7:$FH$69,36,FALSE)</f>
        <v>0</v>
      </c>
      <c r="FP40" s="503">
        <f t="shared" si="219"/>
        <v>0</v>
      </c>
      <c r="FR40" s="490">
        <v>10</v>
      </c>
      <c r="FS40" s="502">
        <f>'GASTOS EJER. 2'!$C38</f>
        <v>0</v>
      </c>
      <c r="FT40" s="499" t="str">
        <f t="shared" ref="FT40:FT46" si="262">CJ40</f>
        <v/>
      </c>
      <c r="FU40" s="499" t="str">
        <f t="shared" ref="FU40:FU46" si="263">CK40</f>
        <v/>
      </c>
      <c r="FV40" s="389">
        <f t="shared" ref="FV40:FV46" si="264">CL40</f>
        <v>0</v>
      </c>
      <c r="FW40" s="503">
        <f>'GASTOS EJER. 2'!CM38</f>
        <v>0</v>
      </c>
      <c r="FX40" s="495" t="str">
        <f>IF(FW40=0,"",'GASTOS EJER. 2'!CT38)</f>
        <v/>
      </c>
      <c r="FY40" s="495" t="str">
        <f t="shared" si="220"/>
        <v/>
      </c>
      <c r="FZ40" s="493" t="e">
        <f>IF(AND(FY40&gt;=EXPEDIENTE!$F$25,FY40&lt;=EXPEDIENTE!$F$29),ROUNDDOWN(FW40/FV40,2),0)</f>
        <v>#DIV/0!</v>
      </c>
      <c r="GB40" s="389">
        <v>21</v>
      </c>
      <c r="GC40" s="433">
        <f t="shared" si="103"/>
        <v>45901</v>
      </c>
      <c r="GD40" s="433">
        <f t="shared" si="104"/>
        <v>45930</v>
      </c>
      <c r="GE40" s="389" t="str">
        <f>IF(AND(GD40&gt;=EXPEDIENTE!$F$25,GC40&lt;=EXPEDIENTE!$F$29),"SI","NO")</f>
        <v>SI</v>
      </c>
      <c r="GF40" s="426">
        <f t="shared" si="67"/>
        <v>0</v>
      </c>
      <c r="GG40" s="426">
        <f t="shared" si="68"/>
        <v>0</v>
      </c>
      <c r="GH40" s="426">
        <f t="shared" si="69"/>
        <v>0</v>
      </c>
      <c r="GI40" s="426">
        <f t="shared" si="70"/>
        <v>0</v>
      </c>
      <c r="GJ40" s="426">
        <f t="shared" si="71"/>
        <v>0</v>
      </c>
      <c r="GK40" s="426">
        <f t="shared" si="72"/>
        <v>0</v>
      </c>
      <c r="GL40" s="426">
        <f t="shared" si="73"/>
        <v>0</v>
      </c>
      <c r="GM40" s="426">
        <f t="shared" si="74"/>
        <v>0</v>
      </c>
      <c r="GN40" s="426">
        <f t="shared" si="75"/>
        <v>0</v>
      </c>
      <c r="GO40" s="426">
        <f t="shared" si="76"/>
        <v>0</v>
      </c>
      <c r="GP40" s="426">
        <f t="shared" si="77"/>
        <v>0</v>
      </c>
      <c r="GQ40" s="426">
        <f t="shared" si="78"/>
        <v>0</v>
      </c>
      <c r="GR40" s="426">
        <f t="shared" si="79"/>
        <v>0</v>
      </c>
      <c r="GS40" s="426">
        <f t="shared" si="80"/>
        <v>0</v>
      </c>
      <c r="GT40" s="426">
        <f t="shared" si="81"/>
        <v>0</v>
      </c>
      <c r="GU40" s="426">
        <f t="shared" si="82"/>
        <v>0</v>
      </c>
      <c r="GV40" s="426">
        <f t="shared" si="83"/>
        <v>0</v>
      </c>
      <c r="GW40" s="426">
        <f t="shared" si="84"/>
        <v>0</v>
      </c>
      <c r="GX40" s="426">
        <f t="shared" si="85"/>
        <v>0</v>
      </c>
      <c r="GY40" s="426">
        <f t="shared" si="86"/>
        <v>0</v>
      </c>
      <c r="GZ40" s="426">
        <f t="shared" si="87"/>
        <v>0</v>
      </c>
      <c r="HA40" s="426">
        <f t="shared" si="88"/>
        <v>0</v>
      </c>
      <c r="HB40" s="426">
        <f t="shared" si="89"/>
        <v>0</v>
      </c>
      <c r="HC40" s="426">
        <f t="shared" si="90"/>
        <v>0</v>
      </c>
      <c r="HD40" s="426">
        <f t="shared" si="91"/>
        <v>0</v>
      </c>
      <c r="HE40" s="426">
        <f t="shared" si="92"/>
        <v>0</v>
      </c>
      <c r="HF40" s="426">
        <f t="shared" si="93"/>
        <v>0</v>
      </c>
      <c r="HG40" s="426">
        <f t="shared" si="94"/>
        <v>0</v>
      </c>
      <c r="HH40" s="426">
        <f t="shared" si="95"/>
        <v>0</v>
      </c>
      <c r="HI40" s="426">
        <f t="shared" si="96"/>
        <v>0</v>
      </c>
      <c r="HJ40" s="426">
        <f t="shared" si="97"/>
        <v>0</v>
      </c>
      <c r="HK40" s="426">
        <f t="shared" si="98"/>
        <v>0</v>
      </c>
      <c r="HL40" s="426">
        <f t="shared" si="99"/>
        <v>0</v>
      </c>
      <c r="HO40" s="121">
        <v>2</v>
      </c>
      <c r="HP40" s="495">
        <f>DATE(YEAR(EXPEDIENTE!$F$25)+1,HO40,1)</f>
        <v>45689</v>
      </c>
      <c r="HQ40" s="495" t="str">
        <f>IF('GASTOS EJER. 2'!BF50="","",'GASTOS EJER. 2'!BF50)</f>
        <v/>
      </c>
      <c r="HR40" s="503">
        <f>'GASTOS EJER. 2'!CM21</f>
        <v>0</v>
      </c>
      <c r="HS40" s="503">
        <f>'GASTOS EJER. 2'!BA50</f>
        <v>0</v>
      </c>
      <c r="HT40" s="426">
        <f t="shared" ref="HT40:HT50" si="265">VLOOKUP(HP40,$GC$7:$HL$69,36,FALSE)</f>
        <v>0</v>
      </c>
      <c r="HU40" s="503">
        <f t="shared" si="221"/>
        <v>0</v>
      </c>
      <c r="JC40" s="409">
        <v>36</v>
      </c>
      <c r="JD40" s="401">
        <f t="shared" si="100"/>
        <v>14</v>
      </c>
    </row>
    <row r="41" spans="3:264" x14ac:dyDescent="0.25">
      <c r="C41" s="209">
        <v>35</v>
      </c>
      <c r="D41" s="404"/>
      <c r="E41" s="420"/>
      <c r="F41" s="421"/>
      <c r="G41" s="422"/>
      <c r="H41" s="422"/>
      <c r="I41" s="422"/>
      <c r="J41" s="404"/>
      <c r="K41" s="410">
        <f t="shared" si="52"/>
        <v>76</v>
      </c>
      <c r="L41" s="410">
        <f t="shared" si="53"/>
        <v>76</v>
      </c>
      <c r="M41" s="410" t="str">
        <f t="shared" si="54"/>
        <v>X</v>
      </c>
      <c r="Y41" s="425">
        <f t="shared" si="0"/>
        <v>36</v>
      </c>
      <c r="Z41" s="415" t="str">
        <f>IF(Y41="","",IF(EDATE($Z$5,Y41)&gt;EXPEDIENTE!$F$27,"",EDATE($Z$5,Y41)))</f>
        <v/>
      </c>
      <c r="AA41" s="415" t="str">
        <f>IF(Z41="","",IF(YEAR(EXPEDIENTE!$F$25)=YEAR(Z41),Z41,""))</f>
        <v/>
      </c>
      <c r="AB41" s="415" t="str">
        <f>IF(Z41="","",IF(YEAR(EXPEDIENTE!$F$25)+1=YEAR(Z41),Z41,""))</f>
        <v/>
      </c>
      <c r="AC41" s="415" t="str">
        <f>IF(Z41="","",IF(YEAR(EXPEDIENTE!$F$25)+2=YEAR(Z41),Z41,""))</f>
        <v/>
      </c>
      <c r="AD41" s="415" t="str">
        <f>IF(Z41="","",IF(YEAR(EXPEDIENTE!$F$25)+3=YEAR(Z41),Z41,""))</f>
        <v/>
      </c>
      <c r="AG41" s="490">
        <v>11</v>
      </c>
      <c r="AH41" s="503">
        <f>'GASTOS EJER. 2'!M39</f>
        <v>0</v>
      </c>
      <c r="AI41" s="503">
        <f>'GASTOS EJER. 2'!X39</f>
        <v>0</v>
      </c>
      <c r="AJ41" s="493">
        <f t="shared" si="222"/>
        <v>0</v>
      </c>
      <c r="AL41" s="494">
        <f>'GASTOS EJER. 2'!F39+'GASTOS EJER. 2'!L39-'GASTOS EJER. 2'!X39-'GASTOS EJER. 2'!Y39</f>
        <v>0</v>
      </c>
      <c r="AM41" s="495" t="str">
        <f>IF('GASTOS EJER. 2'!AA39="","",'GASTOS EJER. 2'!AA39)</f>
        <v/>
      </c>
      <c r="AN41" s="492">
        <f>'GASTOS EJER. 2'!Y39</f>
        <v>0</v>
      </c>
      <c r="AO41" s="496" t="str">
        <f>IF('GASTOS EJER. 2'!AB39="","",'GASTOS EJER. 2'!AB39)</f>
        <v/>
      </c>
      <c r="AP41" s="497">
        <f>IF(AND(AM41&gt;=EXPEDIENTE!$I$25,AM41&lt;=EXPEDIENTE!$I$29),AL41,0)</f>
        <v>0</v>
      </c>
      <c r="AQ41" s="426">
        <f>IF(AND(AO41&gt;=EXPEDIENTE!$I$25,AO41&lt;=EXPEDIENTE!$I$29),AN41,0)</f>
        <v>0</v>
      </c>
      <c r="AR41" s="493">
        <f t="shared" si="223"/>
        <v>0</v>
      </c>
      <c r="AS41" s="498" t="str">
        <f>IF('GASTOS EJER. 2'!D39="","",'GASTOS EJER. 2'!D39)</f>
        <v/>
      </c>
      <c r="AT41" s="499" t="str">
        <f>IF('GASTOS EJER. 2'!E39="","",'GASTOS EJER. 2'!E39)</f>
        <v/>
      </c>
      <c r="AU41" s="500">
        <f t="shared" si="224"/>
        <v>0</v>
      </c>
      <c r="AV41" s="501">
        <f t="shared" si="170"/>
        <v>0</v>
      </c>
      <c r="AW41" s="442">
        <f t="shared" si="225"/>
        <v>0</v>
      </c>
      <c r="AY41" s="426">
        <v>3</v>
      </c>
      <c r="AZ41" s="427" t="e">
        <f t="shared" si="171"/>
        <v>#VALUE!</v>
      </c>
      <c r="BA41" s="440">
        <f t="shared" si="172"/>
        <v>0</v>
      </c>
      <c r="BB41" s="426">
        <f t="shared" si="173"/>
        <v>0</v>
      </c>
      <c r="BC41" s="426">
        <f t="shared" si="174"/>
        <v>0</v>
      </c>
      <c r="BD41" s="426">
        <f t="shared" si="175"/>
        <v>0</v>
      </c>
      <c r="BE41" s="426">
        <f t="shared" si="176"/>
        <v>0</v>
      </c>
      <c r="BF41" s="426">
        <f t="shared" si="177"/>
        <v>0</v>
      </c>
      <c r="BG41" s="426">
        <f t="shared" si="178"/>
        <v>0</v>
      </c>
      <c r="BH41" s="441">
        <f t="shared" si="179"/>
        <v>0</v>
      </c>
      <c r="BI41" s="439">
        <f t="shared" si="180"/>
        <v>0</v>
      </c>
      <c r="BK41" s="436">
        <f t="shared" si="226"/>
        <v>0</v>
      </c>
      <c r="BL41" s="437">
        <f t="shared" si="227"/>
        <v>0</v>
      </c>
      <c r="BM41" s="437">
        <f t="shared" si="228"/>
        <v>0</v>
      </c>
      <c r="BN41" s="437">
        <f t="shared" si="229"/>
        <v>0</v>
      </c>
      <c r="BO41" s="437">
        <f t="shared" si="230"/>
        <v>0</v>
      </c>
      <c r="BP41" s="437">
        <f t="shared" si="231"/>
        <v>0</v>
      </c>
      <c r="BQ41" s="437">
        <f t="shared" si="232"/>
        <v>0</v>
      </c>
      <c r="BR41" s="438">
        <f t="shared" si="233"/>
        <v>0</v>
      </c>
      <c r="BS41" s="439">
        <f t="shared" si="234"/>
        <v>0</v>
      </c>
      <c r="BU41" s="439">
        <f t="shared" si="235"/>
        <v>0</v>
      </c>
      <c r="BX41" s="490">
        <v>11</v>
      </c>
      <c r="BY41" s="503">
        <f>'GASTOS EJER. 2'!BN39</f>
        <v>0</v>
      </c>
      <c r="BZ41" s="503">
        <f>'GASTOS EJER. 2'!CM39</f>
        <v>0</v>
      </c>
      <c r="CA41" s="493">
        <f t="shared" si="236"/>
        <v>0</v>
      </c>
      <c r="CC41" s="494">
        <f>'GASTOS EJER. 2'!AW39+'GASTOS EJER. 2'!BM39-'GASTOS EJER. 2'!CM39-'GASTOS EJER. 2'!CP39</f>
        <v>0</v>
      </c>
      <c r="CD41" s="495" t="str">
        <f>IF('GASTOS EJER. 2'!CT39="","",'GASTOS EJER. 2'!CT39)</f>
        <v/>
      </c>
      <c r="CE41" s="492">
        <f>'GASTOS EJER. 2'!CP39</f>
        <v>0</v>
      </c>
      <c r="CF41" s="496" t="str">
        <f>IF('GASTOS EJER. 2'!CW39="","",'GASTOS EJER. 2'!CW39)</f>
        <v/>
      </c>
      <c r="CG41" s="497">
        <f>IF(AND(CD41&gt;=EXPEDIENTE!$I$25,CD41&lt;=EXPEDIENTE!$I$29),CC41,0)</f>
        <v>0</v>
      </c>
      <c r="CH41" s="426">
        <f>IF(AND(CF41&gt;=EXPEDIENTE!$I$25,CF41&lt;=EXPEDIENTE!$I$29),CE41,0)</f>
        <v>0</v>
      </c>
      <c r="CI41" s="493">
        <f t="shared" si="237"/>
        <v>0</v>
      </c>
      <c r="CJ41" s="498" t="str">
        <f>IF('GASTOS EJER. 2'!AQ39="","",'GASTOS EJER. 2'!AQ39)</f>
        <v/>
      </c>
      <c r="CK41" s="499" t="str">
        <f>IF('GASTOS EJER. 2'!AT39="","",'GASTOS EJER. 2'!AT39)</f>
        <v/>
      </c>
      <c r="CL41" s="500">
        <f t="shared" si="238"/>
        <v>0</v>
      </c>
      <c r="CM41" s="501">
        <f t="shared" si="181"/>
        <v>0</v>
      </c>
      <c r="CN41" s="442">
        <f t="shared" si="239"/>
        <v>0</v>
      </c>
      <c r="CP41" s="426">
        <v>3</v>
      </c>
      <c r="CQ41" s="427" t="e">
        <f t="shared" si="182"/>
        <v>#VALUE!</v>
      </c>
      <c r="CR41" s="440">
        <f t="shared" si="240"/>
        <v>0</v>
      </c>
      <c r="CS41" s="426">
        <f t="shared" si="241"/>
        <v>0</v>
      </c>
      <c r="CT41" s="426">
        <f t="shared" si="242"/>
        <v>0</v>
      </c>
      <c r="CU41" s="426">
        <f t="shared" si="243"/>
        <v>0</v>
      </c>
      <c r="CV41" s="426">
        <f t="shared" si="244"/>
        <v>0</v>
      </c>
      <c r="CW41" s="426">
        <f t="shared" si="245"/>
        <v>0</v>
      </c>
      <c r="CX41" s="426">
        <f t="shared" si="246"/>
        <v>0</v>
      </c>
      <c r="CY41" s="441">
        <f t="shared" si="247"/>
        <v>0</v>
      </c>
      <c r="CZ41" s="439">
        <f t="shared" si="183"/>
        <v>0</v>
      </c>
      <c r="DB41" s="440">
        <f t="shared" si="248"/>
        <v>0</v>
      </c>
      <c r="DC41" s="426">
        <f t="shared" si="249"/>
        <v>0</v>
      </c>
      <c r="DD41" s="426">
        <f t="shared" si="250"/>
        <v>0</v>
      </c>
      <c r="DE41" s="426">
        <f t="shared" si="251"/>
        <v>0</v>
      </c>
      <c r="DF41" s="426">
        <f t="shared" si="252"/>
        <v>0</v>
      </c>
      <c r="DG41" s="426">
        <f t="shared" si="253"/>
        <v>0</v>
      </c>
      <c r="DH41" s="426">
        <f t="shared" si="254"/>
        <v>0</v>
      </c>
      <c r="DI41" s="441">
        <f t="shared" si="255"/>
        <v>0</v>
      </c>
      <c r="DJ41" s="439">
        <f t="shared" si="256"/>
        <v>0</v>
      </c>
      <c r="DL41" s="439">
        <f t="shared" si="257"/>
        <v>0</v>
      </c>
      <c r="DN41" s="490">
        <v>11</v>
      </c>
      <c r="DO41" s="502">
        <f>'GASTOS EJER. 2'!$C39</f>
        <v>0</v>
      </c>
      <c r="DP41" s="499" t="str">
        <f t="shared" si="258"/>
        <v/>
      </c>
      <c r="DQ41" s="499" t="str">
        <f t="shared" si="259"/>
        <v/>
      </c>
      <c r="DR41" s="389">
        <f t="shared" si="260"/>
        <v>0</v>
      </c>
      <c r="DS41" s="503">
        <f>'GASTOS EJER. 2'!X39</f>
        <v>0</v>
      </c>
      <c r="DT41" s="495" t="str">
        <f>IF(DS41=0,"",'GASTOS EJER. 2'!AA39)</f>
        <v/>
      </c>
      <c r="DU41" s="495" t="str">
        <f t="shared" si="186"/>
        <v/>
      </c>
      <c r="DV41" s="493" t="e">
        <f>IF(AND(DU41&gt;=EXPEDIENTE!$F$25,DU41&lt;=EXPEDIENTE!$F$29),ROUNDDOWN(DS41/DR41,2),0)</f>
        <v>#DIV/0!</v>
      </c>
      <c r="DX41" s="389">
        <v>22</v>
      </c>
      <c r="DY41" s="433">
        <f t="shared" si="101"/>
        <v>45931</v>
      </c>
      <c r="DZ41" s="433">
        <f t="shared" si="102"/>
        <v>45961</v>
      </c>
      <c r="EA41" s="389" t="str">
        <f>IF(AND(DZ41&gt;=EXPEDIENTE!$F$25,DY41&lt;=EXPEDIENTE!$F$29),"SI","NO")</f>
        <v>SI</v>
      </c>
      <c r="EB41" s="426">
        <f t="shared" si="187"/>
        <v>0</v>
      </c>
      <c r="EC41" s="426">
        <f t="shared" si="188"/>
        <v>0</v>
      </c>
      <c r="ED41" s="426">
        <f t="shared" si="189"/>
        <v>0</v>
      </c>
      <c r="EE41" s="426">
        <f t="shared" si="190"/>
        <v>0</v>
      </c>
      <c r="EF41" s="426">
        <f t="shared" si="191"/>
        <v>0</v>
      </c>
      <c r="EG41" s="426">
        <f t="shared" si="192"/>
        <v>0</v>
      </c>
      <c r="EH41" s="426">
        <f t="shared" si="193"/>
        <v>0</v>
      </c>
      <c r="EI41" s="426">
        <f t="shared" si="194"/>
        <v>0</v>
      </c>
      <c r="EJ41" s="426">
        <f t="shared" si="195"/>
        <v>0</v>
      </c>
      <c r="EK41" s="426">
        <f t="shared" si="196"/>
        <v>0</v>
      </c>
      <c r="EL41" s="426">
        <f t="shared" si="197"/>
        <v>0</v>
      </c>
      <c r="EM41" s="426">
        <f t="shared" si="198"/>
        <v>0</v>
      </c>
      <c r="EN41" s="426">
        <f t="shared" si="199"/>
        <v>0</v>
      </c>
      <c r="EO41" s="426">
        <f t="shared" si="200"/>
        <v>0</v>
      </c>
      <c r="EP41" s="426">
        <f t="shared" si="201"/>
        <v>0</v>
      </c>
      <c r="EQ41" s="426">
        <f t="shared" si="202"/>
        <v>0</v>
      </c>
      <c r="ER41" s="426">
        <f t="shared" si="203"/>
        <v>0</v>
      </c>
      <c r="ES41" s="426">
        <f t="shared" si="204"/>
        <v>0</v>
      </c>
      <c r="ET41" s="426">
        <f t="shared" si="205"/>
        <v>0</v>
      </c>
      <c r="EU41" s="426">
        <f t="shared" si="206"/>
        <v>0</v>
      </c>
      <c r="EV41" s="426">
        <f t="shared" si="207"/>
        <v>0</v>
      </c>
      <c r="EW41" s="426">
        <f t="shared" si="208"/>
        <v>0</v>
      </c>
      <c r="EX41" s="426">
        <f t="shared" si="209"/>
        <v>0</v>
      </c>
      <c r="EY41" s="426">
        <f t="shared" si="210"/>
        <v>0</v>
      </c>
      <c r="EZ41" s="426">
        <f t="shared" si="211"/>
        <v>0</v>
      </c>
      <c r="FA41" s="426">
        <f t="shared" si="212"/>
        <v>0</v>
      </c>
      <c r="FB41" s="426">
        <f t="shared" si="213"/>
        <v>0</v>
      </c>
      <c r="FC41" s="426">
        <f t="shared" si="214"/>
        <v>0</v>
      </c>
      <c r="FD41" s="426">
        <f t="shared" si="215"/>
        <v>0</v>
      </c>
      <c r="FE41" s="426">
        <f t="shared" si="216"/>
        <v>0</v>
      </c>
      <c r="FF41" s="426">
        <f t="shared" si="217"/>
        <v>0</v>
      </c>
      <c r="FG41" s="426">
        <f t="shared" si="218"/>
        <v>0</v>
      </c>
      <c r="FH41" s="426">
        <f t="shared" si="66"/>
        <v>0</v>
      </c>
      <c r="FJ41" s="121">
        <v>3</v>
      </c>
      <c r="FK41" s="495">
        <f>DATE(YEAR(EXPEDIENTE!$F$25)+1,FJ41,1)</f>
        <v>45717</v>
      </c>
      <c r="FL41" s="495" t="str">
        <f>IF('GASTOS EJER. 2'!I51="","",'GASTOS EJER. 2'!I51)</f>
        <v/>
      </c>
      <c r="FM41" s="503">
        <f>'GASTOS EJER. 2'!X22</f>
        <v>0</v>
      </c>
      <c r="FN41" s="503">
        <f>'GASTOS EJER. 2'!H51</f>
        <v>0</v>
      </c>
      <c r="FO41" s="426">
        <f t="shared" si="261"/>
        <v>0</v>
      </c>
      <c r="FP41" s="503">
        <f t="shared" si="219"/>
        <v>0</v>
      </c>
      <c r="FR41" s="490">
        <v>11</v>
      </c>
      <c r="FS41" s="502">
        <f>'GASTOS EJER. 2'!$C39</f>
        <v>0</v>
      </c>
      <c r="FT41" s="499" t="str">
        <f t="shared" si="262"/>
        <v/>
      </c>
      <c r="FU41" s="499" t="str">
        <f t="shared" si="263"/>
        <v/>
      </c>
      <c r="FV41" s="389">
        <f t="shared" si="264"/>
        <v>0</v>
      </c>
      <c r="FW41" s="503">
        <f>'GASTOS EJER. 2'!CM39</f>
        <v>0</v>
      </c>
      <c r="FX41" s="495" t="str">
        <f>IF(FW41=0,"",'GASTOS EJER. 2'!CT39)</f>
        <v/>
      </c>
      <c r="FY41" s="495" t="str">
        <f t="shared" si="220"/>
        <v/>
      </c>
      <c r="FZ41" s="493" t="e">
        <f>IF(AND(FY41&gt;=EXPEDIENTE!$F$25,FY41&lt;=EXPEDIENTE!$F$29),ROUNDDOWN(FW41/FV41,2),0)</f>
        <v>#DIV/0!</v>
      </c>
      <c r="GB41" s="389">
        <v>22</v>
      </c>
      <c r="GC41" s="433">
        <f t="shared" si="103"/>
        <v>45931</v>
      </c>
      <c r="GD41" s="433">
        <f t="shared" si="104"/>
        <v>45961</v>
      </c>
      <c r="GE41" s="389" t="str">
        <f>IF(AND(GD41&gt;=EXPEDIENTE!$F$25,GC41&lt;=EXPEDIENTE!$F$29),"SI","NO")</f>
        <v>SI</v>
      </c>
      <c r="GF41" s="426">
        <f t="shared" si="67"/>
        <v>0</v>
      </c>
      <c r="GG41" s="426">
        <f t="shared" si="68"/>
        <v>0</v>
      </c>
      <c r="GH41" s="426">
        <f t="shared" si="69"/>
        <v>0</v>
      </c>
      <c r="GI41" s="426">
        <f t="shared" si="70"/>
        <v>0</v>
      </c>
      <c r="GJ41" s="426">
        <f t="shared" si="71"/>
        <v>0</v>
      </c>
      <c r="GK41" s="426">
        <f t="shared" si="72"/>
        <v>0</v>
      </c>
      <c r="GL41" s="426">
        <f t="shared" si="73"/>
        <v>0</v>
      </c>
      <c r="GM41" s="426">
        <f t="shared" si="74"/>
        <v>0</v>
      </c>
      <c r="GN41" s="426">
        <f t="shared" si="75"/>
        <v>0</v>
      </c>
      <c r="GO41" s="426">
        <f t="shared" si="76"/>
        <v>0</v>
      </c>
      <c r="GP41" s="426">
        <f t="shared" si="77"/>
        <v>0</v>
      </c>
      <c r="GQ41" s="426">
        <f t="shared" si="78"/>
        <v>0</v>
      </c>
      <c r="GR41" s="426">
        <f t="shared" si="79"/>
        <v>0</v>
      </c>
      <c r="GS41" s="426">
        <f t="shared" si="80"/>
        <v>0</v>
      </c>
      <c r="GT41" s="426">
        <f t="shared" si="81"/>
        <v>0</v>
      </c>
      <c r="GU41" s="426">
        <f t="shared" si="82"/>
        <v>0</v>
      </c>
      <c r="GV41" s="426">
        <f t="shared" si="83"/>
        <v>0</v>
      </c>
      <c r="GW41" s="426">
        <f t="shared" si="84"/>
        <v>0</v>
      </c>
      <c r="GX41" s="426">
        <f t="shared" si="85"/>
        <v>0</v>
      </c>
      <c r="GY41" s="426">
        <f t="shared" si="86"/>
        <v>0</v>
      </c>
      <c r="GZ41" s="426">
        <f t="shared" si="87"/>
        <v>0</v>
      </c>
      <c r="HA41" s="426">
        <f t="shared" si="88"/>
        <v>0</v>
      </c>
      <c r="HB41" s="426">
        <f t="shared" si="89"/>
        <v>0</v>
      </c>
      <c r="HC41" s="426">
        <f t="shared" si="90"/>
        <v>0</v>
      </c>
      <c r="HD41" s="426">
        <f t="shared" si="91"/>
        <v>0</v>
      </c>
      <c r="HE41" s="426">
        <f t="shared" si="92"/>
        <v>0</v>
      </c>
      <c r="HF41" s="426">
        <f t="shared" si="93"/>
        <v>0</v>
      </c>
      <c r="HG41" s="426">
        <f t="shared" si="94"/>
        <v>0</v>
      </c>
      <c r="HH41" s="426">
        <f t="shared" si="95"/>
        <v>0</v>
      </c>
      <c r="HI41" s="426">
        <f t="shared" si="96"/>
        <v>0</v>
      </c>
      <c r="HJ41" s="426">
        <f t="shared" si="97"/>
        <v>0</v>
      </c>
      <c r="HK41" s="426">
        <f t="shared" si="98"/>
        <v>0</v>
      </c>
      <c r="HL41" s="426">
        <f t="shared" si="99"/>
        <v>0</v>
      </c>
      <c r="HO41" s="121">
        <v>3</v>
      </c>
      <c r="HP41" s="495">
        <f>DATE(YEAR(EXPEDIENTE!$F$25)+1,HO41,1)</f>
        <v>45717</v>
      </c>
      <c r="HQ41" s="495" t="str">
        <f>IF('GASTOS EJER. 2'!BF51="","",'GASTOS EJER. 2'!BF51)</f>
        <v/>
      </c>
      <c r="HR41" s="503">
        <f>'GASTOS EJER. 2'!CM22</f>
        <v>0</v>
      </c>
      <c r="HS41" s="503">
        <f>'GASTOS EJER. 2'!BA51</f>
        <v>0</v>
      </c>
      <c r="HT41" s="426">
        <f t="shared" si="265"/>
        <v>0</v>
      </c>
      <c r="HU41" s="503">
        <f t="shared" si="221"/>
        <v>0</v>
      </c>
      <c r="JC41" s="419">
        <v>37</v>
      </c>
      <c r="JD41" s="401">
        <f t="shared" si="100"/>
        <v>14</v>
      </c>
    </row>
    <row r="42" spans="3:264" x14ac:dyDescent="0.25">
      <c r="C42" s="209">
        <v>36</v>
      </c>
      <c r="D42" s="404"/>
      <c r="E42" s="420"/>
      <c r="F42" s="421"/>
      <c r="G42" s="422"/>
      <c r="H42" s="422"/>
      <c r="I42" s="422"/>
      <c r="J42" s="404"/>
      <c r="K42" s="410">
        <f t="shared" si="52"/>
        <v>76</v>
      </c>
      <c r="L42" s="410">
        <f t="shared" si="53"/>
        <v>76</v>
      </c>
      <c r="M42" s="410" t="str">
        <f t="shared" si="54"/>
        <v>X</v>
      </c>
      <c r="Y42" s="425">
        <f t="shared" si="0"/>
        <v>37</v>
      </c>
      <c r="Z42" s="415" t="str">
        <f>IF(Y42="","",IF(EDATE($Z$5,Y42)&gt;EXPEDIENTE!$F$27,"",EDATE($Z$5,Y42)))</f>
        <v/>
      </c>
      <c r="AA42" s="415" t="str">
        <f>IF(Z42="","",IF(YEAR(EXPEDIENTE!$F$25)=YEAR(Z42),Z42,""))</f>
        <v/>
      </c>
      <c r="AB42" s="415" t="str">
        <f>IF(Z42="","",IF(YEAR(EXPEDIENTE!$F$25)+1=YEAR(Z42),Z42,""))</f>
        <v/>
      </c>
      <c r="AC42" s="415" t="str">
        <f>IF(Z42="","",IF(YEAR(EXPEDIENTE!$F$25)+2=YEAR(Z42),Z42,""))</f>
        <v/>
      </c>
      <c r="AD42" s="415" t="str">
        <f>IF(Z42="","",IF(YEAR(EXPEDIENTE!$F$25)+3=YEAR(Z42),Z42,""))</f>
        <v/>
      </c>
      <c r="AG42" s="490">
        <v>12</v>
      </c>
      <c r="AH42" s="503">
        <f>'GASTOS EJER. 2'!M40</f>
        <v>0</v>
      </c>
      <c r="AI42" s="503">
        <f>'GASTOS EJER. 2'!X40</f>
        <v>0</v>
      </c>
      <c r="AJ42" s="493">
        <f t="shared" si="222"/>
        <v>0</v>
      </c>
      <c r="AL42" s="494">
        <f>'GASTOS EJER. 2'!F40+'GASTOS EJER. 2'!L40-'GASTOS EJER. 2'!X40-'GASTOS EJER. 2'!Y40</f>
        <v>0</v>
      </c>
      <c r="AM42" s="495" t="str">
        <f>IF('GASTOS EJER. 2'!AA40="","",'GASTOS EJER. 2'!AA40)</f>
        <v/>
      </c>
      <c r="AN42" s="492">
        <f>'GASTOS EJER. 2'!Y40</f>
        <v>0</v>
      </c>
      <c r="AO42" s="496" t="str">
        <f>IF('GASTOS EJER. 2'!AB40="","",'GASTOS EJER. 2'!AB40)</f>
        <v/>
      </c>
      <c r="AP42" s="497">
        <f>IF(AND(AM42&gt;=EXPEDIENTE!$I$25,AM42&lt;=EXPEDIENTE!$I$29),AL42,0)</f>
        <v>0</v>
      </c>
      <c r="AQ42" s="426">
        <f>IF(AND(AO42&gt;=EXPEDIENTE!$I$25,AO42&lt;=EXPEDIENTE!$I$29),AN42,0)</f>
        <v>0</v>
      </c>
      <c r="AR42" s="493">
        <f t="shared" si="223"/>
        <v>0</v>
      </c>
      <c r="AS42" s="498" t="str">
        <f>IF('GASTOS EJER. 2'!D40="","",'GASTOS EJER. 2'!D40)</f>
        <v/>
      </c>
      <c r="AT42" s="499" t="str">
        <f>IF('GASTOS EJER. 2'!E40="","",'GASTOS EJER. 2'!E40)</f>
        <v/>
      </c>
      <c r="AU42" s="500">
        <f t="shared" si="224"/>
        <v>0</v>
      </c>
      <c r="AV42" s="501">
        <f t="shared" si="170"/>
        <v>0</v>
      </c>
      <c r="AW42" s="442">
        <f t="shared" si="225"/>
        <v>0</v>
      </c>
      <c r="AY42" s="426">
        <v>4</v>
      </c>
      <c r="AZ42" s="427" t="e">
        <f t="shared" si="171"/>
        <v>#VALUE!</v>
      </c>
      <c r="BA42" s="440">
        <f t="shared" si="172"/>
        <v>0</v>
      </c>
      <c r="BB42" s="426">
        <f t="shared" si="173"/>
        <v>0</v>
      </c>
      <c r="BC42" s="426">
        <f t="shared" si="174"/>
        <v>0</v>
      </c>
      <c r="BD42" s="426">
        <f t="shared" si="175"/>
        <v>0</v>
      </c>
      <c r="BE42" s="426">
        <f t="shared" si="176"/>
        <v>0</v>
      </c>
      <c r="BF42" s="426">
        <f t="shared" si="177"/>
        <v>0</v>
      </c>
      <c r="BG42" s="426">
        <f t="shared" si="178"/>
        <v>0</v>
      </c>
      <c r="BH42" s="441">
        <f t="shared" si="179"/>
        <v>0</v>
      </c>
      <c r="BI42" s="439">
        <f t="shared" si="180"/>
        <v>0</v>
      </c>
      <c r="BK42" s="436">
        <f t="shared" si="226"/>
        <v>0</v>
      </c>
      <c r="BL42" s="437">
        <f t="shared" si="227"/>
        <v>0</v>
      </c>
      <c r="BM42" s="437">
        <f t="shared" si="228"/>
        <v>0</v>
      </c>
      <c r="BN42" s="437">
        <f t="shared" si="229"/>
        <v>0</v>
      </c>
      <c r="BO42" s="437">
        <f t="shared" si="230"/>
        <v>0</v>
      </c>
      <c r="BP42" s="437">
        <f t="shared" si="231"/>
        <v>0</v>
      </c>
      <c r="BQ42" s="437">
        <f t="shared" si="232"/>
        <v>0</v>
      </c>
      <c r="BR42" s="438">
        <f t="shared" si="233"/>
        <v>0</v>
      </c>
      <c r="BS42" s="439">
        <f t="shared" si="234"/>
        <v>0</v>
      </c>
      <c r="BU42" s="439">
        <f t="shared" si="235"/>
        <v>0</v>
      </c>
      <c r="BX42" s="490">
        <v>12</v>
      </c>
      <c r="BY42" s="503">
        <f>'GASTOS EJER. 2'!BN40</f>
        <v>0</v>
      </c>
      <c r="BZ42" s="503">
        <f>'GASTOS EJER. 2'!CM40</f>
        <v>0</v>
      </c>
      <c r="CA42" s="493">
        <f t="shared" si="236"/>
        <v>0</v>
      </c>
      <c r="CC42" s="494">
        <f>'GASTOS EJER. 2'!AW40+'GASTOS EJER. 2'!BM40-'GASTOS EJER. 2'!CM40-'GASTOS EJER. 2'!CP40</f>
        <v>0</v>
      </c>
      <c r="CD42" s="495" t="str">
        <f>IF('GASTOS EJER. 2'!CT40="","",'GASTOS EJER. 2'!CT40)</f>
        <v/>
      </c>
      <c r="CE42" s="492">
        <f>'GASTOS EJER. 2'!CP40</f>
        <v>0</v>
      </c>
      <c r="CF42" s="496" t="str">
        <f>IF('GASTOS EJER. 2'!CW40="","",'GASTOS EJER. 2'!CW40)</f>
        <v/>
      </c>
      <c r="CG42" s="497">
        <f>IF(AND(CD42&gt;=EXPEDIENTE!$I$25,CD42&lt;=EXPEDIENTE!$I$29),CC42,0)</f>
        <v>0</v>
      </c>
      <c r="CH42" s="426">
        <f>IF(AND(CF42&gt;=EXPEDIENTE!$I$25,CF42&lt;=EXPEDIENTE!$I$29),CE42,0)</f>
        <v>0</v>
      </c>
      <c r="CI42" s="493">
        <f t="shared" si="237"/>
        <v>0</v>
      </c>
      <c r="CJ42" s="498" t="str">
        <f>IF('GASTOS EJER. 2'!AQ40="","",'GASTOS EJER. 2'!AQ40)</f>
        <v/>
      </c>
      <c r="CK42" s="499" t="str">
        <f>IF('GASTOS EJER. 2'!AT40="","",'GASTOS EJER. 2'!AT40)</f>
        <v/>
      </c>
      <c r="CL42" s="500">
        <f t="shared" si="238"/>
        <v>0</v>
      </c>
      <c r="CM42" s="501">
        <f t="shared" si="181"/>
        <v>0</v>
      </c>
      <c r="CN42" s="442">
        <f t="shared" si="239"/>
        <v>0</v>
      </c>
      <c r="CP42" s="426">
        <v>4</v>
      </c>
      <c r="CQ42" s="427" t="e">
        <f t="shared" si="182"/>
        <v>#VALUE!</v>
      </c>
      <c r="CR42" s="440">
        <f t="shared" si="240"/>
        <v>0</v>
      </c>
      <c r="CS42" s="426">
        <f t="shared" si="241"/>
        <v>0</v>
      </c>
      <c r="CT42" s="426">
        <f t="shared" si="242"/>
        <v>0</v>
      </c>
      <c r="CU42" s="426">
        <f t="shared" si="243"/>
        <v>0</v>
      </c>
      <c r="CV42" s="426">
        <f t="shared" si="244"/>
        <v>0</v>
      </c>
      <c r="CW42" s="426">
        <f t="shared" si="245"/>
        <v>0</v>
      </c>
      <c r="CX42" s="426">
        <f t="shared" si="246"/>
        <v>0</v>
      </c>
      <c r="CY42" s="441">
        <f t="shared" si="247"/>
        <v>0</v>
      </c>
      <c r="CZ42" s="439">
        <f t="shared" si="183"/>
        <v>0</v>
      </c>
      <c r="DB42" s="440">
        <f t="shared" si="248"/>
        <v>0</v>
      </c>
      <c r="DC42" s="426">
        <f t="shared" si="249"/>
        <v>0</v>
      </c>
      <c r="DD42" s="426">
        <f t="shared" si="250"/>
        <v>0</v>
      </c>
      <c r="DE42" s="426">
        <f t="shared" si="251"/>
        <v>0</v>
      </c>
      <c r="DF42" s="426">
        <f t="shared" si="252"/>
        <v>0</v>
      </c>
      <c r="DG42" s="426">
        <f t="shared" si="253"/>
        <v>0</v>
      </c>
      <c r="DH42" s="426">
        <f t="shared" si="254"/>
        <v>0</v>
      </c>
      <c r="DI42" s="441">
        <f t="shared" si="255"/>
        <v>0</v>
      </c>
      <c r="DJ42" s="439">
        <f t="shared" si="256"/>
        <v>0</v>
      </c>
      <c r="DL42" s="439">
        <f t="shared" si="257"/>
        <v>0</v>
      </c>
      <c r="DN42" s="490">
        <v>12</v>
      </c>
      <c r="DO42" s="502">
        <f>'GASTOS EJER. 2'!$C40</f>
        <v>0</v>
      </c>
      <c r="DP42" s="499" t="str">
        <f t="shared" si="258"/>
        <v/>
      </c>
      <c r="DQ42" s="499" t="str">
        <f t="shared" si="259"/>
        <v/>
      </c>
      <c r="DR42" s="389">
        <f t="shared" si="260"/>
        <v>0</v>
      </c>
      <c r="DS42" s="503">
        <f>'GASTOS EJER. 2'!X40</f>
        <v>0</v>
      </c>
      <c r="DT42" s="495" t="str">
        <f>IF(DS42=0,"",'GASTOS EJER. 2'!AA40)</f>
        <v/>
      </c>
      <c r="DU42" s="495" t="str">
        <f t="shared" si="186"/>
        <v/>
      </c>
      <c r="DV42" s="493" t="e">
        <f>IF(AND(DU42&gt;=EXPEDIENTE!$F$25,DU42&lt;=EXPEDIENTE!$F$29),ROUNDDOWN(DS42/DR42,2),0)</f>
        <v>#DIV/0!</v>
      </c>
      <c r="DX42" s="389">
        <v>23</v>
      </c>
      <c r="DY42" s="433">
        <f t="shared" si="101"/>
        <v>45962</v>
      </c>
      <c r="DZ42" s="433">
        <f t="shared" si="102"/>
        <v>45991</v>
      </c>
      <c r="EA42" s="389" t="str">
        <f>IF(AND(DZ42&gt;=EXPEDIENTE!$F$25,DY42&lt;=EXPEDIENTE!$F$29),"SI","NO")</f>
        <v>SI</v>
      </c>
      <c r="EB42" s="426">
        <f t="shared" si="187"/>
        <v>0</v>
      </c>
      <c r="EC42" s="426">
        <f t="shared" si="188"/>
        <v>0</v>
      </c>
      <c r="ED42" s="426">
        <f t="shared" si="189"/>
        <v>0</v>
      </c>
      <c r="EE42" s="426">
        <f t="shared" si="190"/>
        <v>0</v>
      </c>
      <c r="EF42" s="426">
        <f t="shared" si="191"/>
        <v>0</v>
      </c>
      <c r="EG42" s="426">
        <f t="shared" si="192"/>
        <v>0</v>
      </c>
      <c r="EH42" s="426">
        <f t="shared" si="193"/>
        <v>0</v>
      </c>
      <c r="EI42" s="426">
        <f t="shared" si="194"/>
        <v>0</v>
      </c>
      <c r="EJ42" s="426">
        <f t="shared" si="195"/>
        <v>0</v>
      </c>
      <c r="EK42" s="426">
        <f t="shared" si="196"/>
        <v>0</v>
      </c>
      <c r="EL42" s="426">
        <f t="shared" si="197"/>
        <v>0</v>
      </c>
      <c r="EM42" s="426">
        <f t="shared" si="198"/>
        <v>0</v>
      </c>
      <c r="EN42" s="426">
        <f t="shared" si="199"/>
        <v>0</v>
      </c>
      <c r="EO42" s="426">
        <f t="shared" si="200"/>
        <v>0</v>
      </c>
      <c r="EP42" s="426">
        <f t="shared" si="201"/>
        <v>0</v>
      </c>
      <c r="EQ42" s="426">
        <f t="shared" si="202"/>
        <v>0</v>
      </c>
      <c r="ER42" s="426">
        <f t="shared" si="203"/>
        <v>0</v>
      </c>
      <c r="ES42" s="426">
        <f t="shared" si="204"/>
        <v>0</v>
      </c>
      <c r="ET42" s="426">
        <f t="shared" si="205"/>
        <v>0</v>
      </c>
      <c r="EU42" s="426">
        <f t="shared" si="206"/>
        <v>0</v>
      </c>
      <c r="EV42" s="426">
        <f t="shared" si="207"/>
        <v>0</v>
      </c>
      <c r="EW42" s="426">
        <f t="shared" si="208"/>
        <v>0</v>
      </c>
      <c r="EX42" s="426">
        <f t="shared" si="209"/>
        <v>0</v>
      </c>
      <c r="EY42" s="426">
        <f t="shared" si="210"/>
        <v>0</v>
      </c>
      <c r="EZ42" s="426">
        <f t="shared" si="211"/>
        <v>0</v>
      </c>
      <c r="FA42" s="426">
        <f t="shared" si="212"/>
        <v>0</v>
      </c>
      <c r="FB42" s="426">
        <f t="shared" si="213"/>
        <v>0</v>
      </c>
      <c r="FC42" s="426">
        <f t="shared" si="214"/>
        <v>0</v>
      </c>
      <c r="FD42" s="426">
        <f t="shared" si="215"/>
        <v>0</v>
      </c>
      <c r="FE42" s="426">
        <f t="shared" si="216"/>
        <v>0</v>
      </c>
      <c r="FF42" s="426">
        <f t="shared" si="217"/>
        <v>0</v>
      </c>
      <c r="FG42" s="426">
        <f t="shared" si="218"/>
        <v>0</v>
      </c>
      <c r="FH42" s="426">
        <f t="shared" si="66"/>
        <v>0</v>
      </c>
      <c r="FJ42" s="121">
        <v>4</v>
      </c>
      <c r="FK42" s="495">
        <f>DATE(YEAR(EXPEDIENTE!$F$25)+1,FJ42,1)</f>
        <v>45748</v>
      </c>
      <c r="FL42" s="495" t="str">
        <f>IF('GASTOS EJER. 2'!I52="","",'GASTOS EJER. 2'!I52)</f>
        <v/>
      </c>
      <c r="FM42" s="503">
        <f>'GASTOS EJER. 2'!X23</f>
        <v>0</v>
      </c>
      <c r="FN42" s="503">
        <f>'GASTOS EJER. 2'!H52</f>
        <v>0</v>
      </c>
      <c r="FO42" s="426">
        <f t="shared" si="261"/>
        <v>0</v>
      </c>
      <c r="FP42" s="503">
        <f t="shared" si="219"/>
        <v>0</v>
      </c>
      <c r="FR42" s="490">
        <v>12</v>
      </c>
      <c r="FS42" s="502">
        <f>'GASTOS EJER. 2'!$C40</f>
        <v>0</v>
      </c>
      <c r="FT42" s="499" t="str">
        <f t="shared" si="262"/>
        <v/>
      </c>
      <c r="FU42" s="499" t="str">
        <f t="shared" si="263"/>
        <v/>
      </c>
      <c r="FV42" s="389">
        <f t="shared" si="264"/>
        <v>0</v>
      </c>
      <c r="FW42" s="503">
        <f>'GASTOS EJER. 2'!CM40</f>
        <v>0</v>
      </c>
      <c r="FX42" s="495" t="str">
        <f>IF(FW42=0,"",'GASTOS EJER. 2'!CT40)</f>
        <v/>
      </c>
      <c r="FY42" s="495" t="str">
        <f t="shared" si="220"/>
        <v/>
      </c>
      <c r="FZ42" s="493" t="e">
        <f>IF(AND(FY42&gt;=EXPEDIENTE!$F$25,FY42&lt;=EXPEDIENTE!$F$29),ROUNDDOWN(FW42/FV42,2),0)</f>
        <v>#DIV/0!</v>
      </c>
      <c r="GB42" s="389">
        <v>23</v>
      </c>
      <c r="GC42" s="433">
        <f t="shared" si="103"/>
        <v>45962</v>
      </c>
      <c r="GD42" s="433">
        <f t="shared" si="104"/>
        <v>45991</v>
      </c>
      <c r="GE42" s="389" t="str">
        <f>IF(AND(GD42&gt;=EXPEDIENTE!$F$25,GC42&lt;=EXPEDIENTE!$F$29),"SI","NO")</f>
        <v>SI</v>
      </c>
      <c r="GF42" s="426">
        <f t="shared" si="67"/>
        <v>0</v>
      </c>
      <c r="GG42" s="426">
        <f t="shared" si="68"/>
        <v>0</v>
      </c>
      <c r="GH42" s="426">
        <f t="shared" si="69"/>
        <v>0</v>
      </c>
      <c r="GI42" s="426">
        <f t="shared" si="70"/>
        <v>0</v>
      </c>
      <c r="GJ42" s="426">
        <f t="shared" si="71"/>
        <v>0</v>
      </c>
      <c r="GK42" s="426">
        <f t="shared" si="72"/>
        <v>0</v>
      </c>
      <c r="GL42" s="426">
        <f t="shared" si="73"/>
        <v>0</v>
      </c>
      <c r="GM42" s="426">
        <f t="shared" si="74"/>
        <v>0</v>
      </c>
      <c r="GN42" s="426">
        <f t="shared" si="75"/>
        <v>0</v>
      </c>
      <c r="GO42" s="426">
        <f t="shared" si="76"/>
        <v>0</v>
      </c>
      <c r="GP42" s="426">
        <f t="shared" si="77"/>
        <v>0</v>
      </c>
      <c r="GQ42" s="426">
        <f t="shared" si="78"/>
        <v>0</v>
      </c>
      <c r="GR42" s="426">
        <f t="shared" si="79"/>
        <v>0</v>
      </c>
      <c r="GS42" s="426">
        <f t="shared" si="80"/>
        <v>0</v>
      </c>
      <c r="GT42" s="426">
        <f t="shared" si="81"/>
        <v>0</v>
      </c>
      <c r="GU42" s="426">
        <f t="shared" si="82"/>
        <v>0</v>
      </c>
      <c r="GV42" s="426">
        <f t="shared" si="83"/>
        <v>0</v>
      </c>
      <c r="GW42" s="426">
        <f t="shared" si="84"/>
        <v>0</v>
      </c>
      <c r="GX42" s="426">
        <f t="shared" si="85"/>
        <v>0</v>
      </c>
      <c r="GY42" s="426">
        <f t="shared" si="86"/>
        <v>0</v>
      </c>
      <c r="GZ42" s="426">
        <f t="shared" si="87"/>
        <v>0</v>
      </c>
      <c r="HA42" s="426">
        <f t="shared" si="88"/>
        <v>0</v>
      </c>
      <c r="HB42" s="426">
        <f t="shared" si="89"/>
        <v>0</v>
      </c>
      <c r="HC42" s="426">
        <f t="shared" si="90"/>
        <v>0</v>
      </c>
      <c r="HD42" s="426">
        <f t="shared" si="91"/>
        <v>0</v>
      </c>
      <c r="HE42" s="426">
        <f t="shared" si="92"/>
        <v>0</v>
      </c>
      <c r="HF42" s="426">
        <f t="shared" si="93"/>
        <v>0</v>
      </c>
      <c r="HG42" s="426">
        <f t="shared" si="94"/>
        <v>0</v>
      </c>
      <c r="HH42" s="426">
        <f t="shared" si="95"/>
        <v>0</v>
      </c>
      <c r="HI42" s="426">
        <f t="shared" si="96"/>
        <v>0</v>
      </c>
      <c r="HJ42" s="426">
        <f t="shared" si="97"/>
        <v>0</v>
      </c>
      <c r="HK42" s="426">
        <f t="shared" si="98"/>
        <v>0</v>
      </c>
      <c r="HL42" s="426">
        <f t="shared" si="99"/>
        <v>0</v>
      </c>
      <c r="HO42" s="121">
        <v>4</v>
      </c>
      <c r="HP42" s="495">
        <f>DATE(YEAR(EXPEDIENTE!$F$25)+1,HO42,1)</f>
        <v>45748</v>
      </c>
      <c r="HQ42" s="495" t="str">
        <f>IF('GASTOS EJER. 2'!BF52="","",'GASTOS EJER. 2'!BF52)</f>
        <v/>
      </c>
      <c r="HR42" s="503">
        <f>'GASTOS EJER. 2'!CM23</f>
        <v>0</v>
      </c>
      <c r="HS42" s="503">
        <f>'GASTOS EJER. 2'!BA52</f>
        <v>0</v>
      </c>
      <c r="HT42" s="426">
        <f t="shared" si="265"/>
        <v>0</v>
      </c>
      <c r="HU42" s="503">
        <f t="shared" si="221"/>
        <v>0</v>
      </c>
      <c r="JC42" s="419">
        <v>38</v>
      </c>
      <c r="JD42" s="401">
        <f t="shared" si="100"/>
        <v>14</v>
      </c>
    </row>
    <row r="43" spans="3:264" x14ac:dyDescent="0.25">
      <c r="C43" s="209">
        <v>37</v>
      </c>
      <c r="D43" s="404"/>
      <c r="E43" s="420"/>
      <c r="F43" s="421"/>
      <c r="G43" s="422"/>
      <c r="H43" s="422"/>
      <c r="I43" s="422"/>
      <c r="J43" s="404"/>
      <c r="K43" s="410">
        <f t="shared" si="52"/>
        <v>76</v>
      </c>
      <c r="L43" s="410">
        <f t="shared" si="53"/>
        <v>76</v>
      </c>
      <c r="M43" s="410" t="str">
        <f t="shared" si="54"/>
        <v>X</v>
      </c>
      <c r="Y43" s="425">
        <f t="shared" si="0"/>
        <v>38</v>
      </c>
      <c r="Z43" s="415" t="str">
        <f>IF(Y43="","",IF(EDATE($Z$5,Y43)&gt;EXPEDIENTE!$F$27,"",EDATE($Z$5,Y43)))</f>
        <v/>
      </c>
      <c r="AA43" s="415" t="str">
        <f>IF(Z43="","",IF(YEAR(EXPEDIENTE!$F$25)=YEAR(Z43),Z43,""))</f>
        <v/>
      </c>
      <c r="AB43" s="415" t="str">
        <f>IF(Z43="","",IF(YEAR(EXPEDIENTE!$F$25)+1=YEAR(Z43),Z43,""))</f>
        <v/>
      </c>
      <c r="AC43" s="415" t="str">
        <f>IF(Z43="","",IF(YEAR(EXPEDIENTE!$F$25)+2=YEAR(Z43),Z43,""))</f>
        <v/>
      </c>
      <c r="AD43" s="415" t="str">
        <f>IF(Z43="","",IF(YEAR(EXPEDIENTE!$F$25)+3=YEAR(Z43),Z43,""))</f>
        <v/>
      </c>
      <c r="AG43" s="490">
        <v>13</v>
      </c>
      <c r="AH43" s="503">
        <f>'GASTOS EJER. 2'!M41</f>
        <v>0</v>
      </c>
      <c r="AI43" s="503">
        <f>'GASTOS EJER. 2'!X41</f>
        <v>0</v>
      </c>
      <c r="AJ43" s="493">
        <f t="shared" si="222"/>
        <v>0</v>
      </c>
      <c r="AL43" s="494">
        <f>'GASTOS EJER. 2'!F41+'GASTOS EJER. 2'!L41-'GASTOS EJER. 2'!X41-'GASTOS EJER. 2'!Y41</f>
        <v>0</v>
      </c>
      <c r="AM43" s="495" t="str">
        <f>IF('GASTOS EJER. 2'!AA41="","",'GASTOS EJER. 2'!AA41)</f>
        <v/>
      </c>
      <c r="AN43" s="492">
        <f>'GASTOS EJER. 2'!Y41</f>
        <v>0</v>
      </c>
      <c r="AO43" s="496" t="str">
        <f>IF('GASTOS EJER. 2'!AB41="","",'GASTOS EJER. 2'!AB41)</f>
        <v/>
      </c>
      <c r="AP43" s="497">
        <f>IF(AND(AM43&gt;=EXPEDIENTE!$I$25,AM43&lt;=EXPEDIENTE!$I$29),AL43,0)</f>
        <v>0</v>
      </c>
      <c r="AQ43" s="426">
        <f>IF(AND(AO43&gt;=EXPEDIENTE!$I$25,AO43&lt;=EXPEDIENTE!$I$29),AN43,0)</f>
        <v>0</v>
      </c>
      <c r="AR43" s="493">
        <f t="shared" si="223"/>
        <v>0</v>
      </c>
      <c r="AS43" s="498" t="str">
        <f>IF('GASTOS EJER. 2'!D41="","",'GASTOS EJER. 2'!D41)</f>
        <v/>
      </c>
      <c r="AT43" s="499" t="str">
        <f>IF('GASTOS EJER. 2'!E41="","",'GASTOS EJER. 2'!E41)</f>
        <v/>
      </c>
      <c r="AU43" s="500">
        <f t="shared" si="224"/>
        <v>0</v>
      </c>
      <c r="AV43" s="501">
        <f t="shared" si="170"/>
        <v>0</v>
      </c>
      <c r="AW43" s="442">
        <f t="shared" si="225"/>
        <v>0</v>
      </c>
      <c r="AY43" s="426">
        <v>5</v>
      </c>
      <c r="AZ43" s="427" t="e">
        <f t="shared" si="171"/>
        <v>#VALUE!</v>
      </c>
      <c r="BA43" s="440">
        <f t="shared" si="172"/>
        <v>0</v>
      </c>
      <c r="BB43" s="426">
        <f t="shared" si="173"/>
        <v>0</v>
      </c>
      <c r="BC43" s="426">
        <f t="shared" si="174"/>
        <v>0</v>
      </c>
      <c r="BD43" s="426">
        <f t="shared" si="175"/>
        <v>0</v>
      </c>
      <c r="BE43" s="426">
        <f t="shared" si="176"/>
        <v>0</v>
      </c>
      <c r="BF43" s="426">
        <f t="shared" si="177"/>
        <v>0</v>
      </c>
      <c r="BG43" s="426">
        <f t="shared" si="178"/>
        <v>0</v>
      </c>
      <c r="BH43" s="441">
        <f t="shared" si="179"/>
        <v>0</v>
      </c>
      <c r="BI43" s="439">
        <f t="shared" si="180"/>
        <v>0</v>
      </c>
      <c r="BK43" s="436">
        <f t="shared" si="226"/>
        <v>0</v>
      </c>
      <c r="BL43" s="437">
        <f t="shared" si="227"/>
        <v>0</v>
      </c>
      <c r="BM43" s="437">
        <f t="shared" si="228"/>
        <v>0</v>
      </c>
      <c r="BN43" s="437">
        <f t="shared" si="229"/>
        <v>0</v>
      </c>
      <c r="BO43" s="437">
        <f t="shared" si="230"/>
        <v>0</v>
      </c>
      <c r="BP43" s="437">
        <f t="shared" si="231"/>
        <v>0</v>
      </c>
      <c r="BQ43" s="437">
        <f t="shared" si="232"/>
        <v>0</v>
      </c>
      <c r="BR43" s="438">
        <f t="shared" si="233"/>
        <v>0</v>
      </c>
      <c r="BS43" s="439">
        <f t="shared" si="234"/>
        <v>0</v>
      </c>
      <c r="BU43" s="439">
        <f t="shared" si="235"/>
        <v>0</v>
      </c>
      <c r="BX43" s="490">
        <v>13</v>
      </c>
      <c r="BY43" s="503">
        <f>'GASTOS EJER. 2'!BN41</f>
        <v>0</v>
      </c>
      <c r="BZ43" s="503">
        <f>'GASTOS EJER. 2'!CM41</f>
        <v>0</v>
      </c>
      <c r="CA43" s="493">
        <f t="shared" si="236"/>
        <v>0</v>
      </c>
      <c r="CC43" s="494">
        <f>'GASTOS EJER. 2'!AW41+'GASTOS EJER. 2'!BM41-'GASTOS EJER. 2'!CM41-'GASTOS EJER. 2'!CP41</f>
        <v>0</v>
      </c>
      <c r="CD43" s="495" t="str">
        <f>IF('GASTOS EJER. 2'!CT41="","",'GASTOS EJER. 2'!CT41)</f>
        <v/>
      </c>
      <c r="CE43" s="492">
        <f>'GASTOS EJER. 2'!CP41</f>
        <v>0</v>
      </c>
      <c r="CF43" s="496" t="str">
        <f>IF('GASTOS EJER. 2'!CW41="","",'GASTOS EJER. 2'!CW41)</f>
        <v/>
      </c>
      <c r="CG43" s="497">
        <f>IF(AND(CD43&gt;=EXPEDIENTE!$I$25,CD43&lt;=EXPEDIENTE!$I$29),CC43,0)</f>
        <v>0</v>
      </c>
      <c r="CH43" s="426">
        <f>IF(AND(CF43&gt;=EXPEDIENTE!$I$25,CF43&lt;=EXPEDIENTE!$I$29),CE43,0)</f>
        <v>0</v>
      </c>
      <c r="CI43" s="493">
        <f t="shared" si="237"/>
        <v>0</v>
      </c>
      <c r="CJ43" s="498" t="str">
        <f>IF('GASTOS EJER. 2'!AQ41="","",'GASTOS EJER. 2'!AQ41)</f>
        <v/>
      </c>
      <c r="CK43" s="499" t="str">
        <f>IF('GASTOS EJER. 2'!AT41="","",'GASTOS EJER. 2'!AT41)</f>
        <v/>
      </c>
      <c r="CL43" s="500">
        <f t="shared" si="238"/>
        <v>0</v>
      </c>
      <c r="CM43" s="501">
        <f t="shared" si="181"/>
        <v>0</v>
      </c>
      <c r="CN43" s="442">
        <f t="shared" si="239"/>
        <v>0</v>
      </c>
      <c r="CP43" s="426">
        <v>5</v>
      </c>
      <c r="CQ43" s="427" t="e">
        <f t="shared" si="182"/>
        <v>#VALUE!</v>
      </c>
      <c r="CR43" s="440">
        <f t="shared" si="240"/>
        <v>0</v>
      </c>
      <c r="CS43" s="426">
        <f t="shared" si="241"/>
        <v>0</v>
      </c>
      <c r="CT43" s="426">
        <f t="shared" si="242"/>
        <v>0</v>
      </c>
      <c r="CU43" s="426">
        <f t="shared" si="243"/>
        <v>0</v>
      </c>
      <c r="CV43" s="426">
        <f t="shared" si="244"/>
        <v>0</v>
      </c>
      <c r="CW43" s="426">
        <f t="shared" si="245"/>
        <v>0</v>
      </c>
      <c r="CX43" s="426">
        <f t="shared" si="246"/>
        <v>0</v>
      </c>
      <c r="CY43" s="441">
        <f t="shared" si="247"/>
        <v>0</v>
      </c>
      <c r="CZ43" s="439">
        <f t="shared" si="183"/>
        <v>0</v>
      </c>
      <c r="DB43" s="440">
        <f t="shared" si="248"/>
        <v>0</v>
      </c>
      <c r="DC43" s="426">
        <f t="shared" si="249"/>
        <v>0</v>
      </c>
      <c r="DD43" s="426">
        <f t="shared" si="250"/>
        <v>0</v>
      </c>
      <c r="DE43" s="426">
        <f t="shared" si="251"/>
        <v>0</v>
      </c>
      <c r="DF43" s="426">
        <f t="shared" si="252"/>
        <v>0</v>
      </c>
      <c r="DG43" s="426">
        <f t="shared" si="253"/>
        <v>0</v>
      </c>
      <c r="DH43" s="426">
        <f t="shared" si="254"/>
        <v>0</v>
      </c>
      <c r="DI43" s="441">
        <f t="shared" si="255"/>
        <v>0</v>
      </c>
      <c r="DJ43" s="439">
        <f t="shared" si="256"/>
        <v>0</v>
      </c>
      <c r="DL43" s="439">
        <f t="shared" si="257"/>
        <v>0</v>
      </c>
      <c r="DN43" s="490">
        <v>13</v>
      </c>
      <c r="DO43" s="502">
        <f>'GASTOS EJER. 2'!$C41</f>
        <v>0</v>
      </c>
      <c r="DP43" s="499" t="str">
        <f t="shared" si="258"/>
        <v/>
      </c>
      <c r="DQ43" s="499" t="str">
        <f t="shared" si="259"/>
        <v/>
      </c>
      <c r="DR43" s="389">
        <f t="shared" si="260"/>
        <v>0</v>
      </c>
      <c r="DS43" s="503">
        <f>'GASTOS EJER. 2'!X41</f>
        <v>0</v>
      </c>
      <c r="DT43" s="495" t="str">
        <f>IF(DS43=0,"",'GASTOS EJER. 2'!AA41)</f>
        <v/>
      </c>
      <c r="DU43" s="495" t="str">
        <f t="shared" si="186"/>
        <v/>
      </c>
      <c r="DV43" s="493" t="e">
        <f>IF(AND(DU43&gt;=EXPEDIENTE!$F$25,DU43&lt;=EXPEDIENTE!$F$29),ROUNDDOWN(DS43/DR43,2),0)</f>
        <v>#DIV/0!</v>
      </c>
      <c r="DX43" s="389">
        <v>24</v>
      </c>
      <c r="DY43" s="433">
        <f t="shared" si="101"/>
        <v>45992</v>
      </c>
      <c r="DZ43" s="433">
        <f t="shared" si="102"/>
        <v>46022</v>
      </c>
      <c r="EA43" s="389" t="str">
        <f>IF(AND(DZ43&gt;=EXPEDIENTE!$F$25,DY43&lt;=EXPEDIENTE!$F$29),"SI","NO")</f>
        <v>SI</v>
      </c>
      <c r="EB43" s="426">
        <f t="shared" si="187"/>
        <v>0</v>
      </c>
      <c r="EC43" s="426">
        <f t="shared" si="188"/>
        <v>0</v>
      </c>
      <c r="ED43" s="426">
        <f t="shared" si="189"/>
        <v>0</v>
      </c>
      <c r="EE43" s="426">
        <f t="shared" si="190"/>
        <v>0</v>
      </c>
      <c r="EF43" s="426">
        <f t="shared" si="191"/>
        <v>0</v>
      </c>
      <c r="EG43" s="426">
        <f t="shared" si="192"/>
        <v>0</v>
      </c>
      <c r="EH43" s="426">
        <f t="shared" si="193"/>
        <v>0</v>
      </c>
      <c r="EI43" s="426">
        <f t="shared" si="194"/>
        <v>0</v>
      </c>
      <c r="EJ43" s="426">
        <f t="shared" si="195"/>
        <v>0</v>
      </c>
      <c r="EK43" s="426">
        <f t="shared" si="196"/>
        <v>0</v>
      </c>
      <c r="EL43" s="426">
        <f t="shared" si="197"/>
        <v>0</v>
      </c>
      <c r="EM43" s="426">
        <f t="shared" si="198"/>
        <v>0</v>
      </c>
      <c r="EN43" s="426">
        <f t="shared" si="199"/>
        <v>0</v>
      </c>
      <c r="EO43" s="426">
        <f t="shared" si="200"/>
        <v>0</v>
      </c>
      <c r="EP43" s="426">
        <f t="shared" si="201"/>
        <v>0</v>
      </c>
      <c r="EQ43" s="426">
        <f t="shared" si="202"/>
        <v>0</v>
      </c>
      <c r="ER43" s="426">
        <f t="shared" si="203"/>
        <v>0</v>
      </c>
      <c r="ES43" s="426">
        <f t="shared" si="204"/>
        <v>0</v>
      </c>
      <c r="ET43" s="426">
        <f t="shared" si="205"/>
        <v>0</v>
      </c>
      <c r="EU43" s="426">
        <f t="shared" si="206"/>
        <v>0</v>
      </c>
      <c r="EV43" s="426">
        <f t="shared" si="207"/>
        <v>0</v>
      </c>
      <c r="EW43" s="426">
        <f t="shared" si="208"/>
        <v>0</v>
      </c>
      <c r="EX43" s="426">
        <f t="shared" si="209"/>
        <v>0</v>
      </c>
      <c r="EY43" s="426">
        <f t="shared" si="210"/>
        <v>0</v>
      </c>
      <c r="EZ43" s="426">
        <f t="shared" si="211"/>
        <v>0</v>
      </c>
      <c r="FA43" s="426">
        <f t="shared" si="212"/>
        <v>0</v>
      </c>
      <c r="FB43" s="426">
        <f t="shared" si="213"/>
        <v>0</v>
      </c>
      <c r="FC43" s="426">
        <f t="shared" si="214"/>
        <v>0</v>
      </c>
      <c r="FD43" s="426">
        <f t="shared" si="215"/>
        <v>0</v>
      </c>
      <c r="FE43" s="426">
        <f t="shared" si="216"/>
        <v>0</v>
      </c>
      <c r="FF43" s="426">
        <f t="shared" si="217"/>
        <v>0</v>
      </c>
      <c r="FG43" s="426">
        <f t="shared" si="218"/>
        <v>0</v>
      </c>
      <c r="FH43" s="426">
        <f t="shared" si="66"/>
        <v>0</v>
      </c>
      <c r="FJ43" s="121">
        <v>5</v>
      </c>
      <c r="FK43" s="495">
        <f>DATE(YEAR(EXPEDIENTE!$F$25)+1,FJ43,1)</f>
        <v>45778</v>
      </c>
      <c r="FL43" s="495" t="str">
        <f>IF('GASTOS EJER. 2'!I53="","",'GASTOS EJER. 2'!I53)</f>
        <v/>
      </c>
      <c r="FM43" s="503">
        <f>'GASTOS EJER. 2'!X24</f>
        <v>0</v>
      </c>
      <c r="FN43" s="503">
        <f>'GASTOS EJER. 2'!H53</f>
        <v>0</v>
      </c>
      <c r="FO43" s="426">
        <f t="shared" si="261"/>
        <v>0</v>
      </c>
      <c r="FP43" s="503">
        <f t="shared" si="219"/>
        <v>0</v>
      </c>
      <c r="FR43" s="490">
        <v>13</v>
      </c>
      <c r="FS43" s="502">
        <f>'GASTOS EJER. 2'!$C41</f>
        <v>0</v>
      </c>
      <c r="FT43" s="499" t="str">
        <f t="shared" si="262"/>
        <v/>
      </c>
      <c r="FU43" s="499" t="str">
        <f t="shared" si="263"/>
        <v/>
      </c>
      <c r="FV43" s="389">
        <f t="shared" si="264"/>
        <v>0</v>
      </c>
      <c r="FW43" s="503">
        <f>'GASTOS EJER. 2'!CM41</f>
        <v>0</v>
      </c>
      <c r="FX43" s="495" t="str">
        <f>IF(FW43=0,"",'GASTOS EJER. 2'!CT41)</f>
        <v/>
      </c>
      <c r="FY43" s="495" t="str">
        <f t="shared" si="220"/>
        <v/>
      </c>
      <c r="FZ43" s="493" t="e">
        <f>IF(AND(FY43&gt;=EXPEDIENTE!$F$25,FY43&lt;=EXPEDIENTE!$F$29),ROUNDDOWN(FW43/FV43,2),0)</f>
        <v>#DIV/0!</v>
      </c>
      <c r="GB43" s="389">
        <v>24</v>
      </c>
      <c r="GC43" s="433">
        <f t="shared" si="103"/>
        <v>45992</v>
      </c>
      <c r="GD43" s="433">
        <f t="shared" si="104"/>
        <v>46022</v>
      </c>
      <c r="GE43" s="389" t="str">
        <f>IF(AND(GD43&gt;=EXPEDIENTE!$F$25,GC43&lt;=EXPEDIENTE!$F$29),"SI","NO")</f>
        <v>SI</v>
      </c>
      <c r="GF43" s="426">
        <f t="shared" si="67"/>
        <v>0</v>
      </c>
      <c r="GG43" s="426">
        <f t="shared" si="68"/>
        <v>0</v>
      </c>
      <c r="GH43" s="426">
        <f t="shared" si="69"/>
        <v>0</v>
      </c>
      <c r="GI43" s="426">
        <f t="shared" si="70"/>
        <v>0</v>
      </c>
      <c r="GJ43" s="426">
        <f t="shared" si="71"/>
        <v>0</v>
      </c>
      <c r="GK43" s="426">
        <f t="shared" si="72"/>
        <v>0</v>
      </c>
      <c r="GL43" s="426">
        <f t="shared" si="73"/>
        <v>0</v>
      </c>
      <c r="GM43" s="426">
        <f t="shared" si="74"/>
        <v>0</v>
      </c>
      <c r="GN43" s="426">
        <f t="shared" si="75"/>
        <v>0</v>
      </c>
      <c r="GO43" s="426">
        <f t="shared" si="76"/>
        <v>0</v>
      </c>
      <c r="GP43" s="426">
        <f t="shared" si="77"/>
        <v>0</v>
      </c>
      <c r="GQ43" s="426">
        <f t="shared" si="78"/>
        <v>0</v>
      </c>
      <c r="GR43" s="426">
        <f t="shared" si="79"/>
        <v>0</v>
      </c>
      <c r="GS43" s="426">
        <f t="shared" si="80"/>
        <v>0</v>
      </c>
      <c r="GT43" s="426">
        <f t="shared" si="81"/>
        <v>0</v>
      </c>
      <c r="GU43" s="426">
        <f t="shared" si="82"/>
        <v>0</v>
      </c>
      <c r="GV43" s="426">
        <f t="shared" si="83"/>
        <v>0</v>
      </c>
      <c r="GW43" s="426">
        <f t="shared" si="84"/>
        <v>0</v>
      </c>
      <c r="GX43" s="426">
        <f t="shared" si="85"/>
        <v>0</v>
      </c>
      <c r="GY43" s="426">
        <f t="shared" si="86"/>
        <v>0</v>
      </c>
      <c r="GZ43" s="426">
        <f t="shared" si="87"/>
        <v>0</v>
      </c>
      <c r="HA43" s="426">
        <f t="shared" si="88"/>
        <v>0</v>
      </c>
      <c r="HB43" s="426">
        <f t="shared" si="89"/>
        <v>0</v>
      </c>
      <c r="HC43" s="426">
        <f t="shared" si="90"/>
        <v>0</v>
      </c>
      <c r="HD43" s="426">
        <f t="shared" si="91"/>
        <v>0</v>
      </c>
      <c r="HE43" s="426">
        <f t="shared" si="92"/>
        <v>0</v>
      </c>
      <c r="HF43" s="426">
        <f t="shared" si="93"/>
        <v>0</v>
      </c>
      <c r="HG43" s="426">
        <f t="shared" si="94"/>
        <v>0</v>
      </c>
      <c r="HH43" s="426">
        <f t="shared" si="95"/>
        <v>0</v>
      </c>
      <c r="HI43" s="426">
        <f t="shared" si="96"/>
        <v>0</v>
      </c>
      <c r="HJ43" s="426">
        <f t="shared" si="97"/>
        <v>0</v>
      </c>
      <c r="HK43" s="426">
        <f t="shared" si="98"/>
        <v>0</v>
      </c>
      <c r="HL43" s="426">
        <f t="shared" si="99"/>
        <v>0</v>
      </c>
      <c r="HO43" s="121">
        <v>5</v>
      </c>
      <c r="HP43" s="495">
        <f>DATE(YEAR(EXPEDIENTE!$F$25)+1,HO43,1)</f>
        <v>45778</v>
      </c>
      <c r="HQ43" s="495" t="str">
        <f>IF('GASTOS EJER. 2'!BF53="","",'GASTOS EJER. 2'!BF53)</f>
        <v/>
      </c>
      <c r="HR43" s="503">
        <f>'GASTOS EJER. 2'!CM24</f>
        <v>0</v>
      </c>
      <c r="HS43" s="503">
        <f>'GASTOS EJER. 2'!BA53</f>
        <v>0</v>
      </c>
      <c r="HT43" s="426">
        <f t="shared" si="265"/>
        <v>0</v>
      </c>
      <c r="HU43" s="503">
        <f t="shared" si="221"/>
        <v>0</v>
      </c>
      <c r="JC43" s="419">
        <v>39</v>
      </c>
      <c r="JD43" s="401">
        <f t="shared" si="100"/>
        <v>14</v>
      </c>
    </row>
    <row r="44" spans="3:264" x14ac:dyDescent="0.25">
      <c r="C44" s="209">
        <v>38</v>
      </c>
      <c r="D44" s="404"/>
      <c r="E44" s="420"/>
      <c r="F44" s="421"/>
      <c r="G44" s="422"/>
      <c r="H44" s="422"/>
      <c r="I44" s="422"/>
      <c r="J44" s="404"/>
      <c r="K44" s="410">
        <f t="shared" si="52"/>
        <v>76</v>
      </c>
      <c r="L44" s="410">
        <f t="shared" si="53"/>
        <v>76</v>
      </c>
      <c r="M44" s="410" t="str">
        <f t="shared" si="54"/>
        <v>X</v>
      </c>
      <c r="Y44" s="425">
        <f t="shared" si="0"/>
        <v>39</v>
      </c>
      <c r="Z44" s="415" t="str">
        <f>IF(Y44="","",IF(EDATE($Z$5,Y44)&gt;EXPEDIENTE!$F$27,"",EDATE($Z$5,Y44)))</f>
        <v/>
      </c>
      <c r="AA44" s="415" t="str">
        <f>IF(Z44="","",IF(YEAR(EXPEDIENTE!$F$25)=YEAR(Z44),Z44,""))</f>
        <v/>
      </c>
      <c r="AB44" s="415" t="str">
        <f>IF(Z44="","",IF(YEAR(EXPEDIENTE!$F$25)+1=YEAR(Z44),Z44,""))</f>
        <v/>
      </c>
      <c r="AC44" s="415" t="str">
        <f>IF(Z44="","",IF(YEAR(EXPEDIENTE!$F$25)+2=YEAR(Z44),Z44,""))</f>
        <v/>
      </c>
      <c r="AD44" s="415" t="str">
        <f>IF(Z44="","",IF(YEAR(EXPEDIENTE!$F$25)+3=YEAR(Z44),Z44,""))</f>
        <v/>
      </c>
      <c r="AG44" s="490">
        <v>14</v>
      </c>
      <c r="AH44" s="503">
        <f>'GASTOS EJER. 2'!M42</f>
        <v>0</v>
      </c>
      <c r="AI44" s="503">
        <f>'GASTOS EJER. 2'!X42</f>
        <v>0</v>
      </c>
      <c r="AJ44" s="493">
        <f t="shared" si="222"/>
        <v>0</v>
      </c>
      <c r="AL44" s="494">
        <f>'GASTOS EJER. 2'!F42+'GASTOS EJER. 2'!L42-'GASTOS EJER. 2'!X42-'GASTOS EJER. 2'!Y42</f>
        <v>0</v>
      </c>
      <c r="AM44" s="495" t="str">
        <f>IF('GASTOS EJER. 2'!AA42="","",'GASTOS EJER. 2'!AA42)</f>
        <v/>
      </c>
      <c r="AN44" s="492">
        <f>'GASTOS EJER. 2'!Y42</f>
        <v>0</v>
      </c>
      <c r="AO44" s="496" t="str">
        <f>IF('GASTOS EJER. 2'!AB42="","",'GASTOS EJER. 2'!AB42)</f>
        <v/>
      </c>
      <c r="AP44" s="497">
        <f>IF(AND(AM44&gt;=EXPEDIENTE!$I$25,AM44&lt;=EXPEDIENTE!$I$29),AL44,0)</f>
        <v>0</v>
      </c>
      <c r="AQ44" s="426">
        <f>IF(AND(AO44&gt;=EXPEDIENTE!$I$25,AO44&lt;=EXPEDIENTE!$I$29),AN44,0)</f>
        <v>0</v>
      </c>
      <c r="AR44" s="493">
        <f t="shared" si="223"/>
        <v>0</v>
      </c>
      <c r="AS44" s="498" t="str">
        <f>IF('GASTOS EJER. 2'!D42="","",'GASTOS EJER. 2'!D42)</f>
        <v/>
      </c>
      <c r="AT44" s="499" t="str">
        <f>IF('GASTOS EJER. 2'!E42="","",'GASTOS EJER. 2'!E42)</f>
        <v/>
      </c>
      <c r="AU44" s="500">
        <f t="shared" si="224"/>
        <v>0</v>
      </c>
      <c r="AV44" s="501">
        <f t="shared" si="170"/>
        <v>0</v>
      </c>
      <c r="AW44" s="442">
        <f t="shared" si="225"/>
        <v>0</v>
      </c>
      <c r="AY44" s="426">
        <v>6</v>
      </c>
      <c r="AZ44" s="427" t="e">
        <f t="shared" si="171"/>
        <v>#VALUE!</v>
      </c>
      <c r="BA44" s="440">
        <f t="shared" si="172"/>
        <v>0</v>
      </c>
      <c r="BB44" s="426">
        <f t="shared" si="173"/>
        <v>0</v>
      </c>
      <c r="BC44" s="426">
        <f t="shared" si="174"/>
        <v>0</v>
      </c>
      <c r="BD44" s="426">
        <f t="shared" si="175"/>
        <v>0</v>
      </c>
      <c r="BE44" s="426">
        <f t="shared" si="176"/>
        <v>0</v>
      </c>
      <c r="BF44" s="426">
        <f t="shared" si="177"/>
        <v>0</v>
      </c>
      <c r="BG44" s="426">
        <f t="shared" si="178"/>
        <v>0</v>
      </c>
      <c r="BH44" s="441">
        <f t="shared" si="179"/>
        <v>0</v>
      </c>
      <c r="BI44" s="439">
        <f t="shared" si="180"/>
        <v>0</v>
      </c>
      <c r="BK44" s="436">
        <f t="shared" si="226"/>
        <v>0</v>
      </c>
      <c r="BL44" s="437">
        <f t="shared" si="227"/>
        <v>0</v>
      </c>
      <c r="BM44" s="437">
        <f t="shared" si="228"/>
        <v>0</v>
      </c>
      <c r="BN44" s="437">
        <f t="shared" si="229"/>
        <v>0</v>
      </c>
      <c r="BO44" s="437">
        <f t="shared" si="230"/>
        <v>0</v>
      </c>
      <c r="BP44" s="437">
        <f t="shared" si="231"/>
        <v>0</v>
      </c>
      <c r="BQ44" s="437">
        <f t="shared" si="232"/>
        <v>0</v>
      </c>
      <c r="BR44" s="438">
        <f t="shared" si="233"/>
        <v>0</v>
      </c>
      <c r="BS44" s="439">
        <f t="shared" si="234"/>
        <v>0</v>
      </c>
      <c r="BU44" s="439">
        <f t="shared" si="235"/>
        <v>0</v>
      </c>
      <c r="BX44" s="490">
        <v>14</v>
      </c>
      <c r="BY44" s="503">
        <f>'GASTOS EJER. 2'!BN42</f>
        <v>0</v>
      </c>
      <c r="BZ44" s="503">
        <f>'GASTOS EJER. 2'!CM42</f>
        <v>0</v>
      </c>
      <c r="CA44" s="493">
        <f t="shared" si="236"/>
        <v>0</v>
      </c>
      <c r="CC44" s="494">
        <f>'GASTOS EJER. 2'!AW42+'GASTOS EJER. 2'!BM42-'GASTOS EJER. 2'!CM42-'GASTOS EJER. 2'!CP42</f>
        <v>0</v>
      </c>
      <c r="CD44" s="495" t="str">
        <f>IF('GASTOS EJER. 2'!CT42="","",'GASTOS EJER. 2'!CT42)</f>
        <v/>
      </c>
      <c r="CE44" s="492">
        <f>'GASTOS EJER. 2'!CP42</f>
        <v>0</v>
      </c>
      <c r="CF44" s="496" t="str">
        <f>IF('GASTOS EJER. 2'!CW42="","",'GASTOS EJER. 2'!CW42)</f>
        <v/>
      </c>
      <c r="CG44" s="497">
        <f>IF(AND(CD44&gt;=EXPEDIENTE!$I$25,CD44&lt;=EXPEDIENTE!$I$29),CC44,0)</f>
        <v>0</v>
      </c>
      <c r="CH44" s="426">
        <f>IF(AND(CF44&gt;=EXPEDIENTE!$I$25,CF44&lt;=EXPEDIENTE!$I$29),CE44,0)</f>
        <v>0</v>
      </c>
      <c r="CI44" s="493">
        <f t="shared" si="237"/>
        <v>0</v>
      </c>
      <c r="CJ44" s="498" t="str">
        <f>IF('GASTOS EJER. 2'!AQ42="","",'GASTOS EJER. 2'!AQ42)</f>
        <v/>
      </c>
      <c r="CK44" s="499" t="str">
        <f>IF('GASTOS EJER. 2'!AT42="","",'GASTOS EJER. 2'!AT42)</f>
        <v/>
      </c>
      <c r="CL44" s="500">
        <f t="shared" si="238"/>
        <v>0</v>
      </c>
      <c r="CM44" s="501">
        <f t="shared" si="181"/>
        <v>0</v>
      </c>
      <c r="CN44" s="442">
        <f t="shared" si="239"/>
        <v>0</v>
      </c>
      <c r="CP44" s="426">
        <v>6</v>
      </c>
      <c r="CQ44" s="427" t="e">
        <f t="shared" si="182"/>
        <v>#VALUE!</v>
      </c>
      <c r="CR44" s="440">
        <f t="shared" si="240"/>
        <v>0</v>
      </c>
      <c r="CS44" s="426">
        <f t="shared" si="241"/>
        <v>0</v>
      </c>
      <c r="CT44" s="426">
        <f t="shared" si="242"/>
        <v>0</v>
      </c>
      <c r="CU44" s="426">
        <f t="shared" si="243"/>
        <v>0</v>
      </c>
      <c r="CV44" s="426">
        <f t="shared" si="244"/>
        <v>0</v>
      </c>
      <c r="CW44" s="426">
        <f t="shared" si="245"/>
        <v>0</v>
      </c>
      <c r="CX44" s="426">
        <f t="shared" si="246"/>
        <v>0</v>
      </c>
      <c r="CY44" s="441">
        <f t="shared" si="247"/>
        <v>0</v>
      </c>
      <c r="CZ44" s="439">
        <f t="shared" si="183"/>
        <v>0</v>
      </c>
      <c r="DB44" s="440">
        <f t="shared" si="248"/>
        <v>0</v>
      </c>
      <c r="DC44" s="426">
        <f t="shared" si="249"/>
        <v>0</v>
      </c>
      <c r="DD44" s="426">
        <f t="shared" si="250"/>
        <v>0</v>
      </c>
      <c r="DE44" s="426">
        <f t="shared" si="251"/>
        <v>0</v>
      </c>
      <c r="DF44" s="426">
        <f t="shared" si="252"/>
        <v>0</v>
      </c>
      <c r="DG44" s="426">
        <f t="shared" si="253"/>
        <v>0</v>
      </c>
      <c r="DH44" s="426">
        <f t="shared" si="254"/>
        <v>0</v>
      </c>
      <c r="DI44" s="441">
        <f t="shared" si="255"/>
        <v>0</v>
      </c>
      <c r="DJ44" s="439">
        <f t="shared" si="256"/>
        <v>0</v>
      </c>
      <c r="DL44" s="439">
        <f t="shared" si="257"/>
        <v>0</v>
      </c>
      <c r="DN44" s="490">
        <v>14</v>
      </c>
      <c r="DO44" s="502">
        <f>'GASTOS EJER. 2'!$C42</f>
        <v>0</v>
      </c>
      <c r="DP44" s="499" t="str">
        <f t="shared" si="258"/>
        <v/>
      </c>
      <c r="DQ44" s="499" t="str">
        <f t="shared" si="259"/>
        <v/>
      </c>
      <c r="DR44" s="389">
        <f t="shared" si="260"/>
        <v>0</v>
      </c>
      <c r="DS44" s="503">
        <f>'GASTOS EJER. 2'!X42</f>
        <v>0</v>
      </c>
      <c r="DT44" s="495" t="str">
        <f>IF(DS44=0,"",'GASTOS EJER. 2'!AA42)</f>
        <v/>
      </c>
      <c r="DU44" s="495" t="str">
        <f t="shared" si="186"/>
        <v/>
      </c>
      <c r="DV44" s="493" t="e">
        <f>IF(AND(DU44&gt;=EXPEDIENTE!$F$25,DU44&lt;=EXPEDIENTE!$F$29),ROUNDDOWN(DS44/DR44,2),0)</f>
        <v>#DIV/0!</v>
      </c>
      <c r="DX44" s="389">
        <v>25</v>
      </c>
      <c r="DY44" s="433">
        <f t="shared" si="101"/>
        <v>46023</v>
      </c>
      <c r="DZ44" s="433">
        <f t="shared" si="102"/>
        <v>46053</v>
      </c>
      <c r="EA44" s="389" t="str">
        <f>IF(AND(DZ44&gt;=EXPEDIENTE!$F$25,DY44&lt;=EXPEDIENTE!$F$29),"SI","NO")</f>
        <v>SI</v>
      </c>
      <c r="EB44" s="426">
        <f t="shared" si="187"/>
        <v>0</v>
      </c>
      <c r="EC44" s="426">
        <f t="shared" si="188"/>
        <v>0</v>
      </c>
      <c r="ED44" s="426">
        <f t="shared" si="189"/>
        <v>0</v>
      </c>
      <c r="EE44" s="426">
        <f t="shared" si="190"/>
        <v>0</v>
      </c>
      <c r="EF44" s="426">
        <f t="shared" si="191"/>
        <v>0</v>
      </c>
      <c r="EG44" s="426">
        <f t="shared" si="192"/>
        <v>0</v>
      </c>
      <c r="EH44" s="426">
        <f t="shared" si="193"/>
        <v>0</v>
      </c>
      <c r="EI44" s="426">
        <f t="shared" si="194"/>
        <v>0</v>
      </c>
      <c r="EJ44" s="426">
        <f t="shared" si="195"/>
        <v>0</v>
      </c>
      <c r="EK44" s="426">
        <f t="shared" si="196"/>
        <v>0</v>
      </c>
      <c r="EL44" s="426">
        <f t="shared" si="197"/>
        <v>0</v>
      </c>
      <c r="EM44" s="426">
        <f t="shared" si="198"/>
        <v>0</v>
      </c>
      <c r="EN44" s="426">
        <f t="shared" si="199"/>
        <v>0</v>
      </c>
      <c r="EO44" s="426">
        <f t="shared" si="200"/>
        <v>0</v>
      </c>
      <c r="EP44" s="426">
        <f t="shared" si="201"/>
        <v>0</v>
      </c>
      <c r="EQ44" s="426">
        <f t="shared" si="202"/>
        <v>0</v>
      </c>
      <c r="ER44" s="426">
        <f t="shared" si="203"/>
        <v>0</v>
      </c>
      <c r="ES44" s="426">
        <f t="shared" si="204"/>
        <v>0</v>
      </c>
      <c r="ET44" s="426">
        <f t="shared" si="205"/>
        <v>0</v>
      </c>
      <c r="EU44" s="426">
        <f t="shared" si="206"/>
        <v>0</v>
      </c>
      <c r="EV44" s="426">
        <f t="shared" si="207"/>
        <v>0</v>
      </c>
      <c r="EW44" s="426">
        <f t="shared" si="208"/>
        <v>0</v>
      </c>
      <c r="EX44" s="426">
        <f t="shared" si="209"/>
        <v>0</v>
      </c>
      <c r="EY44" s="426">
        <f t="shared" si="210"/>
        <v>0</v>
      </c>
      <c r="EZ44" s="426">
        <f t="shared" si="211"/>
        <v>0</v>
      </c>
      <c r="FA44" s="426">
        <f t="shared" si="212"/>
        <v>0</v>
      </c>
      <c r="FB44" s="426">
        <f t="shared" si="213"/>
        <v>0</v>
      </c>
      <c r="FC44" s="426">
        <f t="shared" si="214"/>
        <v>0</v>
      </c>
      <c r="FD44" s="426">
        <f t="shared" si="215"/>
        <v>0</v>
      </c>
      <c r="FE44" s="426">
        <f t="shared" si="216"/>
        <v>0</v>
      </c>
      <c r="FF44" s="426">
        <f t="shared" si="217"/>
        <v>0</v>
      </c>
      <c r="FG44" s="426">
        <f t="shared" si="218"/>
        <v>0</v>
      </c>
      <c r="FH44" s="426">
        <f t="shared" si="66"/>
        <v>0</v>
      </c>
      <c r="FJ44" s="121">
        <v>6</v>
      </c>
      <c r="FK44" s="495">
        <f>DATE(YEAR(EXPEDIENTE!$F$25)+1,FJ44,1)</f>
        <v>45809</v>
      </c>
      <c r="FL44" s="495" t="str">
        <f>IF('GASTOS EJER. 2'!I54="","",'GASTOS EJER. 2'!I54)</f>
        <v/>
      </c>
      <c r="FM44" s="503">
        <f>'GASTOS EJER. 2'!X25</f>
        <v>0</v>
      </c>
      <c r="FN44" s="503">
        <f>'GASTOS EJER. 2'!H54</f>
        <v>0</v>
      </c>
      <c r="FO44" s="426">
        <f t="shared" si="261"/>
        <v>0</v>
      </c>
      <c r="FP44" s="503">
        <f t="shared" si="219"/>
        <v>0</v>
      </c>
      <c r="FR44" s="490">
        <v>14</v>
      </c>
      <c r="FS44" s="502">
        <f>'GASTOS EJER. 2'!$C42</f>
        <v>0</v>
      </c>
      <c r="FT44" s="499" t="str">
        <f t="shared" si="262"/>
        <v/>
      </c>
      <c r="FU44" s="499" t="str">
        <f t="shared" si="263"/>
        <v/>
      </c>
      <c r="FV44" s="389">
        <f t="shared" si="264"/>
        <v>0</v>
      </c>
      <c r="FW44" s="503">
        <f>'GASTOS EJER. 2'!CM42</f>
        <v>0</v>
      </c>
      <c r="FX44" s="495" t="str">
        <f>IF(FW44=0,"",'GASTOS EJER. 2'!CT42)</f>
        <v/>
      </c>
      <c r="FY44" s="495" t="str">
        <f t="shared" si="220"/>
        <v/>
      </c>
      <c r="FZ44" s="493" t="e">
        <f>IF(AND(FY44&gt;=EXPEDIENTE!$F$25,FY44&lt;=EXPEDIENTE!$F$29),ROUNDDOWN(FW44/FV44,2),0)</f>
        <v>#DIV/0!</v>
      </c>
      <c r="GB44" s="389">
        <v>25</v>
      </c>
      <c r="GC44" s="433">
        <f t="shared" si="103"/>
        <v>46023</v>
      </c>
      <c r="GD44" s="433">
        <f t="shared" si="104"/>
        <v>46053</v>
      </c>
      <c r="GE44" s="389" t="str">
        <f>IF(AND(GD44&gt;=EXPEDIENTE!$F$25,GC44&lt;=EXPEDIENTE!$F$29),"SI","NO")</f>
        <v>SI</v>
      </c>
      <c r="GF44" s="426">
        <f t="shared" si="67"/>
        <v>0</v>
      </c>
      <c r="GG44" s="426">
        <f t="shared" si="68"/>
        <v>0</v>
      </c>
      <c r="GH44" s="426">
        <f t="shared" si="69"/>
        <v>0</v>
      </c>
      <c r="GI44" s="426">
        <f t="shared" si="70"/>
        <v>0</v>
      </c>
      <c r="GJ44" s="426">
        <f t="shared" si="71"/>
        <v>0</v>
      </c>
      <c r="GK44" s="426">
        <f t="shared" si="72"/>
        <v>0</v>
      </c>
      <c r="GL44" s="426">
        <f t="shared" si="73"/>
        <v>0</v>
      </c>
      <c r="GM44" s="426">
        <f t="shared" si="74"/>
        <v>0</v>
      </c>
      <c r="GN44" s="426">
        <f t="shared" si="75"/>
        <v>0</v>
      </c>
      <c r="GO44" s="426">
        <f t="shared" si="76"/>
        <v>0</v>
      </c>
      <c r="GP44" s="426">
        <f t="shared" si="77"/>
        <v>0</v>
      </c>
      <c r="GQ44" s="426">
        <f t="shared" si="78"/>
        <v>0</v>
      </c>
      <c r="GR44" s="426">
        <f t="shared" si="79"/>
        <v>0</v>
      </c>
      <c r="GS44" s="426">
        <f t="shared" si="80"/>
        <v>0</v>
      </c>
      <c r="GT44" s="426">
        <f t="shared" si="81"/>
        <v>0</v>
      </c>
      <c r="GU44" s="426">
        <f t="shared" si="82"/>
        <v>0</v>
      </c>
      <c r="GV44" s="426">
        <f t="shared" si="83"/>
        <v>0</v>
      </c>
      <c r="GW44" s="426">
        <f t="shared" si="84"/>
        <v>0</v>
      </c>
      <c r="GX44" s="426">
        <f t="shared" si="85"/>
        <v>0</v>
      </c>
      <c r="GY44" s="426">
        <f t="shared" si="86"/>
        <v>0</v>
      </c>
      <c r="GZ44" s="426">
        <f t="shared" si="87"/>
        <v>0</v>
      </c>
      <c r="HA44" s="426">
        <f t="shared" si="88"/>
        <v>0</v>
      </c>
      <c r="HB44" s="426">
        <f t="shared" si="89"/>
        <v>0</v>
      </c>
      <c r="HC44" s="426">
        <f t="shared" si="90"/>
        <v>0</v>
      </c>
      <c r="HD44" s="426">
        <f t="shared" si="91"/>
        <v>0</v>
      </c>
      <c r="HE44" s="426">
        <f t="shared" si="92"/>
        <v>0</v>
      </c>
      <c r="HF44" s="426">
        <f t="shared" si="93"/>
        <v>0</v>
      </c>
      <c r="HG44" s="426">
        <f t="shared" si="94"/>
        <v>0</v>
      </c>
      <c r="HH44" s="426">
        <f t="shared" si="95"/>
        <v>0</v>
      </c>
      <c r="HI44" s="426">
        <f t="shared" si="96"/>
        <v>0</v>
      </c>
      <c r="HJ44" s="426">
        <f t="shared" si="97"/>
        <v>0</v>
      </c>
      <c r="HK44" s="426">
        <f t="shared" si="98"/>
        <v>0</v>
      </c>
      <c r="HL44" s="426">
        <f t="shared" si="99"/>
        <v>0</v>
      </c>
      <c r="HO44" s="121">
        <v>6</v>
      </c>
      <c r="HP44" s="495">
        <f>DATE(YEAR(EXPEDIENTE!$F$25)+1,HO44,1)</f>
        <v>45809</v>
      </c>
      <c r="HQ44" s="495" t="str">
        <f>IF('GASTOS EJER. 2'!BF54="","",'GASTOS EJER. 2'!BF54)</f>
        <v/>
      </c>
      <c r="HR44" s="503">
        <f>'GASTOS EJER. 2'!CM25</f>
        <v>0</v>
      </c>
      <c r="HS44" s="503">
        <f>'GASTOS EJER. 2'!BA54</f>
        <v>0</v>
      </c>
      <c r="HT44" s="426">
        <f t="shared" si="265"/>
        <v>0</v>
      </c>
      <c r="HU44" s="503">
        <f t="shared" si="221"/>
        <v>0</v>
      </c>
      <c r="JC44" s="445">
        <v>40</v>
      </c>
      <c r="JD44" s="401">
        <f t="shared" si="100"/>
        <v>14</v>
      </c>
    </row>
    <row r="45" spans="3:264" x14ac:dyDescent="0.25">
      <c r="C45" s="209">
        <v>39</v>
      </c>
      <c r="D45" s="404"/>
      <c r="E45" s="420"/>
      <c r="F45" s="421"/>
      <c r="G45" s="422"/>
      <c r="H45" s="422"/>
      <c r="I45" s="422"/>
      <c r="J45" s="404"/>
      <c r="K45" s="410">
        <f t="shared" si="52"/>
        <v>76</v>
      </c>
      <c r="L45" s="410">
        <f t="shared" si="53"/>
        <v>76</v>
      </c>
      <c r="M45" s="410" t="str">
        <f t="shared" si="54"/>
        <v>X</v>
      </c>
      <c r="Y45" s="425">
        <f t="shared" si="0"/>
        <v>40</v>
      </c>
      <c r="Z45" s="415" t="str">
        <f>IF(Y45="","",IF(EDATE($Z$5,Y45)&gt;EXPEDIENTE!$F$27,"",EDATE($Z$5,Y45)))</f>
        <v/>
      </c>
      <c r="AA45" s="415" t="str">
        <f>IF(Z45="","",IF(YEAR(EXPEDIENTE!$F$25)=YEAR(Z45),Z45,""))</f>
        <v/>
      </c>
      <c r="AB45" s="415" t="str">
        <f>IF(Z45="","",IF(YEAR(EXPEDIENTE!$F$25)+1=YEAR(Z45),Z45,""))</f>
        <v/>
      </c>
      <c r="AC45" s="415" t="str">
        <f>IF(Z45="","",IF(YEAR(EXPEDIENTE!$F$25)+2=YEAR(Z45),Z45,""))</f>
        <v/>
      </c>
      <c r="AD45" s="415" t="str">
        <f>IF(Z45="","",IF(YEAR(EXPEDIENTE!$F$25)+3=YEAR(Z45),Z45,""))</f>
        <v/>
      </c>
      <c r="AG45" s="490">
        <v>15</v>
      </c>
      <c r="AH45" s="503">
        <f>'GASTOS EJER. 2'!M43</f>
        <v>0</v>
      </c>
      <c r="AI45" s="503">
        <f>'GASTOS EJER. 2'!X43</f>
        <v>0</v>
      </c>
      <c r="AJ45" s="493">
        <f t="shared" si="222"/>
        <v>0</v>
      </c>
      <c r="AL45" s="494">
        <f>'GASTOS EJER. 2'!F43+'GASTOS EJER. 2'!L43-'GASTOS EJER. 2'!X43-'GASTOS EJER. 2'!Y43</f>
        <v>0</v>
      </c>
      <c r="AM45" s="495" t="str">
        <f>IF('GASTOS EJER. 2'!AA43="","",'GASTOS EJER. 2'!AA43)</f>
        <v/>
      </c>
      <c r="AN45" s="492">
        <f>'GASTOS EJER. 2'!Y43</f>
        <v>0</v>
      </c>
      <c r="AO45" s="496" t="str">
        <f>IF('GASTOS EJER. 2'!AB43="","",'GASTOS EJER. 2'!AB43)</f>
        <v/>
      </c>
      <c r="AP45" s="497">
        <f>IF(AND(AM45&gt;=EXPEDIENTE!$I$25,AM45&lt;=EXPEDIENTE!$I$29),AL45,0)</f>
        <v>0</v>
      </c>
      <c r="AQ45" s="426">
        <f>IF(AND(AO45&gt;=EXPEDIENTE!$I$25,AO45&lt;=EXPEDIENTE!$I$29),AN45,0)</f>
        <v>0</v>
      </c>
      <c r="AR45" s="493">
        <f t="shared" si="223"/>
        <v>0</v>
      </c>
      <c r="AS45" s="498" t="str">
        <f>IF('GASTOS EJER. 2'!D43="","",'GASTOS EJER. 2'!D43)</f>
        <v/>
      </c>
      <c r="AT45" s="499" t="str">
        <f>IF('GASTOS EJER. 2'!E43="","",'GASTOS EJER. 2'!E43)</f>
        <v/>
      </c>
      <c r="AU45" s="500">
        <f t="shared" si="224"/>
        <v>0</v>
      </c>
      <c r="AV45" s="501">
        <f t="shared" si="170"/>
        <v>0</v>
      </c>
      <c r="AW45" s="442">
        <f t="shared" si="225"/>
        <v>0</v>
      </c>
      <c r="AY45" s="426">
        <v>7</v>
      </c>
      <c r="AZ45" s="427" t="e">
        <f t="shared" si="171"/>
        <v>#VALUE!</v>
      </c>
      <c r="BA45" s="440">
        <f t="shared" si="172"/>
        <v>0</v>
      </c>
      <c r="BB45" s="426">
        <f t="shared" si="173"/>
        <v>0</v>
      </c>
      <c r="BC45" s="426">
        <f t="shared" si="174"/>
        <v>0</v>
      </c>
      <c r="BD45" s="426">
        <f t="shared" si="175"/>
        <v>0</v>
      </c>
      <c r="BE45" s="426">
        <f t="shared" si="176"/>
        <v>0</v>
      </c>
      <c r="BF45" s="426">
        <f t="shared" si="177"/>
        <v>0</v>
      </c>
      <c r="BG45" s="426">
        <f t="shared" si="178"/>
        <v>0</v>
      </c>
      <c r="BH45" s="441">
        <f t="shared" si="179"/>
        <v>0</v>
      </c>
      <c r="BI45" s="439">
        <f t="shared" si="180"/>
        <v>0</v>
      </c>
      <c r="BK45" s="436">
        <f t="shared" si="226"/>
        <v>0</v>
      </c>
      <c r="BL45" s="437">
        <f t="shared" si="227"/>
        <v>0</v>
      </c>
      <c r="BM45" s="437">
        <f t="shared" si="228"/>
        <v>0</v>
      </c>
      <c r="BN45" s="437">
        <f t="shared" si="229"/>
        <v>0</v>
      </c>
      <c r="BO45" s="437">
        <f t="shared" si="230"/>
        <v>0</v>
      </c>
      <c r="BP45" s="437">
        <f t="shared" si="231"/>
        <v>0</v>
      </c>
      <c r="BQ45" s="437">
        <f t="shared" si="232"/>
        <v>0</v>
      </c>
      <c r="BR45" s="438">
        <f t="shared" si="233"/>
        <v>0</v>
      </c>
      <c r="BS45" s="439">
        <f t="shared" si="234"/>
        <v>0</v>
      </c>
      <c r="BU45" s="439">
        <f t="shared" si="235"/>
        <v>0</v>
      </c>
      <c r="BX45" s="490">
        <v>15</v>
      </c>
      <c r="BY45" s="503">
        <f>'GASTOS EJER. 2'!BN43</f>
        <v>0</v>
      </c>
      <c r="BZ45" s="503">
        <f>'GASTOS EJER. 2'!CM43</f>
        <v>0</v>
      </c>
      <c r="CA45" s="493">
        <f t="shared" si="236"/>
        <v>0</v>
      </c>
      <c r="CC45" s="494">
        <f>'GASTOS EJER. 2'!AW43+'GASTOS EJER. 2'!BM43-'GASTOS EJER. 2'!CM43-'GASTOS EJER. 2'!CP43</f>
        <v>0</v>
      </c>
      <c r="CD45" s="495" t="str">
        <f>IF('GASTOS EJER. 2'!CT43="","",'GASTOS EJER. 2'!CT43)</f>
        <v/>
      </c>
      <c r="CE45" s="492">
        <f>'GASTOS EJER. 2'!CP43</f>
        <v>0</v>
      </c>
      <c r="CF45" s="496" t="str">
        <f>IF('GASTOS EJER. 2'!CW43="","",'GASTOS EJER. 2'!CW43)</f>
        <v/>
      </c>
      <c r="CG45" s="497">
        <f>IF(AND(CD45&gt;=EXPEDIENTE!$I$25,CD45&lt;=EXPEDIENTE!$I$29),CC45,0)</f>
        <v>0</v>
      </c>
      <c r="CH45" s="426">
        <f>IF(AND(CF45&gt;=EXPEDIENTE!$I$25,CF45&lt;=EXPEDIENTE!$I$29),CE45,0)</f>
        <v>0</v>
      </c>
      <c r="CI45" s="493">
        <f t="shared" si="237"/>
        <v>0</v>
      </c>
      <c r="CJ45" s="498" t="str">
        <f>IF('GASTOS EJER. 2'!AQ43="","",'GASTOS EJER. 2'!AQ43)</f>
        <v/>
      </c>
      <c r="CK45" s="499" t="str">
        <f>IF('GASTOS EJER. 2'!AT43="","",'GASTOS EJER. 2'!AT43)</f>
        <v/>
      </c>
      <c r="CL45" s="500">
        <f t="shared" si="238"/>
        <v>0</v>
      </c>
      <c r="CM45" s="501">
        <f t="shared" si="181"/>
        <v>0</v>
      </c>
      <c r="CN45" s="442">
        <f t="shared" si="239"/>
        <v>0</v>
      </c>
      <c r="CP45" s="426">
        <v>7</v>
      </c>
      <c r="CQ45" s="427" t="e">
        <f t="shared" si="182"/>
        <v>#VALUE!</v>
      </c>
      <c r="CR45" s="440">
        <f t="shared" si="240"/>
        <v>0</v>
      </c>
      <c r="CS45" s="426">
        <f t="shared" si="241"/>
        <v>0</v>
      </c>
      <c r="CT45" s="426">
        <f t="shared" si="242"/>
        <v>0</v>
      </c>
      <c r="CU45" s="426">
        <f t="shared" si="243"/>
        <v>0</v>
      </c>
      <c r="CV45" s="426">
        <f t="shared" si="244"/>
        <v>0</v>
      </c>
      <c r="CW45" s="426">
        <f t="shared" si="245"/>
        <v>0</v>
      </c>
      <c r="CX45" s="426">
        <f t="shared" si="246"/>
        <v>0</v>
      </c>
      <c r="CY45" s="441">
        <f t="shared" si="247"/>
        <v>0</v>
      </c>
      <c r="CZ45" s="439">
        <f t="shared" si="183"/>
        <v>0</v>
      </c>
      <c r="DB45" s="440">
        <f t="shared" si="248"/>
        <v>0</v>
      </c>
      <c r="DC45" s="426">
        <f t="shared" si="249"/>
        <v>0</v>
      </c>
      <c r="DD45" s="426">
        <f t="shared" si="250"/>
        <v>0</v>
      </c>
      <c r="DE45" s="426">
        <f t="shared" si="251"/>
        <v>0</v>
      </c>
      <c r="DF45" s="426">
        <f t="shared" si="252"/>
        <v>0</v>
      </c>
      <c r="DG45" s="426">
        <f t="shared" si="253"/>
        <v>0</v>
      </c>
      <c r="DH45" s="426">
        <f t="shared" si="254"/>
        <v>0</v>
      </c>
      <c r="DI45" s="441">
        <f t="shared" si="255"/>
        <v>0</v>
      </c>
      <c r="DJ45" s="439">
        <f t="shared" si="256"/>
        <v>0</v>
      </c>
      <c r="DL45" s="439">
        <f t="shared" si="257"/>
        <v>0</v>
      </c>
      <c r="DN45" s="490">
        <v>15</v>
      </c>
      <c r="DO45" s="502">
        <f>'GASTOS EJER. 2'!$C43</f>
        <v>0</v>
      </c>
      <c r="DP45" s="499" t="str">
        <f t="shared" si="258"/>
        <v/>
      </c>
      <c r="DQ45" s="499" t="str">
        <f t="shared" si="259"/>
        <v/>
      </c>
      <c r="DR45" s="389">
        <f t="shared" si="260"/>
        <v>0</v>
      </c>
      <c r="DS45" s="503">
        <f>'GASTOS EJER. 2'!X43</f>
        <v>0</v>
      </c>
      <c r="DT45" s="495" t="str">
        <f>IF(DS45=0,"",'GASTOS EJER. 2'!AA43)</f>
        <v/>
      </c>
      <c r="DU45" s="495" t="str">
        <f t="shared" si="186"/>
        <v/>
      </c>
      <c r="DV45" s="493" t="e">
        <f>IF(AND(DU45&gt;=EXPEDIENTE!$F$25,DU45&lt;=EXPEDIENTE!$F$29),ROUNDDOWN(DS45/DR45,2),0)</f>
        <v>#DIV/0!</v>
      </c>
      <c r="DX45" s="389">
        <v>26</v>
      </c>
      <c r="DY45" s="433">
        <f t="shared" si="101"/>
        <v>46054</v>
      </c>
      <c r="DZ45" s="433">
        <f t="shared" si="102"/>
        <v>46081</v>
      </c>
      <c r="EA45" s="389" t="str">
        <f>IF(AND(DZ45&gt;=EXPEDIENTE!$F$25,DY45&lt;=EXPEDIENTE!$F$29),"SI","NO")</f>
        <v>SI</v>
      </c>
      <c r="EB45" s="426">
        <f t="shared" si="187"/>
        <v>0</v>
      </c>
      <c r="EC45" s="426">
        <f t="shared" si="188"/>
        <v>0</v>
      </c>
      <c r="ED45" s="426">
        <f t="shared" si="189"/>
        <v>0</v>
      </c>
      <c r="EE45" s="426">
        <f t="shared" si="190"/>
        <v>0</v>
      </c>
      <c r="EF45" s="426">
        <f t="shared" si="191"/>
        <v>0</v>
      </c>
      <c r="EG45" s="426">
        <f t="shared" si="192"/>
        <v>0</v>
      </c>
      <c r="EH45" s="426">
        <f t="shared" si="193"/>
        <v>0</v>
      </c>
      <c r="EI45" s="426">
        <f t="shared" si="194"/>
        <v>0</v>
      </c>
      <c r="EJ45" s="426">
        <f t="shared" si="195"/>
        <v>0</v>
      </c>
      <c r="EK45" s="426">
        <f t="shared" si="196"/>
        <v>0</v>
      </c>
      <c r="EL45" s="426">
        <f t="shared" si="197"/>
        <v>0</v>
      </c>
      <c r="EM45" s="426">
        <f t="shared" si="198"/>
        <v>0</v>
      </c>
      <c r="EN45" s="426">
        <f t="shared" si="199"/>
        <v>0</v>
      </c>
      <c r="EO45" s="426">
        <f t="shared" si="200"/>
        <v>0</v>
      </c>
      <c r="EP45" s="426">
        <f t="shared" si="201"/>
        <v>0</v>
      </c>
      <c r="EQ45" s="426">
        <f t="shared" si="202"/>
        <v>0</v>
      </c>
      <c r="ER45" s="426">
        <f t="shared" si="203"/>
        <v>0</v>
      </c>
      <c r="ES45" s="426">
        <f t="shared" si="204"/>
        <v>0</v>
      </c>
      <c r="ET45" s="426">
        <f t="shared" si="205"/>
        <v>0</v>
      </c>
      <c r="EU45" s="426">
        <f t="shared" si="206"/>
        <v>0</v>
      </c>
      <c r="EV45" s="426">
        <f t="shared" si="207"/>
        <v>0</v>
      </c>
      <c r="EW45" s="426">
        <f t="shared" si="208"/>
        <v>0</v>
      </c>
      <c r="EX45" s="426">
        <f t="shared" si="209"/>
        <v>0</v>
      </c>
      <c r="EY45" s="426">
        <f t="shared" si="210"/>
        <v>0</v>
      </c>
      <c r="EZ45" s="426">
        <f t="shared" si="211"/>
        <v>0</v>
      </c>
      <c r="FA45" s="426">
        <f t="shared" si="212"/>
        <v>0</v>
      </c>
      <c r="FB45" s="426">
        <f t="shared" si="213"/>
        <v>0</v>
      </c>
      <c r="FC45" s="426">
        <f t="shared" si="214"/>
        <v>0</v>
      </c>
      <c r="FD45" s="426">
        <f t="shared" si="215"/>
        <v>0</v>
      </c>
      <c r="FE45" s="426">
        <f t="shared" si="216"/>
        <v>0</v>
      </c>
      <c r="FF45" s="426">
        <f t="shared" si="217"/>
        <v>0</v>
      </c>
      <c r="FG45" s="426">
        <f t="shared" si="218"/>
        <v>0</v>
      </c>
      <c r="FH45" s="426">
        <f t="shared" si="66"/>
        <v>0</v>
      </c>
      <c r="FJ45" s="121">
        <v>7</v>
      </c>
      <c r="FK45" s="495">
        <f>DATE(YEAR(EXPEDIENTE!$F$25)+1,FJ45,1)</f>
        <v>45839</v>
      </c>
      <c r="FL45" s="495" t="str">
        <f>IF('GASTOS EJER. 2'!I55="","",'GASTOS EJER. 2'!I55)</f>
        <v/>
      </c>
      <c r="FM45" s="503">
        <f>'GASTOS EJER. 2'!X26</f>
        <v>0</v>
      </c>
      <c r="FN45" s="503">
        <f>'GASTOS EJER. 2'!H55</f>
        <v>0</v>
      </c>
      <c r="FO45" s="426">
        <f t="shared" si="261"/>
        <v>0</v>
      </c>
      <c r="FP45" s="503">
        <f t="shared" si="219"/>
        <v>0</v>
      </c>
      <c r="FR45" s="490">
        <v>15</v>
      </c>
      <c r="FS45" s="502">
        <f>'GASTOS EJER. 2'!$C43</f>
        <v>0</v>
      </c>
      <c r="FT45" s="499" t="str">
        <f t="shared" si="262"/>
        <v/>
      </c>
      <c r="FU45" s="499" t="str">
        <f t="shared" si="263"/>
        <v/>
      </c>
      <c r="FV45" s="389">
        <f t="shared" si="264"/>
        <v>0</v>
      </c>
      <c r="FW45" s="503">
        <f>'GASTOS EJER. 2'!CM43</f>
        <v>0</v>
      </c>
      <c r="FX45" s="495" t="str">
        <f>IF(FW45=0,"",'GASTOS EJER. 2'!CT43)</f>
        <v/>
      </c>
      <c r="FY45" s="495" t="str">
        <f t="shared" si="220"/>
        <v/>
      </c>
      <c r="FZ45" s="493" t="e">
        <f>IF(AND(FY45&gt;=EXPEDIENTE!$F$25,FY45&lt;=EXPEDIENTE!$F$29),ROUNDDOWN(FW45/FV45,2),0)</f>
        <v>#DIV/0!</v>
      </c>
      <c r="GB45" s="389">
        <v>26</v>
      </c>
      <c r="GC45" s="433">
        <f t="shared" si="103"/>
        <v>46054</v>
      </c>
      <c r="GD45" s="433">
        <f t="shared" si="104"/>
        <v>46081</v>
      </c>
      <c r="GE45" s="389" t="str">
        <f>IF(AND(GD45&gt;=EXPEDIENTE!$F$25,GC45&lt;=EXPEDIENTE!$F$29),"SI","NO")</f>
        <v>SI</v>
      </c>
      <c r="GF45" s="426">
        <f t="shared" si="67"/>
        <v>0</v>
      </c>
      <c r="GG45" s="426">
        <f t="shared" si="68"/>
        <v>0</v>
      </c>
      <c r="GH45" s="426">
        <f t="shared" si="69"/>
        <v>0</v>
      </c>
      <c r="GI45" s="426">
        <f t="shared" si="70"/>
        <v>0</v>
      </c>
      <c r="GJ45" s="426">
        <f t="shared" si="71"/>
        <v>0</v>
      </c>
      <c r="GK45" s="426">
        <f t="shared" si="72"/>
        <v>0</v>
      </c>
      <c r="GL45" s="426">
        <f t="shared" si="73"/>
        <v>0</v>
      </c>
      <c r="GM45" s="426">
        <f t="shared" si="74"/>
        <v>0</v>
      </c>
      <c r="GN45" s="426">
        <f t="shared" si="75"/>
        <v>0</v>
      </c>
      <c r="GO45" s="426">
        <f t="shared" si="76"/>
        <v>0</v>
      </c>
      <c r="GP45" s="426">
        <f t="shared" si="77"/>
        <v>0</v>
      </c>
      <c r="GQ45" s="426">
        <f t="shared" si="78"/>
        <v>0</v>
      </c>
      <c r="GR45" s="426">
        <f t="shared" si="79"/>
        <v>0</v>
      </c>
      <c r="GS45" s="426">
        <f t="shared" si="80"/>
        <v>0</v>
      </c>
      <c r="GT45" s="426">
        <f t="shared" si="81"/>
        <v>0</v>
      </c>
      <c r="GU45" s="426">
        <f t="shared" si="82"/>
        <v>0</v>
      </c>
      <c r="GV45" s="426">
        <f t="shared" si="83"/>
        <v>0</v>
      </c>
      <c r="GW45" s="426">
        <f t="shared" si="84"/>
        <v>0</v>
      </c>
      <c r="GX45" s="426">
        <f t="shared" si="85"/>
        <v>0</v>
      </c>
      <c r="GY45" s="426">
        <f t="shared" si="86"/>
        <v>0</v>
      </c>
      <c r="GZ45" s="426">
        <f t="shared" si="87"/>
        <v>0</v>
      </c>
      <c r="HA45" s="426">
        <f t="shared" si="88"/>
        <v>0</v>
      </c>
      <c r="HB45" s="426">
        <f t="shared" si="89"/>
        <v>0</v>
      </c>
      <c r="HC45" s="426">
        <f t="shared" si="90"/>
        <v>0</v>
      </c>
      <c r="HD45" s="426">
        <f t="shared" si="91"/>
        <v>0</v>
      </c>
      <c r="HE45" s="426">
        <f t="shared" si="92"/>
        <v>0</v>
      </c>
      <c r="HF45" s="426">
        <f t="shared" si="93"/>
        <v>0</v>
      </c>
      <c r="HG45" s="426">
        <f t="shared" si="94"/>
        <v>0</v>
      </c>
      <c r="HH45" s="426">
        <f t="shared" si="95"/>
        <v>0</v>
      </c>
      <c r="HI45" s="426">
        <f t="shared" si="96"/>
        <v>0</v>
      </c>
      <c r="HJ45" s="426">
        <f t="shared" si="97"/>
        <v>0</v>
      </c>
      <c r="HK45" s="426">
        <f t="shared" si="98"/>
        <v>0</v>
      </c>
      <c r="HL45" s="426">
        <f t="shared" si="99"/>
        <v>0</v>
      </c>
      <c r="HO45" s="121">
        <v>7</v>
      </c>
      <c r="HP45" s="495">
        <f>DATE(YEAR(EXPEDIENTE!$F$25)+1,HO45,1)</f>
        <v>45839</v>
      </c>
      <c r="HQ45" s="495" t="str">
        <f>IF('GASTOS EJER. 2'!BF55="","",'GASTOS EJER. 2'!BF55)</f>
        <v/>
      </c>
      <c r="HR45" s="503">
        <f>'GASTOS EJER. 2'!CM26</f>
        <v>0</v>
      </c>
      <c r="HS45" s="503">
        <f>'GASTOS EJER. 2'!BA55</f>
        <v>0</v>
      </c>
      <c r="HT45" s="426">
        <f t="shared" si="265"/>
        <v>0</v>
      </c>
      <c r="HU45" s="503">
        <f t="shared" si="221"/>
        <v>0</v>
      </c>
      <c r="JC45" s="409">
        <v>41</v>
      </c>
      <c r="JD45" s="401">
        <f t="shared" si="100"/>
        <v>16</v>
      </c>
    </row>
    <row r="46" spans="3:264" ht="15.75" thickBot="1" x14ac:dyDescent="0.3">
      <c r="C46" s="209">
        <v>40</v>
      </c>
      <c r="D46" s="404"/>
      <c r="E46" s="420"/>
      <c r="F46" s="421"/>
      <c r="G46" s="422"/>
      <c r="H46" s="422"/>
      <c r="I46" s="422"/>
      <c r="J46" s="404"/>
      <c r="K46" s="410">
        <f t="shared" si="52"/>
        <v>76</v>
      </c>
      <c r="L46" s="410">
        <f t="shared" si="53"/>
        <v>76</v>
      </c>
      <c r="M46" s="410" t="str">
        <f t="shared" si="54"/>
        <v>X</v>
      </c>
      <c r="Y46" s="425">
        <f t="shared" si="0"/>
        <v>41</v>
      </c>
      <c r="Z46" s="415" t="str">
        <f>IF(Y46="","",IF(EDATE($Z$5,Y46)&gt;EXPEDIENTE!$F$27,"",EDATE($Z$5,Y46)))</f>
        <v/>
      </c>
      <c r="AA46" s="415" t="str">
        <f>IF(Z46="","",IF(YEAR(EXPEDIENTE!$F$25)=YEAR(Z46),Z46,""))</f>
        <v/>
      </c>
      <c r="AB46" s="415" t="str">
        <f>IF(Z46="","",IF(YEAR(EXPEDIENTE!$F$25)+1=YEAR(Z46),Z46,""))</f>
        <v/>
      </c>
      <c r="AC46" s="415" t="str">
        <f>IF(Z46="","",IF(YEAR(EXPEDIENTE!$F$25)+2=YEAR(Z46),Z46,""))</f>
        <v/>
      </c>
      <c r="AD46" s="415" t="str">
        <f>IF(Z46="","",IF(YEAR(EXPEDIENTE!$F$25)+3=YEAR(Z46),Z46,""))</f>
        <v/>
      </c>
      <c r="AG46" s="504">
        <v>16</v>
      </c>
      <c r="AH46" s="518">
        <f>'GASTOS EJER. 2'!M44</f>
        <v>0</v>
      </c>
      <c r="AI46" s="518">
        <f>'GASTOS EJER. 2'!X44</f>
        <v>0</v>
      </c>
      <c r="AJ46" s="507">
        <f t="shared" si="222"/>
        <v>0</v>
      </c>
      <c r="AL46" s="508">
        <f>'GASTOS EJER. 2'!F44+'GASTOS EJER. 2'!L44-'GASTOS EJER. 2'!X44-'GASTOS EJER. 2'!Y44</f>
        <v>0</v>
      </c>
      <c r="AM46" s="509" t="str">
        <f>IF('GASTOS EJER. 2'!AA44="","",'GASTOS EJER. 2'!AA44)</f>
        <v/>
      </c>
      <c r="AN46" s="506">
        <f>'GASTOS EJER. 2'!Y44</f>
        <v>0</v>
      </c>
      <c r="AO46" s="510" t="str">
        <f>IF('GASTOS EJER. 2'!AB44="","",'GASTOS EJER. 2'!AB44)</f>
        <v/>
      </c>
      <c r="AP46" s="511">
        <f>IF(AND(AM46&gt;=EXPEDIENTE!$I$25,AM46&lt;=EXPEDIENTE!$I$29),AL46,0)</f>
        <v>0</v>
      </c>
      <c r="AQ46" s="454">
        <f>IF(AND(AO46&gt;=EXPEDIENTE!$I$25,AO46&lt;=EXPEDIENTE!$I$29),AN46,0)</f>
        <v>0</v>
      </c>
      <c r="AR46" s="507">
        <f t="shared" si="223"/>
        <v>0</v>
      </c>
      <c r="AS46" s="512" t="str">
        <f>IF('GASTOS EJER. 2'!D44="","",'GASTOS EJER. 2'!D44)</f>
        <v/>
      </c>
      <c r="AT46" s="513" t="str">
        <f>IF('GASTOS EJER. 2'!E44="","",'GASTOS EJER. 2'!E44)</f>
        <v/>
      </c>
      <c r="AU46" s="514">
        <f t="shared" si="224"/>
        <v>0</v>
      </c>
      <c r="AV46" s="515">
        <f t="shared" si="170"/>
        <v>0</v>
      </c>
      <c r="AW46" s="456">
        <f t="shared" si="225"/>
        <v>0</v>
      </c>
      <c r="AY46" s="426">
        <v>8</v>
      </c>
      <c r="AZ46" s="427" t="e">
        <f t="shared" si="171"/>
        <v>#VALUE!</v>
      </c>
      <c r="BA46" s="440">
        <f t="shared" si="172"/>
        <v>0</v>
      </c>
      <c r="BB46" s="426">
        <f t="shared" si="173"/>
        <v>0</v>
      </c>
      <c r="BC46" s="426">
        <f t="shared" si="174"/>
        <v>0</v>
      </c>
      <c r="BD46" s="426">
        <f t="shared" si="175"/>
        <v>0</v>
      </c>
      <c r="BE46" s="426">
        <f t="shared" si="176"/>
        <v>0</v>
      </c>
      <c r="BF46" s="426">
        <f t="shared" si="177"/>
        <v>0</v>
      </c>
      <c r="BG46" s="426">
        <f t="shared" si="178"/>
        <v>0</v>
      </c>
      <c r="BH46" s="441">
        <f t="shared" si="179"/>
        <v>0</v>
      </c>
      <c r="BI46" s="439">
        <f t="shared" si="180"/>
        <v>0</v>
      </c>
      <c r="BK46" s="436">
        <f t="shared" si="226"/>
        <v>0</v>
      </c>
      <c r="BL46" s="437">
        <f t="shared" si="227"/>
        <v>0</v>
      </c>
      <c r="BM46" s="437">
        <f t="shared" si="228"/>
        <v>0</v>
      </c>
      <c r="BN46" s="437">
        <f t="shared" si="229"/>
        <v>0</v>
      </c>
      <c r="BO46" s="437">
        <f t="shared" si="230"/>
        <v>0</v>
      </c>
      <c r="BP46" s="437">
        <f t="shared" si="231"/>
        <v>0</v>
      </c>
      <c r="BQ46" s="437">
        <f t="shared" si="232"/>
        <v>0</v>
      </c>
      <c r="BR46" s="438">
        <f t="shared" si="233"/>
        <v>0</v>
      </c>
      <c r="BS46" s="439">
        <f t="shared" si="234"/>
        <v>0</v>
      </c>
      <c r="BU46" s="439">
        <f t="shared" si="235"/>
        <v>0</v>
      </c>
      <c r="BX46" s="504">
        <v>16</v>
      </c>
      <c r="BY46" s="518">
        <f>'GASTOS EJER. 2'!BN44</f>
        <v>0</v>
      </c>
      <c r="BZ46" s="518">
        <f>'GASTOS EJER. 2'!CM44</f>
        <v>0</v>
      </c>
      <c r="CA46" s="507">
        <f t="shared" si="236"/>
        <v>0</v>
      </c>
      <c r="CC46" s="508">
        <f>'GASTOS EJER. 2'!AW44+'GASTOS EJER. 2'!BM44-'GASTOS EJER. 2'!CM44-'GASTOS EJER. 2'!CP44</f>
        <v>0</v>
      </c>
      <c r="CD46" s="509" t="str">
        <f>IF('GASTOS EJER. 2'!CT44="","",'GASTOS EJER. 2'!CT44)</f>
        <v/>
      </c>
      <c r="CE46" s="506">
        <f>'GASTOS EJER. 2'!CP44</f>
        <v>0</v>
      </c>
      <c r="CF46" s="510" t="str">
        <f>IF('GASTOS EJER. 2'!CW44="","",'GASTOS EJER. 2'!CW44)</f>
        <v/>
      </c>
      <c r="CG46" s="511">
        <f>IF(AND(CD46&gt;=EXPEDIENTE!$I$25,CD46&lt;=EXPEDIENTE!$I$29),CC46,0)</f>
        <v>0</v>
      </c>
      <c r="CH46" s="454">
        <f>IF(AND(CF46&gt;=EXPEDIENTE!$I$25,CF46&lt;=EXPEDIENTE!$I$29),CE46,0)</f>
        <v>0</v>
      </c>
      <c r="CI46" s="507">
        <f t="shared" si="237"/>
        <v>0</v>
      </c>
      <c r="CJ46" s="512" t="str">
        <f>IF('GASTOS EJER. 2'!AQ44="","",'GASTOS EJER. 2'!AQ44)</f>
        <v/>
      </c>
      <c r="CK46" s="513" t="str">
        <f>IF('GASTOS EJER. 2'!AT44="","",'GASTOS EJER. 2'!AT44)</f>
        <v/>
      </c>
      <c r="CL46" s="514">
        <f t="shared" si="238"/>
        <v>0</v>
      </c>
      <c r="CM46" s="515">
        <f t="shared" si="181"/>
        <v>0</v>
      </c>
      <c r="CN46" s="456">
        <f t="shared" si="239"/>
        <v>0</v>
      </c>
      <c r="CP46" s="426">
        <v>8</v>
      </c>
      <c r="CQ46" s="427" t="e">
        <f t="shared" si="182"/>
        <v>#VALUE!</v>
      </c>
      <c r="CR46" s="440">
        <f t="shared" si="240"/>
        <v>0</v>
      </c>
      <c r="CS46" s="426">
        <f t="shared" si="241"/>
        <v>0</v>
      </c>
      <c r="CT46" s="426">
        <f t="shared" si="242"/>
        <v>0</v>
      </c>
      <c r="CU46" s="426">
        <f t="shared" si="243"/>
        <v>0</v>
      </c>
      <c r="CV46" s="426">
        <f t="shared" si="244"/>
        <v>0</v>
      </c>
      <c r="CW46" s="426">
        <f t="shared" si="245"/>
        <v>0</v>
      </c>
      <c r="CX46" s="426">
        <f t="shared" si="246"/>
        <v>0</v>
      </c>
      <c r="CY46" s="441">
        <f t="shared" si="247"/>
        <v>0</v>
      </c>
      <c r="CZ46" s="439">
        <f t="shared" si="183"/>
        <v>0</v>
      </c>
      <c r="DB46" s="440">
        <f t="shared" si="248"/>
        <v>0</v>
      </c>
      <c r="DC46" s="426">
        <f t="shared" si="249"/>
        <v>0</v>
      </c>
      <c r="DD46" s="426">
        <f t="shared" si="250"/>
        <v>0</v>
      </c>
      <c r="DE46" s="426">
        <f t="shared" si="251"/>
        <v>0</v>
      </c>
      <c r="DF46" s="426">
        <f t="shared" si="252"/>
        <v>0</v>
      </c>
      <c r="DG46" s="426">
        <f t="shared" si="253"/>
        <v>0</v>
      </c>
      <c r="DH46" s="426">
        <f t="shared" si="254"/>
        <v>0</v>
      </c>
      <c r="DI46" s="441">
        <f t="shared" si="255"/>
        <v>0</v>
      </c>
      <c r="DJ46" s="439">
        <f t="shared" si="256"/>
        <v>0</v>
      </c>
      <c r="DL46" s="439">
        <f t="shared" si="257"/>
        <v>0</v>
      </c>
      <c r="DN46" s="504">
        <v>16</v>
      </c>
      <c r="DO46" s="516">
        <f>'GASTOS EJER. 2'!$C44</f>
        <v>0</v>
      </c>
      <c r="DP46" s="513" t="str">
        <f t="shared" si="258"/>
        <v/>
      </c>
      <c r="DQ46" s="513" t="str">
        <f t="shared" si="259"/>
        <v/>
      </c>
      <c r="DR46" s="517">
        <f t="shared" si="260"/>
        <v>0</v>
      </c>
      <c r="DS46" s="518">
        <f>'GASTOS EJER. 2'!X44</f>
        <v>0</v>
      </c>
      <c r="DT46" s="509" t="str">
        <f>IF(DS46=0,"",'GASTOS EJER. 2'!AA44)</f>
        <v/>
      </c>
      <c r="DU46" s="509" t="str">
        <f t="shared" si="186"/>
        <v/>
      </c>
      <c r="DV46" s="507" t="e">
        <f>IF(AND(DU46&gt;=EXPEDIENTE!$F$25,DU46&lt;=EXPEDIENTE!$F$29),ROUNDDOWN(DS46/DR46,2),0)</f>
        <v>#DIV/0!</v>
      </c>
      <c r="DX46" s="389">
        <v>27</v>
      </c>
      <c r="DY46" s="433">
        <f t="shared" si="101"/>
        <v>46082</v>
      </c>
      <c r="DZ46" s="433">
        <f t="shared" si="102"/>
        <v>46112</v>
      </c>
      <c r="EA46" s="389" t="str">
        <f>IF(AND(DZ46&gt;=EXPEDIENTE!$F$25,DY46&lt;=EXPEDIENTE!$F$29),"SI","NO")</f>
        <v>SI</v>
      </c>
      <c r="EB46" s="426">
        <f t="shared" si="187"/>
        <v>0</v>
      </c>
      <c r="EC46" s="426">
        <f t="shared" si="188"/>
        <v>0</v>
      </c>
      <c r="ED46" s="426">
        <f t="shared" si="189"/>
        <v>0</v>
      </c>
      <c r="EE46" s="426">
        <f t="shared" si="190"/>
        <v>0</v>
      </c>
      <c r="EF46" s="426">
        <f t="shared" si="191"/>
        <v>0</v>
      </c>
      <c r="EG46" s="426">
        <f t="shared" si="192"/>
        <v>0</v>
      </c>
      <c r="EH46" s="426">
        <f t="shared" si="193"/>
        <v>0</v>
      </c>
      <c r="EI46" s="426">
        <f t="shared" si="194"/>
        <v>0</v>
      </c>
      <c r="EJ46" s="426">
        <f t="shared" si="195"/>
        <v>0</v>
      </c>
      <c r="EK46" s="426">
        <f t="shared" si="196"/>
        <v>0</v>
      </c>
      <c r="EL46" s="426">
        <f t="shared" si="197"/>
        <v>0</v>
      </c>
      <c r="EM46" s="426">
        <f t="shared" si="198"/>
        <v>0</v>
      </c>
      <c r="EN46" s="426">
        <f t="shared" si="199"/>
        <v>0</v>
      </c>
      <c r="EO46" s="426">
        <f t="shared" si="200"/>
        <v>0</v>
      </c>
      <c r="EP46" s="426">
        <f t="shared" si="201"/>
        <v>0</v>
      </c>
      <c r="EQ46" s="426">
        <f t="shared" si="202"/>
        <v>0</v>
      </c>
      <c r="ER46" s="426">
        <f t="shared" si="203"/>
        <v>0</v>
      </c>
      <c r="ES46" s="426">
        <f t="shared" si="204"/>
        <v>0</v>
      </c>
      <c r="ET46" s="426">
        <f t="shared" si="205"/>
        <v>0</v>
      </c>
      <c r="EU46" s="426">
        <f t="shared" si="206"/>
        <v>0</v>
      </c>
      <c r="EV46" s="426">
        <f t="shared" si="207"/>
        <v>0</v>
      </c>
      <c r="EW46" s="426">
        <f t="shared" si="208"/>
        <v>0</v>
      </c>
      <c r="EX46" s="426">
        <f t="shared" si="209"/>
        <v>0</v>
      </c>
      <c r="EY46" s="426">
        <f t="shared" si="210"/>
        <v>0</v>
      </c>
      <c r="EZ46" s="426">
        <f t="shared" si="211"/>
        <v>0</v>
      </c>
      <c r="FA46" s="426">
        <f t="shared" si="212"/>
        <v>0</v>
      </c>
      <c r="FB46" s="426">
        <f t="shared" si="213"/>
        <v>0</v>
      </c>
      <c r="FC46" s="426">
        <f t="shared" si="214"/>
        <v>0</v>
      </c>
      <c r="FD46" s="426">
        <f t="shared" si="215"/>
        <v>0</v>
      </c>
      <c r="FE46" s="426">
        <f t="shared" si="216"/>
        <v>0</v>
      </c>
      <c r="FF46" s="426">
        <f t="shared" si="217"/>
        <v>0</v>
      </c>
      <c r="FG46" s="426">
        <f t="shared" si="218"/>
        <v>0</v>
      </c>
      <c r="FH46" s="426">
        <f t="shared" si="66"/>
        <v>0</v>
      </c>
      <c r="FJ46" s="121">
        <v>8</v>
      </c>
      <c r="FK46" s="495">
        <f>DATE(YEAR(EXPEDIENTE!$F$25)+1,FJ46,1)</f>
        <v>45870</v>
      </c>
      <c r="FL46" s="495" t="str">
        <f>IF('GASTOS EJER. 2'!I56="","",'GASTOS EJER. 2'!I56)</f>
        <v/>
      </c>
      <c r="FM46" s="503">
        <f>'GASTOS EJER. 2'!X27</f>
        <v>0</v>
      </c>
      <c r="FN46" s="503">
        <f>'GASTOS EJER. 2'!H56</f>
        <v>0</v>
      </c>
      <c r="FO46" s="426">
        <f t="shared" si="261"/>
        <v>0</v>
      </c>
      <c r="FP46" s="503">
        <f t="shared" si="219"/>
        <v>0</v>
      </c>
      <c r="FR46" s="504">
        <v>16</v>
      </c>
      <c r="FS46" s="516">
        <f>'GASTOS EJER. 2'!$C44</f>
        <v>0</v>
      </c>
      <c r="FT46" s="513" t="str">
        <f t="shared" si="262"/>
        <v/>
      </c>
      <c r="FU46" s="513" t="str">
        <f t="shared" si="263"/>
        <v/>
      </c>
      <c r="FV46" s="517">
        <f t="shared" si="264"/>
        <v>0</v>
      </c>
      <c r="FW46" s="518">
        <f>'GASTOS EJER. 2'!CM44</f>
        <v>0</v>
      </c>
      <c r="FX46" s="509" t="str">
        <f>IF(FW46=0,"",'GASTOS EJER. 2'!CT44)</f>
        <v/>
      </c>
      <c r="FY46" s="509" t="str">
        <f t="shared" si="220"/>
        <v/>
      </c>
      <c r="FZ46" s="507" t="e">
        <f>IF(AND(FY46&gt;=EXPEDIENTE!$F$25,FY46&lt;=EXPEDIENTE!$F$29),ROUNDDOWN(FW46/FV46,2),0)</f>
        <v>#DIV/0!</v>
      </c>
      <c r="GB46" s="389">
        <v>27</v>
      </c>
      <c r="GC46" s="433">
        <f t="shared" si="103"/>
        <v>46082</v>
      </c>
      <c r="GD46" s="433">
        <f t="shared" si="104"/>
        <v>46112</v>
      </c>
      <c r="GE46" s="389" t="str">
        <f>IF(AND(GD46&gt;=EXPEDIENTE!$F$25,GC46&lt;=EXPEDIENTE!$F$29),"SI","NO")</f>
        <v>SI</v>
      </c>
      <c r="GF46" s="426">
        <f t="shared" si="67"/>
        <v>0</v>
      </c>
      <c r="GG46" s="426">
        <f t="shared" si="68"/>
        <v>0</v>
      </c>
      <c r="GH46" s="426">
        <f t="shared" si="69"/>
        <v>0</v>
      </c>
      <c r="GI46" s="426">
        <f t="shared" si="70"/>
        <v>0</v>
      </c>
      <c r="GJ46" s="426">
        <f t="shared" si="71"/>
        <v>0</v>
      </c>
      <c r="GK46" s="426">
        <f t="shared" si="72"/>
        <v>0</v>
      </c>
      <c r="GL46" s="426">
        <f t="shared" si="73"/>
        <v>0</v>
      </c>
      <c r="GM46" s="426">
        <f t="shared" si="74"/>
        <v>0</v>
      </c>
      <c r="GN46" s="426">
        <f t="shared" si="75"/>
        <v>0</v>
      </c>
      <c r="GO46" s="426">
        <f t="shared" si="76"/>
        <v>0</v>
      </c>
      <c r="GP46" s="426">
        <f t="shared" si="77"/>
        <v>0</v>
      </c>
      <c r="GQ46" s="426">
        <f t="shared" si="78"/>
        <v>0</v>
      </c>
      <c r="GR46" s="426">
        <f t="shared" si="79"/>
        <v>0</v>
      </c>
      <c r="GS46" s="426">
        <f t="shared" si="80"/>
        <v>0</v>
      </c>
      <c r="GT46" s="426">
        <f t="shared" si="81"/>
        <v>0</v>
      </c>
      <c r="GU46" s="426">
        <f t="shared" si="82"/>
        <v>0</v>
      </c>
      <c r="GV46" s="426">
        <f t="shared" si="83"/>
        <v>0</v>
      </c>
      <c r="GW46" s="426">
        <f t="shared" si="84"/>
        <v>0</v>
      </c>
      <c r="GX46" s="426">
        <f t="shared" si="85"/>
        <v>0</v>
      </c>
      <c r="GY46" s="426">
        <f t="shared" si="86"/>
        <v>0</v>
      </c>
      <c r="GZ46" s="426">
        <f t="shared" si="87"/>
        <v>0</v>
      </c>
      <c r="HA46" s="426">
        <f t="shared" si="88"/>
        <v>0</v>
      </c>
      <c r="HB46" s="426">
        <f t="shared" si="89"/>
        <v>0</v>
      </c>
      <c r="HC46" s="426">
        <f t="shared" si="90"/>
        <v>0</v>
      </c>
      <c r="HD46" s="426">
        <f t="shared" si="91"/>
        <v>0</v>
      </c>
      <c r="HE46" s="426">
        <f t="shared" si="92"/>
        <v>0</v>
      </c>
      <c r="HF46" s="426">
        <f t="shared" si="93"/>
        <v>0</v>
      </c>
      <c r="HG46" s="426">
        <f t="shared" si="94"/>
        <v>0</v>
      </c>
      <c r="HH46" s="426">
        <f t="shared" si="95"/>
        <v>0</v>
      </c>
      <c r="HI46" s="426">
        <f t="shared" si="96"/>
        <v>0</v>
      </c>
      <c r="HJ46" s="426">
        <f t="shared" si="97"/>
        <v>0</v>
      </c>
      <c r="HK46" s="426">
        <f t="shared" si="98"/>
        <v>0</v>
      </c>
      <c r="HL46" s="426">
        <f t="shared" si="99"/>
        <v>0</v>
      </c>
      <c r="HO46" s="121">
        <v>8</v>
      </c>
      <c r="HP46" s="495">
        <f>DATE(YEAR(EXPEDIENTE!$F$25)+1,HO46,1)</f>
        <v>45870</v>
      </c>
      <c r="HQ46" s="495" t="str">
        <f>IF('GASTOS EJER. 2'!BF56="","",'GASTOS EJER. 2'!BF56)</f>
        <v/>
      </c>
      <c r="HR46" s="503">
        <f>'GASTOS EJER. 2'!CM27</f>
        <v>0</v>
      </c>
      <c r="HS46" s="503">
        <f>'GASTOS EJER. 2'!BA56</f>
        <v>0</v>
      </c>
      <c r="HT46" s="426">
        <f t="shared" si="265"/>
        <v>0</v>
      </c>
      <c r="HU46" s="503">
        <f t="shared" si="221"/>
        <v>0</v>
      </c>
      <c r="JC46" s="419">
        <v>42</v>
      </c>
      <c r="JD46" s="401">
        <f t="shared" si="100"/>
        <v>16</v>
      </c>
    </row>
    <row r="47" spans="3:264" x14ac:dyDescent="0.25">
      <c r="C47" s="209">
        <v>41</v>
      </c>
      <c r="D47" s="404"/>
      <c r="E47" s="420"/>
      <c r="F47" s="421"/>
      <c r="G47" s="422"/>
      <c r="H47" s="422"/>
      <c r="I47" s="422"/>
      <c r="J47" s="404"/>
      <c r="K47" s="410">
        <f t="shared" si="52"/>
        <v>76</v>
      </c>
      <c r="L47" s="410">
        <f t="shared" si="53"/>
        <v>76</v>
      </c>
      <c r="M47" s="410" t="str">
        <f t="shared" si="54"/>
        <v>X</v>
      </c>
      <c r="Y47" s="425">
        <f t="shared" si="0"/>
        <v>42</v>
      </c>
      <c r="Z47" s="415" t="str">
        <f>IF(Y47="","",IF(EDATE($Z$5,Y47)&gt;EXPEDIENTE!$F$27,"",EDATE($Z$5,Y47)))</f>
        <v/>
      </c>
      <c r="AA47" s="415" t="str">
        <f>IF(Z47="","",IF(YEAR(EXPEDIENTE!$F$25)=YEAR(Z47),Z47,""))</f>
        <v/>
      </c>
      <c r="AB47" s="415" t="str">
        <f>IF(Z47="","",IF(YEAR(EXPEDIENTE!$F$25)+1=YEAR(Z47),Z47,""))</f>
        <v/>
      </c>
      <c r="AC47" s="415" t="str">
        <f>IF(Z47="","",IF(YEAR(EXPEDIENTE!$F$25)+2=YEAR(Z47),Z47,""))</f>
        <v/>
      </c>
      <c r="AD47" s="415" t="str">
        <f>IF(Z47="","",IF(YEAR(EXPEDIENTE!$F$25)+3=YEAR(Z47),Z47,""))</f>
        <v/>
      </c>
      <c r="AG47" s="395"/>
      <c r="AH47" s="395"/>
      <c r="AI47" s="395"/>
      <c r="AJ47" s="395"/>
      <c r="AK47" s="395"/>
      <c r="AL47" s="395"/>
      <c r="AM47" s="395"/>
      <c r="AN47" s="395"/>
      <c r="AO47" s="395"/>
      <c r="AP47" s="395"/>
      <c r="AQ47" s="395"/>
      <c r="AR47" s="395"/>
      <c r="AS47" s="395"/>
      <c r="AT47" s="395"/>
      <c r="AU47" s="395"/>
      <c r="AV47" s="395"/>
      <c r="AW47" s="395"/>
      <c r="AY47" s="426">
        <v>9</v>
      </c>
      <c r="AZ47" s="427" t="e">
        <f t="shared" si="171"/>
        <v>#VALUE!</v>
      </c>
      <c r="BA47" s="440">
        <f t="shared" si="172"/>
        <v>0</v>
      </c>
      <c r="BB47" s="426">
        <f t="shared" si="173"/>
        <v>0</v>
      </c>
      <c r="BC47" s="426">
        <f t="shared" si="174"/>
        <v>0</v>
      </c>
      <c r="BD47" s="426">
        <f t="shared" si="175"/>
        <v>0</v>
      </c>
      <c r="BE47" s="426">
        <f t="shared" si="176"/>
        <v>0</v>
      </c>
      <c r="BF47" s="426">
        <f t="shared" si="177"/>
        <v>0</v>
      </c>
      <c r="BG47" s="426">
        <f t="shared" si="178"/>
        <v>0</v>
      </c>
      <c r="BH47" s="441">
        <f t="shared" si="179"/>
        <v>0</v>
      </c>
      <c r="BI47" s="439">
        <f t="shared" si="180"/>
        <v>0</v>
      </c>
      <c r="BK47" s="436">
        <f t="shared" si="226"/>
        <v>0</v>
      </c>
      <c r="BL47" s="437">
        <f t="shared" si="227"/>
        <v>0</v>
      </c>
      <c r="BM47" s="437">
        <f t="shared" si="228"/>
        <v>0</v>
      </c>
      <c r="BN47" s="437">
        <f t="shared" si="229"/>
        <v>0</v>
      </c>
      <c r="BO47" s="437">
        <f t="shared" si="230"/>
        <v>0</v>
      </c>
      <c r="BP47" s="437">
        <f t="shared" si="231"/>
        <v>0</v>
      </c>
      <c r="BQ47" s="437">
        <f t="shared" si="232"/>
        <v>0</v>
      </c>
      <c r="BR47" s="438">
        <f t="shared" si="233"/>
        <v>0</v>
      </c>
      <c r="BS47" s="439">
        <f t="shared" si="234"/>
        <v>0</v>
      </c>
      <c r="BU47" s="439">
        <f t="shared" si="235"/>
        <v>0</v>
      </c>
      <c r="BX47" s="395"/>
      <c r="BY47" s="395"/>
      <c r="BZ47" s="395"/>
      <c r="CA47" s="395"/>
      <c r="CB47" s="395"/>
      <c r="CC47" s="395"/>
      <c r="CD47" s="395"/>
      <c r="CE47" s="395"/>
      <c r="CF47" s="395"/>
      <c r="CG47" s="395"/>
      <c r="CH47" s="395"/>
      <c r="CI47" s="395"/>
      <c r="CJ47" s="395"/>
      <c r="CK47" s="395"/>
      <c r="CL47" s="395"/>
      <c r="CM47" s="395"/>
      <c r="CN47" s="395"/>
      <c r="CP47" s="426">
        <v>9</v>
      </c>
      <c r="CQ47" s="427" t="e">
        <f t="shared" si="182"/>
        <v>#VALUE!</v>
      </c>
      <c r="CR47" s="440">
        <f t="shared" si="240"/>
        <v>0</v>
      </c>
      <c r="CS47" s="426">
        <f t="shared" si="241"/>
        <v>0</v>
      </c>
      <c r="CT47" s="426">
        <f t="shared" si="242"/>
        <v>0</v>
      </c>
      <c r="CU47" s="426">
        <f t="shared" si="243"/>
        <v>0</v>
      </c>
      <c r="CV47" s="426">
        <f t="shared" si="244"/>
        <v>0</v>
      </c>
      <c r="CW47" s="426">
        <f t="shared" si="245"/>
        <v>0</v>
      </c>
      <c r="CX47" s="426">
        <f t="shared" si="246"/>
        <v>0</v>
      </c>
      <c r="CY47" s="441">
        <f t="shared" si="247"/>
        <v>0</v>
      </c>
      <c r="CZ47" s="439">
        <f t="shared" si="183"/>
        <v>0</v>
      </c>
      <c r="DB47" s="440">
        <f t="shared" si="248"/>
        <v>0</v>
      </c>
      <c r="DC47" s="426">
        <f t="shared" si="249"/>
        <v>0</v>
      </c>
      <c r="DD47" s="426">
        <f t="shared" si="250"/>
        <v>0</v>
      </c>
      <c r="DE47" s="426">
        <f t="shared" si="251"/>
        <v>0</v>
      </c>
      <c r="DF47" s="426">
        <f t="shared" si="252"/>
        <v>0</v>
      </c>
      <c r="DG47" s="426">
        <f t="shared" si="253"/>
        <v>0</v>
      </c>
      <c r="DH47" s="426">
        <f t="shared" si="254"/>
        <v>0</v>
      </c>
      <c r="DI47" s="441">
        <f t="shared" si="255"/>
        <v>0</v>
      </c>
      <c r="DJ47" s="439">
        <f t="shared" si="256"/>
        <v>0</v>
      </c>
      <c r="DL47" s="439">
        <f t="shared" si="257"/>
        <v>0</v>
      </c>
      <c r="DN47" s="395"/>
      <c r="DX47" s="389">
        <v>28</v>
      </c>
      <c r="DY47" s="433">
        <f t="shared" si="101"/>
        <v>46113</v>
      </c>
      <c r="DZ47" s="433">
        <f t="shared" si="102"/>
        <v>46142</v>
      </c>
      <c r="EA47" s="389" t="str">
        <f>IF(AND(DZ47&gt;=EXPEDIENTE!$F$25,DY47&lt;=EXPEDIENTE!$F$29),"SI","NO")</f>
        <v>SI</v>
      </c>
      <c r="EB47" s="426">
        <f t="shared" si="187"/>
        <v>0</v>
      </c>
      <c r="EC47" s="426">
        <f t="shared" si="188"/>
        <v>0</v>
      </c>
      <c r="ED47" s="426">
        <f t="shared" si="189"/>
        <v>0</v>
      </c>
      <c r="EE47" s="426">
        <f t="shared" si="190"/>
        <v>0</v>
      </c>
      <c r="EF47" s="426">
        <f t="shared" si="191"/>
        <v>0</v>
      </c>
      <c r="EG47" s="426">
        <f t="shared" si="192"/>
        <v>0</v>
      </c>
      <c r="EH47" s="426">
        <f t="shared" si="193"/>
        <v>0</v>
      </c>
      <c r="EI47" s="426">
        <f t="shared" si="194"/>
        <v>0</v>
      </c>
      <c r="EJ47" s="426">
        <f t="shared" si="195"/>
        <v>0</v>
      </c>
      <c r="EK47" s="426">
        <f t="shared" si="196"/>
        <v>0</v>
      </c>
      <c r="EL47" s="426">
        <f t="shared" si="197"/>
        <v>0</v>
      </c>
      <c r="EM47" s="426">
        <f t="shared" si="198"/>
        <v>0</v>
      </c>
      <c r="EN47" s="426">
        <f t="shared" si="199"/>
        <v>0</v>
      </c>
      <c r="EO47" s="426">
        <f t="shared" si="200"/>
        <v>0</v>
      </c>
      <c r="EP47" s="426">
        <f t="shared" si="201"/>
        <v>0</v>
      </c>
      <c r="EQ47" s="426">
        <f t="shared" si="202"/>
        <v>0</v>
      </c>
      <c r="ER47" s="426">
        <f t="shared" si="203"/>
        <v>0</v>
      </c>
      <c r="ES47" s="426">
        <f t="shared" si="204"/>
        <v>0</v>
      </c>
      <c r="ET47" s="426">
        <f t="shared" si="205"/>
        <v>0</v>
      </c>
      <c r="EU47" s="426">
        <f t="shared" si="206"/>
        <v>0</v>
      </c>
      <c r="EV47" s="426">
        <f t="shared" si="207"/>
        <v>0</v>
      </c>
      <c r="EW47" s="426">
        <f t="shared" si="208"/>
        <v>0</v>
      </c>
      <c r="EX47" s="426">
        <f t="shared" si="209"/>
        <v>0</v>
      </c>
      <c r="EY47" s="426">
        <f t="shared" si="210"/>
        <v>0</v>
      </c>
      <c r="EZ47" s="426">
        <f t="shared" si="211"/>
        <v>0</v>
      </c>
      <c r="FA47" s="426">
        <f t="shared" si="212"/>
        <v>0</v>
      </c>
      <c r="FB47" s="426">
        <f t="shared" si="213"/>
        <v>0</v>
      </c>
      <c r="FC47" s="426">
        <f t="shared" si="214"/>
        <v>0</v>
      </c>
      <c r="FD47" s="426">
        <f t="shared" si="215"/>
        <v>0</v>
      </c>
      <c r="FE47" s="426">
        <f t="shared" si="216"/>
        <v>0</v>
      </c>
      <c r="FF47" s="426">
        <f t="shared" si="217"/>
        <v>0</v>
      </c>
      <c r="FG47" s="426">
        <f t="shared" si="218"/>
        <v>0</v>
      </c>
      <c r="FH47" s="426">
        <f t="shared" si="66"/>
        <v>0</v>
      </c>
      <c r="FJ47" s="121">
        <v>9</v>
      </c>
      <c r="FK47" s="495">
        <f>DATE(YEAR(EXPEDIENTE!$F$25)+1,FJ47,1)</f>
        <v>45901</v>
      </c>
      <c r="FL47" s="495" t="str">
        <f>IF('GASTOS EJER. 2'!I57="","",'GASTOS EJER. 2'!I57)</f>
        <v/>
      </c>
      <c r="FM47" s="503">
        <f>'GASTOS EJER. 2'!X28</f>
        <v>0</v>
      </c>
      <c r="FN47" s="503">
        <f>'GASTOS EJER. 2'!H57</f>
        <v>0</v>
      </c>
      <c r="FO47" s="426">
        <f t="shared" si="261"/>
        <v>0</v>
      </c>
      <c r="FP47" s="503">
        <f t="shared" si="219"/>
        <v>0</v>
      </c>
      <c r="FR47" s="395"/>
      <c r="GB47" s="389">
        <v>28</v>
      </c>
      <c r="GC47" s="433">
        <f t="shared" si="103"/>
        <v>46113</v>
      </c>
      <c r="GD47" s="433">
        <f t="shared" si="104"/>
        <v>46142</v>
      </c>
      <c r="GE47" s="389" t="str">
        <f>IF(AND(GD47&gt;=EXPEDIENTE!$F$25,GC47&lt;=EXPEDIENTE!$F$29),"SI","NO")</f>
        <v>SI</v>
      </c>
      <c r="GF47" s="426">
        <f t="shared" si="67"/>
        <v>0</v>
      </c>
      <c r="GG47" s="426">
        <f t="shared" si="68"/>
        <v>0</v>
      </c>
      <c r="GH47" s="426">
        <f t="shared" si="69"/>
        <v>0</v>
      </c>
      <c r="GI47" s="426">
        <f t="shared" si="70"/>
        <v>0</v>
      </c>
      <c r="GJ47" s="426">
        <f t="shared" si="71"/>
        <v>0</v>
      </c>
      <c r="GK47" s="426">
        <f t="shared" si="72"/>
        <v>0</v>
      </c>
      <c r="GL47" s="426">
        <f t="shared" si="73"/>
        <v>0</v>
      </c>
      <c r="GM47" s="426">
        <f t="shared" si="74"/>
        <v>0</v>
      </c>
      <c r="GN47" s="426">
        <f t="shared" si="75"/>
        <v>0</v>
      </c>
      <c r="GO47" s="426">
        <f t="shared" si="76"/>
        <v>0</v>
      </c>
      <c r="GP47" s="426">
        <f t="shared" si="77"/>
        <v>0</v>
      </c>
      <c r="GQ47" s="426">
        <f t="shared" si="78"/>
        <v>0</v>
      </c>
      <c r="GR47" s="426">
        <f t="shared" si="79"/>
        <v>0</v>
      </c>
      <c r="GS47" s="426">
        <f t="shared" si="80"/>
        <v>0</v>
      </c>
      <c r="GT47" s="426">
        <f t="shared" si="81"/>
        <v>0</v>
      </c>
      <c r="GU47" s="426">
        <f t="shared" si="82"/>
        <v>0</v>
      </c>
      <c r="GV47" s="426">
        <f t="shared" si="83"/>
        <v>0</v>
      </c>
      <c r="GW47" s="426">
        <f t="shared" si="84"/>
        <v>0</v>
      </c>
      <c r="GX47" s="426">
        <f t="shared" si="85"/>
        <v>0</v>
      </c>
      <c r="GY47" s="426">
        <f t="shared" si="86"/>
        <v>0</v>
      </c>
      <c r="GZ47" s="426">
        <f t="shared" si="87"/>
        <v>0</v>
      </c>
      <c r="HA47" s="426">
        <f t="shared" si="88"/>
        <v>0</v>
      </c>
      <c r="HB47" s="426">
        <f t="shared" si="89"/>
        <v>0</v>
      </c>
      <c r="HC47" s="426">
        <f t="shared" si="90"/>
        <v>0</v>
      </c>
      <c r="HD47" s="426">
        <f t="shared" si="91"/>
        <v>0</v>
      </c>
      <c r="HE47" s="426">
        <f t="shared" si="92"/>
        <v>0</v>
      </c>
      <c r="HF47" s="426">
        <f t="shared" si="93"/>
        <v>0</v>
      </c>
      <c r="HG47" s="426">
        <f t="shared" si="94"/>
        <v>0</v>
      </c>
      <c r="HH47" s="426">
        <f t="shared" si="95"/>
        <v>0</v>
      </c>
      <c r="HI47" s="426">
        <f t="shared" si="96"/>
        <v>0</v>
      </c>
      <c r="HJ47" s="426">
        <f t="shared" si="97"/>
        <v>0</v>
      </c>
      <c r="HK47" s="426">
        <f t="shared" si="98"/>
        <v>0</v>
      </c>
      <c r="HL47" s="426">
        <f t="shared" si="99"/>
        <v>0</v>
      </c>
      <c r="HO47" s="121">
        <v>9</v>
      </c>
      <c r="HP47" s="495">
        <f>DATE(YEAR(EXPEDIENTE!$F$25)+1,HO47,1)</f>
        <v>45901</v>
      </c>
      <c r="HQ47" s="495" t="str">
        <f>IF('GASTOS EJER. 2'!BF57="","",'GASTOS EJER. 2'!BF57)</f>
        <v/>
      </c>
      <c r="HR47" s="503">
        <f>'GASTOS EJER. 2'!CM28</f>
        <v>0</v>
      </c>
      <c r="HS47" s="503">
        <f>'GASTOS EJER. 2'!BA57</f>
        <v>0</v>
      </c>
      <c r="HT47" s="426">
        <f t="shared" si="265"/>
        <v>0</v>
      </c>
      <c r="HU47" s="503">
        <f t="shared" si="221"/>
        <v>0</v>
      </c>
      <c r="JC47" s="419">
        <v>43</v>
      </c>
      <c r="JD47" s="401">
        <f t="shared" si="100"/>
        <v>16</v>
      </c>
    </row>
    <row r="48" spans="3:264" x14ac:dyDescent="0.25">
      <c r="C48" s="209">
        <v>42</v>
      </c>
      <c r="D48" s="404"/>
      <c r="E48" s="420"/>
      <c r="F48" s="421"/>
      <c r="G48" s="422"/>
      <c r="H48" s="422"/>
      <c r="I48" s="422"/>
      <c r="J48" s="404"/>
      <c r="K48" s="410">
        <f t="shared" si="52"/>
        <v>76</v>
      </c>
      <c r="L48" s="410">
        <f t="shared" si="53"/>
        <v>76</v>
      </c>
      <c r="M48" s="410" t="str">
        <f t="shared" si="54"/>
        <v>X</v>
      </c>
      <c r="Y48" s="425">
        <f t="shared" si="0"/>
        <v>43</v>
      </c>
      <c r="Z48" s="415" t="str">
        <f>IF(Y48="","",IF(EDATE($Z$5,Y48)&gt;EXPEDIENTE!$F$27,"",EDATE($Z$5,Y48)))</f>
        <v/>
      </c>
      <c r="AA48" s="415" t="str">
        <f>IF(Z48="","",IF(YEAR(EXPEDIENTE!$F$25)=YEAR(Z48),Z48,""))</f>
        <v/>
      </c>
      <c r="AB48" s="415" t="str">
        <f>IF(Z48="","",IF(YEAR(EXPEDIENTE!$F$25)+1=YEAR(Z48),Z48,""))</f>
        <v/>
      </c>
      <c r="AC48" s="415" t="str">
        <f>IF(Z48="","",IF(YEAR(EXPEDIENTE!$F$25)+2=YEAR(Z48),Z48,""))</f>
        <v/>
      </c>
      <c r="AD48" s="415" t="str">
        <f>IF(Z48="","",IF(YEAR(EXPEDIENTE!$F$25)+3=YEAR(Z48),Z48,""))</f>
        <v/>
      </c>
      <c r="AG48" s="395"/>
      <c r="AH48" s="395"/>
      <c r="AI48" s="395"/>
      <c r="AJ48" s="395"/>
      <c r="AK48" s="395"/>
      <c r="AL48" s="395"/>
      <c r="AM48" s="395"/>
      <c r="AN48" s="395"/>
      <c r="AO48" s="395"/>
      <c r="AP48" s="395"/>
      <c r="AQ48" s="395"/>
      <c r="AR48" s="395"/>
      <c r="AS48" s="395"/>
      <c r="AT48" s="395"/>
      <c r="AU48" s="395"/>
      <c r="AV48" s="395"/>
      <c r="AW48" s="395"/>
      <c r="AY48" s="426">
        <v>10</v>
      </c>
      <c r="AZ48" s="427" t="e">
        <f t="shared" si="171"/>
        <v>#VALUE!</v>
      </c>
      <c r="BA48" s="440">
        <f t="shared" si="172"/>
        <v>0</v>
      </c>
      <c r="BB48" s="426">
        <f t="shared" si="173"/>
        <v>0</v>
      </c>
      <c r="BC48" s="426">
        <f t="shared" si="174"/>
        <v>0</v>
      </c>
      <c r="BD48" s="426">
        <f t="shared" si="175"/>
        <v>0</v>
      </c>
      <c r="BE48" s="426">
        <f t="shared" si="176"/>
        <v>0</v>
      </c>
      <c r="BF48" s="426">
        <f t="shared" si="177"/>
        <v>0</v>
      </c>
      <c r="BG48" s="426">
        <f t="shared" si="178"/>
        <v>0</v>
      </c>
      <c r="BH48" s="441">
        <f t="shared" si="179"/>
        <v>0</v>
      </c>
      <c r="BI48" s="439">
        <f t="shared" si="180"/>
        <v>0</v>
      </c>
      <c r="BK48" s="436">
        <f t="shared" si="226"/>
        <v>0</v>
      </c>
      <c r="BL48" s="437">
        <f t="shared" si="227"/>
        <v>0</v>
      </c>
      <c r="BM48" s="437">
        <f t="shared" si="228"/>
        <v>0</v>
      </c>
      <c r="BN48" s="437">
        <f t="shared" si="229"/>
        <v>0</v>
      </c>
      <c r="BO48" s="437">
        <f t="shared" si="230"/>
        <v>0</v>
      </c>
      <c r="BP48" s="437">
        <f t="shared" si="231"/>
        <v>0</v>
      </c>
      <c r="BQ48" s="437">
        <f t="shared" si="232"/>
        <v>0</v>
      </c>
      <c r="BR48" s="438">
        <f t="shared" si="233"/>
        <v>0</v>
      </c>
      <c r="BS48" s="439">
        <f t="shared" si="234"/>
        <v>0</v>
      </c>
      <c r="BU48" s="439">
        <f t="shared" si="235"/>
        <v>0</v>
      </c>
      <c r="BX48" s="395"/>
      <c r="BY48" s="395"/>
      <c r="BZ48" s="395"/>
      <c r="CA48" s="395"/>
      <c r="CB48" s="395"/>
      <c r="CC48" s="395"/>
      <c r="CD48" s="395"/>
      <c r="CE48" s="395"/>
      <c r="CF48" s="395"/>
      <c r="CG48" s="395"/>
      <c r="CH48" s="395"/>
      <c r="CI48" s="395"/>
      <c r="CJ48" s="395"/>
      <c r="CK48" s="395"/>
      <c r="CL48" s="395"/>
      <c r="CM48" s="395"/>
      <c r="CN48" s="395"/>
      <c r="CP48" s="426">
        <v>10</v>
      </c>
      <c r="CQ48" s="427" t="e">
        <f t="shared" si="182"/>
        <v>#VALUE!</v>
      </c>
      <c r="CR48" s="440">
        <f t="shared" si="240"/>
        <v>0</v>
      </c>
      <c r="CS48" s="426">
        <f t="shared" si="241"/>
        <v>0</v>
      </c>
      <c r="CT48" s="426">
        <f t="shared" si="242"/>
        <v>0</v>
      </c>
      <c r="CU48" s="426">
        <f t="shared" si="243"/>
        <v>0</v>
      </c>
      <c r="CV48" s="426">
        <f t="shared" si="244"/>
        <v>0</v>
      </c>
      <c r="CW48" s="426">
        <f t="shared" si="245"/>
        <v>0</v>
      </c>
      <c r="CX48" s="426">
        <f t="shared" si="246"/>
        <v>0</v>
      </c>
      <c r="CY48" s="441">
        <f t="shared" si="247"/>
        <v>0</v>
      </c>
      <c r="CZ48" s="439">
        <f t="shared" si="183"/>
        <v>0</v>
      </c>
      <c r="DB48" s="440">
        <f t="shared" si="248"/>
        <v>0</v>
      </c>
      <c r="DC48" s="426">
        <f t="shared" si="249"/>
        <v>0</v>
      </c>
      <c r="DD48" s="426">
        <f t="shared" si="250"/>
        <v>0</v>
      </c>
      <c r="DE48" s="426">
        <f t="shared" si="251"/>
        <v>0</v>
      </c>
      <c r="DF48" s="426">
        <f t="shared" si="252"/>
        <v>0</v>
      </c>
      <c r="DG48" s="426">
        <f t="shared" si="253"/>
        <v>0</v>
      </c>
      <c r="DH48" s="426">
        <f t="shared" si="254"/>
        <v>0</v>
      </c>
      <c r="DI48" s="441">
        <f t="shared" si="255"/>
        <v>0</v>
      </c>
      <c r="DJ48" s="439">
        <f t="shared" si="256"/>
        <v>0</v>
      </c>
      <c r="DL48" s="439">
        <f t="shared" si="257"/>
        <v>0</v>
      </c>
      <c r="DN48" s="395"/>
      <c r="DX48" s="389">
        <v>29</v>
      </c>
      <c r="DY48" s="433">
        <f t="shared" si="101"/>
        <v>46143</v>
      </c>
      <c r="DZ48" s="433">
        <f t="shared" si="102"/>
        <v>46173</v>
      </c>
      <c r="EA48" s="389" t="str">
        <f>IF(AND(DZ48&gt;=EXPEDIENTE!$F$25,DY48&lt;=EXPEDIENTE!$F$29),"SI","NO")</f>
        <v>SI</v>
      </c>
      <c r="EB48" s="426">
        <f t="shared" si="187"/>
        <v>0</v>
      </c>
      <c r="EC48" s="426">
        <f t="shared" si="188"/>
        <v>0</v>
      </c>
      <c r="ED48" s="426">
        <f t="shared" si="189"/>
        <v>0</v>
      </c>
      <c r="EE48" s="426">
        <f t="shared" si="190"/>
        <v>0</v>
      </c>
      <c r="EF48" s="426">
        <f t="shared" si="191"/>
        <v>0</v>
      </c>
      <c r="EG48" s="426">
        <f t="shared" si="192"/>
        <v>0</v>
      </c>
      <c r="EH48" s="426">
        <f t="shared" si="193"/>
        <v>0</v>
      </c>
      <c r="EI48" s="426">
        <f t="shared" si="194"/>
        <v>0</v>
      </c>
      <c r="EJ48" s="426">
        <f t="shared" si="195"/>
        <v>0</v>
      </c>
      <c r="EK48" s="426">
        <f t="shared" si="196"/>
        <v>0</v>
      </c>
      <c r="EL48" s="426">
        <f t="shared" si="197"/>
        <v>0</v>
      </c>
      <c r="EM48" s="426">
        <f t="shared" si="198"/>
        <v>0</v>
      </c>
      <c r="EN48" s="426">
        <f t="shared" si="199"/>
        <v>0</v>
      </c>
      <c r="EO48" s="426">
        <f t="shared" si="200"/>
        <v>0</v>
      </c>
      <c r="EP48" s="426">
        <f t="shared" si="201"/>
        <v>0</v>
      </c>
      <c r="EQ48" s="426">
        <f t="shared" si="202"/>
        <v>0</v>
      </c>
      <c r="ER48" s="426">
        <f t="shared" si="203"/>
        <v>0</v>
      </c>
      <c r="ES48" s="426">
        <f t="shared" si="204"/>
        <v>0</v>
      </c>
      <c r="ET48" s="426">
        <f t="shared" si="205"/>
        <v>0</v>
      </c>
      <c r="EU48" s="426">
        <f t="shared" si="206"/>
        <v>0</v>
      </c>
      <c r="EV48" s="426">
        <f t="shared" si="207"/>
        <v>0</v>
      </c>
      <c r="EW48" s="426">
        <f t="shared" si="208"/>
        <v>0</v>
      </c>
      <c r="EX48" s="426">
        <f t="shared" si="209"/>
        <v>0</v>
      </c>
      <c r="EY48" s="426">
        <f t="shared" si="210"/>
        <v>0</v>
      </c>
      <c r="EZ48" s="426">
        <f t="shared" si="211"/>
        <v>0</v>
      </c>
      <c r="FA48" s="426">
        <f t="shared" si="212"/>
        <v>0</v>
      </c>
      <c r="FB48" s="426">
        <f t="shared" si="213"/>
        <v>0</v>
      </c>
      <c r="FC48" s="426">
        <f t="shared" si="214"/>
        <v>0</v>
      </c>
      <c r="FD48" s="426">
        <f t="shared" si="215"/>
        <v>0</v>
      </c>
      <c r="FE48" s="426">
        <f t="shared" si="216"/>
        <v>0</v>
      </c>
      <c r="FF48" s="426">
        <f t="shared" si="217"/>
        <v>0</v>
      </c>
      <c r="FG48" s="426">
        <f t="shared" si="218"/>
        <v>0</v>
      </c>
      <c r="FH48" s="426">
        <f t="shared" si="66"/>
        <v>0</v>
      </c>
      <c r="FJ48" s="121">
        <v>10</v>
      </c>
      <c r="FK48" s="495">
        <f>DATE(YEAR(EXPEDIENTE!$F$25)+1,FJ48,1)</f>
        <v>45931</v>
      </c>
      <c r="FL48" s="495" t="str">
        <f>IF('GASTOS EJER. 2'!I58="","",'GASTOS EJER. 2'!I58)</f>
        <v/>
      </c>
      <c r="FM48" s="503">
        <f>'GASTOS EJER. 2'!X29</f>
        <v>0</v>
      </c>
      <c r="FN48" s="503">
        <f>'GASTOS EJER. 2'!H58</f>
        <v>0</v>
      </c>
      <c r="FO48" s="426">
        <f t="shared" si="261"/>
        <v>0</v>
      </c>
      <c r="FP48" s="503">
        <f t="shared" si="219"/>
        <v>0</v>
      </c>
      <c r="FR48" s="395"/>
      <c r="GB48" s="389">
        <v>29</v>
      </c>
      <c r="GC48" s="433">
        <f t="shared" si="103"/>
        <v>46143</v>
      </c>
      <c r="GD48" s="433">
        <f t="shared" si="104"/>
        <v>46173</v>
      </c>
      <c r="GE48" s="389" t="str">
        <f>IF(AND(GD48&gt;=EXPEDIENTE!$F$25,GC48&lt;=EXPEDIENTE!$F$29),"SI","NO")</f>
        <v>SI</v>
      </c>
      <c r="GF48" s="426">
        <f t="shared" si="67"/>
        <v>0</v>
      </c>
      <c r="GG48" s="426">
        <f t="shared" si="68"/>
        <v>0</v>
      </c>
      <c r="GH48" s="426">
        <f t="shared" si="69"/>
        <v>0</v>
      </c>
      <c r="GI48" s="426">
        <f t="shared" si="70"/>
        <v>0</v>
      </c>
      <c r="GJ48" s="426">
        <f t="shared" si="71"/>
        <v>0</v>
      </c>
      <c r="GK48" s="426">
        <f t="shared" si="72"/>
        <v>0</v>
      </c>
      <c r="GL48" s="426">
        <f t="shared" si="73"/>
        <v>0</v>
      </c>
      <c r="GM48" s="426">
        <f t="shared" si="74"/>
        <v>0</v>
      </c>
      <c r="GN48" s="426">
        <f t="shared" si="75"/>
        <v>0</v>
      </c>
      <c r="GO48" s="426">
        <f t="shared" si="76"/>
        <v>0</v>
      </c>
      <c r="GP48" s="426">
        <f t="shared" si="77"/>
        <v>0</v>
      </c>
      <c r="GQ48" s="426">
        <f t="shared" si="78"/>
        <v>0</v>
      </c>
      <c r="GR48" s="426">
        <f t="shared" si="79"/>
        <v>0</v>
      </c>
      <c r="GS48" s="426">
        <f t="shared" si="80"/>
        <v>0</v>
      </c>
      <c r="GT48" s="426">
        <f t="shared" si="81"/>
        <v>0</v>
      </c>
      <c r="GU48" s="426">
        <f t="shared" si="82"/>
        <v>0</v>
      </c>
      <c r="GV48" s="426">
        <f t="shared" si="83"/>
        <v>0</v>
      </c>
      <c r="GW48" s="426">
        <f t="shared" si="84"/>
        <v>0</v>
      </c>
      <c r="GX48" s="426">
        <f t="shared" si="85"/>
        <v>0</v>
      </c>
      <c r="GY48" s="426">
        <f t="shared" si="86"/>
        <v>0</v>
      </c>
      <c r="GZ48" s="426">
        <f t="shared" si="87"/>
        <v>0</v>
      </c>
      <c r="HA48" s="426">
        <f t="shared" si="88"/>
        <v>0</v>
      </c>
      <c r="HB48" s="426">
        <f t="shared" si="89"/>
        <v>0</v>
      </c>
      <c r="HC48" s="426">
        <f t="shared" si="90"/>
        <v>0</v>
      </c>
      <c r="HD48" s="426">
        <f t="shared" si="91"/>
        <v>0</v>
      </c>
      <c r="HE48" s="426">
        <f t="shared" si="92"/>
        <v>0</v>
      </c>
      <c r="HF48" s="426">
        <f t="shared" si="93"/>
        <v>0</v>
      </c>
      <c r="HG48" s="426">
        <f t="shared" si="94"/>
        <v>0</v>
      </c>
      <c r="HH48" s="426">
        <f t="shared" si="95"/>
        <v>0</v>
      </c>
      <c r="HI48" s="426">
        <f t="shared" si="96"/>
        <v>0</v>
      </c>
      <c r="HJ48" s="426">
        <f t="shared" si="97"/>
        <v>0</v>
      </c>
      <c r="HK48" s="426">
        <f t="shared" si="98"/>
        <v>0</v>
      </c>
      <c r="HL48" s="426">
        <f t="shared" si="99"/>
        <v>0</v>
      </c>
      <c r="HO48" s="121">
        <v>10</v>
      </c>
      <c r="HP48" s="495">
        <f>DATE(YEAR(EXPEDIENTE!$F$25)+1,HO48,1)</f>
        <v>45931</v>
      </c>
      <c r="HQ48" s="495" t="str">
        <f>IF('GASTOS EJER. 2'!BF58="","",'GASTOS EJER. 2'!BF58)</f>
        <v/>
      </c>
      <c r="HR48" s="503">
        <f>'GASTOS EJER. 2'!CM29</f>
        <v>0</v>
      </c>
      <c r="HS48" s="503">
        <f>'GASTOS EJER. 2'!BA58</f>
        <v>0</v>
      </c>
      <c r="HT48" s="426">
        <f t="shared" si="265"/>
        <v>0</v>
      </c>
      <c r="HU48" s="503">
        <f t="shared" si="221"/>
        <v>0</v>
      </c>
      <c r="JC48" s="419">
        <v>44</v>
      </c>
      <c r="JD48" s="401">
        <f t="shared" si="100"/>
        <v>16</v>
      </c>
    </row>
    <row r="49" spans="3:264" x14ac:dyDescent="0.25">
      <c r="C49" s="209">
        <v>43</v>
      </c>
      <c r="D49" s="404"/>
      <c r="E49" s="420"/>
      <c r="F49" s="421"/>
      <c r="G49" s="422"/>
      <c r="H49" s="422"/>
      <c r="I49" s="422"/>
      <c r="J49" s="404"/>
      <c r="K49" s="410">
        <f t="shared" si="52"/>
        <v>76</v>
      </c>
      <c r="L49" s="410">
        <f t="shared" si="53"/>
        <v>76</v>
      </c>
      <c r="M49" s="410" t="str">
        <f t="shared" si="54"/>
        <v>X</v>
      </c>
      <c r="Y49" s="425">
        <f t="shared" si="0"/>
        <v>44</v>
      </c>
      <c r="Z49" s="415" t="str">
        <f>IF(Y49="","",IF(EDATE($Z$5,Y49)&gt;EXPEDIENTE!$F$27,"",EDATE($Z$5,Y49)))</f>
        <v/>
      </c>
      <c r="AA49" s="415" t="str">
        <f>IF(Z49="","",IF(YEAR(EXPEDIENTE!$F$25)=YEAR(Z49),Z49,""))</f>
        <v/>
      </c>
      <c r="AB49" s="415" t="str">
        <f>IF(Z49="","",IF(YEAR(EXPEDIENTE!$F$25)+1=YEAR(Z49),Z49,""))</f>
        <v/>
      </c>
      <c r="AC49" s="415" t="str">
        <f>IF(Z49="","",IF(YEAR(EXPEDIENTE!$F$25)+2=YEAR(Z49),Z49,""))</f>
        <v/>
      </c>
      <c r="AD49" s="415" t="str">
        <f>IF(Z49="","",IF(YEAR(EXPEDIENTE!$F$25)+3=YEAR(Z49),Z49,""))</f>
        <v/>
      </c>
      <c r="AG49" s="395"/>
      <c r="AH49" s="395"/>
      <c r="AI49" s="395"/>
      <c r="AJ49" s="395"/>
      <c r="AK49" s="395"/>
      <c r="AL49" s="395"/>
      <c r="AM49" s="395"/>
      <c r="AN49" s="395"/>
      <c r="AO49" s="395"/>
      <c r="AP49" s="395"/>
      <c r="AQ49" s="395"/>
      <c r="AR49" s="395"/>
      <c r="AS49" s="395"/>
      <c r="AT49" s="395"/>
      <c r="AU49" s="395"/>
      <c r="AV49" s="395"/>
      <c r="AW49" s="395"/>
      <c r="AY49" s="426">
        <v>11</v>
      </c>
      <c r="AZ49" s="427" t="e">
        <f t="shared" si="171"/>
        <v>#VALUE!</v>
      </c>
      <c r="BA49" s="440">
        <f t="shared" si="172"/>
        <v>0</v>
      </c>
      <c r="BB49" s="426">
        <f t="shared" si="173"/>
        <v>0</v>
      </c>
      <c r="BC49" s="426">
        <f t="shared" si="174"/>
        <v>0</v>
      </c>
      <c r="BD49" s="426">
        <f t="shared" si="175"/>
        <v>0</v>
      </c>
      <c r="BE49" s="426">
        <f t="shared" si="176"/>
        <v>0</v>
      </c>
      <c r="BF49" s="426">
        <f t="shared" si="177"/>
        <v>0</v>
      </c>
      <c r="BG49" s="426">
        <f t="shared" si="178"/>
        <v>0</v>
      </c>
      <c r="BH49" s="441">
        <f t="shared" si="179"/>
        <v>0</v>
      </c>
      <c r="BI49" s="439">
        <f t="shared" si="180"/>
        <v>0</v>
      </c>
      <c r="BK49" s="436">
        <f t="shared" si="226"/>
        <v>0</v>
      </c>
      <c r="BL49" s="437">
        <f t="shared" si="227"/>
        <v>0</v>
      </c>
      <c r="BM49" s="437">
        <f t="shared" si="228"/>
        <v>0</v>
      </c>
      <c r="BN49" s="437">
        <f t="shared" si="229"/>
        <v>0</v>
      </c>
      <c r="BO49" s="437">
        <f t="shared" si="230"/>
        <v>0</v>
      </c>
      <c r="BP49" s="437">
        <f t="shared" si="231"/>
        <v>0</v>
      </c>
      <c r="BQ49" s="437">
        <f t="shared" si="232"/>
        <v>0</v>
      </c>
      <c r="BR49" s="438">
        <f t="shared" si="233"/>
        <v>0</v>
      </c>
      <c r="BS49" s="439">
        <f t="shared" si="234"/>
        <v>0</v>
      </c>
      <c r="BU49" s="439">
        <f t="shared" si="235"/>
        <v>0</v>
      </c>
      <c r="BX49" s="395"/>
      <c r="BY49" s="395"/>
      <c r="BZ49" s="395"/>
      <c r="CA49" s="395"/>
      <c r="CB49" s="395"/>
      <c r="CC49" s="395"/>
      <c r="CD49" s="395"/>
      <c r="CE49" s="395"/>
      <c r="CF49" s="395"/>
      <c r="CG49" s="395"/>
      <c r="CH49" s="395"/>
      <c r="CI49" s="395"/>
      <c r="CJ49" s="395"/>
      <c r="CK49" s="395"/>
      <c r="CL49" s="395"/>
      <c r="CM49" s="395"/>
      <c r="CN49" s="395"/>
      <c r="CP49" s="426">
        <v>11</v>
      </c>
      <c r="CQ49" s="427" t="e">
        <f t="shared" si="182"/>
        <v>#VALUE!</v>
      </c>
      <c r="CR49" s="440">
        <f t="shared" si="240"/>
        <v>0</v>
      </c>
      <c r="CS49" s="426">
        <f t="shared" si="241"/>
        <v>0</v>
      </c>
      <c r="CT49" s="426">
        <f t="shared" si="242"/>
        <v>0</v>
      </c>
      <c r="CU49" s="426">
        <f t="shared" si="243"/>
        <v>0</v>
      </c>
      <c r="CV49" s="426">
        <f t="shared" si="244"/>
        <v>0</v>
      </c>
      <c r="CW49" s="426">
        <f t="shared" si="245"/>
        <v>0</v>
      </c>
      <c r="CX49" s="426">
        <f t="shared" si="246"/>
        <v>0</v>
      </c>
      <c r="CY49" s="441">
        <f t="shared" si="247"/>
        <v>0</v>
      </c>
      <c r="CZ49" s="439">
        <f t="shared" si="183"/>
        <v>0</v>
      </c>
      <c r="DB49" s="440">
        <f t="shared" si="248"/>
        <v>0</v>
      </c>
      <c r="DC49" s="426">
        <f t="shared" si="249"/>
        <v>0</v>
      </c>
      <c r="DD49" s="426">
        <f t="shared" si="250"/>
        <v>0</v>
      </c>
      <c r="DE49" s="426">
        <f t="shared" si="251"/>
        <v>0</v>
      </c>
      <c r="DF49" s="426">
        <f t="shared" si="252"/>
        <v>0</v>
      </c>
      <c r="DG49" s="426">
        <f t="shared" si="253"/>
        <v>0</v>
      </c>
      <c r="DH49" s="426">
        <f t="shared" si="254"/>
        <v>0</v>
      </c>
      <c r="DI49" s="441">
        <f t="shared" si="255"/>
        <v>0</v>
      </c>
      <c r="DJ49" s="439">
        <f t="shared" si="256"/>
        <v>0</v>
      </c>
      <c r="DL49" s="439">
        <f t="shared" si="257"/>
        <v>0</v>
      </c>
      <c r="DN49" s="395"/>
      <c r="DX49" s="389">
        <v>30</v>
      </c>
      <c r="DY49" s="433">
        <f t="shared" si="101"/>
        <v>46174</v>
      </c>
      <c r="DZ49" s="433">
        <f t="shared" si="102"/>
        <v>46203</v>
      </c>
      <c r="EA49" s="389" t="str">
        <f>IF(AND(DZ49&gt;=EXPEDIENTE!$F$25,DY49&lt;=EXPEDIENTE!$F$29),"SI","NO")</f>
        <v>SI</v>
      </c>
      <c r="EB49" s="426">
        <f t="shared" si="187"/>
        <v>0</v>
      </c>
      <c r="EC49" s="426">
        <f t="shared" si="188"/>
        <v>0</v>
      </c>
      <c r="ED49" s="426">
        <f t="shared" si="189"/>
        <v>0</v>
      </c>
      <c r="EE49" s="426">
        <f t="shared" si="190"/>
        <v>0</v>
      </c>
      <c r="EF49" s="426">
        <f t="shared" si="191"/>
        <v>0</v>
      </c>
      <c r="EG49" s="426">
        <f t="shared" si="192"/>
        <v>0</v>
      </c>
      <c r="EH49" s="426">
        <f t="shared" si="193"/>
        <v>0</v>
      </c>
      <c r="EI49" s="426">
        <f t="shared" si="194"/>
        <v>0</v>
      </c>
      <c r="EJ49" s="426">
        <f t="shared" si="195"/>
        <v>0</v>
      </c>
      <c r="EK49" s="426">
        <f t="shared" si="196"/>
        <v>0</v>
      </c>
      <c r="EL49" s="426">
        <f t="shared" si="197"/>
        <v>0</v>
      </c>
      <c r="EM49" s="426">
        <f t="shared" si="198"/>
        <v>0</v>
      </c>
      <c r="EN49" s="426">
        <f t="shared" si="199"/>
        <v>0</v>
      </c>
      <c r="EO49" s="426">
        <f t="shared" si="200"/>
        <v>0</v>
      </c>
      <c r="EP49" s="426">
        <f t="shared" si="201"/>
        <v>0</v>
      </c>
      <c r="EQ49" s="426">
        <f t="shared" si="202"/>
        <v>0</v>
      </c>
      <c r="ER49" s="426">
        <f t="shared" si="203"/>
        <v>0</v>
      </c>
      <c r="ES49" s="426">
        <f t="shared" si="204"/>
        <v>0</v>
      </c>
      <c r="ET49" s="426">
        <f t="shared" si="205"/>
        <v>0</v>
      </c>
      <c r="EU49" s="426">
        <f t="shared" si="206"/>
        <v>0</v>
      </c>
      <c r="EV49" s="426">
        <f t="shared" si="207"/>
        <v>0</v>
      </c>
      <c r="EW49" s="426">
        <f t="shared" si="208"/>
        <v>0</v>
      </c>
      <c r="EX49" s="426">
        <f t="shared" si="209"/>
        <v>0</v>
      </c>
      <c r="EY49" s="426">
        <f t="shared" si="210"/>
        <v>0</v>
      </c>
      <c r="EZ49" s="426">
        <f t="shared" si="211"/>
        <v>0</v>
      </c>
      <c r="FA49" s="426">
        <f t="shared" si="212"/>
        <v>0</v>
      </c>
      <c r="FB49" s="426">
        <f t="shared" si="213"/>
        <v>0</v>
      </c>
      <c r="FC49" s="426">
        <f t="shared" si="214"/>
        <v>0</v>
      </c>
      <c r="FD49" s="426">
        <f t="shared" si="215"/>
        <v>0</v>
      </c>
      <c r="FE49" s="426">
        <f t="shared" si="216"/>
        <v>0</v>
      </c>
      <c r="FF49" s="426">
        <f t="shared" si="217"/>
        <v>0</v>
      </c>
      <c r="FG49" s="426">
        <f t="shared" si="218"/>
        <v>0</v>
      </c>
      <c r="FH49" s="426">
        <f t="shared" si="66"/>
        <v>0</v>
      </c>
      <c r="FJ49" s="121">
        <v>11</v>
      </c>
      <c r="FK49" s="495">
        <f>DATE(YEAR(EXPEDIENTE!$F$25)+1,FJ49,1)</f>
        <v>45962</v>
      </c>
      <c r="FL49" s="495" t="str">
        <f>IF('GASTOS EJER. 2'!I59="","",'GASTOS EJER. 2'!I59)</f>
        <v/>
      </c>
      <c r="FM49" s="503">
        <f>'GASTOS EJER. 2'!X30</f>
        <v>0</v>
      </c>
      <c r="FN49" s="503">
        <f>'GASTOS EJER. 2'!H59</f>
        <v>0</v>
      </c>
      <c r="FO49" s="426">
        <f t="shared" si="261"/>
        <v>0</v>
      </c>
      <c r="FP49" s="503">
        <f t="shared" si="219"/>
        <v>0</v>
      </c>
      <c r="FR49" s="395"/>
      <c r="GB49" s="389">
        <v>30</v>
      </c>
      <c r="GC49" s="433">
        <f t="shared" si="103"/>
        <v>46174</v>
      </c>
      <c r="GD49" s="433">
        <f t="shared" si="104"/>
        <v>46203</v>
      </c>
      <c r="GE49" s="389" t="str">
        <f>IF(AND(GD49&gt;=EXPEDIENTE!$F$25,GC49&lt;=EXPEDIENTE!$F$29),"SI","NO")</f>
        <v>SI</v>
      </c>
      <c r="GF49" s="426">
        <f t="shared" si="67"/>
        <v>0</v>
      </c>
      <c r="GG49" s="426">
        <f t="shared" si="68"/>
        <v>0</v>
      </c>
      <c r="GH49" s="426">
        <f t="shared" si="69"/>
        <v>0</v>
      </c>
      <c r="GI49" s="426">
        <f t="shared" si="70"/>
        <v>0</v>
      </c>
      <c r="GJ49" s="426">
        <f t="shared" si="71"/>
        <v>0</v>
      </c>
      <c r="GK49" s="426">
        <f t="shared" si="72"/>
        <v>0</v>
      </c>
      <c r="GL49" s="426">
        <f t="shared" si="73"/>
        <v>0</v>
      </c>
      <c r="GM49" s="426">
        <f t="shared" si="74"/>
        <v>0</v>
      </c>
      <c r="GN49" s="426">
        <f t="shared" si="75"/>
        <v>0</v>
      </c>
      <c r="GO49" s="426">
        <f t="shared" si="76"/>
        <v>0</v>
      </c>
      <c r="GP49" s="426">
        <f t="shared" si="77"/>
        <v>0</v>
      </c>
      <c r="GQ49" s="426">
        <f t="shared" si="78"/>
        <v>0</v>
      </c>
      <c r="GR49" s="426">
        <f t="shared" si="79"/>
        <v>0</v>
      </c>
      <c r="GS49" s="426">
        <f t="shared" si="80"/>
        <v>0</v>
      </c>
      <c r="GT49" s="426">
        <f t="shared" si="81"/>
        <v>0</v>
      </c>
      <c r="GU49" s="426">
        <f t="shared" si="82"/>
        <v>0</v>
      </c>
      <c r="GV49" s="426">
        <f t="shared" si="83"/>
        <v>0</v>
      </c>
      <c r="GW49" s="426">
        <f t="shared" si="84"/>
        <v>0</v>
      </c>
      <c r="GX49" s="426">
        <f t="shared" si="85"/>
        <v>0</v>
      </c>
      <c r="GY49" s="426">
        <f t="shared" si="86"/>
        <v>0</v>
      </c>
      <c r="GZ49" s="426">
        <f t="shared" si="87"/>
        <v>0</v>
      </c>
      <c r="HA49" s="426">
        <f t="shared" si="88"/>
        <v>0</v>
      </c>
      <c r="HB49" s="426">
        <f t="shared" si="89"/>
        <v>0</v>
      </c>
      <c r="HC49" s="426">
        <f t="shared" si="90"/>
        <v>0</v>
      </c>
      <c r="HD49" s="426">
        <f t="shared" si="91"/>
        <v>0</v>
      </c>
      <c r="HE49" s="426">
        <f t="shared" si="92"/>
        <v>0</v>
      </c>
      <c r="HF49" s="426">
        <f t="shared" si="93"/>
        <v>0</v>
      </c>
      <c r="HG49" s="426">
        <f t="shared" si="94"/>
        <v>0</v>
      </c>
      <c r="HH49" s="426">
        <f t="shared" si="95"/>
        <v>0</v>
      </c>
      <c r="HI49" s="426">
        <f t="shared" si="96"/>
        <v>0</v>
      </c>
      <c r="HJ49" s="426">
        <f t="shared" si="97"/>
        <v>0</v>
      </c>
      <c r="HK49" s="426">
        <f t="shared" si="98"/>
        <v>0</v>
      </c>
      <c r="HL49" s="426">
        <f t="shared" si="99"/>
        <v>0</v>
      </c>
      <c r="HO49" s="121">
        <v>11</v>
      </c>
      <c r="HP49" s="495">
        <f>DATE(YEAR(EXPEDIENTE!$F$25)+1,HO49,1)</f>
        <v>45962</v>
      </c>
      <c r="HQ49" s="495" t="str">
        <f>IF('GASTOS EJER. 2'!BF59="","",'GASTOS EJER. 2'!BF59)</f>
        <v/>
      </c>
      <c r="HR49" s="503">
        <f>'GASTOS EJER. 2'!CM30</f>
        <v>0</v>
      </c>
      <c r="HS49" s="503">
        <f>'GASTOS EJER. 2'!BA59</f>
        <v>0</v>
      </c>
      <c r="HT49" s="426">
        <f t="shared" si="265"/>
        <v>0</v>
      </c>
      <c r="HU49" s="503">
        <f t="shared" si="221"/>
        <v>0</v>
      </c>
      <c r="JC49" s="445">
        <v>45</v>
      </c>
      <c r="JD49" s="401">
        <f t="shared" si="100"/>
        <v>16</v>
      </c>
    </row>
    <row r="50" spans="3:264" ht="15.75" thickBot="1" x14ac:dyDescent="0.3">
      <c r="C50" s="209">
        <v>44</v>
      </c>
      <c r="D50" s="404"/>
      <c r="E50" s="420"/>
      <c r="F50" s="421"/>
      <c r="G50" s="422"/>
      <c r="H50" s="422"/>
      <c r="I50" s="422"/>
      <c r="J50" s="404"/>
      <c r="K50" s="410">
        <f t="shared" si="52"/>
        <v>76</v>
      </c>
      <c r="L50" s="410">
        <f t="shared" si="53"/>
        <v>76</v>
      </c>
      <c r="M50" s="410" t="str">
        <f t="shared" si="54"/>
        <v>X</v>
      </c>
      <c r="Y50" s="425">
        <f t="shared" si="0"/>
        <v>45</v>
      </c>
      <c r="Z50" s="415" t="str">
        <f>IF(Y50="","",IF(EDATE($Z$5,Y50)&gt;EXPEDIENTE!$F$27,"",EDATE($Z$5,Y50)))</f>
        <v/>
      </c>
      <c r="AA50" s="415" t="str">
        <f>IF(Z50="","",IF(YEAR(EXPEDIENTE!$F$25)=YEAR(Z50),Z50,""))</f>
        <v/>
      </c>
      <c r="AB50" s="415" t="str">
        <f>IF(Z50="","",IF(YEAR(EXPEDIENTE!$F$25)+1=YEAR(Z50),Z50,""))</f>
        <v/>
      </c>
      <c r="AC50" s="415" t="str">
        <f>IF(Z50="","",IF(YEAR(EXPEDIENTE!$F$25)+2=YEAR(Z50),Z50,""))</f>
        <v/>
      </c>
      <c r="AD50" s="415" t="str">
        <f>IF(Z50="","",IF(YEAR(EXPEDIENTE!$F$25)+3=YEAR(Z50),Z50,""))</f>
        <v/>
      </c>
      <c r="AG50" s="395"/>
      <c r="AH50" s="395"/>
      <c r="AI50" s="395"/>
      <c r="AJ50" s="395"/>
      <c r="AK50" s="395"/>
      <c r="AL50" s="395"/>
      <c r="AM50" s="395"/>
      <c r="AN50" s="395"/>
      <c r="AO50" s="395"/>
      <c r="AP50" s="395"/>
      <c r="AQ50" s="395"/>
      <c r="AR50" s="395"/>
      <c r="AS50" s="395"/>
      <c r="AT50" s="395"/>
      <c r="AU50" s="395"/>
      <c r="AV50" s="395"/>
      <c r="AW50" s="395"/>
      <c r="AY50" s="426">
        <v>12</v>
      </c>
      <c r="AZ50" s="427" t="e">
        <f t="shared" si="171"/>
        <v>#VALUE!</v>
      </c>
      <c r="BA50" s="453">
        <f t="shared" si="172"/>
        <v>0</v>
      </c>
      <c r="BB50" s="454">
        <f t="shared" si="173"/>
        <v>0</v>
      </c>
      <c r="BC50" s="454">
        <f t="shared" si="174"/>
        <v>0</v>
      </c>
      <c r="BD50" s="454">
        <f t="shared" si="175"/>
        <v>0</v>
      </c>
      <c r="BE50" s="454">
        <f t="shared" si="176"/>
        <v>0</v>
      </c>
      <c r="BF50" s="454">
        <f t="shared" si="177"/>
        <v>0</v>
      </c>
      <c r="BG50" s="454">
        <f t="shared" si="178"/>
        <v>0</v>
      </c>
      <c r="BH50" s="455">
        <f t="shared" si="179"/>
        <v>0</v>
      </c>
      <c r="BI50" s="452">
        <f t="shared" si="180"/>
        <v>0</v>
      </c>
      <c r="BK50" s="449">
        <f t="shared" si="226"/>
        <v>0</v>
      </c>
      <c r="BL50" s="450">
        <f t="shared" si="227"/>
        <v>0</v>
      </c>
      <c r="BM50" s="450">
        <f t="shared" si="228"/>
        <v>0</v>
      </c>
      <c r="BN50" s="450">
        <f t="shared" si="229"/>
        <v>0</v>
      </c>
      <c r="BO50" s="450">
        <f t="shared" si="230"/>
        <v>0</v>
      </c>
      <c r="BP50" s="450">
        <f t="shared" si="231"/>
        <v>0</v>
      </c>
      <c r="BQ50" s="450">
        <f t="shared" si="232"/>
        <v>0</v>
      </c>
      <c r="BR50" s="451">
        <f t="shared" si="233"/>
        <v>0</v>
      </c>
      <c r="BS50" s="452">
        <f t="shared" si="234"/>
        <v>0</v>
      </c>
      <c r="BU50" s="452">
        <f t="shared" si="235"/>
        <v>0</v>
      </c>
      <c r="BX50" s="395"/>
      <c r="BY50" s="395"/>
      <c r="BZ50" s="395"/>
      <c r="CA50" s="395"/>
      <c r="CB50" s="395"/>
      <c r="CC50" s="395"/>
      <c r="CD50" s="395"/>
      <c r="CE50" s="395"/>
      <c r="CF50" s="395"/>
      <c r="CG50" s="395"/>
      <c r="CH50" s="395"/>
      <c r="CI50" s="395"/>
      <c r="CJ50" s="395"/>
      <c r="CK50" s="395"/>
      <c r="CL50" s="395"/>
      <c r="CM50" s="395"/>
      <c r="CN50" s="395"/>
      <c r="CP50" s="426">
        <v>12</v>
      </c>
      <c r="CQ50" s="427" t="e">
        <f t="shared" si="182"/>
        <v>#VALUE!</v>
      </c>
      <c r="CR50" s="453">
        <f>IF($BY$39=0,0,IF($CR$37=0,0,IF(AND($CQ50&gt;=$CJ$39,$CQ50&lt;=$CK$39),$CN$39,0)))</f>
        <v>0</v>
      </c>
      <c r="CS50" s="454">
        <f t="shared" si="241"/>
        <v>0</v>
      </c>
      <c r="CT50" s="454">
        <f t="shared" si="242"/>
        <v>0</v>
      </c>
      <c r="CU50" s="454">
        <f t="shared" si="243"/>
        <v>0</v>
      </c>
      <c r="CV50" s="454">
        <f t="shared" si="244"/>
        <v>0</v>
      </c>
      <c r="CW50" s="454">
        <f t="shared" si="245"/>
        <v>0</v>
      </c>
      <c r="CX50" s="454">
        <f t="shared" si="246"/>
        <v>0</v>
      </c>
      <c r="CY50" s="455">
        <f t="shared" si="247"/>
        <v>0</v>
      </c>
      <c r="CZ50" s="452">
        <f t="shared" si="183"/>
        <v>0</v>
      </c>
      <c r="DB50" s="453">
        <f>IF($BY$55=0,0,IF($DB$37=0,0,IF(AND($CQ50&gt;=$CJ$55,$CQ50&lt;=$CK$55),$CN$55,0)))</f>
        <v>0</v>
      </c>
      <c r="DC50" s="454">
        <f t="shared" si="249"/>
        <v>0</v>
      </c>
      <c r="DD50" s="454">
        <f t="shared" si="250"/>
        <v>0</v>
      </c>
      <c r="DE50" s="454">
        <f t="shared" si="251"/>
        <v>0</v>
      </c>
      <c r="DF50" s="454">
        <f t="shared" si="252"/>
        <v>0</v>
      </c>
      <c r="DG50" s="454">
        <f t="shared" si="253"/>
        <v>0</v>
      </c>
      <c r="DH50" s="454">
        <f t="shared" si="254"/>
        <v>0</v>
      </c>
      <c r="DI50" s="455">
        <f t="shared" si="255"/>
        <v>0</v>
      </c>
      <c r="DJ50" s="452">
        <f t="shared" si="256"/>
        <v>0</v>
      </c>
      <c r="DL50" s="452">
        <f t="shared" si="257"/>
        <v>0</v>
      </c>
      <c r="DN50" s="395"/>
      <c r="DX50" s="389">
        <v>31</v>
      </c>
      <c r="DY50" s="433">
        <f t="shared" si="101"/>
        <v>46204</v>
      </c>
      <c r="DZ50" s="433">
        <f t="shared" si="102"/>
        <v>46234</v>
      </c>
      <c r="EA50" s="389" t="str">
        <f>IF(AND(DZ50&gt;=EXPEDIENTE!$F$25,DY50&lt;=EXPEDIENTE!$F$29),"SI","NO")</f>
        <v>SI</v>
      </c>
      <c r="EB50" s="426">
        <f t="shared" si="187"/>
        <v>0</v>
      </c>
      <c r="EC50" s="426">
        <f t="shared" si="188"/>
        <v>0</v>
      </c>
      <c r="ED50" s="426">
        <f t="shared" si="189"/>
        <v>0</v>
      </c>
      <c r="EE50" s="426">
        <f t="shared" si="190"/>
        <v>0</v>
      </c>
      <c r="EF50" s="426">
        <f t="shared" si="191"/>
        <v>0</v>
      </c>
      <c r="EG50" s="426">
        <f t="shared" si="192"/>
        <v>0</v>
      </c>
      <c r="EH50" s="426">
        <f t="shared" si="193"/>
        <v>0</v>
      </c>
      <c r="EI50" s="426">
        <f t="shared" si="194"/>
        <v>0</v>
      </c>
      <c r="EJ50" s="426">
        <f t="shared" si="195"/>
        <v>0</v>
      </c>
      <c r="EK50" s="426">
        <f t="shared" si="196"/>
        <v>0</v>
      </c>
      <c r="EL50" s="426">
        <f t="shared" si="197"/>
        <v>0</v>
      </c>
      <c r="EM50" s="426">
        <f t="shared" si="198"/>
        <v>0</v>
      </c>
      <c r="EN50" s="426">
        <f t="shared" si="199"/>
        <v>0</v>
      </c>
      <c r="EO50" s="426">
        <f t="shared" si="200"/>
        <v>0</v>
      </c>
      <c r="EP50" s="426">
        <f t="shared" si="201"/>
        <v>0</v>
      </c>
      <c r="EQ50" s="426">
        <f t="shared" si="202"/>
        <v>0</v>
      </c>
      <c r="ER50" s="426">
        <f t="shared" si="203"/>
        <v>0</v>
      </c>
      <c r="ES50" s="426">
        <f t="shared" si="204"/>
        <v>0</v>
      </c>
      <c r="ET50" s="426">
        <f t="shared" si="205"/>
        <v>0</v>
      </c>
      <c r="EU50" s="426">
        <f t="shared" si="206"/>
        <v>0</v>
      </c>
      <c r="EV50" s="426">
        <f t="shared" si="207"/>
        <v>0</v>
      </c>
      <c r="EW50" s="426">
        <f t="shared" si="208"/>
        <v>0</v>
      </c>
      <c r="EX50" s="426">
        <f t="shared" si="209"/>
        <v>0</v>
      </c>
      <c r="EY50" s="426">
        <f t="shared" si="210"/>
        <v>0</v>
      </c>
      <c r="EZ50" s="426">
        <f t="shared" si="211"/>
        <v>0</v>
      </c>
      <c r="FA50" s="426">
        <f t="shared" si="212"/>
        <v>0</v>
      </c>
      <c r="FB50" s="426">
        <f t="shared" si="213"/>
        <v>0</v>
      </c>
      <c r="FC50" s="426">
        <f t="shared" si="214"/>
        <v>0</v>
      </c>
      <c r="FD50" s="426">
        <f t="shared" si="215"/>
        <v>0</v>
      </c>
      <c r="FE50" s="426">
        <f t="shared" si="216"/>
        <v>0</v>
      </c>
      <c r="FF50" s="426">
        <f t="shared" si="217"/>
        <v>0</v>
      </c>
      <c r="FG50" s="426">
        <f t="shared" si="218"/>
        <v>0</v>
      </c>
      <c r="FH50" s="426">
        <f t="shared" si="66"/>
        <v>0</v>
      </c>
      <c r="FJ50" s="121">
        <v>12</v>
      </c>
      <c r="FK50" s="495">
        <f>DATE(YEAR(EXPEDIENTE!$F$25)+1,FJ50,1)</f>
        <v>45992</v>
      </c>
      <c r="FL50" s="495" t="str">
        <f>IF('GASTOS EJER. 2'!I60="","",'GASTOS EJER. 2'!I60)</f>
        <v/>
      </c>
      <c r="FM50" s="503">
        <f>'GASTOS EJER. 2'!X31</f>
        <v>0</v>
      </c>
      <c r="FN50" s="503">
        <f>'GASTOS EJER. 2'!H60</f>
        <v>0</v>
      </c>
      <c r="FO50" s="426">
        <f t="shared" si="261"/>
        <v>0</v>
      </c>
      <c r="FP50" s="503">
        <f t="shared" si="219"/>
        <v>0</v>
      </c>
      <c r="FR50" s="395"/>
      <c r="GB50" s="389">
        <v>31</v>
      </c>
      <c r="GC50" s="433">
        <f t="shared" si="103"/>
        <v>46204</v>
      </c>
      <c r="GD50" s="433">
        <f t="shared" si="104"/>
        <v>46234</v>
      </c>
      <c r="GE50" s="389" t="str">
        <f>IF(AND(GD50&gt;=EXPEDIENTE!$F$25,GC50&lt;=EXPEDIENTE!$F$29),"SI","NO")</f>
        <v>SI</v>
      </c>
      <c r="GF50" s="426">
        <f t="shared" si="67"/>
        <v>0</v>
      </c>
      <c r="GG50" s="426">
        <f t="shared" si="68"/>
        <v>0</v>
      </c>
      <c r="GH50" s="426">
        <f t="shared" si="69"/>
        <v>0</v>
      </c>
      <c r="GI50" s="426">
        <f t="shared" si="70"/>
        <v>0</v>
      </c>
      <c r="GJ50" s="426">
        <f t="shared" si="71"/>
        <v>0</v>
      </c>
      <c r="GK50" s="426">
        <f t="shared" si="72"/>
        <v>0</v>
      </c>
      <c r="GL50" s="426">
        <f t="shared" si="73"/>
        <v>0</v>
      </c>
      <c r="GM50" s="426">
        <f t="shared" si="74"/>
        <v>0</v>
      </c>
      <c r="GN50" s="426">
        <f t="shared" si="75"/>
        <v>0</v>
      </c>
      <c r="GO50" s="426">
        <f t="shared" si="76"/>
        <v>0</v>
      </c>
      <c r="GP50" s="426">
        <f t="shared" si="77"/>
        <v>0</v>
      </c>
      <c r="GQ50" s="426">
        <f t="shared" si="78"/>
        <v>0</v>
      </c>
      <c r="GR50" s="426">
        <f t="shared" si="79"/>
        <v>0</v>
      </c>
      <c r="GS50" s="426">
        <f t="shared" si="80"/>
        <v>0</v>
      </c>
      <c r="GT50" s="426">
        <f t="shared" si="81"/>
        <v>0</v>
      </c>
      <c r="GU50" s="426">
        <f t="shared" si="82"/>
        <v>0</v>
      </c>
      <c r="GV50" s="426">
        <f t="shared" si="83"/>
        <v>0</v>
      </c>
      <c r="GW50" s="426">
        <f t="shared" si="84"/>
        <v>0</v>
      </c>
      <c r="GX50" s="426">
        <f t="shared" si="85"/>
        <v>0</v>
      </c>
      <c r="GY50" s="426">
        <f t="shared" si="86"/>
        <v>0</v>
      </c>
      <c r="GZ50" s="426">
        <f t="shared" si="87"/>
        <v>0</v>
      </c>
      <c r="HA50" s="426">
        <f t="shared" si="88"/>
        <v>0</v>
      </c>
      <c r="HB50" s="426">
        <f t="shared" si="89"/>
        <v>0</v>
      </c>
      <c r="HC50" s="426">
        <f t="shared" si="90"/>
        <v>0</v>
      </c>
      <c r="HD50" s="426">
        <f t="shared" si="91"/>
        <v>0</v>
      </c>
      <c r="HE50" s="426">
        <f t="shared" si="92"/>
        <v>0</v>
      </c>
      <c r="HF50" s="426">
        <f t="shared" si="93"/>
        <v>0</v>
      </c>
      <c r="HG50" s="426">
        <f t="shared" si="94"/>
        <v>0</v>
      </c>
      <c r="HH50" s="426">
        <f t="shared" si="95"/>
        <v>0</v>
      </c>
      <c r="HI50" s="426">
        <f t="shared" si="96"/>
        <v>0</v>
      </c>
      <c r="HJ50" s="426">
        <f t="shared" si="97"/>
        <v>0</v>
      </c>
      <c r="HK50" s="426">
        <f t="shared" si="98"/>
        <v>0</v>
      </c>
      <c r="HL50" s="426">
        <f t="shared" si="99"/>
        <v>0</v>
      </c>
      <c r="HO50" s="121">
        <v>12</v>
      </c>
      <c r="HP50" s="495">
        <f>DATE(YEAR(EXPEDIENTE!$F$25)+1,HO50,1)</f>
        <v>45992</v>
      </c>
      <c r="HQ50" s="495" t="str">
        <f>IF('GASTOS EJER. 2'!BF60="","",'GASTOS EJER. 2'!BF60)</f>
        <v/>
      </c>
      <c r="HR50" s="503">
        <f>'GASTOS EJER. 2'!CM31</f>
        <v>0</v>
      </c>
      <c r="HS50" s="503">
        <f>'GASTOS EJER. 2'!BA60</f>
        <v>0</v>
      </c>
      <c r="HT50" s="426">
        <f t="shared" si="265"/>
        <v>0</v>
      </c>
      <c r="HU50" s="503">
        <f t="shared" si="221"/>
        <v>0</v>
      </c>
      <c r="JC50" s="409">
        <v>46</v>
      </c>
      <c r="JD50" s="401">
        <f t="shared" si="100"/>
        <v>18</v>
      </c>
    </row>
    <row r="51" spans="3:264" ht="15.75" customHeight="1" thickBot="1" x14ac:dyDescent="0.3">
      <c r="C51" s="209">
        <v>45</v>
      </c>
      <c r="D51" s="404"/>
      <c r="E51" s="420"/>
      <c r="F51" s="421"/>
      <c r="G51" s="422"/>
      <c r="H51" s="422"/>
      <c r="I51" s="422"/>
      <c r="J51" s="404"/>
      <c r="K51" s="410">
        <f t="shared" si="52"/>
        <v>76</v>
      </c>
      <c r="L51" s="410">
        <f t="shared" si="53"/>
        <v>76</v>
      </c>
      <c r="M51" s="410" t="str">
        <f t="shared" si="54"/>
        <v>X</v>
      </c>
      <c r="Y51" s="425">
        <f t="shared" si="0"/>
        <v>46</v>
      </c>
      <c r="Z51" s="415" t="str">
        <f>IF(Y51="","",IF(EDATE($Z$5,Y51)&gt;EXPEDIENTE!$F$27,"",EDATE($Z$5,Y51)))</f>
        <v/>
      </c>
      <c r="AA51" s="415" t="str">
        <f>IF(Z51="","",IF(YEAR(EXPEDIENTE!$F$25)=YEAR(Z51),Z51,""))</f>
        <v/>
      </c>
      <c r="AB51" s="415" t="str">
        <f>IF(Z51="","",IF(YEAR(EXPEDIENTE!$F$25)+1=YEAR(Z51),Z51,""))</f>
        <v/>
      </c>
      <c r="AC51" s="415" t="str">
        <f>IF(Z51="","",IF(YEAR(EXPEDIENTE!$F$25)+2=YEAR(Z51),Z51,""))</f>
        <v/>
      </c>
      <c r="AD51" s="415" t="str">
        <f>IF(Z51="","",IF(YEAR(EXPEDIENTE!$F$25)+3=YEAR(Z51),Z51,""))</f>
        <v/>
      </c>
      <c r="AG51" s="395"/>
      <c r="AL51" s="1013" t="s">
        <v>349</v>
      </c>
      <c r="AM51" s="1014" t="s">
        <v>64</v>
      </c>
      <c r="AN51" s="1015" t="s">
        <v>71</v>
      </c>
      <c r="AO51" s="1016" t="s">
        <v>204</v>
      </c>
      <c r="AP51" s="1011" t="s">
        <v>109</v>
      </c>
      <c r="AQ51" s="960"/>
      <c r="AR51" s="1012"/>
      <c r="AS51" s="1011" t="s">
        <v>203</v>
      </c>
      <c r="AT51" s="960"/>
      <c r="AU51" s="1012"/>
      <c r="AV51" s="1025" t="s">
        <v>205</v>
      </c>
      <c r="AW51" s="1019" t="s">
        <v>206</v>
      </c>
      <c r="AZ51" s="457"/>
      <c r="BX51" s="395"/>
      <c r="CC51" s="1013" t="s">
        <v>349</v>
      </c>
      <c r="CD51" s="1014" t="s">
        <v>64</v>
      </c>
      <c r="CE51" s="1015" t="s">
        <v>71</v>
      </c>
      <c r="CF51" s="1016" t="s">
        <v>204</v>
      </c>
      <c r="CG51" s="1011" t="s">
        <v>109</v>
      </c>
      <c r="CH51" s="960"/>
      <c r="CI51" s="1012"/>
      <c r="CJ51" s="1011" t="s">
        <v>203</v>
      </c>
      <c r="CK51" s="960"/>
      <c r="CL51" s="1012"/>
      <c r="CM51" s="1025" t="s">
        <v>205</v>
      </c>
      <c r="CN51" s="1019" t="s">
        <v>206</v>
      </c>
      <c r="CQ51" s="457"/>
      <c r="DN51" s="395"/>
      <c r="DO51" s="519" t="e">
        <f>AF55</f>
        <v>#VALUE!</v>
      </c>
      <c r="DP51" s="397"/>
      <c r="DQ51" s="397"/>
      <c r="DR51" s="397"/>
      <c r="DX51" s="389">
        <v>32</v>
      </c>
      <c r="DY51" s="433">
        <f t="shared" si="101"/>
        <v>46235</v>
      </c>
      <c r="DZ51" s="433">
        <f t="shared" si="102"/>
        <v>46265</v>
      </c>
      <c r="EA51" s="389" t="str">
        <f>IF(AND(DZ51&gt;=EXPEDIENTE!$F$25,DY51&lt;=EXPEDIENTE!$F$29),"SI","NO")</f>
        <v>SI</v>
      </c>
      <c r="EB51" s="426">
        <f t="shared" si="187"/>
        <v>0</v>
      </c>
      <c r="EC51" s="426">
        <f t="shared" si="188"/>
        <v>0</v>
      </c>
      <c r="ED51" s="426">
        <f t="shared" si="189"/>
        <v>0</v>
      </c>
      <c r="EE51" s="426">
        <f t="shared" si="190"/>
        <v>0</v>
      </c>
      <c r="EF51" s="426">
        <f t="shared" si="191"/>
        <v>0</v>
      </c>
      <c r="EG51" s="426">
        <f t="shared" si="192"/>
        <v>0</v>
      </c>
      <c r="EH51" s="426">
        <f t="shared" si="193"/>
        <v>0</v>
      </c>
      <c r="EI51" s="426">
        <f t="shared" si="194"/>
        <v>0</v>
      </c>
      <c r="EJ51" s="426">
        <f t="shared" si="195"/>
        <v>0</v>
      </c>
      <c r="EK51" s="426">
        <f t="shared" si="196"/>
        <v>0</v>
      </c>
      <c r="EL51" s="426">
        <f t="shared" si="197"/>
        <v>0</v>
      </c>
      <c r="EM51" s="426">
        <f t="shared" si="198"/>
        <v>0</v>
      </c>
      <c r="EN51" s="426">
        <f t="shared" si="199"/>
        <v>0</v>
      </c>
      <c r="EO51" s="426">
        <f t="shared" si="200"/>
        <v>0</v>
      </c>
      <c r="EP51" s="426">
        <f t="shared" si="201"/>
        <v>0</v>
      </c>
      <c r="EQ51" s="426">
        <f t="shared" si="202"/>
        <v>0</v>
      </c>
      <c r="ER51" s="426">
        <f t="shared" si="203"/>
        <v>0</v>
      </c>
      <c r="ES51" s="426">
        <f t="shared" si="204"/>
        <v>0</v>
      </c>
      <c r="ET51" s="426">
        <f t="shared" si="205"/>
        <v>0</v>
      </c>
      <c r="EU51" s="426">
        <f t="shared" si="206"/>
        <v>0</v>
      </c>
      <c r="EV51" s="426">
        <f t="shared" si="207"/>
        <v>0</v>
      </c>
      <c r="EW51" s="426">
        <f t="shared" si="208"/>
        <v>0</v>
      </c>
      <c r="EX51" s="426">
        <f t="shared" si="209"/>
        <v>0</v>
      </c>
      <c r="EY51" s="426">
        <f t="shared" si="210"/>
        <v>0</v>
      </c>
      <c r="EZ51" s="426">
        <f t="shared" si="211"/>
        <v>0</v>
      </c>
      <c r="FA51" s="426">
        <f t="shared" si="212"/>
        <v>0</v>
      </c>
      <c r="FB51" s="426">
        <f t="shared" si="213"/>
        <v>0</v>
      </c>
      <c r="FC51" s="426">
        <f t="shared" si="214"/>
        <v>0</v>
      </c>
      <c r="FD51" s="426">
        <f t="shared" si="215"/>
        <v>0</v>
      </c>
      <c r="FE51" s="426">
        <f t="shared" si="216"/>
        <v>0</v>
      </c>
      <c r="FF51" s="426">
        <f t="shared" si="217"/>
        <v>0</v>
      </c>
      <c r="FG51" s="426">
        <f t="shared" si="218"/>
        <v>0</v>
      </c>
      <c r="FH51" s="426">
        <f t="shared" si="66"/>
        <v>0</v>
      </c>
      <c r="FJ51" s="124"/>
      <c r="FK51" s="520"/>
      <c r="FL51" s="520"/>
      <c r="FM51" s="521"/>
      <c r="FN51" s="521"/>
      <c r="FP51" s="521"/>
      <c r="FR51" s="395"/>
      <c r="FS51" s="459" t="e">
        <f>BW55</f>
        <v>#VALUE!</v>
      </c>
      <c r="FT51" s="397"/>
      <c r="FU51" s="397"/>
      <c r="FV51" s="397"/>
      <c r="GB51" s="389">
        <v>32</v>
      </c>
      <c r="GC51" s="433">
        <f t="shared" si="103"/>
        <v>46235</v>
      </c>
      <c r="GD51" s="433">
        <f t="shared" si="104"/>
        <v>46265</v>
      </c>
      <c r="GE51" s="389" t="str">
        <f>IF(AND(GD51&gt;=EXPEDIENTE!$F$25,GC51&lt;=EXPEDIENTE!$F$29),"SI","NO")</f>
        <v>SI</v>
      </c>
      <c r="GF51" s="426">
        <f t="shared" si="67"/>
        <v>0</v>
      </c>
      <c r="GG51" s="426">
        <f t="shared" si="68"/>
        <v>0</v>
      </c>
      <c r="GH51" s="426">
        <f t="shared" si="69"/>
        <v>0</v>
      </c>
      <c r="GI51" s="426">
        <f t="shared" si="70"/>
        <v>0</v>
      </c>
      <c r="GJ51" s="426">
        <f t="shared" si="71"/>
        <v>0</v>
      </c>
      <c r="GK51" s="426">
        <f t="shared" si="72"/>
        <v>0</v>
      </c>
      <c r="GL51" s="426">
        <f t="shared" si="73"/>
        <v>0</v>
      </c>
      <c r="GM51" s="426">
        <f t="shared" si="74"/>
        <v>0</v>
      </c>
      <c r="GN51" s="426">
        <f t="shared" si="75"/>
        <v>0</v>
      </c>
      <c r="GO51" s="426">
        <f t="shared" si="76"/>
        <v>0</v>
      </c>
      <c r="GP51" s="426">
        <f t="shared" si="77"/>
        <v>0</v>
      </c>
      <c r="GQ51" s="426">
        <f t="shared" si="78"/>
        <v>0</v>
      </c>
      <c r="GR51" s="426">
        <f t="shared" si="79"/>
        <v>0</v>
      </c>
      <c r="GS51" s="426">
        <f t="shared" si="80"/>
        <v>0</v>
      </c>
      <c r="GT51" s="426">
        <f t="shared" si="81"/>
        <v>0</v>
      </c>
      <c r="GU51" s="426">
        <f t="shared" si="82"/>
        <v>0</v>
      </c>
      <c r="GV51" s="426">
        <f t="shared" si="83"/>
        <v>0</v>
      </c>
      <c r="GW51" s="426">
        <f t="shared" si="84"/>
        <v>0</v>
      </c>
      <c r="GX51" s="426">
        <f t="shared" si="85"/>
        <v>0</v>
      </c>
      <c r="GY51" s="426">
        <f t="shared" si="86"/>
        <v>0</v>
      </c>
      <c r="GZ51" s="426">
        <f t="shared" si="87"/>
        <v>0</v>
      </c>
      <c r="HA51" s="426">
        <f t="shared" si="88"/>
        <v>0</v>
      </c>
      <c r="HB51" s="426">
        <f t="shared" si="89"/>
        <v>0</v>
      </c>
      <c r="HC51" s="426">
        <f t="shared" si="90"/>
        <v>0</v>
      </c>
      <c r="HD51" s="426">
        <f t="shared" si="91"/>
        <v>0</v>
      </c>
      <c r="HE51" s="426">
        <f t="shared" si="92"/>
        <v>0</v>
      </c>
      <c r="HF51" s="426">
        <f t="shared" si="93"/>
        <v>0</v>
      </c>
      <c r="HG51" s="426">
        <f t="shared" si="94"/>
        <v>0</v>
      </c>
      <c r="HH51" s="426">
        <f t="shared" si="95"/>
        <v>0</v>
      </c>
      <c r="HI51" s="426">
        <f t="shared" si="96"/>
        <v>0</v>
      </c>
      <c r="HJ51" s="426">
        <f t="shared" si="97"/>
        <v>0</v>
      </c>
      <c r="HK51" s="426">
        <f t="shared" si="98"/>
        <v>0</v>
      </c>
      <c r="HL51" s="426">
        <f t="shared" si="99"/>
        <v>0</v>
      </c>
      <c r="HO51" s="124"/>
      <c r="HP51" s="520"/>
      <c r="HQ51" s="520"/>
      <c r="HR51" s="521"/>
      <c r="HS51" s="521"/>
      <c r="HU51" s="521"/>
      <c r="JC51" s="419">
        <v>47</v>
      </c>
      <c r="JD51" s="401">
        <f t="shared" si="100"/>
        <v>18</v>
      </c>
    </row>
    <row r="52" spans="3:264" ht="15.75" thickBot="1" x14ac:dyDescent="0.3">
      <c r="C52" s="209">
        <v>46</v>
      </c>
      <c r="D52" s="404"/>
      <c r="E52" s="420"/>
      <c r="F52" s="421"/>
      <c r="G52" s="422"/>
      <c r="H52" s="422"/>
      <c r="I52" s="422"/>
      <c r="J52" s="404"/>
      <c r="K52" s="410">
        <f t="shared" si="52"/>
        <v>76</v>
      </c>
      <c r="L52" s="410">
        <f t="shared" si="53"/>
        <v>76</v>
      </c>
      <c r="M52" s="410" t="str">
        <f t="shared" si="54"/>
        <v>X</v>
      </c>
      <c r="Y52" s="425">
        <f t="shared" si="0"/>
        <v>47</v>
      </c>
      <c r="Z52" s="415" t="str">
        <f>IF(Y52="","",IF(EDATE($Z$5,Y52)&gt;EXPEDIENTE!$F$27,"",EDATE($Z$5,Y52)))</f>
        <v/>
      </c>
      <c r="AA52" s="415" t="str">
        <f>IF(Z52="","",IF(YEAR(EXPEDIENTE!$F$25)=YEAR(Z52),Z52,""))</f>
        <v/>
      </c>
      <c r="AB52" s="415" t="str">
        <f>IF(Z52="","",IF(YEAR(EXPEDIENTE!$F$25)+1=YEAR(Z52),Z52,""))</f>
        <v/>
      </c>
      <c r="AC52" s="415" t="str">
        <f>IF(Z52="","",IF(YEAR(EXPEDIENTE!$F$25)+2=YEAR(Z52),Z52,""))</f>
        <v/>
      </c>
      <c r="AD52" s="415" t="str">
        <f>IF(Z52="","",IF(YEAR(EXPEDIENTE!$F$25)+3=YEAR(Z52),Z52,""))</f>
        <v/>
      </c>
      <c r="AG52" s="395"/>
      <c r="AH52" s="1002" t="s">
        <v>190</v>
      </c>
      <c r="AI52" s="1005" t="s">
        <v>191</v>
      </c>
      <c r="AJ52" s="1008" t="s">
        <v>192</v>
      </c>
      <c r="AL52" s="998"/>
      <c r="AM52" s="1000"/>
      <c r="AN52" s="970"/>
      <c r="AO52" s="1017"/>
      <c r="AP52" s="998" t="s">
        <v>193</v>
      </c>
      <c r="AQ52" s="1000" t="s">
        <v>110</v>
      </c>
      <c r="AR52" s="968" t="s">
        <v>81</v>
      </c>
      <c r="AS52" s="1027" t="s">
        <v>68</v>
      </c>
      <c r="AT52" s="970" t="s">
        <v>69</v>
      </c>
      <c r="AU52" s="968" t="s">
        <v>111</v>
      </c>
      <c r="AV52" s="1026"/>
      <c r="AW52" s="1020"/>
      <c r="AZ52" s="457"/>
      <c r="BA52" s="993" t="e">
        <f>CONCATENATE("P.P. OTRAS NÓMINAS ABONADAS EN ",AZ54)</f>
        <v>#VALUE!</v>
      </c>
      <c r="BB52" s="994"/>
      <c r="BC52" s="994"/>
      <c r="BD52" s="994"/>
      <c r="BE52" s="994"/>
      <c r="BF52" s="994"/>
      <c r="BG52" s="994"/>
      <c r="BH52" s="994"/>
      <c r="BI52" s="995"/>
      <c r="BK52" s="993" t="e">
        <f>CONCATENATE("P.P. OTRAS NÓMINAS ABONADAS EN ",AZ70)</f>
        <v>#VALUE!</v>
      </c>
      <c r="BL52" s="994"/>
      <c r="BM52" s="994"/>
      <c r="BN52" s="994"/>
      <c r="BO52" s="994"/>
      <c r="BP52" s="994"/>
      <c r="BQ52" s="994"/>
      <c r="BR52" s="994"/>
      <c r="BS52" s="995"/>
      <c r="BU52" s="1031" t="s">
        <v>58</v>
      </c>
      <c r="BX52" s="395"/>
      <c r="BY52" s="1002" t="s">
        <v>190</v>
      </c>
      <c r="BZ52" s="1005" t="s">
        <v>191</v>
      </c>
      <c r="CA52" s="1008" t="s">
        <v>192</v>
      </c>
      <c r="CC52" s="998"/>
      <c r="CD52" s="1000"/>
      <c r="CE52" s="970"/>
      <c r="CF52" s="1017"/>
      <c r="CG52" s="998" t="s">
        <v>193</v>
      </c>
      <c r="CH52" s="1000" t="s">
        <v>110</v>
      </c>
      <c r="CI52" s="968" t="s">
        <v>81</v>
      </c>
      <c r="CJ52" s="1027" t="s">
        <v>68</v>
      </c>
      <c r="CK52" s="970" t="s">
        <v>69</v>
      </c>
      <c r="CL52" s="968" t="s">
        <v>111</v>
      </c>
      <c r="CM52" s="1026"/>
      <c r="CN52" s="1020"/>
      <c r="CQ52" s="457"/>
      <c r="CR52" s="993" t="e">
        <f>CONCATENATE("P.P. OTRAS NÓMINAS ABONADAS EN ",CQ54)</f>
        <v>#VALUE!</v>
      </c>
      <c r="CS52" s="994"/>
      <c r="CT52" s="994"/>
      <c r="CU52" s="994"/>
      <c r="CV52" s="994"/>
      <c r="CW52" s="994"/>
      <c r="CX52" s="994"/>
      <c r="CY52" s="994"/>
      <c r="CZ52" s="995"/>
      <c r="DB52" s="993" t="e">
        <f>CONCATENATE("P.P. OTRAS NÓMINAS ABONADAS EN ",CQ70)</f>
        <v>#VALUE!</v>
      </c>
      <c r="DC52" s="994"/>
      <c r="DD52" s="994"/>
      <c r="DE52" s="994"/>
      <c r="DF52" s="994"/>
      <c r="DG52" s="994"/>
      <c r="DH52" s="994"/>
      <c r="DI52" s="994"/>
      <c r="DJ52" s="995"/>
      <c r="DL52" s="1031" t="s">
        <v>58</v>
      </c>
      <c r="DN52" s="395"/>
      <c r="DO52" s="957" t="s">
        <v>70</v>
      </c>
      <c r="DP52" s="960" t="s">
        <v>203</v>
      </c>
      <c r="DQ52" s="960"/>
      <c r="DR52" s="960"/>
      <c r="DS52" s="961" t="s">
        <v>134</v>
      </c>
      <c r="DT52" s="961" t="s">
        <v>353</v>
      </c>
      <c r="DU52" s="964" t="s">
        <v>354</v>
      </c>
      <c r="DV52" s="967" t="s">
        <v>206</v>
      </c>
      <c r="DX52" s="389">
        <v>33</v>
      </c>
      <c r="DY52" s="433">
        <f t="shared" si="101"/>
        <v>46266</v>
      </c>
      <c r="DZ52" s="433">
        <f t="shared" si="102"/>
        <v>46295</v>
      </c>
      <c r="EA52" s="389" t="str">
        <f>IF(AND(DZ52&gt;=EXPEDIENTE!$F$25,DY52&lt;=EXPEDIENTE!$F$29),"SI","NO")</f>
        <v>SI</v>
      </c>
      <c r="EB52" s="426">
        <f t="shared" si="187"/>
        <v>0</v>
      </c>
      <c r="EC52" s="426">
        <f t="shared" si="188"/>
        <v>0</v>
      </c>
      <c r="ED52" s="426">
        <f t="shared" si="189"/>
        <v>0</v>
      </c>
      <c r="EE52" s="426">
        <f t="shared" si="190"/>
        <v>0</v>
      </c>
      <c r="EF52" s="426">
        <f t="shared" si="191"/>
        <v>0</v>
      </c>
      <c r="EG52" s="426">
        <f t="shared" si="192"/>
        <v>0</v>
      </c>
      <c r="EH52" s="426">
        <f t="shared" si="193"/>
        <v>0</v>
      </c>
      <c r="EI52" s="426">
        <f t="shared" si="194"/>
        <v>0</v>
      </c>
      <c r="EJ52" s="426">
        <f t="shared" si="195"/>
        <v>0</v>
      </c>
      <c r="EK52" s="426">
        <f t="shared" si="196"/>
        <v>0</v>
      </c>
      <c r="EL52" s="426">
        <f t="shared" si="197"/>
        <v>0</v>
      </c>
      <c r="EM52" s="426">
        <f t="shared" si="198"/>
        <v>0</v>
      </c>
      <c r="EN52" s="426">
        <f t="shared" si="199"/>
        <v>0</v>
      </c>
      <c r="EO52" s="426">
        <f t="shared" si="200"/>
        <v>0</v>
      </c>
      <c r="EP52" s="426">
        <f t="shared" si="201"/>
        <v>0</v>
      </c>
      <c r="EQ52" s="426">
        <f t="shared" si="202"/>
        <v>0</v>
      </c>
      <c r="ER52" s="426">
        <f t="shared" si="203"/>
        <v>0</v>
      </c>
      <c r="ES52" s="426">
        <f t="shared" si="204"/>
        <v>0</v>
      </c>
      <c r="ET52" s="426">
        <f t="shared" si="205"/>
        <v>0</v>
      </c>
      <c r="EU52" s="426">
        <f t="shared" si="206"/>
        <v>0</v>
      </c>
      <c r="EV52" s="426">
        <f t="shared" si="207"/>
        <v>0</v>
      </c>
      <c r="EW52" s="426">
        <f t="shared" si="208"/>
        <v>0</v>
      </c>
      <c r="EX52" s="426">
        <f t="shared" si="209"/>
        <v>0</v>
      </c>
      <c r="EY52" s="426">
        <f t="shared" si="210"/>
        <v>0</v>
      </c>
      <c r="EZ52" s="426">
        <f t="shared" si="211"/>
        <v>0</v>
      </c>
      <c r="FA52" s="426">
        <f t="shared" si="212"/>
        <v>0</v>
      </c>
      <c r="FB52" s="426">
        <f t="shared" si="213"/>
        <v>0</v>
      </c>
      <c r="FC52" s="426">
        <f t="shared" si="214"/>
        <v>0</v>
      </c>
      <c r="FD52" s="426">
        <f t="shared" si="215"/>
        <v>0</v>
      </c>
      <c r="FE52" s="426">
        <f t="shared" si="216"/>
        <v>0</v>
      </c>
      <c r="FF52" s="426">
        <f t="shared" si="217"/>
        <v>0</v>
      </c>
      <c r="FG52" s="426">
        <f t="shared" si="218"/>
        <v>0</v>
      </c>
      <c r="FH52" s="426">
        <f t="shared" si="66"/>
        <v>0</v>
      </c>
      <c r="FJ52" s="124"/>
      <c r="FK52" s="520"/>
      <c r="FL52" s="520"/>
      <c r="FM52" s="521"/>
      <c r="FN52" s="521"/>
      <c r="FP52" s="521"/>
      <c r="FR52" s="395"/>
      <c r="FS52" s="957" t="s">
        <v>70</v>
      </c>
      <c r="FT52" s="960" t="s">
        <v>203</v>
      </c>
      <c r="FU52" s="960"/>
      <c r="FV52" s="960"/>
      <c r="FW52" s="961" t="s">
        <v>134</v>
      </c>
      <c r="FX52" s="961" t="s">
        <v>353</v>
      </c>
      <c r="FY52" s="964" t="s">
        <v>354</v>
      </c>
      <c r="FZ52" s="967" t="s">
        <v>206</v>
      </c>
      <c r="GB52" s="389">
        <v>33</v>
      </c>
      <c r="GC52" s="433">
        <f t="shared" si="103"/>
        <v>46266</v>
      </c>
      <c r="GD52" s="433">
        <f t="shared" si="104"/>
        <v>46295</v>
      </c>
      <c r="GE52" s="389" t="str">
        <f>IF(AND(GD52&gt;=EXPEDIENTE!$F$25,GC52&lt;=EXPEDIENTE!$F$29),"SI","NO")</f>
        <v>SI</v>
      </c>
      <c r="GF52" s="426">
        <f t="shared" si="67"/>
        <v>0</v>
      </c>
      <c r="GG52" s="426">
        <f t="shared" si="68"/>
        <v>0</v>
      </c>
      <c r="GH52" s="426">
        <f t="shared" si="69"/>
        <v>0</v>
      </c>
      <c r="GI52" s="426">
        <f t="shared" si="70"/>
        <v>0</v>
      </c>
      <c r="GJ52" s="426">
        <f t="shared" si="71"/>
        <v>0</v>
      </c>
      <c r="GK52" s="426">
        <f t="shared" si="72"/>
        <v>0</v>
      </c>
      <c r="GL52" s="426">
        <f t="shared" si="73"/>
        <v>0</v>
      </c>
      <c r="GM52" s="426">
        <f t="shared" si="74"/>
        <v>0</v>
      </c>
      <c r="GN52" s="426">
        <f t="shared" si="75"/>
        <v>0</v>
      </c>
      <c r="GO52" s="426">
        <f t="shared" si="76"/>
        <v>0</v>
      </c>
      <c r="GP52" s="426">
        <f t="shared" si="77"/>
        <v>0</v>
      </c>
      <c r="GQ52" s="426">
        <f t="shared" si="78"/>
        <v>0</v>
      </c>
      <c r="GR52" s="426">
        <f t="shared" si="79"/>
        <v>0</v>
      </c>
      <c r="GS52" s="426">
        <f t="shared" si="80"/>
        <v>0</v>
      </c>
      <c r="GT52" s="426">
        <f t="shared" si="81"/>
        <v>0</v>
      </c>
      <c r="GU52" s="426">
        <f t="shared" si="82"/>
        <v>0</v>
      </c>
      <c r="GV52" s="426">
        <f t="shared" si="83"/>
        <v>0</v>
      </c>
      <c r="GW52" s="426">
        <f t="shared" si="84"/>
        <v>0</v>
      </c>
      <c r="GX52" s="426">
        <f t="shared" si="85"/>
        <v>0</v>
      </c>
      <c r="GY52" s="426">
        <f t="shared" si="86"/>
        <v>0</v>
      </c>
      <c r="GZ52" s="426">
        <f t="shared" si="87"/>
        <v>0</v>
      </c>
      <c r="HA52" s="426">
        <f t="shared" si="88"/>
        <v>0</v>
      </c>
      <c r="HB52" s="426">
        <f t="shared" si="89"/>
        <v>0</v>
      </c>
      <c r="HC52" s="426">
        <f t="shared" si="90"/>
        <v>0</v>
      </c>
      <c r="HD52" s="426">
        <f t="shared" si="91"/>
        <v>0</v>
      </c>
      <c r="HE52" s="426">
        <f t="shared" si="92"/>
        <v>0</v>
      </c>
      <c r="HF52" s="426">
        <f t="shared" si="93"/>
        <v>0</v>
      </c>
      <c r="HG52" s="426">
        <f t="shared" si="94"/>
        <v>0</v>
      </c>
      <c r="HH52" s="426">
        <f t="shared" si="95"/>
        <v>0</v>
      </c>
      <c r="HI52" s="426">
        <f t="shared" si="96"/>
        <v>0</v>
      </c>
      <c r="HJ52" s="426">
        <f t="shared" si="97"/>
        <v>0</v>
      </c>
      <c r="HK52" s="426">
        <f t="shared" si="98"/>
        <v>0</v>
      </c>
      <c r="HL52" s="426">
        <f t="shared" si="99"/>
        <v>0</v>
      </c>
      <c r="HO52" s="124"/>
      <c r="HP52" s="520"/>
      <c r="HQ52" s="520"/>
      <c r="HR52" s="521"/>
      <c r="HS52" s="521"/>
      <c r="HU52" s="521"/>
      <c r="JC52" s="419">
        <v>48</v>
      </c>
      <c r="JD52" s="401">
        <f t="shared" si="100"/>
        <v>18</v>
      </c>
    </row>
    <row r="53" spans="3:264" ht="15" customHeight="1" thickBot="1" x14ac:dyDescent="0.3">
      <c r="C53" s="209">
        <v>47</v>
      </c>
      <c r="D53" s="404"/>
      <c r="E53" s="420"/>
      <c r="F53" s="421"/>
      <c r="G53" s="422"/>
      <c r="H53" s="422"/>
      <c r="I53" s="422"/>
      <c r="J53" s="404"/>
      <c r="K53" s="410">
        <f t="shared" si="52"/>
        <v>76</v>
      </c>
      <c r="L53" s="410">
        <f t="shared" si="53"/>
        <v>76</v>
      </c>
      <c r="M53" s="410" t="str">
        <f t="shared" si="54"/>
        <v>X</v>
      </c>
      <c r="Y53" s="425">
        <f t="shared" si="0"/>
        <v>48</v>
      </c>
      <c r="Z53" s="445"/>
      <c r="AA53" s="522" t="str">
        <f>IF(YEAR(EXPEDIENTE!$F$25)=YEAR(Z53),Z53,"")</f>
        <v/>
      </c>
      <c r="AB53" s="523"/>
      <c r="AC53" s="522" t="str">
        <f>IF(YEAR(EXPEDIENTE!$F$25)+2=YEAR(Z53),Z53,"")</f>
        <v/>
      </c>
      <c r="AD53" s="522" t="str">
        <f>IF(YEAR(EXPEDIENTE!$F$25)+3=YEAR(Z53),Z53,"")</f>
        <v/>
      </c>
      <c r="AG53" s="395"/>
      <c r="AH53" s="1003"/>
      <c r="AI53" s="1006"/>
      <c r="AJ53" s="1009"/>
      <c r="AL53" s="998"/>
      <c r="AM53" s="1000"/>
      <c r="AN53" s="970"/>
      <c r="AO53" s="1017"/>
      <c r="AP53" s="998"/>
      <c r="AQ53" s="1000"/>
      <c r="AR53" s="968"/>
      <c r="AS53" s="1027"/>
      <c r="AT53" s="970"/>
      <c r="AU53" s="968"/>
      <c r="AV53" s="1026"/>
      <c r="AW53" s="1020"/>
      <c r="BA53" s="987">
        <f>'GASTOS EJER, 3'!$C$37</f>
        <v>0</v>
      </c>
      <c r="BB53" s="988">
        <f>'GASTOS EJER, 3'!$C$38</f>
        <v>0</v>
      </c>
      <c r="BC53" s="988">
        <f>'GASTOS EJER, 3'!$C$39</f>
        <v>0</v>
      </c>
      <c r="BD53" s="988">
        <f>'GASTOS EJER, 3'!$C$40</f>
        <v>0</v>
      </c>
      <c r="BE53" s="988">
        <f>'GASTOS EJER, 3'!$C$41</f>
        <v>0</v>
      </c>
      <c r="BF53" s="988">
        <f>'GASTOS EJER, 3'!$C$42</f>
        <v>0</v>
      </c>
      <c r="BG53" s="988">
        <f>'GASTOS EJER, 3'!$C$43</f>
        <v>0</v>
      </c>
      <c r="BH53" s="989">
        <f>'GASTOS EJER, 3'!$C$44</f>
        <v>0</v>
      </c>
      <c r="BI53" s="991" t="s">
        <v>58</v>
      </c>
      <c r="BK53" s="987">
        <f>'GASTOS EJER, 4'!$C$37</f>
        <v>0</v>
      </c>
      <c r="BL53" s="988">
        <f>'GASTOS EJER, 4'!$C$38</f>
        <v>0</v>
      </c>
      <c r="BM53" s="988">
        <f>'GASTOS EJER, 4'!$C$39</f>
        <v>0</v>
      </c>
      <c r="BN53" s="988">
        <f>'GASTOS EJER, 4'!$C$40</f>
        <v>0</v>
      </c>
      <c r="BO53" s="988">
        <f>'GASTOS EJER, 4'!$C$41</f>
        <v>0</v>
      </c>
      <c r="BP53" s="988">
        <f>'GASTOS EJER, 4'!$C$42</f>
        <v>0</v>
      </c>
      <c r="BQ53" s="988">
        <f>'GASTOS EJER, 4'!$C$43</f>
        <v>0</v>
      </c>
      <c r="BR53" s="989">
        <f>'GASTOS EJER, 4'!$C$44</f>
        <v>0</v>
      </c>
      <c r="BS53" s="991" t="s">
        <v>58</v>
      </c>
      <c r="BU53" s="1032"/>
      <c r="BX53" s="395"/>
      <c r="BY53" s="1003"/>
      <c r="BZ53" s="1006"/>
      <c r="CA53" s="1009"/>
      <c r="CC53" s="998"/>
      <c r="CD53" s="1000"/>
      <c r="CE53" s="970"/>
      <c r="CF53" s="1017"/>
      <c r="CG53" s="998"/>
      <c r="CH53" s="1000"/>
      <c r="CI53" s="968"/>
      <c r="CJ53" s="1027"/>
      <c r="CK53" s="970"/>
      <c r="CL53" s="968"/>
      <c r="CM53" s="1026"/>
      <c r="CN53" s="1020"/>
      <c r="CR53" s="987">
        <f>'GASTOS EJER, 3'!$C$37</f>
        <v>0</v>
      </c>
      <c r="CS53" s="988">
        <f>'GASTOS EJER, 3'!$C$38</f>
        <v>0</v>
      </c>
      <c r="CT53" s="988">
        <f>'GASTOS EJER, 3'!$C$39</f>
        <v>0</v>
      </c>
      <c r="CU53" s="988">
        <f>'GASTOS EJER, 3'!$C$40</f>
        <v>0</v>
      </c>
      <c r="CV53" s="988">
        <f>'GASTOS EJER, 3'!$C$41</f>
        <v>0</v>
      </c>
      <c r="CW53" s="988">
        <f>'GASTOS EJER, 3'!$C$42</f>
        <v>0</v>
      </c>
      <c r="CX53" s="988">
        <f>'GASTOS EJER, 3'!$C$43</f>
        <v>0</v>
      </c>
      <c r="CY53" s="989">
        <f>'GASTOS EJER, 3'!$C$44</f>
        <v>0</v>
      </c>
      <c r="CZ53" s="991" t="s">
        <v>58</v>
      </c>
      <c r="DB53" s="987">
        <f>'GASTOS EJER, 4'!$C$37</f>
        <v>0</v>
      </c>
      <c r="DC53" s="988">
        <f>'GASTOS EJER, 4'!$C$38</f>
        <v>0</v>
      </c>
      <c r="DD53" s="988">
        <f>'GASTOS EJER, 4'!$C$39</f>
        <v>0</v>
      </c>
      <c r="DE53" s="988">
        <f>'GASTOS EJER, 4'!$C$40</f>
        <v>0</v>
      </c>
      <c r="DF53" s="988">
        <f>'GASTOS EJER, 4'!$C$41</f>
        <v>0</v>
      </c>
      <c r="DG53" s="988">
        <f>'GASTOS EJER, 4'!$C$42</f>
        <v>0</v>
      </c>
      <c r="DH53" s="988">
        <f>'GASTOS EJER, 4'!$C$43</f>
        <v>0</v>
      </c>
      <c r="DI53" s="989">
        <f>'GASTOS EJER, 4'!$C$44</f>
        <v>0</v>
      </c>
      <c r="DJ53" s="991" t="s">
        <v>58</v>
      </c>
      <c r="DL53" s="1032"/>
      <c r="DN53" s="395"/>
      <c r="DO53" s="958"/>
      <c r="DP53" s="970" t="s">
        <v>68</v>
      </c>
      <c r="DQ53" s="970" t="s">
        <v>69</v>
      </c>
      <c r="DR53" s="970" t="s">
        <v>111</v>
      </c>
      <c r="DS53" s="962"/>
      <c r="DT53" s="962"/>
      <c r="DU53" s="965"/>
      <c r="DV53" s="968"/>
      <c r="DX53" s="389">
        <v>34</v>
      </c>
      <c r="DY53" s="433">
        <f t="shared" si="101"/>
        <v>46296</v>
      </c>
      <c r="DZ53" s="433">
        <f t="shared" si="102"/>
        <v>46326</v>
      </c>
      <c r="EA53" s="389" t="str">
        <f>IF(AND(DZ53&gt;=EXPEDIENTE!$F$25,DY53&lt;=EXPEDIENTE!$F$29),"SI","NO")</f>
        <v>SI</v>
      </c>
      <c r="EB53" s="426">
        <f t="shared" si="187"/>
        <v>0</v>
      </c>
      <c r="EC53" s="426">
        <f t="shared" si="188"/>
        <v>0</v>
      </c>
      <c r="ED53" s="426">
        <f t="shared" si="189"/>
        <v>0</v>
      </c>
      <c r="EE53" s="426">
        <f t="shared" si="190"/>
        <v>0</v>
      </c>
      <c r="EF53" s="426">
        <f t="shared" si="191"/>
        <v>0</v>
      </c>
      <c r="EG53" s="426">
        <f t="shared" si="192"/>
        <v>0</v>
      </c>
      <c r="EH53" s="426">
        <f t="shared" si="193"/>
        <v>0</v>
      </c>
      <c r="EI53" s="426">
        <f t="shared" si="194"/>
        <v>0</v>
      </c>
      <c r="EJ53" s="426">
        <f t="shared" si="195"/>
        <v>0</v>
      </c>
      <c r="EK53" s="426">
        <f t="shared" si="196"/>
        <v>0</v>
      </c>
      <c r="EL53" s="426">
        <f t="shared" si="197"/>
        <v>0</v>
      </c>
      <c r="EM53" s="426">
        <f t="shared" si="198"/>
        <v>0</v>
      </c>
      <c r="EN53" s="426">
        <f t="shared" si="199"/>
        <v>0</v>
      </c>
      <c r="EO53" s="426">
        <f t="shared" si="200"/>
        <v>0</v>
      </c>
      <c r="EP53" s="426">
        <f t="shared" si="201"/>
        <v>0</v>
      </c>
      <c r="EQ53" s="426">
        <f t="shared" si="202"/>
        <v>0</v>
      </c>
      <c r="ER53" s="426">
        <f t="shared" si="203"/>
        <v>0</v>
      </c>
      <c r="ES53" s="426">
        <f t="shared" si="204"/>
        <v>0</v>
      </c>
      <c r="ET53" s="426">
        <f t="shared" si="205"/>
        <v>0</v>
      </c>
      <c r="EU53" s="426">
        <f t="shared" si="206"/>
        <v>0</v>
      </c>
      <c r="EV53" s="426">
        <f t="shared" si="207"/>
        <v>0</v>
      </c>
      <c r="EW53" s="426">
        <f t="shared" si="208"/>
        <v>0</v>
      </c>
      <c r="EX53" s="426">
        <f t="shared" si="209"/>
        <v>0</v>
      </c>
      <c r="EY53" s="426">
        <f t="shared" si="210"/>
        <v>0</v>
      </c>
      <c r="EZ53" s="426">
        <f t="shared" si="211"/>
        <v>0</v>
      </c>
      <c r="FA53" s="426">
        <f t="shared" si="212"/>
        <v>0</v>
      </c>
      <c r="FB53" s="426">
        <f t="shared" si="213"/>
        <v>0</v>
      </c>
      <c r="FC53" s="426">
        <f t="shared" si="214"/>
        <v>0</v>
      </c>
      <c r="FD53" s="426">
        <f t="shared" si="215"/>
        <v>0</v>
      </c>
      <c r="FE53" s="426">
        <f t="shared" si="216"/>
        <v>0</v>
      </c>
      <c r="FF53" s="426">
        <f t="shared" si="217"/>
        <v>0</v>
      </c>
      <c r="FG53" s="426">
        <f t="shared" si="218"/>
        <v>0</v>
      </c>
      <c r="FH53" s="426">
        <f t="shared" si="66"/>
        <v>0</v>
      </c>
      <c r="FR53" s="395"/>
      <c r="FS53" s="958"/>
      <c r="FT53" s="970" t="s">
        <v>68</v>
      </c>
      <c r="FU53" s="970" t="s">
        <v>69</v>
      </c>
      <c r="FV53" s="970" t="s">
        <v>111</v>
      </c>
      <c r="FW53" s="962"/>
      <c r="FX53" s="962"/>
      <c r="FY53" s="965"/>
      <c r="FZ53" s="968"/>
      <c r="GB53" s="389">
        <v>34</v>
      </c>
      <c r="GC53" s="433">
        <f t="shared" si="103"/>
        <v>46296</v>
      </c>
      <c r="GD53" s="433">
        <f t="shared" si="104"/>
        <v>46326</v>
      </c>
      <c r="GE53" s="389" t="str">
        <f>IF(AND(GD53&gt;=EXPEDIENTE!$F$25,GC53&lt;=EXPEDIENTE!$F$29),"SI","NO")</f>
        <v>SI</v>
      </c>
      <c r="GF53" s="426">
        <f t="shared" si="67"/>
        <v>0</v>
      </c>
      <c r="GG53" s="426">
        <f t="shared" si="68"/>
        <v>0</v>
      </c>
      <c r="GH53" s="426">
        <f t="shared" si="69"/>
        <v>0</v>
      </c>
      <c r="GI53" s="426">
        <f t="shared" si="70"/>
        <v>0</v>
      </c>
      <c r="GJ53" s="426">
        <f t="shared" si="71"/>
        <v>0</v>
      </c>
      <c r="GK53" s="426">
        <f t="shared" si="72"/>
        <v>0</v>
      </c>
      <c r="GL53" s="426">
        <f t="shared" si="73"/>
        <v>0</v>
      </c>
      <c r="GM53" s="426">
        <f t="shared" si="74"/>
        <v>0</v>
      </c>
      <c r="GN53" s="426">
        <f t="shared" si="75"/>
        <v>0</v>
      </c>
      <c r="GO53" s="426">
        <f t="shared" si="76"/>
        <v>0</v>
      </c>
      <c r="GP53" s="426">
        <f t="shared" si="77"/>
        <v>0</v>
      </c>
      <c r="GQ53" s="426">
        <f t="shared" si="78"/>
        <v>0</v>
      </c>
      <c r="GR53" s="426">
        <f t="shared" si="79"/>
        <v>0</v>
      </c>
      <c r="GS53" s="426">
        <f t="shared" si="80"/>
        <v>0</v>
      </c>
      <c r="GT53" s="426">
        <f t="shared" si="81"/>
        <v>0</v>
      </c>
      <c r="GU53" s="426">
        <f t="shared" si="82"/>
        <v>0</v>
      </c>
      <c r="GV53" s="426">
        <f t="shared" si="83"/>
        <v>0</v>
      </c>
      <c r="GW53" s="426">
        <f t="shared" si="84"/>
        <v>0</v>
      </c>
      <c r="GX53" s="426">
        <f t="shared" si="85"/>
        <v>0</v>
      </c>
      <c r="GY53" s="426">
        <f t="shared" si="86"/>
        <v>0</v>
      </c>
      <c r="GZ53" s="426">
        <f t="shared" si="87"/>
        <v>0</v>
      </c>
      <c r="HA53" s="426">
        <f t="shared" si="88"/>
        <v>0</v>
      </c>
      <c r="HB53" s="426">
        <f t="shared" si="89"/>
        <v>0</v>
      </c>
      <c r="HC53" s="426">
        <f t="shared" si="90"/>
        <v>0</v>
      </c>
      <c r="HD53" s="426">
        <f t="shared" si="91"/>
        <v>0</v>
      </c>
      <c r="HE53" s="426">
        <f t="shared" si="92"/>
        <v>0</v>
      </c>
      <c r="HF53" s="426">
        <f t="shared" si="93"/>
        <v>0</v>
      </c>
      <c r="HG53" s="426">
        <f t="shared" si="94"/>
        <v>0</v>
      </c>
      <c r="HH53" s="426">
        <f t="shared" si="95"/>
        <v>0</v>
      </c>
      <c r="HI53" s="426">
        <f t="shared" si="96"/>
        <v>0</v>
      </c>
      <c r="HJ53" s="426">
        <f t="shared" si="97"/>
        <v>0</v>
      </c>
      <c r="HK53" s="426">
        <f t="shared" si="98"/>
        <v>0</v>
      </c>
      <c r="HL53" s="426">
        <f t="shared" si="99"/>
        <v>0</v>
      </c>
      <c r="JC53" s="419">
        <v>49</v>
      </c>
      <c r="JD53" s="401">
        <f t="shared" si="100"/>
        <v>18</v>
      </c>
    </row>
    <row r="54" spans="3:264" ht="15.75" thickBot="1" x14ac:dyDescent="0.3">
      <c r="C54" s="209">
        <v>48</v>
      </c>
      <c r="D54" s="404"/>
      <c r="E54" s="420"/>
      <c r="F54" s="421"/>
      <c r="G54" s="422"/>
      <c r="H54" s="422"/>
      <c r="I54" s="422"/>
      <c r="J54" s="404"/>
      <c r="K54" s="410">
        <f t="shared" si="52"/>
        <v>76</v>
      </c>
      <c r="L54" s="410">
        <f t="shared" si="53"/>
        <v>76</v>
      </c>
      <c r="M54" s="410" t="str">
        <f t="shared" si="54"/>
        <v>X</v>
      </c>
      <c r="AG54" s="395"/>
      <c r="AH54" s="1004"/>
      <c r="AI54" s="1007"/>
      <c r="AJ54" s="1010"/>
      <c r="AL54" s="999"/>
      <c r="AM54" s="1001"/>
      <c r="AN54" s="971"/>
      <c r="AO54" s="1018"/>
      <c r="AP54" s="999"/>
      <c r="AQ54" s="1001"/>
      <c r="AR54" s="969"/>
      <c r="AS54" s="1028"/>
      <c r="AT54" s="1029"/>
      <c r="AU54" s="1030"/>
      <c r="AV54" s="461" t="e">
        <f>AF55</f>
        <v>#VALUE!</v>
      </c>
      <c r="AW54" s="1021"/>
      <c r="AZ54" s="416" t="e">
        <f>AF55</f>
        <v>#VALUE!</v>
      </c>
      <c r="BA54" s="959"/>
      <c r="BB54" s="963"/>
      <c r="BC54" s="963"/>
      <c r="BD54" s="963"/>
      <c r="BE54" s="963"/>
      <c r="BF54" s="963"/>
      <c r="BG54" s="963"/>
      <c r="BH54" s="990"/>
      <c r="BI54" s="992"/>
      <c r="BK54" s="959"/>
      <c r="BL54" s="963"/>
      <c r="BM54" s="963"/>
      <c r="BN54" s="963"/>
      <c r="BO54" s="963"/>
      <c r="BP54" s="963"/>
      <c r="BQ54" s="963"/>
      <c r="BR54" s="990"/>
      <c r="BS54" s="992"/>
      <c r="BU54" s="462" t="e">
        <f>AF55</f>
        <v>#VALUE!</v>
      </c>
      <c r="BX54" s="395"/>
      <c r="BY54" s="1004"/>
      <c r="BZ54" s="1007"/>
      <c r="CA54" s="1010"/>
      <c r="CC54" s="999"/>
      <c r="CD54" s="1001"/>
      <c r="CE54" s="971"/>
      <c r="CF54" s="1018"/>
      <c r="CG54" s="999"/>
      <c r="CH54" s="1001"/>
      <c r="CI54" s="969"/>
      <c r="CJ54" s="1028"/>
      <c r="CK54" s="1029"/>
      <c r="CL54" s="1030"/>
      <c r="CM54" s="461" t="e">
        <f>BW55</f>
        <v>#VALUE!</v>
      </c>
      <c r="CN54" s="1021"/>
      <c r="CQ54" s="417" t="e">
        <f>BW55</f>
        <v>#VALUE!</v>
      </c>
      <c r="CR54" s="1022"/>
      <c r="CS54" s="1023"/>
      <c r="CT54" s="1023"/>
      <c r="CU54" s="1023"/>
      <c r="CV54" s="1023"/>
      <c r="CW54" s="1023"/>
      <c r="CX54" s="1023"/>
      <c r="CY54" s="1024"/>
      <c r="CZ54" s="992"/>
      <c r="DB54" s="1022"/>
      <c r="DC54" s="1023"/>
      <c r="DD54" s="1023"/>
      <c r="DE54" s="1023"/>
      <c r="DF54" s="1023"/>
      <c r="DG54" s="1023"/>
      <c r="DH54" s="1023"/>
      <c r="DI54" s="1024"/>
      <c r="DJ54" s="992"/>
      <c r="DL54" s="463" t="e">
        <f>BW55</f>
        <v>#VALUE!</v>
      </c>
      <c r="DN54" s="395"/>
      <c r="DO54" s="959"/>
      <c r="DP54" s="971"/>
      <c r="DQ54" s="971"/>
      <c r="DR54" s="971"/>
      <c r="DS54" s="963"/>
      <c r="DT54" s="963"/>
      <c r="DU54" s="966"/>
      <c r="DV54" s="969"/>
      <c r="DX54" s="389">
        <v>35</v>
      </c>
      <c r="DY54" s="433">
        <f t="shared" si="101"/>
        <v>46327</v>
      </c>
      <c r="DZ54" s="433">
        <f t="shared" si="102"/>
        <v>46356</v>
      </c>
      <c r="EA54" s="389" t="str">
        <f>IF(AND(DZ54&gt;=EXPEDIENTE!$F$25,DY54&lt;=EXPEDIENTE!$F$29),"SI","NO")</f>
        <v>SI</v>
      </c>
      <c r="EB54" s="426">
        <f t="shared" si="187"/>
        <v>0</v>
      </c>
      <c r="EC54" s="426">
        <f t="shared" si="188"/>
        <v>0</v>
      </c>
      <c r="ED54" s="426">
        <f t="shared" si="189"/>
        <v>0</v>
      </c>
      <c r="EE54" s="426">
        <f t="shared" si="190"/>
        <v>0</v>
      </c>
      <c r="EF54" s="426">
        <f t="shared" si="191"/>
        <v>0</v>
      </c>
      <c r="EG54" s="426">
        <f t="shared" si="192"/>
        <v>0</v>
      </c>
      <c r="EH54" s="426">
        <f t="shared" si="193"/>
        <v>0</v>
      </c>
      <c r="EI54" s="426">
        <f t="shared" si="194"/>
        <v>0</v>
      </c>
      <c r="EJ54" s="426">
        <f t="shared" si="195"/>
        <v>0</v>
      </c>
      <c r="EK54" s="426">
        <f t="shared" si="196"/>
        <v>0</v>
      </c>
      <c r="EL54" s="426">
        <f t="shared" si="197"/>
        <v>0</v>
      </c>
      <c r="EM54" s="426">
        <f t="shared" si="198"/>
        <v>0</v>
      </c>
      <c r="EN54" s="426">
        <f t="shared" si="199"/>
        <v>0</v>
      </c>
      <c r="EO54" s="426">
        <f t="shared" si="200"/>
        <v>0</v>
      </c>
      <c r="EP54" s="426">
        <f t="shared" si="201"/>
        <v>0</v>
      </c>
      <c r="EQ54" s="426">
        <f t="shared" si="202"/>
        <v>0</v>
      </c>
      <c r="ER54" s="426">
        <f t="shared" si="203"/>
        <v>0</v>
      </c>
      <c r="ES54" s="426">
        <f t="shared" si="204"/>
        <v>0</v>
      </c>
      <c r="ET54" s="426">
        <f t="shared" si="205"/>
        <v>0</v>
      </c>
      <c r="EU54" s="426">
        <f t="shared" si="206"/>
        <v>0</v>
      </c>
      <c r="EV54" s="426">
        <f t="shared" si="207"/>
        <v>0</v>
      </c>
      <c r="EW54" s="426">
        <f t="shared" si="208"/>
        <v>0</v>
      </c>
      <c r="EX54" s="426">
        <f t="shared" si="209"/>
        <v>0</v>
      </c>
      <c r="EY54" s="426">
        <f t="shared" si="210"/>
        <v>0</v>
      </c>
      <c r="EZ54" s="426">
        <f t="shared" si="211"/>
        <v>0</v>
      </c>
      <c r="FA54" s="426">
        <f t="shared" si="212"/>
        <v>0</v>
      </c>
      <c r="FB54" s="426">
        <f t="shared" si="213"/>
        <v>0</v>
      </c>
      <c r="FC54" s="426">
        <f t="shared" si="214"/>
        <v>0</v>
      </c>
      <c r="FD54" s="426">
        <f t="shared" si="215"/>
        <v>0</v>
      </c>
      <c r="FE54" s="426">
        <f t="shared" si="216"/>
        <v>0</v>
      </c>
      <c r="FF54" s="426">
        <f t="shared" si="217"/>
        <v>0</v>
      </c>
      <c r="FG54" s="426">
        <f t="shared" si="218"/>
        <v>0</v>
      </c>
      <c r="FH54" s="426">
        <f t="shared" si="66"/>
        <v>0</v>
      </c>
      <c r="FJ54" s="464" t="e">
        <f>AZ54</f>
        <v>#VALUE!</v>
      </c>
      <c r="FK54" s="465" t="s">
        <v>76</v>
      </c>
      <c r="FL54" s="466" t="s">
        <v>208</v>
      </c>
      <c r="FM54" s="466" t="s">
        <v>136</v>
      </c>
      <c r="FN54" s="466" t="s">
        <v>194</v>
      </c>
      <c r="FO54" s="466" t="s">
        <v>351</v>
      </c>
      <c r="FP54" s="467" t="s">
        <v>58</v>
      </c>
      <c r="FR54" s="395"/>
      <c r="FS54" s="959"/>
      <c r="FT54" s="971"/>
      <c r="FU54" s="971"/>
      <c r="FV54" s="971"/>
      <c r="FW54" s="963"/>
      <c r="FX54" s="963"/>
      <c r="FY54" s="966"/>
      <c r="FZ54" s="969"/>
      <c r="GB54" s="389">
        <v>35</v>
      </c>
      <c r="GC54" s="433">
        <f t="shared" si="103"/>
        <v>46327</v>
      </c>
      <c r="GD54" s="433">
        <f t="shared" si="104"/>
        <v>46356</v>
      </c>
      <c r="GE54" s="389" t="str">
        <f>IF(AND(GD54&gt;=EXPEDIENTE!$F$25,GC54&lt;=EXPEDIENTE!$F$29),"SI","NO")</f>
        <v>SI</v>
      </c>
      <c r="GF54" s="426">
        <f t="shared" si="67"/>
        <v>0</v>
      </c>
      <c r="GG54" s="426">
        <f t="shared" si="68"/>
        <v>0</v>
      </c>
      <c r="GH54" s="426">
        <f t="shared" si="69"/>
        <v>0</v>
      </c>
      <c r="GI54" s="426">
        <f t="shared" si="70"/>
        <v>0</v>
      </c>
      <c r="GJ54" s="426">
        <f t="shared" si="71"/>
        <v>0</v>
      </c>
      <c r="GK54" s="426">
        <f t="shared" si="72"/>
        <v>0</v>
      </c>
      <c r="GL54" s="426">
        <f t="shared" si="73"/>
        <v>0</v>
      </c>
      <c r="GM54" s="426">
        <f t="shared" si="74"/>
        <v>0</v>
      </c>
      <c r="GN54" s="426">
        <f t="shared" si="75"/>
        <v>0</v>
      </c>
      <c r="GO54" s="426">
        <f t="shared" si="76"/>
        <v>0</v>
      </c>
      <c r="GP54" s="426">
        <f t="shared" si="77"/>
        <v>0</v>
      </c>
      <c r="GQ54" s="426">
        <f t="shared" si="78"/>
        <v>0</v>
      </c>
      <c r="GR54" s="426">
        <f t="shared" si="79"/>
        <v>0</v>
      </c>
      <c r="GS54" s="426">
        <f t="shared" si="80"/>
        <v>0</v>
      </c>
      <c r="GT54" s="426">
        <f t="shared" si="81"/>
        <v>0</v>
      </c>
      <c r="GU54" s="426">
        <f t="shared" si="82"/>
        <v>0</v>
      </c>
      <c r="GV54" s="426">
        <f t="shared" si="83"/>
        <v>0</v>
      </c>
      <c r="GW54" s="426">
        <f t="shared" si="84"/>
        <v>0</v>
      </c>
      <c r="GX54" s="426">
        <f t="shared" si="85"/>
        <v>0</v>
      </c>
      <c r="GY54" s="426">
        <f t="shared" si="86"/>
        <v>0</v>
      </c>
      <c r="GZ54" s="426">
        <f t="shared" si="87"/>
        <v>0</v>
      </c>
      <c r="HA54" s="426">
        <f t="shared" si="88"/>
        <v>0</v>
      </c>
      <c r="HB54" s="426">
        <f t="shared" si="89"/>
        <v>0</v>
      </c>
      <c r="HC54" s="426">
        <f t="shared" si="90"/>
        <v>0</v>
      </c>
      <c r="HD54" s="426">
        <f t="shared" si="91"/>
        <v>0</v>
      </c>
      <c r="HE54" s="426">
        <f t="shared" si="92"/>
        <v>0</v>
      </c>
      <c r="HF54" s="426">
        <f t="shared" si="93"/>
        <v>0</v>
      </c>
      <c r="HG54" s="426">
        <f t="shared" si="94"/>
        <v>0</v>
      </c>
      <c r="HH54" s="426">
        <f t="shared" si="95"/>
        <v>0</v>
      </c>
      <c r="HI54" s="426">
        <f t="shared" si="96"/>
        <v>0</v>
      </c>
      <c r="HJ54" s="426">
        <f t="shared" si="97"/>
        <v>0</v>
      </c>
      <c r="HK54" s="426">
        <f t="shared" si="98"/>
        <v>0</v>
      </c>
      <c r="HL54" s="426">
        <f t="shared" si="99"/>
        <v>0</v>
      </c>
      <c r="HO54" s="468" t="e">
        <f>BW55</f>
        <v>#VALUE!</v>
      </c>
      <c r="HP54" s="465" t="s">
        <v>76</v>
      </c>
      <c r="HQ54" s="466" t="s">
        <v>208</v>
      </c>
      <c r="HR54" s="466" t="s">
        <v>136</v>
      </c>
      <c r="HS54" s="466" t="s">
        <v>194</v>
      </c>
      <c r="HT54" s="466" t="s">
        <v>351</v>
      </c>
      <c r="HU54" s="467" t="s">
        <v>58</v>
      </c>
      <c r="JC54" s="445">
        <v>50</v>
      </c>
      <c r="JD54" s="401">
        <f t="shared" si="100"/>
        <v>18</v>
      </c>
    </row>
    <row r="55" spans="3:264" ht="15.75" thickBot="1" x14ac:dyDescent="0.3">
      <c r="C55" s="209">
        <v>49</v>
      </c>
      <c r="D55" s="404"/>
      <c r="E55" s="420"/>
      <c r="F55" s="421"/>
      <c r="G55" s="422"/>
      <c r="H55" s="422"/>
      <c r="I55" s="422"/>
      <c r="J55" s="404"/>
      <c r="K55" s="410">
        <f t="shared" si="52"/>
        <v>76</v>
      </c>
      <c r="L55" s="410">
        <f t="shared" si="53"/>
        <v>76</v>
      </c>
      <c r="M55" s="410" t="str">
        <f t="shared" si="54"/>
        <v>X</v>
      </c>
      <c r="AF55" s="469" t="e">
        <f>IF(YEAR(EXPEDIENTE!$F$29)&gt;=$AF$23+2,$AF$23+2,"")</f>
        <v>#VALUE!</v>
      </c>
      <c r="AG55" s="470">
        <v>17</v>
      </c>
      <c r="AH55" s="472">
        <f>'GASTOS EJER, 3'!M37</f>
        <v>0</v>
      </c>
      <c r="AI55" s="487">
        <f>'GASTOS EJER, 3'!X37</f>
        <v>0</v>
      </c>
      <c r="AJ55" s="473">
        <f>AH55-AI55</f>
        <v>0</v>
      </c>
      <c r="AL55" s="474">
        <f>'GASTOS EJER, 3'!F37+'GASTOS EJER, 3'!L37-'GASTOS EJER, 3'!X37-'GASTOS EJER, 3'!Y37</f>
        <v>0</v>
      </c>
      <c r="AM55" s="475" t="str">
        <f>IF('GASTOS EJER, 3'!AA37="","",'GASTOS EJER, 3'!AA37)</f>
        <v/>
      </c>
      <c r="AN55" s="472">
        <f>'GASTOS EJER, 3'!Y37</f>
        <v>0</v>
      </c>
      <c r="AO55" s="476" t="str">
        <f>IF('GASTOS EJER, 3'!AB37="","",'GASTOS EJER, 3'!AB37)</f>
        <v/>
      </c>
      <c r="AP55" s="477">
        <f>IF(AND(AM55&gt;=EXPEDIENTE!$I$25,AM55&lt;=EXPEDIENTE!$I$29),AL55,0)</f>
        <v>0</v>
      </c>
      <c r="AQ55" s="429">
        <f>IF(AND(AO55&gt;=EXPEDIENTE!$I$25,AO55&lt;=EXPEDIENTE!$I$29),AN55,0)</f>
        <v>0</v>
      </c>
      <c r="AR55" s="473">
        <f>AP55+AQ55</f>
        <v>0</v>
      </c>
      <c r="AS55" s="478" t="str">
        <f>IF('GASTOS EJER, 3'!D37="","",'GASTOS EJER, 3'!D37)</f>
        <v/>
      </c>
      <c r="AT55" s="479" t="str">
        <f>IF('GASTOS EJER, 3'!E37="","",'GASTOS EJER, 3'!E37)</f>
        <v/>
      </c>
      <c r="AU55" s="480">
        <f>IF(OR(AS55="",AT55=""),0,DATEDIF(AS55,AT55,"M")+1)</f>
        <v>0</v>
      </c>
      <c r="AV55" s="481">
        <f t="shared" ref="AV55:AV62" si="266">IF(OR(AS55="",AT55=""),0,IF(YEAR(AS55)&lt;$AV$22,DATEDIF(DATE($AV$22,1,1),AT55,"M")+1,AU55))</f>
        <v>0</v>
      </c>
      <c r="AW55" s="482">
        <f>IF(OR(AS55="",AT55=""),0,ROUND(AR55/AU55,2))</f>
        <v>0</v>
      </c>
      <c r="AY55" s="426">
        <v>1</v>
      </c>
      <c r="AZ55" s="427" t="e">
        <f t="shared" ref="AZ55:AZ66" si="267">IF($AZ$54="","",DATE($AZ$54,AY55,1))</f>
        <v>#VALUE!</v>
      </c>
      <c r="BA55" s="428">
        <f t="shared" ref="BA55:BA66" si="268">IF($AH$55=0,0,IF($BA$53=0,0,IF(AND(AZ55&gt;=$AS$55,AZ55&lt;=$AT$55),$AW$55,0)))</f>
        <v>0</v>
      </c>
      <c r="BB55" s="429">
        <f t="shared" ref="BB55:BB66" si="269">IF($AH$56=0,0,IF($BB$53=0,0,IF(AND(AZ55&gt;=$AS$56,AZ55&lt;=$AT$56),$AW$56,0)))</f>
        <v>0</v>
      </c>
      <c r="BC55" s="429">
        <f t="shared" ref="BC55:BC66" si="270">IF($AH$57=0,0,IF($BC$53=0,0,IF(AND(AZ55&gt;=$AS$57,AZ55&lt;=$AT$57),$AW$57,0)))</f>
        <v>0</v>
      </c>
      <c r="BD55" s="429">
        <f t="shared" ref="BD55:BD66" si="271">IF($AH$58=0,0,IF($BD$53=0,0,IF(AND(AZ55&gt;=$AS$58,AZ55&lt;=$AT$58),$AW$58,0)))</f>
        <v>0</v>
      </c>
      <c r="BE55" s="429">
        <f t="shared" ref="BE55:BE66" si="272">IF($AH$59=0,0,IF($BE$53=0,0,IF(AND(AZ55&gt;=$AS$59,AZ55&lt;=$AT$59),$AW$59,0)))</f>
        <v>0</v>
      </c>
      <c r="BF55" s="429">
        <f t="shared" ref="BF55:BF66" si="273">IF($AH$60=0,0,IF($BF$53=0,0,IF(AND(AZ55&gt;=$AS$60,AZ55&lt;=$AT$60),$AW$60,0)))</f>
        <v>0</v>
      </c>
      <c r="BG55" s="429">
        <f t="shared" ref="BG55:BG66" si="274">IF($AH$61=0,0,IF($BG$53=0,0,IF(AND(AZ55&gt;=$AS$61,AZ55&lt;=$AT$61),$AW$61,0)))</f>
        <v>0</v>
      </c>
      <c r="BH55" s="430">
        <f t="shared" ref="BH55:BH66" si="275">IF($AH$62=0,0,IF($BH$53=0,0,IF(AND(AZ55&gt;=$AS$62,AZ55&lt;=$AT$62),$AW$62,0)))</f>
        <v>0</v>
      </c>
      <c r="BI55" s="431">
        <f t="shared" ref="BI55:BI66" si="276">SUM(BA55:BH55)</f>
        <v>0</v>
      </c>
      <c r="BK55" s="428">
        <f>IF($AH$71=0,0,IF($BK$53=0,0,IF(AND(AZ55&gt;=$AS$71,AZ55&lt;=$AT$71),$AW$71,0)))</f>
        <v>0</v>
      </c>
      <c r="BL55" s="429">
        <f>IF($AH$72=0,0,IF($BL$53=0,0,IF(AND(AZ55&gt;=$AS$72,AZ55&lt;=$AT$72),$AW$72,0)))</f>
        <v>0</v>
      </c>
      <c r="BM55" s="429">
        <f>IF($AH$73=0,0,IF($BM$53=0,0,IF(AND(AZ55&gt;=$AS$73,AZ55&lt;=$AT$73),$AW$73,0)))</f>
        <v>0</v>
      </c>
      <c r="BN55" s="429">
        <f>IF($AH$74=0,0,IF($BN$53=0,0,IF(AND(AZ55&gt;=$AS$74,AZ55&lt;=$AT$74),$AW$74,0)))</f>
        <v>0</v>
      </c>
      <c r="BO55" s="429">
        <f>IF($AH$75=0,0,IF($BO$53=0,0,IF(AND(AZ55&gt;=$AS$75,AZ55&lt;=$AT$75),$AW$75,0)))</f>
        <v>0</v>
      </c>
      <c r="BP55" s="429">
        <f>IF($AH$76=0,0,IF($BP$53=0,0,IF(AND(AZ55&gt;=$AS$76,AZ55&lt;=$AT$76),$AW$76,0)))</f>
        <v>0</v>
      </c>
      <c r="BQ55" s="429">
        <f>IF($AH$77=0,0,IF($BQ$53=0,0,IF(AND(AZ55&gt;=$AS$77,AZ55&lt;=$AT$77),$AW$77,0)))</f>
        <v>0</v>
      </c>
      <c r="BR55" s="430">
        <f>IF($AH$78=0,0,IF($BR$53=0,0,IF(AND(AZ55&gt;=$AS$78,AZ55&lt;=$AT$78),$AW$78,0)))</f>
        <v>0</v>
      </c>
      <c r="BS55" s="431">
        <f>SUM(BK55:BR55)</f>
        <v>0</v>
      </c>
      <c r="BU55" s="483">
        <f>BI55+BS55</f>
        <v>0</v>
      </c>
      <c r="BW55" s="484" t="e">
        <f>IF(YEAR(EXPEDIENTE!$I$29)&gt;=$BW$23+2,$BW$23+2,"")</f>
        <v>#VALUE!</v>
      </c>
      <c r="BX55" s="470">
        <v>17</v>
      </c>
      <c r="BY55" s="472">
        <f>'GASTOS EJER, 3'!BN37</f>
        <v>0</v>
      </c>
      <c r="BZ55" s="487">
        <f>'GASTOS EJER, 3'!CM37</f>
        <v>0</v>
      </c>
      <c r="CA55" s="473">
        <f>BY55-BZ55</f>
        <v>0</v>
      </c>
      <c r="CC55" s="474">
        <f>'GASTOS EJER, 3'!AW37+'GASTOS EJER, 3'!BM37-'GASTOS EJER, 3'!CM37-'GASTOS EJER, 3'!CP37</f>
        <v>0</v>
      </c>
      <c r="CD55" s="475" t="str">
        <f>IF('GASTOS EJER, 3'!CT37="","",'GASTOS EJER, 3'!CT37)</f>
        <v/>
      </c>
      <c r="CE55" s="472">
        <f>'GASTOS EJER, 3'!CP37</f>
        <v>0</v>
      </c>
      <c r="CF55" s="476" t="str">
        <f>IF('GASTOS EJER, 3'!CW37="","",'GASTOS EJER, 3'!CW37)</f>
        <v/>
      </c>
      <c r="CG55" s="477">
        <f>IF(AND(CD55&gt;=EXPEDIENTE!$I$25,CD55&lt;=EXPEDIENTE!$I$29),CC55,0)</f>
        <v>0</v>
      </c>
      <c r="CH55" s="429">
        <f>IF(AND(CF55&gt;=EXPEDIENTE!$I$25,CF55&lt;=EXPEDIENTE!$I$29),CE55,0)</f>
        <v>0</v>
      </c>
      <c r="CI55" s="473">
        <f>CG55+CH55</f>
        <v>0</v>
      </c>
      <c r="CJ55" s="478" t="str">
        <f>IF('GASTOS EJER, 3'!AQ37="","",'GASTOS EJER, 3'!AQ37)</f>
        <v/>
      </c>
      <c r="CK55" s="479" t="str">
        <f>IF('GASTOS EJER, 3'!AT37="","",'GASTOS EJER, 3'!AT37)</f>
        <v/>
      </c>
      <c r="CL55" s="480">
        <f>IF(OR(CJ55="",CK55=""),0,DATEDIF(CJ55,CK55,"M")+1)</f>
        <v>0</v>
      </c>
      <c r="CM55" s="481">
        <f t="shared" ref="CM55:CM62" si="277">IF(OR(CJ55="",CK55=""),0,IF(YEAR(CJ55)&lt;$AV$22,DATEDIF(DATE($AV$22,1,1),CK55,"M")+1,CL55))</f>
        <v>0</v>
      </c>
      <c r="CN55" s="482">
        <f>IF(OR(CJ55="",CK55=""),0,ROUND(CI55/CL55,2))</f>
        <v>0</v>
      </c>
      <c r="CP55" s="426">
        <v>1</v>
      </c>
      <c r="CQ55" s="427" t="e">
        <f t="shared" ref="CQ55:CQ66" si="278">IF($AZ$54="","",DATE($AZ$54,CP55,1))</f>
        <v>#VALUE!</v>
      </c>
      <c r="CR55" s="428">
        <f>IF($BY$55=0,0,IF($CR$53=0,0,IF(AND($CQ55&gt;=$CJ$55,$CQ55&lt;=$CK$55),$CN$55,0)))</f>
        <v>0</v>
      </c>
      <c r="CS55" s="429">
        <f>IF($BY$56=0,0,IF($CS$53=0,0,IF(AND($CQ55&gt;=$CJ$56,$CQ55&lt;=$CK$56),$CN$56,0)))</f>
        <v>0</v>
      </c>
      <c r="CT55" s="429">
        <f>IF($BY$57=0,0,IF($CT$53=0,0,IF(AND($CQ55&gt;=$CJ$57,$CQ55&lt;=$CK$57),$CN$57,0)))</f>
        <v>0</v>
      </c>
      <c r="CU55" s="429">
        <f>IF($BY$58=0,0,IF($CU$53=0,0,IF(AND($CQ55&gt;=$CJ$58,$CQ55&lt;=$CK$58),$CN$58,0)))</f>
        <v>0</v>
      </c>
      <c r="CV55" s="429">
        <f>IF($BY$59=0,0,IF($CV$53=0,0,IF(AND($CQ55&gt;=$CJ$59,$CQ55&lt;=$CK$59),$CN$59,0)))</f>
        <v>0</v>
      </c>
      <c r="CW55" s="429">
        <f>IF($BY$60=0,0,IF($CW$53=0,0,IF(AND($CQ55&gt;=$CJ$60,$CQ55&lt;=$CK$60),$CN$60,0)))</f>
        <v>0</v>
      </c>
      <c r="CX55" s="429">
        <f>IF($BY$61=0,0,IF($CX$53=0,0,IF(AND($CQ55&gt;=$CJ$61,$CQ55&lt;=$CK$61),$CN$61,0)))</f>
        <v>0</v>
      </c>
      <c r="CY55" s="430">
        <f>IF($BY$62=0,0,IF($CY$53=0,0,IF(AND($CQ55&gt;=$CJ$62,$CQ55&lt;=$CK$62),$CN$62,0)))</f>
        <v>0</v>
      </c>
      <c r="CZ55" s="431">
        <f t="shared" ref="CZ55:CZ63" si="279">SUM(CR55:CY55)</f>
        <v>0</v>
      </c>
      <c r="DB55" s="428">
        <f>IF($BY$71=0,0,IF($DB$53=0,0,IF(AND($CQ55&gt;=$CJ$71,$CQ55&lt;=$CK$71),$CN$71,0)))</f>
        <v>0</v>
      </c>
      <c r="DC55" s="429">
        <f>IF($BY$72=0,0,IF($DC$53=0,0,IF(AND($CQ55&gt;=$CJ$72,$CQ55&lt;=$CK$72),$CN$72,0)))</f>
        <v>0</v>
      </c>
      <c r="DD55" s="429">
        <f>IF($BY$73=0,0,IF($DD$53=0,0,IF(AND($CQ55&gt;=$CJ$73,$CQ55&lt;=$CK$73),$CN$73,0)))</f>
        <v>0</v>
      </c>
      <c r="DE55" s="429">
        <f>IF($BY$74=0,0,IF($DE$53=0,0,IF(AND($CQ55&gt;=$CJ$74,$CQ55&lt;=$CK$74),$CN$74,0)))</f>
        <v>0</v>
      </c>
      <c r="DF55" s="429">
        <f>IF($BY$75=0,0,IF($DF$53=0,0,IF(AND($CQ55&gt;=$CJ$75,$CQ55&lt;=$CK$75),$CN$75,0)))</f>
        <v>0</v>
      </c>
      <c r="DG55" s="429">
        <f>IF($BY$76=0,0,IF($DG$53=0,0,IF(AND($CQ55&gt;=$CJ$76,$CQ55&lt;=$CK$76),$CN$76,0)))</f>
        <v>0</v>
      </c>
      <c r="DH55" s="429">
        <f>IF($BY$77=0,0,IF($DH$53=0,0,IF(AND($CQ55&gt;=$CJ$77,$CQ55&lt;=$CK$77),$CN$77,0)))</f>
        <v>0</v>
      </c>
      <c r="DI55" s="430">
        <f>IF($BY$78=0,0,IF($DI$53=0,0,IF(AND($CQ55&gt;=$CJ$78,$CQ55&lt;=$CK$78),$CN$78,0)))</f>
        <v>0</v>
      </c>
      <c r="DJ55" s="431">
        <f>SUM(DB55:DI55)</f>
        <v>0</v>
      </c>
      <c r="DL55" s="483">
        <f>CZ55+DJ55</f>
        <v>0</v>
      </c>
      <c r="DN55" s="470">
        <v>17</v>
      </c>
      <c r="DO55" s="485">
        <f>'GASTOS EJER, 3'!$C37</f>
        <v>0</v>
      </c>
      <c r="DP55" s="479" t="str">
        <f>AS55</f>
        <v/>
      </c>
      <c r="DQ55" s="479" t="str">
        <f t="shared" ref="DQ55" si="280">AT55</f>
        <v/>
      </c>
      <c r="DR55" s="486">
        <f t="shared" ref="DR55" si="281">AU55</f>
        <v>0</v>
      </c>
      <c r="DS55" s="487">
        <f>'GASTOS EJER, 3'!X37</f>
        <v>0</v>
      </c>
      <c r="DT55" s="475" t="str">
        <f>IF(DS39=0,"",'GASTOS EJER, 3'!AA37)</f>
        <v/>
      </c>
      <c r="DU55" s="475" t="str">
        <f t="shared" ref="DU55:DU62" si="282">IF(DT55="","",EOMONTH(DATE(YEAR(DT55),MONTH(DT55)+1,1),0))</f>
        <v/>
      </c>
      <c r="DV55" s="473" t="e">
        <f>IF(AND(DU55&gt;=EXPEDIENTE!$F$25,DU55&lt;=EXPEDIENTE!$F$29),ROUNDDOWN(DS55/DR55,2),0)</f>
        <v>#DIV/0!</v>
      </c>
      <c r="DX55" s="389">
        <v>36</v>
      </c>
      <c r="DY55" s="433">
        <f t="shared" si="101"/>
        <v>46357</v>
      </c>
      <c r="DZ55" s="433">
        <f t="shared" si="102"/>
        <v>46387</v>
      </c>
      <c r="EA55" s="389" t="str">
        <f>IF(AND(DZ55&gt;=EXPEDIENTE!$F$25,DY55&lt;=EXPEDIENTE!$F$29),"SI","NO")</f>
        <v>SI</v>
      </c>
      <c r="EB55" s="426">
        <f t="shared" si="187"/>
        <v>0</v>
      </c>
      <c r="EC55" s="426">
        <f t="shared" si="188"/>
        <v>0</v>
      </c>
      <c r="ED55" s="426">
        <f t="shared" si="189"/>
        <v>0</v>
      </c>
      <c r="EE55" s="426">
        <f t="shared" si="190"/>
        <v>0</v>
      </c>
      <c r="EF55" s="426">
        <f t="shared" si="191"/>
        <v>0</v>
      </c>
      <c r="EG55" s="426">
        <f t="shared" si="192"/>
        <v>0</v>
      </c>
      <c r="EH55" s="426">
        <f t="shared" si="193"/>
        <v>0</v>
      </c>
      <c r="EI55" s="426">
        <f t="shared" si="194"/>
        <v>0</v>
      </c>
      <c r="EJ55" s="426">
        <f t="shared" si="195"/>
        <v>0</v>
      </c>
      <c r="EK55" s="426">
        <f t="shared" si="196"/>
        <v>0</v>
      </c>
      <c r="EL55" s="426">
        <f t="shared" si="197"/>
        <v>0</v>
      </c>
      <c r="EM55" s="426">
        <f t="shared" si="198"/>
        <v>0</v>
      </c>
      <c r="EN55" s="426">
        <f t="shared" si="199"/>
        <v>0</v>
      </c>
      <c r="EO55" s="426">
        <f t="shared" si="200"/>
        <v>0</v>
      </c>
      <c r="EP55" s="426">
        <f t="shared" si="201"/>
        <v>0</v>
      </c>
      <c r="EQ55" s="426">
        <f t="shared" si="202"/>
        <v>0</v>
      </c>
      <c r="ER55" s="426">
        <f t="shared" si="203"/>
        <v>0</v>
      </c>
      <c r="ES55" s="426">
        <f t="shared" si="204"/>
        <v>0</v>
      </c>
      <c r="ET55" s="426">
        <f t="shared" si="205"/>
        <v>0</v>
      </c>
      <c r="EU55" s="426">
        <f t="shared" si="206"/>
        <v>0</v>
      </c>
      <c r="EV55" s="426">
        <f t="shared" si="207"/>
        <v>0</v>
      </c>
      <c r="EW55" s="426">
        <f t="shared" si="208"/>
        <v>0</v>
      </c>
      <c r="EX55" s="426">
        <f t="shared" si="209"/>
        <v>0</v>
      </c>
      <c r="EY55" s="426">
        <f t="shared" si="210"/>
        <v>0</v>
      </c>
      <c r="EZ55" s="426">
        <f t="shared" si="211"/>
        <v>0</v>
      </c>
      <c r="FA55" s="426">
        <f t="shared" si="212"/>
        <v>0</v>
      </c>
      <c r="FB55" s="426">
        <f t="shared" si="213"/>
        <v>0</v>
      </c>
      <c r="FC55" s="426">
        <f t="shared" si="214"/>
        <v>0</v>
      </c>
      <c r="FD55" s="426">
        <f t="shared" si="215"/>
        <v>0</v>
      </c>
      <c r="FE55" s="426">
        <f t="shared" si="216"/>
        <v>0</v>
      </c>
      <c r="FF55" s="426">
        <f t="shared" si="217"/>
        <v>0</v>
      </c>
      <c r="FG55" s="426">
        <f t="shared" si="218"/>
        <v>0</v>
      </c>
      <c r="FH55" s="426">
        <f t="shared" si="66"/>
        <v>0</v>
      </c>
      <c r="FJ55" s="121">
        <v>1</v>
      </c>
      <c r="FK55" s="488">
        <f>DATE(YEAR(EXPEDIENTE!$F$25)+2,FJ55,1)</f>
        <v>46023</v>
      </c>
      <c r="FL55" s="488" t="str">
        <f>IF('GASTOS EJER, 3'!I49="","",'GASTOS EJER, 3'!I49)</f>
        <v/>
      </c>
      <c r="FM55" s="489">
        <f>'GASTOS EJER, 3'!X20</f>
        <v>0</v>
      </c>
      <c r="FN55" s="489">
        <f>'GASTOS EJER, 3'!H49</f>
        <v>0</v>
      </c>
      <c r="FO55" s="437">
        <f>VLOOKUP(FK55,$DY$7:$FH$69,36,FALSE)</f>
        <v>0</v>
      </c>
      <c r="FP55" s="489">
        <f t="shared" ref="FP55:FP66" si="283">SUM(FM55:FO55)</f>
        <v>0</v>
      </c>
      <c r="FR55" s="470">
        <v>17</v>
      </c>
      <c r="FS55" s="485">
        <f>'GASTOS EJER, 3'!$C37</f>
        <v>0</v>
      </c>
      <c r="FT55" s="479" t="str">
        <f>CJ55</f>
        <v/>
      </c>
      <c r="FU55" s="479" t="str">
        <f>CK55</f>
        <v/>
      </c>
      <c r="FV55" s="486">
        <f>CL55</f>
        <v>0</v>
      </c>
      <c r="FW55" s="487">
        <f>'GASTOS EJER, 3'!CM37</f>
        <v>0</v>
      </c>
      <c r="FX55" s="475" t="str">
        <f>IF(FW39=0,"",'GASTOS EJER, 3'!CT37)</f>
        <v/>
      </c>
      <c r="FY55" s="475" t="str">
        <f t="shared" ref="FY55:FY62" si="284">IF(FX55="","",EOMONTH(DATE(YEAR(FX55),MONTH(FX55)+1,1),0))</f>
        <v/>
      </c>
      <c r="FZ55" s="473" t="e">
        <f>IF(AND(FY55&gt;=EXPEDIENTE!$F$25,FY55&lt;=EXPEDIENTE!$F$29),ROUNDDOWN(FW55/FV55,2),0)</f>
        <v>#DIV/0!</v>
      </c>
      <c r="GB55" s="389">
        <v>36</v>
      </c>
      <c r="GC55" s="433">
        <f t="shared" si="103"/>
        <v>46357</v>
      </c>
      <c r="GD55" s="433">
        <f t="shared" si="104"/>
        <v>46387</v>
      </c>
      <c r="GE55" s="389" t="str">
        <f>IF(AND(GD55&gt;=EXPEDIENTE!$F$25,GC55&lt;=EXPEDIENTE!$F$29),"SI","NO")</f>
        <v>SI</v>
      </c>
      <c r="GF55" s="426">
        <f t="shared" si="67"/>
        <v>0</v>
      </c>
      <c r="GG55" s="426">
        <f t="shared" si="68"/>
        <v>0</v>
      </c>
      <c r="GH55" s="426">
        <f t="shared" si="69"/>
        <v>0</v>
      </c>
      <c r="GI55" s="426">
        <f t="shared" si="70"/>
        <v>0</v>
      </c>
      <c r="GJ55" s="426">
        <f t="shared" si="71"/>
        <v>0</v>
      </c>
      <c r="GK55" s="426">
        <f t="shared" si="72"/>
        <v>0</v>
      </c>
      <c r="GL55" s="426">
        <f t="shared" si="73"/>
        <v>0</v>
      </c>
      <c r="GM55" s="426">
        <f t="shared" si="74"/>
        <v>0</v>
      </c>
      <c r="GN55" s="426">
        <f t="shared" si="75"/>
        <v>0</v>
      </c>
      <c r="GO55" s="426">
        <f t="shared" si="76"/>
        <v>0</v>
      </c>
      <c r="GP55" s="426">
        <f t="shared" si="77"/>
        <v>0</v>
      </c>
      <c r="GQ55" s="426">
        <f t="shared" si="78"/>
        <v>0</v>
      </c>
      <c r="GR55" s="426">
        <f t="shared" si="79"/>
        <v>0</v>
      </c>
      <c r="GS55" s="426">
        <f t="shared" si="80"/>
        <v>0</v>
      </c>
      <c r="GT55" s="426">
        <f t="shared" si="81"/>
        <v>0</v>
      </c>
      <c r="GU55" s="426">
        <f t="shared" si="82"/>
        <v>0</v>
      </c>
      <c r="GV55" s="426">
        <f t="shared" si="83"/>
        <v>0</v>
      </c>
      <c r="GW55" s="426">
        <f t="shared" si="84"/>
        <v>0</v>
      </c>
      <c r="GX55" s="426">
        <f t="shared" si="85"/>
        <v>0</v>
      </c>
      <c r="GY55" s="426">
        <f t="shared" si="86"/>
        <v>0</v>
      </c>
      <c r="GZ55" s="426">
        <f t="shared" si="87"/>
        <v>0</v>
      </c>
      <c r="HA55" s="426">
        <f t="shared" si="88"/>
        <v>0</v>
      </c>
      <c r="HB55" s="426">
        <f t="shared" si="89"/>
        <v>0</v>
      </c>
      <c r="HC55" s="426">
        <f t="shared" si="90"/>
        <v>0</v>
      </c>
      <c r="HD55" s="426">
        <f t="shared" si="91"/>
        <v>0</v>
      </c>
      <c r="HE55" s="426">
        <f t="shared" si="92"/>
        <v>0</v>
      </c>
      <c r="HF55" s="426">
        <f t="shared" si="93"/>
        <v>0</v>
      </c>
      <c r="HG55" s="426">
        <f t="shared" si="94"/>
        <v>0</v>
      </c>
      <c r="HH55" s="426">
        <f t="shared" si="95"/>
        <v>0</v>
      </c>
      <c r="HI55" s="426">
        <f t="shared" si="96"/>
        <v>0</v>
      </c>
      <c r="HJ55" s="426">
        <f t="shared" si="97"/>
        <v>0</v>
      </c>
      <c r="HK55" s="426">
        <f t="shared" si="98"/>
        <v>0</v>
      </c>
      <c r="HL55" s="426">
        <f t="shared" si="99"/>
        <v>0</v>
      </c>
      <c r="HO55" s="121">
        <v>1</v>
      </c>
      <c r="HP55" s="488">
        <f>DATE(YEAR(EXPEDIENTE!$F$25)+2,HO55,1)</f>
        <v>46023</v>
      </c>
      <c r="HQ55" s="488" t="str">
        <f>IF('GASTOS EJER, 3'!BF49="","",'GASTOS EJER, 3'!BF49)</f>
        <v/>
      </c>
      <c r="HR55" s="489">
        <f>'GASTOS EJER, 3'!CM20</f>
        <v>0</v>
      </c>
      <c r="HS55" s="489">
        <f>'GASTOS EJER, 3'!BA49</f>
        <v>0</v>
      </c>
      <c r="HT55" s="437">
        <f>VLOOKUP(HP55,$GC$7:$HL$69,36,FALSE)</f>
        <v>0</v>
      </c>
      <c r="HU55" s="489">
        <f t="shared" ref="HU55:HU66" si="285">SUM(HR55:HT55)</f>
        <v>0</v>
      </c>
      <c r="JC55" s="409">
        <v>51</v>
      </c>
      <c r="JD55" s="401">
        <f t="shared" si="100"/>
        <v>20</v>
      </c>
    </row>
    <row r="56" spans="3:264" x14ac:dyDescent="0.25">
      <c r="C56" s="209">
        <v>50</v>
      </c>
      <c r="D56" s="404"/>
      <c r="E56" s="420"/>
      <c r="F56" s="421"/>
      <c r="G56" s="422"/>
      <c r="H56" s="422"/>
      <c r="I56" s="422"/>
      <c r="J56" s="404"/>
      <c r="K56" s="410">
        <f t="shared" si="52"/>
        <v>76</v>
      </c>
      <c r="L56" s="410">
        <f t="shared" si="53"/>
        <v>76</v>
      </c>
      <c r="M56" s="410" t="str">
        <f t="shared" si="54"/>
        <v>X</v>
      </c>
      <c r="AG56" s="490">
        <v>18</v>
      </c>
      <c r="AH56" s="492">
        <f>'GASTOS EJER, 3'!M38</f>
        <v>0</v>
      </c>
      <c r="AI56" s="503">
        <f>'GASTOS EJER, 3'!X38</f>
        <v>0</v>
      </c>
      <c r="AJ56" s="493">
        <f t="shared" ref="AJ56:AJ62" si="286">AH56-AI56</f>
        <v>0</v>
      </c>
      <c r="AL56" s="494">
        <f>'GASTOS EJER, 3'!F38+'GASTOS EJER, 3'!L38-'GASTOS EJER, 3'!X38-'GASTOS EJER, 3'!Y38</f>
        <v>0</v>
      </c>
      <c r="AM56" s="495" t="str">
        <f>IF('GASTOS EJER, 3'!AA38="","",'GASTOS EJER, 3'!AA38)</f>
        <v/>
      </c>
      <c r="AN56" s="492">
        <f>'GASTOS EJER, 3'!Y38</f>
        <v>0</v>
      </c>
      <c r="AO56" s="496" t="str">
        <f>IF('GASTOS EJER, 3'!AB38="","",'GASTOS EJER, 3'!AB38)</f>
        <v/>
      </c>
      <c r="AP56" s="497">
        <f>IF(AND(AM56&gt;=EXPEDIENTE!$I$25,AM56&lt;=EXPEDIENTE!$I$29),AL56,0)</f>
        <v>0</v>
      </c>
      <c r="AQ56" s="426">
        <f>IF(AND(AO56&gt;=EXPEDIENTE!$I$25,AO56&lt;=EXPEDIENTE!$I$29),AN56,0)</f>
        <v>0</v>
      </c>
      <c r="AR56" s="493">
        <f t="shared" ref="AR56:AR62" si="287">AP56+AQ56</f>
        <v>0</v>
      </c>
      <c r="AS56" s="498" t="str">
        <f>IF('GASTOS EJER, 3'!D38="","",'GASTOS EJER, 3'!D38)</f>
        <v/>
      </c>
      <c r="AT56" s="499" t="str">
        <f>IF('GASTOS EJER, 3'!E38="","",'GASTOS EJER, 3'!E38)</f>
        <v/>
      </c>
      <c r="AU56" s="500">
        <f t="shared" ref="AU56:AU62" si="288">IF(OR(AS56="",AT56=""),0,DATEDIF(AS56,AT56,"M")+1)</f>
        <v>0</v>
      </c>
      <c r="AV56" s="501">
        <f t="shared" si="266"/>
        <v>0</v>
      </c>
      <c r="AW56" s="442">
        <f t="shared" ref="AW56:AW62" si="289">IF(OR(AS56="",AT56=""),0,ROUND(AR56/AU56,2))</f>
        <v>0</v>
      </c>
      <c r="AY56" s="426">
        <v>2</v>
      </c>
      <c r="AZ56" s="427" t="e">
        <f t="shared" si="267"/>
        <v>#VALUE!</v>
      </c>
      <c r="BA56" s="436">
        <f t="shared" si="268"/>
        <v>0</v>
      </c>
      <c r="BB56" s="437">
        <f t="shared" si="269"/>
        <v>0</v>
      </c>
      <c r="BC56" s="437">
        <f t="shared" si="270"/>
        <v>0</v>
      </c>
      <c r="BD56" s="437">
        <f t="shared" si="271"/>
        <v>0</v>
      </c>
      <c r="BE56" s="437">
        <f t="shared" si="272"/>
        <v>0</v>
      </c>
      <c r="BF56" s="437">
        <f t="shared" si="273"/>
        <v>0</v>
      </c>
      <c r="BG56" s="437">
        <f t="shared" si="274"/>
        <v>0</v>
      </c>
      <c r="BH56" s="438">
        <f t="shared" si="275"/>
        <v>0</v>
      </c>
      <c r="BI56" s="439">
        <f t="shared" si="276"/>
        <v>0</v>
      </c>
      <c r="BK56" s="436">
        <f t="shared" ref="BK56:BK66" si="290">IF($AH$71=0,0,IF($BK$53=0,0,IF(AND(AZ56&gt;=$AS$71,AZ56&lt;=$AT$71),$AW$71,0)))</f>
        <v>0</v>
      </c>
      <c r="BL56" s="437">
        <f t="shared" ref="BL56:BL66" si="291">IF($AH$72=0,0,IF($BL$53=0,0,IF(AND(AZ56&gt;=$AS$72,AZ56&lt;=$AT$72),$AW$72,0)))</f>
        <v>0</v>
      </c>
      <c r="BM56" s="437">
        <f t="shared" ref="BM56:BM66" si="292">IF($AH$73=0,0,IF($BM$53=0,0,IF(AND(AZ56&gt;=$AS$73,AZ56&lt;=$AT$73),$AW$73,0)))</f>
        <v>0</v>
      </c>
      <c r="BN56" s="437">
        <f t="shared" ref="BN56:BN66" si="293">IF($AH$74=0,0,IF($BN$53=0,0,IF(AND(AZ56&gt;=$AS$74,AZ56&lt;=$AT$74),$AW$74,0)))</f>
        <v>0</v>
      </c>
      <c r="BO56" s="437">
        <f t="shared" ref="BO56:BO66" si="294">IF($AH$75=0,0,IF($BO$53=0,0,IF(AND(AZ56&gt;=$AS$75,AZ56&lt;=$AT$75),$AW$75,0)))</f>
        <v>0</v>
      </c>
      <c r="BP56" s="437">
        <f t="shared" ref="BP56:BP66" si="295">IF($AH$76=0,0,IF($BP$53=0,0,IF(AND(AZ56&gt;=$AS$76,AZ56&lt;=$AT$76),$AW$76,0)))</f>
        <v>0</v>
      </c>
      <c r="BQ56" s="437">
        <f t="shared" ref="BQ56:BQ66" si="296">IF($AH$77=0,0,IF($BQ$53=0,0,IF(AND(AZ56&gt;=$AS$77,AZ56&lt;=$AT$77),$AW$77,0)))</f>
        <v>0</v>
      </c>
      <c r="BR56" s="438">
        <f t="shared" ref="BR56:BR66" si="297">IF($AH$78=0,0,IF($BR$53=0,0,IF(AND(AZ56&gt;=$AS$78,AZ56&lt;=$AT$78),$AW$78,0)))</f>
        <v>0</v>
      </c>
      <c r="BS56" s="439">
        <f t="shared" ref="BS56:BS66" si="298">SUM(BK56:BR56)</f>
        <v>0</v>
      </c>
      <c r="BU56" s="439">
        <f t="shared" ref="BU56:BU66" si="299">BI56+BS56</f>
        <v>0</v>
      </c>
      <c r="BX56" s="490">
        <v>18</v>
      </c>
      <c r="BY56" s="492">
        <f>'GASTOS EJER, 3'!BN38</f>
        <v>0</v>
      </c>
      <c r="BZ56" s="503">
        <f>'GASTOS EJER, 3'!CM38</f>
        <v>0</v>
      </c>
      <c r="CA56" s="493">
        <f t="shared" ref="CA56:CA62" si="300">BY56-BZ56</f>
        <v>0</v>
      </c>
      <c r="CC56" s="494">
        <f>'GASTOS EJER, 3'!AW38+'GASTOS EJER, 3'!BM38-'GASTOS EJER, 3'!CM38-'GASTOS EJER, 3'!CP38</f>
        <v>0</v>
      </c>
      <c r="CD56" s="495" t="str">
        <f>IF('GASTOS EJER, 3'!CT38="","",'GASTOS EJER, 3'!CT38)</f>
        <v/>
      </c>
      <c r="CE56" s="492">
        <f>'GASTOS EJER, 3'!CP38</f>
        <v>0</v>
      </c>
      <c r="CF56" s="496" t="str">
        <f>IF('GASTOS EJER, 3'!CW38="","",'GASTOS EJER, 3'!CW38)</f>
        <v/>
      </c>
      <c r="CG56" s="497">
        <f>IF(AND(CD56&gt;=EXPEDIENTE!$I$25,CD56&lt;=EXPEDIENTE!$I$29),CC56,0)</f>
        <v>0</v>
      </c>
      <c r="CH56" s="426">
        <f>IF(AND(CF56&gt;=EXPEDIENTE!$I$25,CF56&lt;=EXPEDIENTE!$I$29),CE56,0)</f>
        <v>0</v>
      </c>
      <c r="CI56" s="493">
        <f t="shared" ref="CI56:CI62" si="301">CG56+CH56</f>
        <v>0</v>
      </c>
      <c r="CJ56" s="498" t="str">
        <f>IF('GASTOS EJER, 3'!AQ38="","",'GASTOS EJER, 3'!AQ38)</f>
        <v/>
      </c>
      <c r="CK56" s="499" t="str">
        <f>IF('GASTOS EJER, 3'!AT38="","",'GASTOS EJER, 3'!AT38)</f>
        <v/>
      </c>
      <c r="CL56" s="500">
        <f t="shared" ref="CL56:CL62" si="302">IF(OR(CJ56="",CK56=""),0,DATEDIF(CJ56,CK56,"M")+1)</f>
        <v>0</v>
      </c>
      <c r="CM56" s="501">
        <f t="shared" si="277"/>
        <v>0</v>
      </c>
      <c r="CN56" s="442">
        <f t="shared" ref="CN56:CN62" si="303">IF(OR(CJ56="",CK56=""),0,ROUND(CI56/CL56,2))</f>
        <v>0</v>
      </c>
      <c r="CP56" s="426">
        <v>2</v>
      </c>
      <c r="CQ56" s="427" t="e">
        <f t="shared" si="278"/>
        <v>#VALUE!</v>
      </c>
      <c r="CR56" s="440">
        <f t="shared" ref="CR56:CR66" si="304">IF($BY$55=0,0,IF($CR$53=0,0,IF(AND($CQ56&gt;=$CJ$55,$CQ56&lt;=$CK$55),$CN$55,0)))</f>
        <v>0</v>
      </c>
      <c r="CS56" s="426">
        <f t="shared" ref="CS56:CS66" si="305">IF($BY$56=0,0,IF($CS$53=0,0,IF(AND($CQ56&gt;=$CJ$56,$CQ56&lt;=$CK$56),$CN$56,0)))</f>
        <v>0</v>
      </c>
      <c r="CT56" s="426">
        <f t="shared" ref="CT56:CT66" si="306">IF($BY$57=0,0,IF($CT$53=0,0,IF(AND($CQ56&gt;=$CJ$57,$CQ56&lt;=$CK$57),$CN$57,0)))</f>
        <v>0</v>
      </c>
      <c r="CU56" s="426">
        <f t="shared" ref="CU56:CU66" si="307">IF($BY$58=0,0,IF($CU$53=0,0,IF(AND($CQ56&gt;=$CJ$58,$CQ56&lt;=$CK$58),$CN$58,0)))</f>
        <v>0</v>
      </c>
      <c r="CV56" s="426">
        <f t="shared" ref="CV56:CV66" si="308">IF($BY$59=0,0,IF($CV$53=0,0,IF(AND($CQ56&gt;=$CJ$59,$CQ56&lt;=$CK$59),$CN$59,0)))</f>
        <v>0</v>
      </c>
      <c r="CW56" s="426">
        <f t="shared" ref="CW56:CW66" si="309">IF($BY$60=0,0,IF($CW$53=0,0,IF(AND($CQ56&gt;=$CJ$60,$CQ56&lt;=$CK$60),$CN$60,0)))</f>
        <v>0</v>
      </c>
      <c r="CX56" s="426">
        <f t="shared" ref="CX56:CX66" si="310">IF($BY$61=0,0,IF($CX$53=0,0,IF(AND($CQ56&gt;=$CJ$61,$CQ56&lt;=$CK$61),$CN$61,0)))</f>
        <v>0</v>
      </c>
      <c r="CY56" s="441">
        <f t="shared" ref="CY56:CY65" si="311">IF($BY$62=0,0,IF($CY$53=0,0,IF(AND($CQ56&gt;=$CJ$62,$CQ56&lt;=$CK$62),$CN$62,0)))</f>
        <v>0</v>
      </c>
      <c r="CZ56" s="439">
        <f t="shared" si="279"/>
        <v>0</v>
      </c>
      <c r="DB56" s="440">
        <f t="shared" ref="DB56:DB66" si="312">IF($BY$71=0,0,IF($DB$53=0,0,IF(AND($CQ56&gt;=$CJ$71,$CQ56&lt;=$CK$71),$CN$71,0)))</f>
        <v>0</v>
      </c>
      <c r="DC56" s="426">
        <f t="shared" ref="DC56:DC66" si="313">IF($BY$72=0,0,IF($DC$53=0,0,IF(AND($CQ56&gt;=$CJ$72,$CQ56&lt;=$CK$72),$CN$72,0)))</f>
        <v>0</v>
      </c>
      <c r="DD56" s="426">
        <f t="shared" ref="DD56:DD66" si="314">IF($BY$73=0,0,IF($DD$53=0,0,IF(AND($CQ56&gt;=$CJ$73,$CQ56&lt;=$CK$73),$CN$73,0)))</f>
        <v>0</v>
      </c>
      <c r="DE56" s="426">
        <f t="shared" ref="DE56:DE66" si="315">IF($BY$74=0,0,IF($DE$53=0,0,IF(AND($CQ56&gt;=$CJ$74,$CQ56&lt;=$CK$74),$CN$74,0)))</f>
        <v>0</v>
      </c>
      <c r="DF56" s="426">
        <f t="shared" ref="DF56:DF66" si="316">IF($BY$75=0,0,IF($DF$53=0,0,IF(AND($CQ56&gt;=$CJ$75,$CQ56&lt;=$CK$75),$CN$75,0)))</f>
        <v>0</v>
      </c>
      <c r="DG56" s="426">
        <f t="shared" ref="DG56:DG66" si="317">IF($BY$76=0,0,IF($DG$53=0,0,IF(AND($CQ56&gt;=$CJ$76,$CQ56&lt;=$CK$76),$CN$76,0)))</f>
        <v>0</v>
      </c>
      <c r="DH56" s="426">
        <f t="shared" ref="DH56:DH66" si="318">IF($BY$77=0,0,IF($DH$53=0,0,IF(AND($CQ56&gt;=$CJ$77,$CQ56&lt;=$CK$77),$CN$77,0)))</f>
        <v>0</v>
      </c>
      <c r="DI56" s="441">
        <f t="shared" ref="DI56:DI66" si="319">IF($BY$78=0,0,IF($DI$53=0,0,IF(AND($CQ56&gt;=$CJ$78,$CQ56&lt;=$CK$78),$CN$78,0)))</f>
        <v>0</v>
      </c>
      <c r="DJ56" s="439">
        <f t="shared" ref="DJ56:DJ66" si="320">SUM(DB56:DI56)</f>
        <v>0</v>
      </c>
      <c r="DL56" s="439">
        <f t="shared" ref="DL56:DL66" si="321">CZ56+DJ56</f>
        <v>0</v>
      </c>
      <c r="DN56" s="490">
        <v>18</v>
      </c>
      <c r="DO56" s="502">
        <f>'GASTOS EJER, 3'!$C38</f>
        <v>0</v>
      </c>
      <c r="DP56" s="499" t="str">
        <f t="shared" ref="DP56:DP62" si="322">AS56</f>
        <v/>
      </c>
      <c r="DQ56" s="499" t="str">
        <f t="shared" ref="DQ56:DQ62" si="323">AT56</f>
        <v/>
      </c>
      <c r="DR56" s="389">
        <f t="shared" ref="DR56:DR62" si="324">AU56</f>
        <v>0</v>
      </c>
      <c r="DS56" s="503">
        <f>'GASTOS EJER, 3'!X38</f>
        <v>0</v>
      </c>
      <c r="DT56" s="495" t="str">
        <f>IF(DS40=0,"",'GASTOS EJER, 3'!AA38)</f>
        <v/>
      </c>
      <c r="DU56" s="495" t="str">
        <f t="shared" si="282"/>
        <v/>
      </c>
      <c r="DV56" s="493" t="e">
        <f>IF(AND(DU56&gt;=EXPEDIENTE!$F$25,DU56&lt;=EXPEDIENTE!$F$29),ROUNDDOWN(DS56/DR56,2),0)</f>
        <v>#DIV/0!</v>
      </c>
      <c r="DX56" s="389">
        <v>37</v>
      </c>
      <c r="DY56" s="433">
        <f t="shared" si="101"/>
        <v>46388</v>
      </c>
      <c r="DZ56" s="433">
        <f t="shared" si="102"/>
        <v>46418</v>
      </c>
      <c r="EA56" s="389" t="str">
        <f>IF(AND(DZ56&gt;=EXPEDIENTE!$F$25,DY56&lt;=EXPEDIENTE!$F$29),"SI","NO")</f>
        <v>SI</v>
      </c>
      <c r="EB56" s="426">
        <f t="shared" si="187"/>
        <v>0</v>
      </c>
      <c r="EC56" s="426">
        <f t="shared" si="188"/>
        <v>0</v>
      </c>
      <c r="ED56" s="426">
        <f t="shared" si="189"/>
        <v>0</v>
      </c>
      <c r="EE56" s="426">
        <f t="shared" si="190"/>
        <v>0</v>
      </c>
      <c r="EF56" s="426">
        <f t="shared" si="191"/>
        <v>0</v>
      </c>
      <c r="EG56" s="426">
        <f t="shared" si="192"/>
        <v>0</v>
      </c>
      <c r="EH56" s="426">
        <f t="shared" si="193"/>
        <v>0</v>
      </c>
      <c r="EI56" s="426">
        <f t="shared" si="194"/>
        <v>0</v>
      </c>
      <c r="EJ56" s="426">
        <f t="shared" si="195"/>
        <v>0</v>
      </c>
      <c r="EK56" s="426">
        <f t="shared" si="196"/>
        <v>0</v>
      </c>
      <c r="EL56" s="426">
        <f t="shared" si="197"/>
        <v>0</v>
      </c>
      <c r="EM56" s="426">
        <f t="shared" si="198"/>
        <v>0</v>
      </c>
      <c r="EN56" s="426">
        <f t="shared" si="199"/>
        <v>0</v>
      </c>
      <c r="EO56" s="426">
        <f t="shared" si="200"/>
        <v>0</v>
      </c>
      <c r="EP56" s="426">
        <f t="shared" si="201"/>
        <v>0</v>
      </c>
      <c r="EQ56" s="426">
        <f t="shared" si="202"/>
        <v>0</v>
      </c>
      <c r="ER56" s="426">
        <f t="shared" si="203"/>
        <v>0</v>
      </c>
      <c r="ES56" s="426">
        <f t="shared" si="204"/>
        <v>0</v>
      </c>
      <c r="ET56" s="426">
        <f t="shared" si="205"/>
        <v>0</v>
      </c>
      <c r="EU56" s="426">
        <f t="shared" si="206"/>
        <v>0</v>
      </c>
      <c r="EV56" s="426">
        <f t="shared" si="207"/>
        <v>0</v>
      </c>
      <c r="EW56" s="426">
        <f t="shared" si="208"/>
        <v>0</v>
      </c>
      <c r="EX56" s="426">
        <f t="shared" si="209"/>
        <v>0</v>
      </c>
      <c r="EY56" s="426">
        <f t="shared" si="210"/>
        <v>0</v>
      </c>
      <c r="EZ56" s="426">
        <f t="shared" si="211"/>
        <v>0</v>
      </c>
      <c r="FA56" s="426">
        <f t="shared" si="212"/>
        <v>0</v>
      </c>
      <c r="FB56" s="426">
        <f t="shared" si="213"/>
        <v>0</v>
      </c>
      <c r="FC56" s="426">
        <f t="shared" si="214"/>
        <v>0</v>
      </c>
      <c r="FD56" s="426">
        <f t="shared" si="215"/>
        <v>0</v>
      </c>
      <c r="FE56" s="426">
        <f t="shared" si="216"/>
        <v>0</v>
      </c>
      <c r="FF56" s="426">
        <f t="shared" si="217"/>
        <v>0</v>
      </c>
      <c r="FG56" s="426">
        <f t="shared" si="218"/>
        <v>0</v>
      </c>
      <c r="FH56" s="426">
        <f t="shared" si="66"/>
        <v>0</v>
      </c>
      <c r="FJ56" s="121">
        <v>2</v>
      </c>
      <c r="FK56" s="495">
        <f>DATE(YEAR(EXPEDIENTE!$F$25)+2,FJ56,1)</f>
        <v>46054</v>
      </c>
      <c r="FL56" s="495" t="str">
        <f>IF('GASTOS EJER, 3'!I50="","",'GASTOS EJER, 3'!I50)</f>
        <v/>
      </c>
      <c r="FM56" s="503">
        <f>'GASTOS EJER, 3'!X21</f>
        <v>0</v>
      </c>
      <c r="FN56" s="503">
        <f>'GASTOS EJER, 3'!H50</f>
        <v>0</v>
      </c>
      <c r="FO56" s="426">
        <f t="shared" ref="FO56:FO66" si="325">VLOOKUP(FK56,$DY$7:$FH$69,36,FALSE)</f>
        <v>0</v>
      </c>
      <c r="FP56" s="503">
        <f t="shared" si="283"/>
        <v>0</v>
      </c>
      <c r="FR56" s="490">
        <v>18</v>
      </c>
      <c r="FS56" s="502">
        <f>'GASTOS EJER, 3'!$C38</f>
        <v>0</v>
      </c>
      <c r="FT56" s="499" t="str">
        <f t="shared" ref="FT56:FT62" si="326">CJ56</f>
        <v/>
      </c>
      <c r="FU56" s="499" t="str">
        <f t="shared" ref="FU56:FU62" si="327">CK56</f>
        <v/>
      </c>
      <c r="FV56" s="389">
        <f t="shared" ref="FV56:FV62" si="328">CL56</f>
        <v>0</v>
      </c>
      <c r="FW56" s="503">
        <f>'GASTOS EJER, 3'!CM38</f>
        <v>0</v>
      </c>
      <c r="FX56" s="495" t="str">
        <f>IF(FW40=0,"",'GASTOS EJER, 3'!CT38)</f>
        <v/>
      </c>
      <c r="FY56" s="495" t="str">
        <f t="shared" si="284"/>
        <v/>
      </c>
      <c r="FZ56" s="493" t="e">
        <f>IF(AND(FY56&gt;=EXPEDIENTE!$F$25,FY56&lt;=EXPEDIENTE!$F$29),ROUNDDOWN(FW56/FV56,2),0)</f>
        <v>#DIV/0!</v>
      </c>
      <c r="GB56" s="389">
        <v>37</v>
      </c>
      <c r="GC56" s="433">
        <f t="shared" si="103"/>
        <v>46388</v>
      </c>
      <c r="GD56" s="433">
        <f t="shared" si="104"/>
        <v>46418</v>
      </c>
      <c r="GE56" s="389" t="str">
        <f>IF(AND(GD56&gt;=EXPEDIENTE!$F$25,GC56&lt;=EXPEDIENTE!$F$29),"SI","NO")</f>
        <v>SI</v>
      </c>
      <c r="GF56" s="426">
        <f t="shared" si="67"/>
        <v>0</v>
      </c>
      <c r="GG56" s="426">
        <f t="shared" si="68"/>
        <v>0</v>
      </c>
      <c r="GH56" s="426">
        <f t="shared" si="69"/>
        <v>0</v>
      </c>
      <c r="GI56" s="426">
        <f t="shared" si="70"/>
        <v>0</v>
      </c>
      <c r="GJ56" s="426">
        <f t="shared" si="71"/>
        <v>0</v>
      </c>
      <c r="GK56" s="426">
        <f t="shared" si="72"/>
        <v>0</v>
      </c>
      <c r="GL56" s="426">
        <f t="shared" si="73"/>
        <v>0</v>
      </c>
      <c r="GM56" s="426">
        <f t="shared" si="74"/>
        <v>0</v>
      </c>
      <c r="GN56" s="426">
        <f t="shared" si="75"/>
        <v>0</v>
      </c>
      <c r="GO56" s="426">
        <f t="shared" si="76"/>
        <v>0</v>
      </c>
      <c r="GP56" s="426">
        <f t="shared" si="77"/>
        <v>0</v>
      </c>
      <c r="GQ56" s="426">
        <f t="shared" si="78"/>
        <v>0</v>
      </c>
      <c r="GR56" s="426">
        <f t="shared" si="79"/>
        <v>0</v>
      </c>
      <c r="GS56" s="426">
        <f t="shared" si="80"/>
        <v>0</v>
      </c>
      <c r="GT56" s="426">
        <f t="shared" si="81"/>
        <v>0</v>
      </c>
      <c r="GU56" s="426">
        <f t="shared" si="82"/>
        <v>0</v>
      </c>
      <c r="GV56" s="426">
        <f t="shared" si="83"/>
        <v>0</v>
      </c>
      <c r="GW56" s="426">
        <f t="shared" si="84"/>
        <v>0</v>
      </c>
      <c r="GX56" s="426">
        <f t="shared" si="85"/>
        <v>0</v>
      </c>
      <c r="GY56" s="426">
        <f t="shared" si="86"/>
        <v>0</v>
      </c>
      <c r="GZ56" s="426">
        <f t="shared" si="87"/>
        <v>0</v>
      </c>
      <c r="HA56" s="426">
        <f t="shared" si="88"/>
        <v>0</v>
      </c>
      <c r="HB56" s="426">
        <f t="shared" si="89"/>
        <v>0</v>
      </c>
      <c r="HC56" s="426">
        <f t="shared" si="90"/>
        <v>0</v>
      </c>
      <c r="HD56" s="426">
        <f t="shared" si="91"/>
        <v>0</v>
      </c>
      <c r="HE56" s="426">
        <f t="shared" si="92"/>
        <v>0</v>
      </c>
      <c r="HF56" s="426">
        <f t="shared" si="93"/>
        <v>0</v>
      </c>
      <c r="HG56" s="426">
        <f t="shared" si="94"/>
        <v>0</v>
      </c>
      <c r="HH56" s="426">
        <f t="shared" si="95"/>
        <v>0</v>
      </c>
      <c r="HI56" s="426">
        <f t="shared" si="96"/>
        <v>0</v>
      </c>
      <c r="HJ56" s="426">
        <f t="shared" si="97"/>
        <v>0</v>
      </c>
      <c r="HK56" s="426">
        <f t="shared" si="98"/>
        <v>0</v>
      </c>
      <c r="HL56" s="426">
        <f t="shared" si="99"/>
        <v>0</v>
      </c>
      <c r="HO56" s="121">
        <v>2</v>
      </c>
      <c r="HP56" s="495">
        <f>DATE(YEAR(EXPEDIENTE!$F$25)+2,HO56,1)</f>
        <v>46054</v>
      </c>
      <c r="HQ56" s="495" t="str">
        <f>IF('GASTOS EJER, 3'!BF50="","",'GASTOS EJER, 3'!BF50)</f>
        <v/>
      </c>
      <c r="HR56" s="503">
        <f>'GASTOS EJER, 3'!CM21</f>
        <v>0</v>
      </c>
      <c r="HS56" s="503">
        <f>'GASTOS EJER, 3'!BA50</f>
        <v>0</v>
      </c>
      <c r="HT56" s="426">
        <f t="shared" ref="HT56:HT66" si="329">VLOOKUP(HP56,$GC$7:$HL$69,36,FALSE)</f>
        <v>0</v>
      </c>
      <c r="HU56" s="503">
        <f t="shared" si="285"/>
        <v>0</v>
      </c>
      <c r="JC56" s="419">
        <v>52</v>
      </c>
      <c r="JD56" s="401">
        <f t="shared" si="100"/>
        <v>20</v>
      </c>
    </row>
    <row r="57" spans="3:264" x14ac:dyDescent="0.25">
      <c r="C57" s="209">
        <v>51</v>
      </c>
      <c r="D57" s="404"/>
      <c r="E57" s="420"/>
      <c r="F57" s="421"/>
      <c r="G57" s="422"/>
      <c r="H57" s="422"/>
      <c r="I57" s="422"/>
      <c r="J57" s="404"/>
      <c r="K57" s="410">
        <f t="shared" si="52"/>
        <v>76</v>
      </c>
      <c r="L57" s="410">
        <f t="shared" si="53"/>
        <v>76</v>
      </c>
      <c r="M57" s="410" t="str">
        <f t="shared" si="54"/>
        <v>X</v>
      </c>
      <c r="AG57" s="490">
        <v>19</v>
      </c>
      <c r="AH57" s="492">
        <f>'GASTOS EJER, 3'!M39</f>
        <v>0</v>
      </c>
      <c r="AI57" s="503">
        <f>'GASTOS EJER, 3'!X39</f>
        <v>0</v>
      </c>
      <c r="AJ57" s="493">
        <f t="shared" si="286"/>
        <v>0</v>
      </c>
      <c r="AL57" s="494">
        <f>'GASTOS EJER, 3'!F39+'GASTOS EJER, 3'!L39-'GASTOS EJER, 3'!X39-'GASTOS EJER, 3'!Y39</f>
        <v>0</v>
      </c>
      <c r="AM57" s="495" t="str">
        <f>IF('GASTOS EJER, 3'!AA39="","",'GASTOS EJER, 3'!AA39)</f>
        <v/>
      </c>
      <c r="AN57" s="492">
        <f>'GASTOS EJER, 3'!Y39</f>
        <v>0</v>
      </c>
      <c r="AO57" s="496" t="str">
        <f>IF('GASTOS EJER, 3'!AB39="","",'GASTOS EJER, 3'!AB39)</f>
        <v/>
      </c>
      <c r="AP57" s="497">
        <f>IF(AND(AM57&gt;=EXPEDIENTE!$I$25,AM57&lt;=EXPEDIENTE!$I$29),AL57,0)</f>
        <v>0</v>
      </c>
      <c r="AQ57" s="426">
        <f>IF(AND(AO57&gt;=EXPEDIENTE!$I$25,AO57&lt;=EXPEDIENTE!$I$29),AN57,0)</f>
        <v>0</v>
      </c>
      <c r="AR57" s="493">
        <f t="shared" si="287"/>
        <v>0</v>
      </c>
      <c r="AS57" s="498" t="str">
        <f>IF('GASTOS EJER, 3'!D39="","",'GASTOS EJER, 3'!D39)</f>
        <v/>
      </c>
      <c r="AT57" s="499" t="str">
        <f>IF('GASTOS EJER, 3'!E39="","",'GASTOS EJER, 3'!E39)</f>
        <v/>
      </c>
      <c r="AU57" s="500">
        <f t="shared" si="288"/>
        <v>0</v>
      </c>
      <c r="AV57" s="501">
        <f t="shared" si="266"/>
        <v>0</v>
      </c>
      <c r="AW57" s="442">
        <f t="shared" si="289"/>
        <v>0</v>
      </c>
      <c r="AY57" s="426">
        <v>3</v>
      </c>
      <c r="AZ57" s="427" t="e">
        <f t="shared" si="267"/>
        <v>#VALUE!</v>
      </c>
      <c r="BA57" s="436">
        <f t="shared" si="268"/>
        <v>0</v>
      </c>
      <c r="BB57" s="437">
        <f t="shared" si="269"/>
        <v>0</v>
      </c>
      <c r="BC57" s="437">
        <f t="shared" si="270"/>
        <v>0</v>
      </c>
      <c r="BD57" s="437">
        <f t="shared" si="271"/>
        <v>0</v>
      </c>
      <c r="BE57" s="437">
        <f t="shared" si="272"/>
        <v>0</v>
      </c>
      <c r="BF57" s="437">
        <f t="shared" si="273"/>
        <v>0</v>
      </c>
      <c r="BG57" s="437">
        <f t="shared" si="274"/>
        <v>0</v>
      </c>
      <c r="BH57" s="438">
        <f t="shared" si="275"/>
        <v>0</v>
      </c>
      <c r="BI57" s="439">
        <f t="shared" si="276"/>
        <v>0</v>
      </c>
      <c r="BK57" s="436">
        <f t="shared" si="290"/>
        <v>0</v>
      </c>
      <c r="BL57" s="437">
        <f t="shared" si="291"/>
        <v>0</v>
      </c>
      <c r="BM57" s="437">
        <f t="shared" si="292"/>
        <v>0</v>
      </c>
      <c r="BN57" s="437">
        <f t="shared" si="293"/>
        <v>0</v>
      </c>
      <c r="BO57" s="437">
        <f t="shared" si="294"/>
        <v>0</v>
      </c>
      <c r="BP57" s="437">
        <f t="shared" si="295"/>
        <v>0</v>
      </c>
      <c r="BQ57" s="437">
        <f t="shared" si="296"/>
        <v>0</v>
      </c>
      <c r="BR57" s="438">
        <f t="shared" si="297"/>
        <v>0</v>
      </c>
      <c r="BS57" s="439">
        <f t="shared" si="298"/>
        <v>0</v>
      </c>
      <c r="BU57" s="439">
        <f t="shared" si="299"/>
        <v>0</v>
      </c>
      <c r="BX57" s="490">
        <v>19</v>
      </c>
      <c r="BY57" s="492">
        <f>'GASTOS EJER, 3'!BN39</f>
        <v>0</v>
      </c>
      <c r="BZ57" s="503">
        <f>'GASTOS EJER, 3'!CM39</f>
        <v>0</v>
      </c>
      <c r="CA57" s="493">
        <f t="shared" si="300"/>
        <v>0</v>
      </c>
      <c r="CC57" s="494">
        <f>'GASTOS EJER, 3'!AW39+'GASTOS EJER, 3'!BM39-'GASTOS EJER, 3'!CM39-'GASTOS EJER, 3'!CP39</f>
        <v>0</v>
      </c>
      <c r="CD57" s="495" t="str">
        <f>IF('GASTOS EJER, 3'!CT39="","",'GASTOS EJER, 3'!CT39)</f>
        <v/>
      </c>
      <c r="CE57" s="492">
        <f>'GASTOS EJER, 3'!CP39</f>
        <v>0</v>
      </c>
      <c r="CF57" s="496" t="str">
        <f>IF('GASTOS EJER, 3'!CW39="","",'GASTOS EJER, 3'!CW39)</f>
        <v/>
      </c>
      <c r="CG57" s="497">
        <f>IF(AND(CD57&gt;=EXPEDIENTE!$I$25,CD57&lt;=EXPEDIENTE!$I$29),CC57,0)</f>
        <v>0</v>
      </c>
      <c r="CH57" s="426">
        <f>IF(AND(CF57&gt;=EXPEDIENTE!$I$25,CF57&lt;=EXPEDIENTE!$I$29),CE57,0)</f>
        <v>0</v>
      </c>
      <c r="CI57" s="493">
        <f t="shared" si="301"/>
        <v>0</v>
      </c>
      <c r="CJ57" s="498" t="str">
        <f>IF('GASTOS EJER, 3'!AQ39="","",'GASTOS EJER, 3'!AQ39)</f>
        <v/>
      </c>
      <c r="CK57" s="499" t="str">
        <f>IF('GASTOS EJER, 3'!AT39="","",'GASTOS EJER, 3'!AT39)</f>
        <v/>
      </c>
      <c r="CL57" s="500">
        <f t="shared" si="302"/>
        <v>0</v>
      </c>
      <c r="CM57" s="501">
        <f t="shared" si="277"/>
        <v>0</v>
      </c>
      <c r="CN57" s="442">
        <f t="shared" si="303"/>
        <v>0</v>
      </c>
      <c r="CP57" s="426">
        <v>3</v>
      </c>
      <c r="CQ57" s="427" t="e">
        <f t="shared" si="278"/>
        <v>#VALUE!</v>
      </c>
      <c r="CR57" s="440">
        <f t="shared" si="304"/>
        <v>0</v>
      </c>
      <c r="CS57" s="426">
        <f t="shared" si="305"/>
        <v>0</v>
      </c>
      <c r="CT57" s="426">
        <f t="shared" si="306"/>
        <v>0</v>
      </c>
      <c r="CU57" s="426">
        <f t="shared" si="307"/>
        <v>0</v>
      </c>
      <c r="CV57" s="426">
        <f t="shared" si="308"/>
        <v>0</v>
      </c>
      <c r="CW57" s="426">
        <f t="shared" si="309"/>
        <v>0</v>
      </c>
      <c r="CX57" s="426">
        <f t="shared" si="310"/>
        <v>0</v>
      </c>
      <c r="CY57" s="441">
        <f t="shared" si="311"/>
        <v>0</v>
      </c>
      <c r="CZ57" s="439">
        <f t="shared" si="279"/>
        <v>0</v>
      </c>
      <c r="DB57" s="440">
        <f t="shared" si="312"/>
        <v>0</v>
      </c>
      <c r="DC57" s="426">
        <f t="shared" si="313"/>
        <v>0</v>
      </c>
      <c r="DD57" s="426">
        <f t="shared" si="314"/>
        <v>0</v>
      </c>
      <c r="DE57" s="426">
        <f t="shared" si="315"/>
        <v>0</v>
      </c>
      <c r="DF57" s="426">
        <f t="shared" si="316"/>
        <v>0</v>
      </c>
      <c r="DG57" s="426">
        <f t="shared" si="317"/>
        <v>0</v>
      </c>
      <c r="DH57" s="426">
        <f t="shared" si="318"/>
        <v>0</v>
      </c>
      <c r="DI57" s="441">
        <f t="shared" si="319"/>
        <v>0</v>
      </c>
      <c r="DJ57" s="439">
        <f t="shared" si="320"/>
        <v>0</v>
      </c>
      <c r="DL57" s="439">
        <f t="shared" si="321"/>
        <v>0</v>
      </c>
      <c r="DN57" s="490">
        <v>19</v>
      </c>
      <c r="DO57" s="502">
        <f>'GASTOS EJER, 3'!$C39</f>
        <v>0</v>
      </c>
      <c r="DP57" s="499" t="str">
        <f t="shared" si="322"/>
        <v/>
      </c>
      <c r="DQ57" s="499" t="str">
        <f t="shared" si="323"/>
        <v/>
      </c>
      <c r="DR57" s="389">
        <f t="shared" si="324"/>
        <v>0</v>
      </c>
      <c r="DS57" s="503">
        <f>'GASTOS EJER, 3'!X39</f>
        <v>0</v>
      </c>
      <c r="DT57" s="495" t="str">
        <f>IF(DS41=0,"",'GASTOS EJER, 3'!AA39)</f>
        <v/>
      </c>
      <c r="DU57" s="495" t="str">
        <f t="shared" si="282"/>
        <v/>
      </c>
      <c r="DV57" s="493" t="e">
        <f>IF(AND(DU57&gt;=EXPEDIENTE!$F$25,DU57&lt;=EXPEDIENTE!$F$29),ROUNDDOWN(DS57/DR57,2),0)</f>
        <v>#DIV/0!</v>
      </c>
      <c r="DX57" s="389">
        <v>38</v>
      </c>
      <c r="DY57" s="433">
        <f t="shared" si="101"/>
        <v>46419</v>
      </c>
      <c r="DZ57" s="433">
        <f t="shared" si="102"/>
        <v>46446</v>
      </c>
      <c r="EA57" s="389" t="str">
        <f>IF(AND(DZ57&gt;=EXPEDIENTE!$F$25,DY57&lt;=EXPEDIENTE!$F$29),"SI","NO")</f>
        <v>SI</v>
      </c>
      <c r="EB57" s="426">
        <f t="shared" si="187"/>
        <v>0</v>
      </c>
      <c r="EC57" s="426">
        <f t="shared" si="188"/>
        <v>0</v>
      </c>
      <c r="ED57" s="426">
        <f t="shared" si="189"/>
        <v>0</v>
      </c>
      <c r="EE57" s="426">
        <f t="shared" si="190"/>
        <v>0</v>
      </c>
      <c r="EF57" s="426">
        <f t="shared" si="191"/>
        <v>0</v>
      </c>
      <c r="EG57" s="426">
        <f t="shared" si="192"/>
        <v>0</v>
      </c>
      <c r="EH57" s="426">
        <f t="shared" si="193"/>
        <v>0</v>
      </c>
      <c r="EI57" s="426">
        <f t="shared" si="194"/>
        <v>0</v>
      </c>
      <c r="EJ57" s="426">
        <f t="shared" si="195"/>
        <v>0</v>
      </c>
      <c r="EK57" s="426">
        <f t="shared" si="196"/>
        <v>0</v>
      </c>
      <c r="EL57" s="426">
        <f t="shared" si="197"/>
        <v>0</v>
      </c>
      <c r="EM57" s="426">
        <f t="shared" si="198"/>
        <v>0</v>
      </c>
      <c r="EN57" s="426">
        <f t="shared" si="199"/>
        <v>0</v>
      </c>
      <c r="EO57" s="426">
        <f t="shared" si="200"/>
        <v>0</v>
      </c>
      <c r="EP57" s="426">
        <f t="shared" si="201"/>
        <v>0</v>
      </c>
      <c r="EQ57" s="426">
        <f t="shared" si="202"/>
        <v>0</v>
      </c>
      <c r="ER57" s="426">
        <f t="shared" si="203"/>
        <v>0</v>
      </c>
      <c r="ES57" s="426">
        <f t="shared" si="204"/>
        <v>0</v>
      </c>
      <c r="ET57" s="426">
        <f t="shared" si="205"/>
        <v>0</v>
      </c>
      <c r="EU57" s="426">
        <f t="shared" si="206"/>
        <v>0</v>
      </c>
      <c r="EV57" s="426">
        <f t="shared" si="207"/>
        <v>0</v>
      </c>
      <c r="EW57" s="426">
        <f t="shared" si="208"/>
        <v>0</v>
      </c>
      <c r="EX57" s="426">
        <f t="shared" si="209"/>
        <v>0</v>
      </c>
      <c r="EY57" s="426">
        <f t="shared" si="210"/>
        <v>0</v>
      </c>
      <c r="EZ57" s="426">
        <f t="shared" si="211"/>
        <v>0</v>
      </c>
      <c r="FA57" s="426">
        <f t="shared" si="212"/>
        <v>0</v>
      </c>
      <c r="FB57" s="426">
        <f t="shared" si="213"/>
        <v>0</v>
      </c>
      <c r="FC57" s="426">
        <f t="shared" si="214"/>
        <v>0</v>
      </c>
      <c r="FD57" s="426">
        <f t="shared" si="215"/>
        <v>0</v>
      </c>
      <c r="FE57" s="426">
        <f t="shared" si="216"/>
        <v>0</v>
      </c>
      <c r="FF57" s="426">
        <f t="shared" si="217"/>
        <v>0</v>
      </c>
      <c r="FG57" s="426">
        <f t="shared" si="218"/>
        <v>0</v>
      </c>
      <c r="FH57" s="426">
        <f t="shared" si="66"/>
        <v>0</v>
      </c>
      <c r="FJ57" s="121">
        <v>3</v>
      </c>
      <c r="FK57" s="495">
        <f>DATE(YEAR(EXPEDIENTE!$F$25)+2,FJ57,1)</f>
        <v>46082</v>
      </c>
      <c r="FL57" s="495" t="str">
        <f>IF('GASTOS EJER, 3'!I51="","",'GASTOS EJER, 3'!I51)</f>
        <v/>
      </c>
      <c r="FM57" s="503">
        <f>'GASTOS EJER, 3'!X22</f>
        <v>0</v>
      </c>
      <c r="FN57" s="503">
        <f>'GASTOS EJER, 3'!H51</f>
        <v>0</v>
      </c>
      <c r="FO57" s="426">
        <f t="shared" si="325"/>
        <v>0</v>
      </c>
      <c r="FP57" s="503">
        <f t="shared" si="283"/>
        <v>0</v>
      </c>
      <c r="FR57" s="490">
        <v>19</v>
      </c>
      <c r="FS57" s="502">
        <f>'GASTOS EJER, 3'!$C39</f>
        <v>0</v>
      </c>
      <c r="FT57" s="499" t="str">
        <f t="shared" si="326"/>
        <v/>
      </c>
      <c r="FU57" s="499" t="str">
        <f t="shared" si="327"/>
        <v/>
      </c>
      <c r="FV57" s="389">
        <f t="shared" si="328"/>
        <v>0</v>
      </c>
      <c r="FW57" s="503">
        <f>'GASTOS EJER, 3'!CM39</f>
        <v>0</v>
      </c>
      <c r="FX57" s="495" t="str">
        <f>IF(FW41=0,"",'GASTOS EJER, 3'!CT39)</f>
        <v/>
      </c>
      <c r="FY57" s="495" t="str">
        <f t="shared" si="284"/>
        <v/>
      </c>
      <c r="FZ57" s="493" t="e">
        <f>IF(AND(FY57&gt;=EXPEDIENTE!$F$25,FY57&lt;=EXPEDIENTE!$F$29),ROUNDDOWN(FW57/FV57,2),0)</f>
        <v>#DIV/0!</v>
      </c>
      <c r="GB57" s="389">
        <v>38</v>
      </c>
      <c r="GC57" s="433">
        <f t="shared" si="103"/>
        <v>46419</v>
      </c>
      <c r="GD57" s="433">
        <f t="shared" si="104"/>
        <v>46446</v>
      </c>
      <c r="GE57" s="389" t="str">
        <f>IF(AND(GD57&gt;=EXPEDIENTE!$F$25,GC57&lt;=EXPEDIENTE!$F$29),"SI","NO")</f>
        <v>SI</v>
      </c>
      <c r="GF57" s="426">
        <f t="shared" si="67"/>
        <v>0</v>
      </c>
      <c r="GG57" s="426">
        <f t="shared" si="68"/>
        <v>0</v>
      </c>
      <c r="GH57" s="426">
        <f t="shared" si="69"/>
        <v>0</v>
      </c>
      <c r="GI57" s="426">
        <f t="shared" si="70"/>
        <v>0</v>
      </c>
      <c r="GJ57" s="426">
        <f t="shared" si="71"/>
        <v>0</v>
      </c>
      <c r="GK57" s="426">
        <f t="shared" si="72"/>
        <v>0</v>
      </c>
      <c r="GL57" s="426">
        <f t="shared" si="73"/>
        <v>0</v>
      </c>
      <c r="GM57" s="426">
        <f t="shared" si="74"/>
        <v>0</v>
      </c>
      <c r="GN57" s="426">
        <f t="shared" si="75"/>
        <v>0</v>
      </c>
      <c r="GO57" s="426">
        <f t="shared" si="76"/>
        <v>0</v>
      </c>
      <c r="GP57" s="426">
        <f t="shared" si="77"/>
        <v>0</v>
      </c>
      <c r="GQ57" s="426">
        <f t="shared" si="78"/>
        <v>0</v>
      </c>
      <c r="GR57" s="426">
        <f t="shared" si="79"/>
        <v>0</v>
      </c>
      <c r="GS57" s="426">
        <f t="shared" si="80"/>
        <v>0</v>
      </c>
      <c r="GT57" s="426">
        <f t="shared" si="81"/>
        <v>0</v>
      </c>
      <c r="GU57" s="426">
        <f t="shared" si="82"/>
        <v>0</v>
      </c>
      <c r="GV57" s="426">
        <f t="shared" si="83"/>
        <v>0</v>
      </c>
      <c r="GW57" s="426">
        <f t="shared" si="84"/>
        <v>0</v>
      </c>
      <c r="GX57" s="426">
        <f t="shared" si="85"/>
        <v>0</v>
      </c>
      <c r="GY57" s="426">
        <f t="shared" si="86"/>
        <v>0</v>
      </c>
      <c r="GZ57" s="426">
        <f t="shared" si="87"/>
        <v>0</v>
      </c>
      <c r="HA57" s="426">
        <f t="shared" si="88"/>
        <v>0</v>
      </c>
      <c r="HB57" s="426">
        <f t="shared" si="89"/>
        <v>0</v>
      </c>
      <c r="HC57" s="426">
        <f t="shared" si="90"/>
        <v>0</v>
      </c>
      <c r="HD57" s="426">
        <f t="shared" si="91"/>
        <v>0</v>
      </c>
      <c r="HE57" s="426">
        <f t="shared" si="92"/>
        <v>0</v>
      </c>
      <c r="HF57" s="426">
        <f t="shared" si="93"/>
        <v>0</v>
      </c>
      <c r="HG57" s="426">
        <f t="shared" si="94"/>
        <v>0</v>
      </c>
      <c r="HH57" s="426">
        <f t="shared" si="95"/>
        <v>0</v>
      </c>
      <c r="HI57" s="426">
        <f t="shared" si="96"/>
        <v>0</v>
      </c>
      <c r="HJ57" s="426">
        <f t="shared" si="97"/>
        <v>0</v>
      </c>
      <c r="HK57" s="426">
        <f t="shared" si="98"/>
        <v>0</v>
      </c>
      <c r="HL57" s="426">
        <f t="shared" si="99"/>
        <v>0</v>
      </c>
      <c r="HO57" s="121">
        <v>3</v>
      </c>
      <c r="HP57" s="495">
        <f>DATE(YEAR(EXPEDIENTE!$F$25)+2,HO57,1)</f>
        <v>46082</v>
      </c>
      <c r="HQ57" s="495" t="str">
        <f>IF('GASTOS EJER, 3'!BF51="","",'GASTOS EJER, 3'!BF51)</f>
        <v/>
      </c>
      <c r="HR57" s="503">
        <f>'GASTOS EJER, 3'!CM22</f>
        <v>0</v>
      </c>
      <c r="HS57" s="503">
        <f>'GASTOS EJER, 3'!BA51</f>
        <v>0</v>
      </c>
      <c r="HT57" s="426">
        <f t="shared" si="329"/>
        <v>0</v>
      </c>
      <c r="HU57" s="503">
        <f t="shared" si="285"/>
        <v>0</v>
      </c>
      <c r="JC57" s="419">
        <v>53</v>
      </c>
      <c r="JD57" s="401">
        <f t="shared" si="100"/>
        <v>20</v>
      </c>
    </row>
    <row r="58" spans="3:264" x14ac:dyDescent="0.25">
      <c r="C58" s="209">
        <v>52</v>
      </c>
      <c r="D58" s="404"/>
      <c r="E58" s="420"/>
      <c r="F58" s="421"/>
      <c r="G58" s="422"/>
      <c r="H58" s="422"/>
      <c r="I58" s="422"/>
      <c r="J58" s="404"/>
      <c r="K58" s="410">
        <f t="shared" si="52"/>
        <v>76</v>
      </c>
      <c r="L58" s="410">
        <f t="shared" si="53"/>
        <v>76</v>
      </c>
      <c r="M58" s="410" t="str">
        <f t="shared" si="54"/>
        <v>X</v>
      </c>
      <c r="AG58" s="490">
        <v>20</v>
      </c>
      <c r="AH58" s="492">
        <f>'GASTOS EJER, 3'!M40</f>
        <v>0</v>
      </c>
      <c r="AI58" s="503">
        <f>'GASTOS EJER, 3'!X40</f>
        <v>0</v>
      </c>
      <c r="AJ58" s="493">
        <f t="shared" si="286"/>
        <v>0</v>
      </c>
      <c r="AL58" s="494">
        <f>'GASTOS EJER, 3'!F40+'GASTOS EJER, 3'!L40-'GASTOS EJER, 3'!X40-'GASTOS EJER, 3'!Y40</f>
        <v>0</v>
      </c>
      <c r="AM58" s="495" t="str">
        <f>IF('GASTOS EJER, 3'!AA40="","",'GASTOS EJER, 3'!AA40)</f>
        <v/>
      </c>
      <c r="AN58" s="492">
        <f>'GASTOS EJER, 3'!Y40</f>
        <v>0</v>
      </c>
      <c r="AO58" s="496" t="str">
        <f>IF('GASTOS EJER, 3'!AB40="","",'GASTOS EJER, 3'!AB40)</f>
        <v/>
      </c>
      <c r="AP58" s="497">
        <f>IF(AND(AM58&gt;=EXPEDIENTE!$I$25,AM58&lt;=EXPEDIENTE!$I$29),AL58,0)</f>
        <v>0</v>
      </c>
      <c r="AQ58" s="426">
        <f>IF(AND(AO58&gt;=EXPEDIENTE!$I$25,AO58&lt;=EXPEDIENTE!$I$29),AN58,0)</f>
        <v>0</v>
      </c>
      <c r="AR58" s="493">
        <f t="shared" si="287"/>
        <v>0</v>
      </c>
      <c r="AS58" s="498" t="str">
        <f>IF('GASTOS EJER, 3'!D40="","",'GASTOS EJER, 3'!D40)</f>
        <v/>
      </c>
      <c r="AT58" s="499" t="str">
        <f>IF('GASTOS EJER, 3'!E40="","",'GASTOS EJER, 3'!E40)</f>
        <v/>
      </c>
      <c r="AU58" s="500">
        <f t="shared" si="288"/>
        <v>0</v>
      </c>
      <c r="AV58" s="501">
        <f t="shared" si="266"/>
        <v>0</v>
      </c>
      <c r="AW58" s="442">
        <f t="shared" si="289"/>
        <v>0</v>
      </c>
      <c r="AY58" s="426">
        <v>4</v>
      </c>
      <c r="AZ58" s="427" t="e">
        <f t="shared" si="267"/>
        <v>#VALUE!</v>
      </c>
      <c r="BA58" s="436">
        <f t="shared" si="268"/>
        <v>0</v>
      </c>
      <c r="BB58" s="437">
        <f t="shared" si="269"/>
        <v>0</v>
      </c>
      <c r="BC58" s="437">
        <f t="shared" si="270"/>
        <v>0</v>
      </c>
      <c r="BD58" s="437">
        <f t="shared" si="271"/>
        <v>0</v>
      </c>
      <c r="BE58" s="437">
        <f t="shared" si="272"/>
        <v>0</v>
      </c>
      <c r="BF58" s="437">
        <f t="shared" si="273"/>
        <v>0</v>
      </c>
      <c r="BG58" s="437">
        <f t="shared" si="274"/>
        <v>0</v>
      </c>
      <c r="BH58" s="438">
        <f t="shared" si="275"/>
        <v>0</v>
      </c>
      <c r="BI58" s="439">
        <f t="shared" si="276"/>
        <v>0</v>
      </c>
      <c r="BK58" s="436">
        <f t="shared" si="290"/>
        <v>0</v>
      </c>
      <c r="BL58" s="437">
        <f t="shared" si="291"/>
        <v>0</v>
      </c>
      <c r="BM58" s="437">
        <f t="shared" si="292"/>
        <v>0</v>
      </c>
      <c r="BN58" s="437">
        <f t="shared" si="293"/>
        <v>0</v>
      </c>
      <c r="BO58" s="437">
        <f t="shared" si="294"/>
        <v>0</v>
      </c>
      <c r="BP58" s="437">
        <f t="shared" si="295"/>
        <v>0</v>
      </c>
      <c r="BQ58" s="437">
        <f t="shared" si="296"/>
        <v>0</v>
      </c>
      <c r="BR58" s="438">
        <f t="shared" si="297"/>
        <v>0</v>
      </c>
      <c r="BS58" s="439">
        <f t="shared" si="298"/>
        <v>0</v>
      </c>
      <c r="BU58" s="439">
        <f t="shared" si="299"/>
        <v>0</v>
      </c>
      <c r="BX58" s="490">
        <v>20</v>
      </c>
      <c r="BY58" s="492">
        <f>'GASTOS EJER, 3'!BN40</f>
        <v>0</v>
      </c>
      <c r="BZ58" s="503">
        <f>'GASTOS EJER, 3'!CM40</f>
        <v>0</v>
      </c>
      <c r="CA58" s="493">
        <f t="shared" si="300"/>
        <v>0</v>
      </c>
      <c r="CC58" s="494">
        <f>'GASTOS EJER, 3'!AW40+'GASTOS EJER, 3'!BM40-'GASTOS EJER, 3'!CM40-'GASTOS EJER, 3'!CP40</f>
        <v>0</v>
      </c>
      <c r="CD58" s="495" t="str">
        <f>IF('GASTOS EJER, 3'!CT40="","",'GASTOS EJER, 3'!CT40)</f>
        <v/>
      </c>
      <c r="CE58" s="492">
        <f>'GASTOS EJER, 3'!CP40</f>
        <v>0</v>
      </c>
      <c r="CF58" s="496" t="str">
        <f>IF('GASTOS EJER, 3'!CW40="","",'GASTOS EJER, 3'!CW40)</f>
        <v/>
      </c>
      <c r="CG58" s="497">
        <f>IF(AND(CD58&gt;=EXPEDIENTE!$I$25,CD58&lt;=EXPEDIENTE!$I$29),CC58,0)</f>
        <v>0</v>
      </c>
      <c r="CH58" s="426">
        <f>IF(AND(CF58&gt;=EXPEDIENTE!$I$25,CF58&lt;=EXPEDIENTE!$I$29),CE58,0)</f>
        <v>0</v>
      </c>
      <c r="CI58" s="493">
        <f t="shared" si="301"/>
        <v>0</v>
      </c>
      <c r="CJ58" s="498" t="str">
        <f>IF('GASTOS EJER, 3'!AQ40="","",'GASTOS EJER, 3'!AQ40)</f>
        <v/>
      </c>
      <c r="CK58" s="499" t="str">
        <f>IF('GASTOS EJER, 3'!AT40="","",'GASTOS EJER, 3'!AT40)</f>
        <v/>
      </c>
      <c r="CL58" s="500">
        <f t="shared" si="302"/>
        <v>0</v>
      </c>
      <c r="CM58" s="501">
        <f t="shared" si="277"/>
        <v>0</v>
      </c>
      <c r="CN58" s="442">
        <f t="shared" si="303"/>
        <v>0</v>
      </c>
      <c r="CP58" s="426">
        <v>4</v>
      </c>
      <c r="CQ58" s="427" t="e">
        <f t="shared" si="278"/>
        <v>#VALUE!</v>
      </c>
      <c r="CR58" s="440">
        <f t="shared" si="304"/>
        <v>0</v>
      </c>
      <c r="CS58" s="426">
        <f t="shared" si="305"/>
        <v>0</v>
      </c>
      <c r="CT58" s="426">
        <f t="shared" si="306"/>
        <v>0</v>
      </c>
      <c r="CU58" s="426">
        <f t="shared" si="307"/>
        <v>0</v>
      </c>
      <c r="CV58" s="426">
        <f t="shared" si="308"/>
        <v>0</v>
      </c>
      <c r="CW58" s="426">
        <f t="shared" si="309"/>
        <v>0</v>
      </c>
      <c r="CX58" s="426">
        <f t="shared" si="310"/>
        <v>0</v>
      </c>
      <c r="CY58" s="441">
        <f t="shared" si="311"/>
        <v>0</v>
      </c>
      <c r="CZ58" s="439">
        <f t="shared" si="279"/>
        <v>0</v>
      </c>
      <c r="DB58" s="440">
        <f t="shared" si="312"/>
        <v>0</v>
      </c>
      <c r="DC58" s="426">
        <f t="shared" si="313"/>
        <v>0</v>
      </c>
      <c r="DD58" s="426">
        <f t="shared" si="314"/>
        <v>0</v>
      </c>
      <c r="DE58" s="426">
        <f t="shared" si="315"/>
        <v>0</v>
      </c>
      <c r="DF58" s="426">
        <f t="shared" si="316"/>
        <v>0</v>
      </c>
      <c r="DG58" s="426">
        <f t="shared" si="317"/>
        <v>0</v>
      </c>
      <c r="DH58" s="426">
        <f t="shared" si="318"/>
        <v>0</v>
      </c>
      <c r="DI58" s="441">
        <f t="shared" si="319"/>
        <v>0</v>
      </c>
      <c r="DJ58" s="439">
        <f t="shared" si="320"/>
        <v>0</v>
      </c>
      <c r="DL58" s="439">
        <f t="shared" si="321"/>
        <v>0</v>
      </c>
      <c r="DN58" s="490">
        <v>20</v>
      </c>
      <c r="DO58" s="502">
        <f>'GASTOS EJER, 3'!$C40</f>
        <v>0</v>
      </c>
      <c r="DP58" s="499" t="str">
        <f t="shared" si="322"/>
        <v/>
      </c>
      <c r="DQ58" s="499" t="str">
        <f t="shared" si="323"/>
        <v/>
      </c>
      <c r="DR58" s="389">
        <f t="shared" si="324"/>
        <v>0</v>
      </c>
      <c r="DS58" s="503">
        <f>'GASTOS EJER, 3'!X40</f>
        <v>0</v>
      </c>
      <c r="DT58" s="495" t="str">
        <f>IF(DS42=0,"",'GASTOS EJER, 3'!AA40)</f>
        <v/>
      </c>
      <c r="DU58" s="495" t="str">
        <f t="shared" si="282"/>
        <v/>
      </c>
      <c r="DV58" s="493" t="e">
        <f>IF(AND(DU58&gt;=EXPEDIENTE!$F$25,DU58&lt;=EXPEDIENTE!$F$29),ROUNDDOWN(DS58/DR58,2),0)</f>
        <v>#DIV/0!</v>
      </c>
      <c r="DX58" s="389">
        <v>39</v>
      </c>
      <c r="DY58" s="433">
        <f t="shared" si="101"/>
        <v>46447</v>
      </c>
      <c r="DZ58" s="433">
        <f t="shared" si="102"/>
        <v>46477</v>
      </c>
      <c r="EA58" s="389" t="str">
        <f>IF(AND(DZ58&gt;=EXPEDIENTE!$F$25,DY58&lt;=EXPEDIENTE!$F$29),"SI","NO")</f>
        <v>SI</v>
      </c>
      <c r="EB58" s="426">
        <f t="shared" si="187"/>
        <v>0</v>
      </c>
      <c r="EC58" s="426">
        <f t="shared" si="188"/>
        <v>0</v>
      </c>
      <c r="ED58" s="426">
        <f t="shared" si="189"/>
        <v>0</v>
      </c>
      <c r="EE58" s="426">
        <f t="shared" si="190"/>
        <v>0</v>
      </c>
      <c r="EF58" s="426">
        <f t="shared" si="191"/>
        <v>0</v>
      </c>
      <c r="EG58" s="426">
        <f t="shared" si="192"/>
        <v>0</v>
      </c>
      <c r="EH58" s="426">
        <f t="shared" si="193"/>
        <v>0</v>
      </c>
      <c r="EI58" s="426">
        <f t="shared" si="194"/>
        <v>0</v>
      </c>
      <c r="EJ58" s="426">
        <f t="shared" si="195"/>
        <v>0</v>
      </c>
      <c r="EK58" s="426">
        <f t="shared" si="196"/>
        <v>0</v>
      </c>
      <c r="EL58" s="426">
        <f t="shared" si="197"/>
        <v>0</v>
      </c>
      <c r="EM58" s="426">
        <f t="shared" si="198"/>
        <v>0</v>
      </c>
      <c r="EN58" s="426">
        <f t="shared" si="199"/>
        <v>0</v>
      </c>
      <c r="EO58" s="426">
        <f t="shared" si="200"/>
        <v>0</v>
      </c>
      <c r="EP58" s="426">
        <f t="shared" si="201"/>
        <v>0</v>
      </c>
      <c r="EQ58" s="426">
        <f t="shared" si="202"/>
        <v>0</v>
      </c>
      <c r="ER58" s="426">
        <f t="shared" si="203"/>
        <v>0</v>
      </c>
      <c r="ES58" s="426">
        <f t="shared" si="204"/>
        <v>0</v>
      </c>
      <c r="ET58" s="426">
        <f t="shared" si="205"/>
        <v>0</v>
      </c>
      <c r="EU58" s="426">
        <f t="shared" si="206"/>
        <v>0</v>
      </c>
      <c r="EV58" s="426">
        <f t="shared" si="207"/>
        <v>0</v>
      </c>
      <c r="EW58" s="426">
        <f t="shared" si="208"/>
        <v>0</v>
      </c>
      <c r="EX58" s="426">
        <f t="shared" si="209"/>
        <v>0</v>
      </c>
      <c r="EY58" s="426">
        <f t="shared" si="210"/>
        <v>0</v>
      </c>
      <c r="EZ58" s="426">
        <f t="shared" si="211"/>
        <v>0</v>
      </c>
      <c r="FA58" s="426">
        <f t="shared" si="212"/>
        <v>0</v>
      </c>
      <c r="FB58" s="426">
        <f t="shared" si="213"/>
        <v>0</v>
      </c>
      <c r="FC58" s="426">
        <f t="shared" si="214"/>
        <v>0</v>
      </c>
      <c r="FD58" s="426">
        <f t="shared" si="215"/>
        <v>0</v>
      </c>
      <c r="FE58" s="426">
        <f t="shared" si="216"/>
        <v>0</v>
      </c>
      <c r="FF58" s="426">
        <f t="shared" si="217"/>
        <v>0</v>
      </c>
      <c r="FG58" s="426">
        <f t="shared" si="218"/>
        <v>0</v>
      </c>
      <c r="FH58" s="426">
        <f t="shared" si="66"/>
        <v>0</v>
      </c>
      <c r="FJ58" s="121">
        <v>4</v>
      </c>
      <c r="FK58" s="495">
        <f>DATE(YEAR(EXPEDIENTE!$F$25)+2,FJ58,1)</f>
        <v>46113</v>
      </c>
      <c r="FL58" s="495" t="str">
        <f>IF('GASTOS EJER, 3'!I52="","",'GASTOS EJER, 3'!I52)</f>
        <v/>
      </c>
      <c r="FM58" s="503">
        <f>'GASTOS EJER, 3'!X23</f>
        <v>0</v>
      </c>
      <c r="FN58" s="503">
        <f>'GASTOS EJER, 3'!H52</f>
        <v>0</v>
      </c>
      <c r="FO58" s="426">
        <f t="shared" si="325"/>
        <v>0</v>
      </c>
      <c r="FP58" s="503">
        <f t="shared" si="283"/>
        <v>0</v>
      </c>
      <c r="FR58" s="490">
        <v>20</v>
      </c>
      <c r="FS58" s="502">
        <f>'GASTOS EJER, 3'!$C40</f>
        <v>0</v>
      </c>
      <c r="FT58" s="499" t="str">
        <f t="shared" si="326"/>
        <v/>
      </c>
      <c r="FU58" s="499" t="str">
        <f t="shared" si="327"/>
        <v/>
      </c>
      <c r="FV58" s="389">
        <f t="shared" si="328"/>
        <v>0</v>
      </c>
      <c r="FW58" s="503">
        <f>'GASTOS EJER, 3'!CM40</f>
        <v>0</v>
      </c>
      <c r="FX58" s="495" t="str">
        <f>IF(FW42=0,"",'GASTOS EJER, 3'!CT40)</f>
        <v/>
      </c>
      <c r="FY58" s="495" t="str">
        <f t="shared" si="284"/>
        <v/>
      </c>
      <c r="FZ58" s="493" t="e">
        <f>IF(AND(FY58&gt;=EXPEDIENTE!$F$25,FY58&lt;=EXPEDIENTE!$F$29),ROUNDDOWN(FW58/FV58,2),0)</f>
        <v>#DIV/0!</v>
      </c>
      <c r="GB58" s="389">
        <v>39</v>
      </c>
      <c r="GC58" s="433">
        <f t="shared" si="103"/>
        <v>46447</v>
      </c>
      <c r="GD58" s="433">
        <f t="shared" si="104"/>
        <v>46477</v>
      </c>
      <c r="GE58" s="389" t="str">
        <f>IF(AND(GD58&gt;=EXPEDIENTE!$F$25,GC58&lt;=EXPEDIENTE!$F$29),"SI","NO")</f>
        <v>SI</v>
      </c>
      <c r="GF58" s="426">
        <f t="shared" si="67"/>
        <v>0</v>
      </c>
      <c r="GG58" s="426">
        <f t="shared" si="68"/>
        <v>0</v>
      </c>
      <c r="GH58" s="426">
        <f t="shared" si="69"/>
        <v>0</v>
      </c>
      <c r="GI58" s="426">
        <f t="shared" si="70"/>
        <v>0</v>
      </c>
      <c r="GJ58" s="426">
        <f t="shared" si="71"/>
        <v>0</v>
      </c>
      <c r="GK58" s="426">
        <f t="shared" si="72"/>
        <v>0</v>
      </c>
      <c r="GL58" s="426">
        <f t="shared" si="73"/>
        <v>0</v>
      </c>
      <c r="GM58" s="426">
        <f t="shared" si="74"/>
        <v>0</v>
      </c>
      <c r="GN58" s="426">
        <f t="shared" si="75"/>
        <v>0</v>
      </c>
      <c r="GO58" s="426">
        <f t="shared" si="76"/>
        <v>0</v>
      </c>
      <c r="GP58" s="426">
        <f t="shared" si="77"/>
        <v>0</v>
      </c>
      <c r="GQ58" s="426">
        <f t="shared" si="78"/>
        <v>0</v>
      </c>
      <c r="GR58" s="426">
        <f t="shared" si="79"/>
        <v>0</v>
      </c>
      <c r="GS58" s="426">
        <f t="shared" si="80"/>
        <v>0</v>
      </c>
      <c r="GT58" s="426">
        <f t="shared" si="81"/>
        <v>0</v>
      </c>
      <c r="GU58" s="426">
        <f t="shared" si="82"/>
        <v>0</v>
      </c>
      <c r="GV58" s="426">
        <f t="shared" si="83"/>
        <v>0</v>
      </c>
      <c r="GW58" s="426">
        <f t="shared" si="84"/>
        <v>0</v>
      </c>
      <c r="GX58" s="426">
        <f t="shared" si="85"/>
        <v>0</v>
      </c>
      <c r="GY58" s="426">
        <f t="shared" si="86"/>
        <v>0</v>
      </c>
      <c r="GZ58" s="426">
        <f t="shared" si="87"/>
        <v>0</v>
      </c>
      <c r="HA58" s="426">
        <f t="shared" si="88"/>
        <v>0</v>
      </c>
      <c r="HB58" s="426">
        <f t="shared" si="89"/>
        <v>0</v>
      </c>
      <c r="HC58" s="426">
        <f t="shared" si="90"/>
        <v>0</v>
      </c>
      <c r="HD58" s="426">
        <f t="shared" si="91"/>
        <v>0</v>
      </c>
      <c r="HE58" s="426">
        <f t="shared" si="92"/>
        <v>0</v>
      </c>
      <c r="HF58" s="426">
        <f t="shared" si="93"/>
        <v>0</v>
      </c>
      <c r="HG58" s="426">
        <f t="shared" si="94"/>
        <v>0</v>
      </c>
      <c r="HH58" s="426">
        <f t="shared" si="95"/>
        <v>0</v>
      </c>
      <c r="HI58" s="426">
        <f t="shared" si="96"/>
        <v>0</v>
      </c>
      <c r="HJ58" s="426">
        <f t="shared" si="97"/>
        <v>0</v>
      </c>
      <c r="HK58" s="426">
        <f t="shared" si="98"/>
        <v>0</v>
      </c>
      <c r="HL58" s="426">
        <f t="shared" si="99"/>
        <v>0</v>
      </c>
      <c r="HO58" s="121">
        <v>4</v>
      </c>
      <c r="HP58" s="495">
        <f>DATE(YEAR(EXPEDIENTE!$F$25)+2,HO58,1)</f>
        <v>46113</v>
      </c>
      <c r="HQ58" s="495" t="str">
        <f>IF('GASTOS EJER, 3'!BF52="","",'GASTOS EJER, 3'!BF52)</f>
        <v/>
      </c>
      <c r="HR58" s="503">
        <f>'GASTOS EJER, 3'!CM23</f>
        <v>0</v>
      </c>
      <c r="HS58" s="503">
        <f>'GASTOS EJER, 3'!BA52</f>
        <v>0</v>
      </c>
      <c r="HT58" s="426">
        <f t="shared" si="329"/>
        <v>0</v>
      </c>
      <c r="HU58" s="503">
        <f t="shared" si="285"/>
        <v>0</v>
      </c>
      <c r="JC58" s="419">
        <v>54</v>
      </c>
      <c r="JD58" s="401">
        <f t="shared" si="100"/>
        <v>20</v>
      </c>
    </row>
    <row r="59" spans="3:264" x14ac:dyDescent="0.25">
      <c r="C59" s="209">
        <v>53</v>
      </c>
      <c r="D59" s="404"/>
      <c r="E59" s="420"/>
      <c r="F59" s="421"/>
      <c r="G59" s="422"/>
      <c r="H59" s="422"/>
      <c r="I59" s="422"/>
      <c r="J59" s="404"/>
      <c r="K59" s="410">
        <f t="shared" si="52"/>
        <v>76</v>
      </c>
      <c r="L59" s="410">
        <f t="shared" si="53"/>
        <v>76</v>
      </c>
      <c r="M59" s="410" t="str">
        <f t="shared" si="54"/>
        <v>X</v>
      </c>
      <c r="AG59" s="490">
        <v>21</v>
      </c>
      <c r="AH59" s="492">
        <f>'GASTOS EJER, 3'!M41</f>
        <v>0</v>
      </c>
      <c r="AI59" s="503">
        <f>'GASTOS EJER, 3'!X41</f>
        <v>0</v>
      </c>
      <c r="AJ59" s="493">
        <f t="shared" si="286"/>
        <v>0</v>
      </c>
      <c r="AL59" s="494">
        <f>'GASTOS EJER, 3'!F41+'GASTOS EJER, 3'!L41-'GASTOS EJER, 3'!X41-'GASTOS EJER, 3'!Y41</f>
        <v>0</v>
      </c>
      <c r="AM59" s="495" t="str">
        <f>IF('GASTOS EJER, 3'!AA41="","",'GASTOS EJER, 3'!AA41)</f>
        <v/>
      </c>
      <c r="AN59" s="492">
        <f>'GASTOS EJER, 3'!Y41</f>
        <v>0</v>
      </c>
      <c r="AO59" s="496" t="str">
        <f>IF('GASTOS EJER, 3'!AB41="","",'GASTOS EJER, 3'!AB41)</f>
        <v/>
      </c>
      <c r="AP59" s="497">
        <f>IF(AND(AM59&gt;=EXPEDIENTE!$I$25,AM59&lt;=EXPEDIENTE!$I$29),AL59,0)</f>
        <v>0</v>
      </c>
      <c r="AQ59" s="426">
        <f>IF(AND(AO59&gt;=EXPEDIENTE!$I$25,AO59&lt;=EXPEDIENTE!$I$29),AN59,0)</f>
        <v>0</v>
      </c>
      <c r="AR59" s="493">
        <f t="shared" si="287"/>
        <v>0</v>
      </c>
      <c r="AS59" s="498" t="str">
        <f>IF('GASTOS EJER, 3'!D41="","",'GASTOS EJER, 3'!D41)</f>
        <v/>
      </c>
      <c r="AT59" s="499" t="str">
        <f>IF('GASTOS EJER, 3'!E41="","",'GASTOS EJER, 3'!E41)</f>
        <v/>
      </c>
      <c r="AU59" s="500">
        <f t="shared" si="288"/>
        <v>0</v>
      </c>
      <c r="AV59" s="501">
        <f t="shared" si="266"/>
        <v>0</v>
      </c>
      <c r="AW59" s="442">
        <f t="shared" si="289"/>
        <v>0</v>
      </c>
      <c r="AY59" s="426">
        <v>5</v>
      </c>
      <c r="AZ59" s="427" t="e">
        <f t="shared" si="267"/>
        <v>#VALUE!</v>
      </c>
      <c r="BA59" s="436">
        <f t="shared" si="268"/>
        <v>0</v>
      </c>
      <c r="BB59" s="437">
        <f t="shared" si="269"/>
        <v>0</v>
      </c>
      <c r="BC59" s="437">
        <f t="shared" si="270"/>
        <v>0</v>
      </c>
      <c r="BD59" s="437">
        <f t="shared" si="271"/>
        <v>0</v>
      </c>
      <c r="BE59" s="437">
        <f t="shared" si="272"/>
        <v>0</v>
      </c>
      <c r="BF59" s="437">
        <f t="shared" si="273"/>
        <v>0</v>
      </c>
      <c r="BG59" s="437">
        <f t="shared" si="274"/>
        <v>0</v>
      </c>
      <c r="BH59" s="438">
        <f t="shared" si="275"/>
        <v>0</v>
      </c>
      <c r="BI59" s="439">
        <f t="shared" si="276"/>
        <v>0</v>
      </c>
      <c r="BK59" s="436">
        <f t="shared" si="290"/>
        <v>0</v>
      </c>
      <c r="BL59" s="437">
        <f t="shared" si="291"/>
        <v>0</v>
      </c>
      <c r="BM59" s="437">
        <f t="shared" si="292"/>
        <v>0</v>
      </c>
      <c r="BN59" s="437">
        <f t="shared" si="293"/>
        <v>0</v>
      </c>
      <c r="BO59" s="437">
        <f t="shared" si="294"/>
        <v>0</v>
      </c>
      <c r="BP59" s="437">
        <f t="shared" si="295"/>
        <v>0</v>
      </c>
      <c r="BQ59" s="437">
        <f t="shared" si="296"/>
        <v>0</v>
      </c>
      <c r="BR59" s="438">
        <f t="shared" si="297"/>
        <v>0</v>
      </c>
      <c r="BS59" s="439">
        <f t="shared" si="298"/>
        <v>0</v>
      </c>
      <c r="BU59" s="439">
        <f t="shared" si="299"/>
        <v>0</v>
      </c>
      <c r="BX59" s="490">
        <v>21</v>
      </c>
      <c r="BY59" s="492">
        <f>'GASTOS EJER, 3'!BN41</f>
        <v>0</v>
      </c>
      <c r="BZ59" s="503">
        <f>'GASTOS EJER, 3'!CM41</f>
        <v>0</v>
      </c>
      <c r="CA59" s="493">
        <f t="shared" si="300"/>
        <v>0</v>
      </c>
      <c r="CC59" s="494">
        <f>'GASTOS EJER, 3'!AW41+'GASTOS EJER, 3'!BM41-'GASTOS EJER, 3'!CM41-'GASTOS EJER, 3'!CP41</f>
        <v>0</v>
      </c>
      <c r="CD59" s="495" t="str">
        <f>IF('GASTOS EJER, 3'!CT41="","",'GASTOS EJER, 3'!CT41)</f>
        <v/>
      </c>
      <c r="CE59" s="492">
        <f>'GASTOS EJER, 3'!CP41</f>
        <v>0</v>
      </c>
      <c r="CF59" s="496" t="str">
        <f>IF('GASTOS EJER, 3'!CW41="","",'GASTOS EJER, 3'!CW41)</f>
        <v/>
      </c>
      <c r="CG59" s="497">
        <f>IF(AND(CD59&gt;=EXPEDIENTE!$I$25,CD59&lt;=EXPEDIENTE!$I$29),CC59,0)</f>
        <v>0</v>
      </c>
      <c r="CH59" s="426">
        <f>IF(AND(CF59&gt;=EXPEDIENTE!$I$25,CF59&lt;=EXPEDIENTE!$I$29),CE59,0)</f>
        <v>0</v>
      </c>
      <c r="CI59" s="493">
        <f t="shared" si="301"/>
        <v>0</v>
      </c>
      <c r="CJ59" s="498" t="str">
        <f>IF('GASTOS EJER, 3'!AQ41="","",'GASTOS EJER, 3'!AQ41)</f>
        <v/>
      </c>
      <c r="CK59" s="499" t="str">
        <f>IF('GASTOS EJER, 3'!AT41="","",'GASTOS EJER, 3'!AT41)</f>
        <v/>
      </c>
      <c r="CL59" s="500">
        <f t="shared" si="302"/>
        <v>0</v>
      </c>
      <c r="CM59" s="501">
        <f t="shared" si="277"/>
        <v>0</v>
      </c>
      <c r="CN59" s="442">
        <f t="shared" si="303"/>
        <v>0</v>
      </c>
      <c r="CP59" s="426">
        <v>5</v>
      </c>
      <c r="CQ59" s="427" t="e">
        <f t="shared" si="278"/>
        <v>#VALUE!</v>
      </c>
      <c r="CR59" s="440">
        <f t="shared" si="304"/>
        <v>0</v>
      </c>
      <c r="CS59" s="426">
        <f t="shared" si="305"/>
        <v>0</v>
      </c>
      <c r="CT59" s="426">
        <f t="shared" si="306"/>
        <v>0</v>
      </c>
      <c r="CU59" s="426">
        <f t="shared" si="307"/>
        <v>0</v>
      </c>
      <c r="CV59" s="426">
        <f t="shared" si="308"/>
        <v>0</v>
      </c>
      <c r="CW59" s="426">
        <f t="shared" si="309"/>
        <v>0</v>
      </c>
      <c r="CX59" s="426">
        <f t="shared" si="310"/>
        <v>0</v>
      </c>
      <c r="CY59" s="441">
        <f t="shared" si="311"/>
        <v>0</v>
      </c>
      <c r="CZ59" s="439">
        <f t="shared" si="279"/>
        <v>0</v>
      </c>
      <c r="DB59" s="440">
        <f t="shared" si="312"/>
        <v>0</v>
      </c>
      <c r="DC59" s="426">
        <f t="shared" si="313"/>
        <v>0</v>
      </c>
      <c r="DD59" s="426">
        <f t="shared" si="314"/>
        <v>0</v>
      </c>
      <c r="DE59" s="426">
        <f t="shared" si="315"/>
        <v>0</v>
      </c>
      <c r="DF59" s="426">
        <f t="shared" si="316"/>
        <v>0</v>
      </c>
      <c r="DG59" s="426">
        <f t="shared" si="317"/>
        <v>0</v>
      </c>
      <c r="DH59" s="426">
        <f t="shared" si="318"/>
        <v>0</v>
      </c>
      <c r="DI59" s="441">
        <f t="shared" si="319"/>
        <v>0</v>
      </c>
      <c r="DJ59" s="439">
        <f t="shared" si="320"/>
        <v>0</v>
      </c>
      <c r="DL59" s="439">
        <f t="shared" si="321"/>
        <v>0</v>
      </c>
      <c r="DN59" s="490">
        <v>21</v>
      </c>
      <c r="DO59" s="502">
        <f>'GASTOS EJER, 3'!$C41</f>
        <v>0</v>
      </c>
      <c r="DP59" s="499" t="str">
        <f t="shared" si="322"/>
        <v/>
      </c>
      <c r="DQ59" s="499" t="str">
        <f t="shared" si="323"/>
        <v/>
      </c>
      <c r="DR59" s="389">
        <f t="shared" si="324"/>
        <v>0</v>
      </c>
      <c r="DS59" s="503">
        <f>'GASTOS EJER, 3'!X41</f>
        <v>0</v>
      </c>
      <c r="DT59" s="495" t="str">
        <f>IF(DS43=0,"",'GASTOS EJER, 3'!AA41)</f>
        <v/>
      </c>
      <c r="DU59" s="495" t="str">
        <f t="shared" si="282"/>
        <v/>
      </c>
      <c r="DV59" s="493" t="e">
        <f>IF(AND(DU59&gt;=EXPEDIENTE!$F$25,DU59&lt;=EXPEDIENTE!$F$29),ROUNDDOWN(DS59/DR59,2),0)</f>
        <v>#DIV/0!</v>
      </c>
      <c r="DX59" s="389">
        <v>40</v>
      </c>
      <c r="DY59" s="433">
        <f t="shared" si="101"/>
        <v>46478</v>
      </c>
      <c r="DZ59" s="433">
        <f t="shared" si="102"/>
        <v>46507</v>
      </c>
      <c r="EA59" s="389" t="str">
        <f>IF(AND(DZ59&gt;=EXPEDIENTE!$F$25,DY59&lt;=EXPEDIENTE!$F$29),"SI","NO")</f>
        <v>SI</v>
      </c>
      <c r="EB59" s="426">
        <f t="shared" si="187"/>
        <v>0</v>
      </c>
      <c r="EC59" s="426">
        <f t="shared" si="188"/>
        <v>0</v>
      </c>
      <c r="ED59" s="426">
        <f t="shared" si="189"/>
        <v>0</v>
      </c>
      <c r="EE59" s="426">
        <f t="shared" si="190"/>
        <v>0</v>
      </c>
      <c r="EF59" s="426">
        <f t="shared" si="191"/>
        <v>0</v>
      </c>
      <c r="EG59" s="426">
        <f t="shared" si="192"/>
        <v>0</v>
      </c>
      <c r="EH59" s="426">
        <f t="shared" si="193"/>
        <v>0</v>
      </c>
      <c r="EI59" s="426">
        <f t="shared" si="194"/>
        <v>0</v>
      </c>
      <c r="EJ59" s="426">
        <f t="shared" si="195"/>
        <v>0</v>
      </c>
      <c r="EK59" s="426">
        <f t="shared" si="196"/>
        <v>0</v>
      </c>
      <c r="EL59" s="426">
        <f t="shared" si="197"/>
        <v>0</v>
      </c>
      <c r="EM59" s="426">
        <f t="shared" si="198"/>
        <v>0</v>
      </c>
      <c r="EN59" s="426">
        <f t="shared" si="199"/>
        <v>0</v>
      </c>
      <c r="EO59" s="426">
        <f t="shared" si="200"/>
        <v>0</v>
      </c>
      <c r="EP59" s="426">
        <f t="shared" si="201"/>
        <v>0</v>
      </c>
      <c r="EQ59" s="426">
        <f t="shared" si="202"/>
        <v>0</v>
      </c>
      <c r="ER59" s="426">
        <f t="shared" si="203"/>
        <v>0</v>
      </c>
      <c r="ES59" s="426">
        <f t="shared" si="204"/>
        <v>0</v>
      </c>
      <c r="ET59" s="426">
        <f t="shared" si="205"/>
        <v>0</v>
      </c>
      <c r="EU59" s="426">
        <f t="shared" si="206"/>
        <v>0</v>
      </c>
      <c r="EV59" s="426">
        <f t="shared" si="207"/>
        <v>0</v>
      </c>
      <c r="EW59" s="426">
        <f t="shared" si="208"/>
        <v>0</v>
      </c>
      <c r="EX59" s="426">
        <f t="shared" si="209"/>
        <v>0</v>
      </c>
      <c r="EY59" s="426">
        <f t="shared" si="210"/>
        <v>0</v>
      </c>
      <c r="EZ59" s="426">
        <f t="shared" si="211"/>
        <v>0</v>
      </c>
      <c r="FA59" s="426">
        <f t="shared" si="212"/>
        <v>0</v>
      </c>
      <c r="FB59" s="426">
        <f t="shared" si="213"/>
        <v>0</v>
      </c>
      <c r="FC59" s="426">
        <f t="shared" si="214"/>
        <v>0</v>
      </c>
      <c r="FD59" s="426">
        <f t="shared" si="215"/>
        <v>0</v>
      </c>
      <c r="FE59" s="426">
        <f t="shared" si="216"/>
        <v>0</v>
      </c>
      <c r="FF59" s="426">
        <f t="shared" si="217"/>
        <v>0</v>
      </c>
      <c r="FG59" s="426">
        <f t="shared" si="218"/>
        <v>0</v>
      </c>
      <c r="FH59" s="426">
        <f t="shared" si="66"/>
        <v>0</v>
      </c>
      <c r="FJ59" s="121">
        <v>5</v>
      </c>
      <c r="FK59" s="495">
        <f>DATE(YEAR(EXPEDIENTE!$F$25)+2,FJ59,1)</f>
        <v>46143</v>
      </c>
      <c r="FL59" s="495" t="str">
        <f>IF('GASTOS EJER, 3'!I53="","",'GASTOS EJER, 3'!I53)</f>
        <v/>
      </c>
      <c r="FM59" s="503">
        <f>'GASTOS EJER, 3'!X24</f>
        <v>0</v>
      </c>
      <c r="FN59" s="503">
        <f>'GASTOS EJER, 3'!H53</f>
        <v>0</v>
      </c>
      <c r="FO59" s="426">
        <f t="shared" si="325"/>
        <v>0</v>
      </c>
      <c r="FP59" s="503">
        <f t="shared" si="283"/>
        <v>0</v>
      </c>
      <c r="FR59" s="490">
        <v>21</v>
      </c>
      <c r="FS59" s="502">
        <f>'GASTOS EJER, 3'!$C41</f>
        <v>0</v>
      </c>
      <c r="FT59" s="499" t="str">
        <f t="shared" si="326"/>
        <v/>
      </c>
      <c r="FU59" s="499" t="str">
        <f t="shared" si="327"/>
        <v/>
      </c>
      <c r="FV59" s="389">
        <f t="shared" si="328"/>
        <v>0</v>
      </c>
      <c r="FW59" s="503">
        <f>'GASTOS EJER, 3'!CM41</f>
        <v>0</v>
      </c>
      <c r="FX59" s="495" t="str">
        <f>IF(FW43=0,"",'GASTOS EJER, 3'!CT41)</f>
        <v/>
      </c>
      <c r="FY59" s="495" t="str">
        <f t="shared" si="284"/>
        <v/>
      </c>
      <c r="FZ59" s="493" t="e">
        <f>IF(AND(FY59&gt;=EXPEDIENTE!$F$25,FY59&lt;=EXPEDIENTE!$F$29),ROUNDDOWN(FW59/FV59,2),0)</f>
        <v>#DIV/0!</v>
      </c>
      <c r="GB59" s="389">
        <v>40</v>
      </c>
      <c r="GC59" s="433">
        <f t="shared" si="103"/>
        <v>46478</v>
      </c>
      <c r="GD59" s="433">
        <f t="shared" si="104"/>
        <v>46507</v>
      </c>
      <c r="GE59" s="389" t="str">
        <f>IF(AND(GD59&gt;=EXPEDIENTE!$F$25,GC59&lt;=EXPEDIENTE!$F$29),"SI","NO")</f>
        <v>SI</v>
      </c>
      <c r="GF59" s="426">
        <f t="shared" si="67"/>
        <v>0</v>
      </c>
      <c r="GG59" s="426">
        <f t="shared" si="68"/>
        <v>0</v>
      </c>
      <c r="GH59" s="426">
        <f t="shared" si="69"/>
        <v>0</v>
      </c>
      <c r="GI59" s="426">
        <f t="shared" si="70"/>
        <v>0</v>
      </c>
      <c r="GJ59" s="426">
        <f t="shared" si="71"/>
        <v>0</v>
      </c>
      <c r="GK59" s="426">
        <f t="shared" si="72"/>
        <v>0</v>
      </c>
      <c r="GL59" s="426">
        <f t="shared" si="73"/>
        <v>0</v>
      </c>
      <c r="GM59" s="426">
        <f t="shared" si="74"/>
        <v>0</v>
      </c>
      <c r="GN59" s="426">
        <f t="shared" si="75"/>
        <v>0</v>
      </c>
      <c r="GO59" s="426">
        <f t="shared" si="76"/>
        <v>0</v>
      </c>
      <c r="GP59" s="426">
        <f t="shared" si="77"/>
        <v>0</v>
      </c>
      <c r="GQ59" s="426">
        <f t="shared" si="78"/>
        <v>0</v>
      </c>
      <c r="GR59" s="426">
        <f t="shared" si="79"/>
        <v>0</v>
      </c>
      <c r="GS59" s="426">
        <f t="shared" si="80"/>
        <v>0</v>
      </c>
      <c r="GT59" s="426">
        <f t="shared" si="81"/>
        <v>0</v>
      </c>
      <c r="GU59" s="426">
        <f t="shared" si="82"/>
        <v>0</v>
      </c>
      <c r="GV59" s="426">
        <f t="shared" si="83"/>
        <v>0</v>
      </c>
      <c r="GW59" s="426">
        <f t="shared" si="84"/>
        <v>0</v>
      </c>
      <c r="GX59" s="426">
        <f t="shared" si="85"/>
        <v>0</v>
      </c>
      <c r="GY59" s="426">
        <f t="shared" si="86"/>
        <v>0</v>
      </c>
      <c r="GZ59" s="426">
        <f t="shared" si="87"/>
        <v>0</v>
      </c>
      <c r="HA59" s="426">
        <f t="shared" si="88"/>
        <v>0</v>
      </c>
      <c r="HB59" s="426">
        <f t="shared" si="89"/>
        <v>0</v>
      </c>
      <c r="HC59" s="426">
        <f t="shared" si="90"/>
        <v>0</v>
      </c>
      <c r="HD59" s="426">
        <f t="shared" si="91"/>
        <v>0</v>
      </c>
      <c r="HE59" s="426">
        <f t="shared" si="92"/>
        <v>0</v>
      </c>
      <c r="HF59" s="426">
        <f t="shared" si="93"/>
        <v>0</v>
      </c>
      <c r="HG59" s="426">
        <f t="shared" si="94"/>
        <v>0</v>
      </c>
      <c r="HH59" s="426">
        <f t="shared" si="95"/>
        <v>0</v>
      </c>
      <c r="HI59" s="426">
        <f t="shared" si="96"/>
        <v>0</v>
      </c>
      <c r="HJ59" s="426">
        <f t="shared" si="97"/>
        <v>0</v>
      </c>
      <c r="HK59" s="426">
        <f t="shared" si="98"/>
        <v>0</v>
      </c>
      <c r="HL59" s="426">
        <f t="shared" si="99"/>
        <v>0</v>
      </c>
      <c r="HO59" s="121">
        <v>5</v>
      </c>
      <c r="HP59" s="495">
        <f>DATE(YEAR(EXPEDIENTE!$F$25)+2,HO59,1)</f>
        <v>46143</v>
      </c>
      <c r="HQ59" s="495" t="str">
        <f>IF('GASTOS EJER, 3'!BF53="","",'GASTOS EJER, 3'!BF53)</f>
        <v/>
      </c>
      <c r="HR59" s="503">
        <f>'GASTOS EJER, 3'!CM24</f>
        <v>0</v>
      </c>
      <c r="HS59" s="503">
        <f>'GASTOS EJER, 3'!BA53</f>
        <v>0</v>
      </c>
      <c r="HT59" s="426">
        <f t="shared" si="329"/>
        <v>0</v>
      </c>
      <c r="HU59" s="503">
        <f t="shared" si="285"/>
        <v>0</v>
      </c>
      <c r="JC59" s="445">
        <v>55</v>
      </c>
      <c r="JD59" s="401">
        <f t="shared" si="100"/>
        <v>20</v>
      </c>
    </row>
    <row r="60" spans="3:264" x14ac:dyDescent="0.25">
      <c r="C60" s="209">
        <v>54</v>
      </c>
      <c r="D60" s="404"/>
      <c r="E60" s="420"/>
      <c r="F60" s="421"/>
      <c r="G60" s="422"/>
      <c r="H60" s="422"/>
      <c r="I60" s="422"/>
      <c r="J60" s="404"/>
      <c r="K60" s="410">
        <f t="shared" si="52"/>
        <v>76</v>
      </c>
      <c r="L60" s="410">
        <f t="shared" si="53"/>
        <v>76</v>
      </c>
      <c r="M60" s="410" t="str">
        <f t="shared" si="54"/>
        <v>X</v>
      </c>
      <c r="AG60" s="490">
        <v>22</v>
      </c>
      <c r="AH60" s="492">
        <f>'GASTOS EJER, 3'!M42</f>
        <v>0</v>
      </c>
      <c r="AI60" s="503">
        <f>'GASTOS EJER, 3'!X42</f>
        <v>0</v>
      </c>
      <c r="AJ60" s="493">
        <f t="shared" si="286"/>
        <v>0</v>
      </c>
      <c r="AL60" s="494">
        <f>'GASTOS EJER, 3'!F42+'GASTOS EJER, 3'!L42-'GASTOS EJER, 3'!X42-'GASTOS EJER, 3'!Y42</f>
        <v>0</v>
      </c>
      <c r="AM60" s="495" t="str">
        <f>IF('GASTOS EJER, 3'!AA42="","",'GASTOS EJER, 3'!AA42)</f>
        <v/>
      </c>
      <c r="AN60" s="492">
        <f>'GASTOS EJER, 3'!Y42</f>
        <v>0</v>
      </c>
      <c r="AO60" s="496" t="str">
        <f>IF('GASTOS EJER, 3'!AB42="","",'GASTOS EJER, 3'!AB42)</f>
        <v/>
      </c>
      <c r="AP60" s="497">
        <f>IF(AND(AM60&gt;=EXPEDIENTE!$I$25,AM60&lt;=EXPEDIENTE!$I$29),AL60,0)</f>
        <v>0</v>
      </c>
      <c r="AQ60" s="426">
        <f>IF(AND(AO60&gt;=EXPEDIENTE!$I$25,AO60&lt;=EXPEDIENTE!$I$29),AN60,0)</f>
        <v>0</v>
      </c>
      <c r="AR60" s="493">
        <f t="shared" si="287"/>
        <v>0</v>
      </c>
      <c r="AS60" s="498" t="str">
        <f>IF('GASTOS EJER, 3'!D42="","",'GASTOS EJER, 3'!D42)</f>
        <v/>
      </c>
      <c r="AT60" s="499" t="str">
        <f>IF('GASTOS EJER, 3'!E42="","",'GASTOS EJER, 3'!E42)</f>
        <v/>
      </c>
      <c r="AU60" s="500">
        <f t="shared" si="288"/>
        <v>0</v>
      </c>
      <c r="AV60" s="501">
        <f t="shared" si="266"/>
        <v>0</v>
      </c>
      <c r="AW60" s="442">
        <f t="shared" si="289"/>
        <v>0</v>
      </c>
      <c r="AY60" s="426">
        <v>6</v>
      </c>
      <c r="AZ60" s="427" t="e">
        <f t="shared" si="267"/>
        <v>#VALUE!</v>
      </c>
      <c r="BA60" s="436">
        <f t="shared" si="268"/>
        <v>0</v>
      </c>
      <c r="BB60" s="437">
        <f t="shared" si="269"/>
        <v>0</v>
      </c>
      <c r="BC60" s="437">
        <f t="shared" si="270"/>
        <v>0</v>
      </c>
      <c r="BD60" s="437">
        <f t="shared" si="271"/>
        <v>0</v>
      </c>
      <c r="BE60" s="437">
        <f t="shared" si="272"/>
        <v>0</v>
      </c>
      <c r="BF60" s="437">
        <f t="shared" si="273"/>
        <v>0</v>
      </c>
      <c r="BG60" s="437">
        <f t="shared" si="274"/>
        <v>0</v>
      </c>
      <c r="BH60" s="438">
        <f t="shared" si="275"/>
        <v>0</v>
      </c>
      <c r="BI60" s="439">
        <f t="shared" si="276"/>
        <v>0</v>
      </c>
      <c r="BK60" s="436">
        <f t="shared" si="290"/>
        <v>0</v>
      </c>
      <c r="BL60" s="437">
        <f t="shared" si="291"/>
        <v>0</v>
      </c>
      <c r="BM60" s="437">
        <f t="shared" si="292"/>
        <v>0</v>
      </c>
      <c r="BN60" s="437">
        <f t="shared" si="293"/>
        <v>0</v>
      </c>
      <c r="BO60" s="437">
        <f t="shared" si="294"/>
        <v>0</v>
      </c>
      <c r="BP60" s="437">
        <f t="shared" si="295"/>
        <v>0</v>
      </c>
      <c r="BQ60" s="437">
        <f t="shared" si="296"/>
        <v>0</v>
      </c>
      <c r="BR60" s="438">
        <f t="shared" si="297"/>
        <v>0</v>
      </c>
      <c r="BS60" s="439">
        <f t="shared" si="298"/>
        <v>0</v>
      </c>
      <c r="BU60" s="439">
        <f t="shared" si="299"/>
        <v>0</v>
      </c>
      <c r="BX60" s="490">
        <v>22</v>
      </c>
      <c r="BY60" s="492">
        <f>'GASTOS EJER, 3'!BN42</f>
        <v>0</v>
      </c>
      <c r="BZ60" s="503">
        <f>'GASTOS EJER, 3'!CM42</f>
        <v>0</v>
      </c>
      <c r="CA60" s="493">
        <f t="shared" si="300"/>
        <v>0</v>
      </c>
      <c r="CC60" s="494">
        <f>'GASTOS EJER, 3'!AW42+'GASTOS EJER, 3'!BM42-'GASTOS EJER, 3'!CM42-'GASTOS EJER, 3'!CP42</f>
        <v>0</v>
      </c>
      <c r="CD60" s="495" t="str">
        <f>IF('GASTOS EJER, 3'!CT42="","",'GASTOS EJER, 3'!CT42)</f>
        <v/>
      </c>
      <c r="CE60" s="492">
        <f>'GASTOS EJER, 3'!CP42</f>
        <v>0</v>
      </c>
      <c r="CF60" s="496" t="str">
        <f>IF('GASTOS EJER, 3'!CW42="","",'GASTOS EJER, 3'!CW42)</f>
        <v/>
      </c>
      <c r="CG60" s="497">
        <f>IF(AND(CD60&gt;=EXPEDIENTE!$I$25,CD60&lt;=EXPEDIENTE!$I$29),CC60,0)</f>
        <v>0</v>
      </c>
      <c r="CH60" s="426">
        <f>IF(AND(CF60&gt;=EXPEDIENTE!$I$25,CF60&lt;=EXPEDIENTE!$I$29),CE60,0)</f>
        <v>0</v>
      </c>
      <c r="CI60" s="493">
        <f t="shared" si="301"/>
        <v>0</v>
      </c>
      <c r="CJ60" s="498" t="str">
        <f>IF('GASTOS EJER, 3'!AQ42="","",'GASTOS EJER, 3'!AQ42)</f>
        <v/>
      </c>
      <c r="CK60" s="499" t="str">
        <f>IF('GASTOS EJER, 3'!AT42="","",'GASTOS EJER, 3'!AT42)</f>
        <v/>
      </c>
      <c r="CL60" s="500">
        <f t="shared" si="302"/>
        <v>0</v>
      </c>
      <c r="CM60" s="501">
        <f t="shared" si="277"/>
        <v>0</v>
      </c>
      <c r="CN60" s="442">
        <f t="shared" si="303"/>
        <v>0</v>
      </c>
      <c r="CP60" s="426">
        <v>6</v>
      </c>
      <c r="CQ60" s="427" t="e">
        <f t="shared" si="278"/>
        <v>#VALUE!</v>
      </c>
      <c r="CR60" s="440">
        <f t="shared" si="304"/>
        <v>0</v>
      </c>
      <c r="CS60" s="426">
        <f t="shared" si="305"/>
        <v>0</v>
      </c>
      <c r="CT60" s="426">
        <f t="shared" si="306"/>
        <v>0</v>
      </c>
      <c r="CU60" s="426">
        <f t="shared" si="307"/>
        <v>0</v>
      </c>
      <c r="CV60" s="426">
        <f t="shared" si="308"/>
        <v>0</v>
      </c>
      <c r="CW60" s="426">
        <f t="shared" si="309"/>
        <v>0</v>
      </c>
      <c r="CX60" s="426">
        <f t="shared" si="310"/>
        <v>0</v>
      </c>
      <c r="CY60" s="441">
        <f t="shared" si="311"/>
        <v>0</v>
      </c>
      <c r="CZ60" s="439">
        <f t="shared" si="279"/>
        <v>0</v>
      </c>
      <c r="DB60" s="440">
        <f t="shared" si="312"/>
        <v>0</v>
      </c>
      <c r="DC60" s="426">
        <f t="shared" si="313"/>
        <v>0</v>
      </c>
      <c r="DD60" s="426">
        <f t="shared" si="314"/>
        <v>0</v>
      </c>
      <c r="DE60" s="426">
        <f t="shared" si="315"/>
        <v>0</v>
      </c>
      <c r="DF60" s="426">
        <f t="shared" si="316"/>
        <v>0</v>
      </c>
      <c r="DG60" s="426">
        <f t="shared" si="317"/>
        <v>0</v>
      </c>
      <c r="DH60" s="426">
        <f t="shared" si="318"/>
        <v>0</v>
      </c>
      <c r="DI60" s="441">
        <f t="shared" si="319"/>
        <v>0</v>
      </c>
      <c r="DJ60" s="439">
        <f t="shared" si="320"/>
        <v>0</v>
      </c>
      <c r="DL60" s="439">
        <f t="shared" si="321"/>
        <v>0</v>
      </c>
      <c r="DN60" s="490">
        <v>22</v>
      </c>
      <c r="DO60" s="502">
        <f>'GASTOS EJER, 3'!$C42</f>
        <v>0</v>
      </c>
      <c r="DP60" s="499" t="str">
        <f t="shared" si="322"/>
        <v/>
      </c>
      <c r="DQ60" s="499" t="str">
        <f t="shared" si="323"/>
        <v/>
      </c>
      <c r="DR60" s="389">
        <f t="shared" si="324"/>
        <v>0</v>
      </c>
      <c r="DS60" s="503">
        <f>'GASTOS EJER, 3'!X42</f>
        <v>0</v>
      </c>
      <c r="DT60" s="495" t="str">
        <f>IF(DS44=0,"",'GASTOS EJER, 3'!AA42)</f>
        <v/>
      </c>
      <c r="DU60" s="495" t="str">
        <f t="shared" si="282"/>
        <v/>
      </c>
      <c r="DV60" s="493" t="e">
        <f>IF(AND(DU60&gt;=EXPEDIENTE!$F$25,DU60&lt;=EXPEDIENTE!$F$29),ROUNDDOWN(DS60/DR60,2),0)</f>
        <v>#DIV/0!</v>
      </c>
      <c r="DX60" s="389">
        <v>41</v>
      </c>
      <c r="DY60" s="433">
        <f t="shared" si="101"/>
        <v>46508</v>
      </c>
      <c r="DZ60" s="433">
        <f t="shared" si="102"/>
        <v>46538</v>
      </c>
      <c r="EA60" s="389" t="str">
        <f>IF(AND(DZ60&gt;=EXPEDIENTE!$F$25,DY60&lt;=EXPEDIENTE!$F$29),"SI","NO")</f>
        <v>SI</v>
      </c>
      <c r="EB60" s="426">
        <f t="shared" si="187"/>
        <v>0</v>
      </c>
      <c r="EC60" s="426">
        <f t="shared" si="188"/>
        <v>0</v>
      </c>
      <c r="ED60" s="426">
        <f t="shared" si="189"/>
        <v>0</v>
      </c>
      <c r="EE60" s="426">
        <f t="shared" si="190"/>
        <v>0</v>
      </c>
      <c r="EF60" s="426">
        <f t="shared" si="191"/>
        <v>0</v>
      </c>
      <c r="EG60" s="426">
        <f t="shared" si="192"/>
        <v>0</v>
      </c>
      <c r="EH60" s="426">
        <f t="shared" si="193"/>
        <v>0</v>
      </c>
      <c r="EI60" s="426">
        <f t="shared" si="194"/>
        <v>0</v>
      </c>
      <c r="EJ60" s="426">
        <f t="shared" si="195"/>
        <v>0</v>
      </c>
      <c r="EK60" s="426">
        <f t="shared" si="196"/>
        <v>0</v>
      </c>
      <c r="EL60" s="426">
        <f t="shared" si="197"/>
        <v>0</v>
      </c>
      <c r="EM60" s="426">
        <f t="shared" si="198"/>
        <v>0</v>
      </c>
      <c r="EN60" s="426">
        <f t="shared" si="199"/>
        <v>0</v>
      </c>
      <c r="EO60" s="426">
        <f t="shared" si="200"/>
        <v>0</v>
      </c>
      <c r="EP60" s="426">
        <f t="shared" si="201"/>
        <v>0</v>
      </c>
      <c r="EQ60" s="426">
        <f t="shared" si="202"/>
        <v>0</v>
      </c>
      <c r="ER60" s="426">
        <f t="shared" si="203"/>
        <v>0</v>
      </c>
      <c r="ES60" s="426">
        <f t="shared" si="204"/>
        <v>0</v>
      </c>
      <c r="ET60" s="426">
        <f t="shared" si="205"/>
        <v>0</v>
      </c>
      <c r="EU60" s="426">
        <f t="shared" si="206"/>
        <v>0</v>
      </c>
      <c r="EV60" s="426">
        <f t="shared" si="207"/>
        <v>0</v>
      </c>
      <c r="EW60" s="426">
        <f t="shared" si="208"/>
        <v>0</v>
      </c>
      <c r="EX60" s="426">
        <f t="shared" si="209"/>
        <v>0</v>
      </c>
      <c r="EY60" s="426">
        <f t="shared" si="210"/>
        <v>0</v>
      </c>
      <c r="EZ60" s="426">
        <f t="shared" si="211"/>
        <v>0</v>
      </c>
      <c r="FA60" s="426">
        <f t="shared" si="212"/>
        <v>0</v>
      </c>
      <c r="FB60" s="426">
        <f t="shared" si="213"/>
        <v>0</v>
      </c>
      <c r="FC60" s="426">
        <f t="shared" si="214"/>
        <v>0</v>
      </c>
      <c r="FD60" s="426">
        <f t="shared" si="215"/>
        <v>0</v>
      </c>
      <c r="FE60" s="426">
        <f t="shared" si="216"/>
        <v>0</v>
      </c>
      <c r="FF60" s="426">
        <f t="shared" si="217"/>
        <v>0</v>
      </c>
      <c r="FG60" s="426">
        <f t="shared" si="218"/>
        <v>0</v>
      </c>
      <c r="FH60" s="426">
        <f t="shared" si="66"/>
        <v>0</v>
      </c>
      <c r="FJ60" s="121">
        <v>6</v>
      </c>
      <c r="FK60" s="495">
        <f>DATE(YEAR(EXPEDIENTE!$F$25)+2,FJ60,1)</f>
        <v>46174</v>
      </c>
      <c r="FL60" s="495" t="str">
        <f>IF('GASTOS EJER, 3'!I54="","",'GASTOS EJER, 3'!I54)</f>
        <v/>
      </c>
      <c r="FM60" s="503">
        <f>'GASTOS EJER, 3'!X25</f>
        <v>0</v>
      </c>
      <c r="FN60" s="503">
        <f>'GASTOS EJER, 3'!H54</f>
        <v>0</v>
      </c>
      <c r="FO60" s="426">
        <f t="shared" si="325"/>
        <v>0</v>
      </c>
      <c r="FP60" s="503">
        <f t="shared" si="283"/>
        <v>0</v>
      </c>
      <c r="FR60" s="490">
        <v>22</v>
      </c>
      <c r="FS60" s="502">
        <f>'GASTOS EJER, 3'!$C42</f>
        <v>0</v>
      </c>
      <c r="FT60" s="499" t="str">
        <f t="shared" si="326"/>
        <v/>
      </c>
      <c r="FU60" s="499" t="str">
        <f t="shared" si="327"/>
        <v/>
      </c>
      <c r="FV60" s="389">
        <f t="shared" si="328"/>
        <v>0</v>
      </c>
      <c r="FW60" s="503">
        <f>'GASTOS EJER, 3'!CM42</f>
        <v>0</v>
      </c>
      <c r="FX60" s="495" t="str">
        <f>IF(FW44=0,"",'GASTOS EJER, 3'!CT42)</f>
        <v/>
      </c>
      <c r="FY60" s="495" t="str">
        <f t="shared" si="284"/>
        <v/>
      </c>
      <c r="FZ60" s="493" t="e">
        <f>IF(AND(FY60&gt;=EXPEDIENTE!$F$25,FY60&lt;=EXPEDIENTE!$F$29),ROUNDDOWN(FW60/FV60,2),0)</f>
        <v>#DIV/0!</v>
      </c>
      <c r="GB60" s="389">
        <v>41</v>
      </c>
      <c r="GC60" s="433">
        <f t="shared" si="103"/>
        <v>46508</v>
      </c>
      <c r="GD60" s="433">
        <f t="shared" si="104"/>
        <v>46538</v>
      </c>
      <c r="GE60" s="389" t="str">
        <f>IF(AND(GD60&gt;=EXPEDIENTE!$F$25,GC60&lt;=EXPEDIENTE!$F$29),"SI","NO")</f>
        <v>SI</v>
      </c>
      <c r="GF60" s="426">
        <f t="shared" si="67"/>
        <v>0</v>
      </c>
      <c r="GG60" s="426">
        <f t="shared" si="68"/>
        <v>0</v>
      </c>
      <c r="GH60" s="426">
        <f t="shared" si="69"/>
        <v>0</v>
      </c>
      <c r="GI60" s="426">
        <f t="shared" si="70"/>
        <v>0</v>
      </c>
      <c r="GJ60" s="426">
        <f t="shared" si="71"/>
        <v>0</v>
      </c>
      <c r="GK60" s="426">
        <f t="shared" si="72"/>
        <v>0</v>
      </c>
      <c r="GL60" s="426">
        <f t="shared" si="73"/>
        <v>0</v>
      </c>
      <c r="GM60" s="426">
        <f t="shared" si="74"/>
        <v>0</v>
      </c>
      <c r="GN60" s="426">
        <f t="shared" si="75"/>
        <v>0</v>
      </c>
      <c r="GO60" s="426">
        <f t="shared" si="76"/>
        <v>0</v>
      </c>
      <c r="GP60" s="426">
        <f t="shared" si="77"/>
        <v>0</v>
      </c>
      <c r="GQ60" s="426">
        <f t="shared" si="78"/>
        <v>0</v>
      </c>
      <c r="GR60" s="426">
        <f t="shared" si="79"/>
        <v>0</v>
      </c>
      <c r="GS60" s="426">
        <f t="shared" si="80"/>
        <v>0</v>
      </c>
      <c r="GT60" s="426">
        <f t="shared" si="81"/>
        <v>0</v>
      </c>
      <c r="GU60" s="426">
        <f t="shared" si="82"/>
        <v>0</v>
      </c>
      <c r="GV60" s="426">
        <f t="shared" si="83"/>
        <v>0</v>
      </c>
      <c r="GW60" s="426">
        <f t="shared" si="84"/>
        <v>0</v>
      </c>
      <c r="GX60" s="426">
        <f t="shared" si="85"/>
        <v>0</v>
      </c>
      <c r="GY60" s="426">
        <f t="shared" si="86"/>
        <v>0</v>
      </c>
      <c r="GZ60" s="426">
        <f t="shared" si="87"/>
        <v>0</v>
      </c>
      <c r="HA60" s="426">
        <f t="shared" si="88"/>
        <v>0</v>
      </c>
      <c r="HB60" s="426">
        <f t="shared" si="89"/>
        <v>0</v>
      </c>
      <c r="HC60" s="426">
        <f t="shared" si="90"/>
        <v>0</v>
      </c>
      <c r="HD60" s="426">
        <f t="shared" si="91"/>
        <v>0</v>
      </c>
      <c r="HE60" s="426">
        <f t="shared" si="92"/>
        <v>0</v>
      </c>
      <c r="HF60" s="426">
        <f t="shared" si="93"/>
        <v>0</v>
      </c>
      <c r="HG60" s="426">
        <f t="shared" si="94"/>
        <v>0</v>
      </c>
      <c r="HH60" s="426">
        <f t="shared" si="95"/>
        <v>0</v>
      </c>
      <c r="HI60" s="426">
        <f t="shared" si="96"/>
        <v>0</v>
      </c>
      <c r="HJ60" s="426">
        <f t="shared" si="97"/>
        <v>0</v>
      </c>
      <c r="HK60" s="426">
        <f t="shared" si="98"/>
        <v>0</v>
      </c>
      <c r="HL60" s="426">
        <f t="shared" si="99"/>
        <v>0</v>
      </c>
      <c r="HO60" s="121">
        <v>6</v>
      </c>
      <c r="HP60" s="495">
        <f>DATE(YEAR(EXPEDIENTE!$F$25)+2,HO60,1)</f>
        <v>46174</v>
      </c>
      <c r="HQ60" s="495" t="str">
        <f>IF('GASTOS EJER, 3'!BF54="","",'GASTOS EJER, 3'!BF54)</f>
        <v/>
      </c>
      <c r="HR60" s="503">
        <f>'GASTOS EJER, 3'!CM25</f>
        <v>0</v>
      </c>
      <c r="HS60" s="503">
        <f>'GASTOS EJER, 3'!BA54</f>
        <v>0</v>
      </c>
      <c r="HT60" s="426">
        <f t="shared" si="329"/>
        <v>0</v>
      </c>
      <c r="HU60" s="503">
        <f t="shared" si="285"/>
        <v>0</v>
      </c>
      <c r="JC60" s="409">
        <v>56</v>
      </c>
      <c r="JD60" s="401">
        <f t="shared" si="100"/>
        <v>22</v>
      </c>
    </row>
    <row r="61" spans="3:264" x14ac:dyDescent="0.25">
      <c r="C61" s="209">
        <v>55</v>
      </c>
      <c r="D61" s="404"/>
      <c r="E61" s="420"/>
      <c r="F61" s="421"/>
      <c r="G61" s="422"/>
      <c r="H61" s="422"/>
      <c r="I61" s="422"/>
      <c r="J61" s="404"/>
      <c r="K61" s="410">
        <f t="shared" si="52"/>
        <v>76</v>
      </c>
      <c r="L61" s="410">
        <f t="shared" si="53"/>
        <v>76</v>
      </c>
      <c r="M61" s="410" t="str">
        <f t="shared" si="54"/>
        <v>X</v>
      </c>
      <c r="AG61" s="490">
        <v>23</v>
      </c>
      <c r="AH61" s="492">
        <f>'GASTOS EJER, 3'!M43</f>
        <v>0</v>
      </c>
      <c r="AI61" s="503">
        <f>'GASTOS EJER, 3'!X43</f>
        <v>0</v>
      </c>
      <c r="AJ61" s="493">
        <f t="shared" si="286"/>
        <v>0</v>
      </c>
      <c r="AL61" s="494">
        <f>'GASTOS EJER, 3'!F43+'GASTOS EJER, 3'!L43-'GASTOS EJER, 3'!X43-'GASTOS EJER, 3'!Y43</f>
        <v>0</v>
      </c>
      <c r="AM61" s="495" t="str">
        <f>IF('GASTOS EJER, 3'!AA43="","",'GASTOS EJER, 3'!AA43)</f>
        <v/>
      </c>
      <c r="AN61" s="492">
        <f>'GASTOS EJER, 3'!Y43</f>
        <v>0</v>
      </c>
      <c r="AO61" s="496" t="str">
        <f>IF('GASTOS EJER, 3'!AB43="","",'GASTOS EJER, 3'!AB43)</f>
        <v/>
      </c>
      <c r="AP61" s="497">
        <f>IF(AND(AM61&gt;=EXPEDIENTE!$I$25,AM61&lt;=EXPEDIENTE!$I$29),AL61,0)</f>
        <v>0</v>
      </c>
      <c r="AQ61" s="426">
        <f>IF(AND(AO61&gt;=EXPEDIENTE!$I$25,AO61&lt;=EXPEDIENTE!$I$29),AN61,0)</f>
        <v>0</v>
      </c>
      <c r="AR61" s="493">
        <f t="shared" si="287"/>
        <v>0</v>
      </c>
      <c r="AS61" s="498" t="str">
        <f>IF('GASTOS EJER, 3'!D43="","",'GASTOS EJER, 3'!D43)</f>
        <v/>
      </c>
      <c r="AT61" s="499" t="str">
        <f>IF('GASTOS EJER, 3'!E43="","",'GASTOS EJER, 3'!E43)</f>
        <v/>
      </c>
      <c r="AU61" s="500">
        <f t="shared" si="288"/>
        <v>0</v>
      </c>
      <c r="AV61" s="501">
        <f t="shared" si="266"/>
        <v>0</v>
      </c>
      <c r="AW61" s="442">
        <f t="shared" si="289"/>
        <v>0</v>
      </c>
      <c r="AY61" s="426">
        <v>7</v>
      </c>
      <c r="AZ61" s="427" t="e">
        <f t="shared" si="267"/>
        <v>#VALUE!</v>
      </c>
      <c r="BA61" s="436">
        <f t="shared" si="268"/>
        <v>0</v>
      </c>
      <c r="BB61" s="437">
        <f t="shared" si="269"/>
        <v>0</v>
      </c>
      <c r="BC61" s="437">
        <f t="shared" si="270"/>
        <v>0</v>
      </c>
      <c r="BD61" s="437">
        <f t="shared" si="271"/>
        <v>0</v>
      </c>
      <c r="BE61" s="437">
        <f t="shared" si="272"/>
        <v>0</v>
      </c>
      <c r="BF61" s="437">
        <f t="shared" si="273"/>
        <v>0</v>
      </c>
      <c r="BG61" s="437">
        <f t="shared" si="274"/>
        <v>0</v>
      </c>
      <c r="BH61" s="438">
        <f t="shared" si="275"/>
        <v>0</v>
      </c>
      <c r="BI61" s="439">
        <f t="shared" si="276"/>
        <v>0</v>
      </c>
      <c r="BK61" s="436">
        <f t="shared" si="290"/>
        <v>0</v>
      </c>
      <c r="BL61" s="437">
        <f t="shared" si="291"/>
        <v>0</v>
      </c>
      <c r="BM61" s="437">
        <f t="shared" si="292"/>
        <v>0</v>
      </c>
      <c r="BN61" s="437">
        <f t="shared" si="293"/>
        <v>0</v>
      </c>
      <c r="BO61" s="437">
        <f t="shared" si="294"/>
        <v>0</v>
      </c>
      <c r="BP61" s="437">
        <f t="shared" si="295"/>
        <v>0</v>
      </c>
      <c r="BQ61" s="437">
        <f t="shared" si="296"/>
        <v>0</v>
      </c>
      <c r="BR61" s="438">
        <f t="shared" si="297"/>
        <v>0</v>
      </c>
      <c r="BS61" s="439">
        <f t="shared" si="298"/>
        <v>0</v>
      </c>
      <c r="BU61" s="439">
        <f t="shared" si="299"/>
        <v>0</v>
      </c>
      <c r="BX61" s="490">
        <v>23</v>
      </c>
      <c r="BY61" s="492">
        <f>'GASTOS EJER, 3'!BN43</f>
        <v>0</v>
      </c>
      <c r="BZ61" s="503">
        <f>'GASTOS EJER, 3'!CM43</f>
        <v>0</v>
      </c>
      <c r="CA61" s="493">
        <f t="shared" si="300"/>
        <v>0</v>
      </c>
      <c r="CC61" s="494">
        <f>'GASTOS EJER, 3'!AW43+'GASTOS EJER, 3'!BM43-'GASTOS EJER, 3'!CM43-'GASTOS EJER, 3'!CP43</f>
        <v>0</v>
      </c>
      <c r="CD61" s="495" t="str">
        <f>IF('GASTOS EJER, 3'!CT43="","",'GASTOS EJER, 3'!CT43)</f>
        <v/>
      </c>
      <c r="CE61" s="492">
        <f>'GASTOS EJER, 3'!CP43</f>
        <v>0</v>
      </c>
      <c r="CF61" s="496" t="str">
        <f>IF('GASTOS EJER, 3'!CW43="","",'GASTOS EJER, 3'!CW43)</f>
        <v/>
      </c>
      <c r="CG61" s="497">
        <f>IF(AND(CD61&gt;=EXPEDIENTE!$I$25,CD61&lt;=EXPEDIENTE!$I$29),CC61,0)</f>
        <v>0</v>
      </c>
      <c r="CH61" s="426">
        <f>IF(AND(CF61&gt;=EXPEDIENTE!$I$25,CF61&lt;=EXPEDIENTE!$I$29),CE61,0)</f>
        <v>0</v>
      </c>
      <c r="CI61" s="493">
        <f t="shared" si="301"/>
        <v>0</v>
      </c>
      <c r="CJ61" s="498" t="str">
        <f>IF('GASTOS EJER, 3'!AQ43="","",'GASTOS EJER, 3'!AQ43)</f>
        <v/>
      </c>
      <c r="CK61" s="499" t="str">
        <f>IF('GASTOS EJER, 3'!AT43="","",'GASTOS EJER, 3'!AT43)</f>
        <v/>
      </c>
      <c r="CL61" s="500">
        <f t="shared" si="302"/>
        <v>0</v>
      </c>
      <c r="CM61" s="501">
        <f t="shared" si="277"/>
        <v>0</v>
      </c>
      <c r="CN61" s="442">
        <f t="shared" si="303"/>
        <v>0</v>
      </c>
      <c r="CP61" s="426">
        <v>7</v>
      </c>
      <c r="CQ61" s="427" t="e">
        <f t="shared" si="278"/>
        <v>#VALUE!</v>
      </c>
      <c r="CR61" s="440">
        <f t="shared" si="304"/>
        <v>0</v>
      </c>
      <c r="CS61" s="426">
        <f t="shared" si="305"/>
        <v>0</v>
      </c>
      <c r="CT61" s="426">
        <f t="shared" si="306"/>
        <v>0</v>
      </c>
      <c r="CU61" s="426">
        <f t="shared" si="307"/>
        <v>0</v>
      </c>
      <c r="CV61" s="426">
        <f t="shared" si="308"/>
        <v>0</v>
      </c>
      <c r="CW61" s="426">
        <f t="shared" si="309"/>
        <v>0</v>
      </c>
      <c r="CX61" s="426">
        <f t="shared" si="310"/>
        <v>0</v>
      </c>
      <c r="CY61" s="441">
        <f t="shared" si="311"/>
        <v>0</v>
      </c>
      <c r="CZ61" s="439">
        <f t="shared" si="279"/>
        <v>0</v>
      </c>
      <c r="DB61" s="440">
        <f t="shared" si="312"/>
        <v>0</v>
      </c>
      <c r="DC61" s="426">
        <f t="shared" si="313"/>
        <v>0</v>
      </c>
      <c r="DD61" s="426">
        <f t="shared" si="314"/>
        <v>0</v>
      </c>
      <c r="DE61" s="426">
        <f t="shared" si="315"/>
        <v>0</v>
      </c>
      <c r="DF61" s="426">
        <f t="shared" si="316"/>
        <v>0</v>
      </c>
      <c r="DG61" s="426">
        <f t="shared" si="317"/>
        <v>0</v>
      </c>
      <c r="DH61" s="426">
        <f t="shared" si="318"/>
        <v>0</v>
      </c>
      <c r="DI61" s="441">
        <f t="shared" si="319"/>
        <v>0</v>
      </c>
      <c r="DJ61" s="439">
        <f t="shared" si="320"/>
        <v>0</v>
      </c>
      <c r="DL61" s="439">
        <f t="shared" si="321"/>
        <v>0</v>
      </c>
      <c r="DN61" s="490">
        <v>23</v>
      </c>
      <c r="DO61" s="502">
        <f>'GASTOS EJER, 3'!$C43</f>
        <v>0</v>
      </c>
      <c r="DP61" s="499" t="str">
        <f t="shared" si="322"/>
        <v/>
      </c>
      <c r="DQ61" s="499" t="str">
        <f t="shared" si="323"/>
        <v/>
      </c>
      <c r="DR61" s="389">
        <f t="shared" si="324"/>
        <v>0</v>
      </c>
      <c r="DS61" s="503">
        <f>'GASTOS EJER, 3'!X43</f>
        <v>0</v>
      </c>
      <c r="DT61" s="495" t="str">
        <f>IF(DS45=0,"",'GASTOS EJER, 3'!AA43)</f>
        <v/>
      </c>
      <c r="DU61" s="495" t="str">
        <f t="shared" si="282"/>
        <v/>
      </c>
      <c r="DV61" s="493" t="e">
        <f>IF(AND(DU61&gt;=EXPEDIENTE!$F$25,DU61&lt;=EXPEDIENTE!$F$29),ROUNDDOWN(DS61/DR61,2),0)</f>
        <v>#DIV/0!</v>
      </c>
      <c r="DX61" s="389">
        <v>42</v>
      </c>
      <c r="DY61" s="433">
        <f t="shared" si="101"/>
        <v>46539</v>
      </c>
      <c r="DZ61" s="433">
        <f t="shared" si="102"/>
        <v>46568</v>
      </c>
      <c r="EA61" s="389" t="str">
        <f>IF(AND(DZ61&gt;=EXPEDIENTE!$F$25,DY61&lt;=EXPEDIENTE!$F$29),"SI","NO")</f>
        <v>SI</v>
      </c>
      <c r="EB61" s="426">
        <f t="shared" si="187"/>
        <v>0</v>
      </c>
      <c r="EC61" s="426">
        <f t="shared" si="188"/>
        <v>0</v>
      </c>
      <c r="ED61" s="426">
        <f t="shared" si="189"/>
        <v>0</v>
      </c>
      <c r="EE61" s="426">
        <f t="shared" si="190"/>
        <v>0</v>
      </c>
      <c r="EF61" s="426">
        <f t="shared" si="191"/>
        <v>0</v>
      </c>
      <c r="EG61" s="426">
        <f t="shared" si="192"/>
        <v>0</v>
      </c>
      <c r="EH61" s="426">
        <f t="shared" si="193"/>
        <v>0</v>
      </c>
      <c r="EI61" s="426">
        <f t="shared" si="194"/>
        <v>0</v>
      </c>
      <c r="EJ61" s="426">
        <f t="shared" si="195"/>
        <v>0</v>
      </c>
      <c r="EK61" s="426">
        <f t="shared" si="196"/>
        <v>0</v>
      </c>
      <c r="EL61" s="426">
        <f t="shared" si="197"/>
        <v>0</v>
      </c>
      <c r="EM61" s="426">
        <f t="shared" si="198"/>
        <v>0</v>
      </c>
      <c r="EN61" s="426">
        <f t="shared" si="199"/>
        <v>0</v>
      </c>
      <c r="EO61" s="426">
        <f t="shared" si="200"/>
        <v>0</v>
      </c>
      <c r="EP61" s="426">
        <f t="shared" si="201"/>
        <v>0</v>
      </c>
      <c r="EQ61" s="426">
        <f t="shared" si="202"/>
        <v>0</v>
      </c>
      <c r="ER61" s="426">
        <f t="shared" si="203"/>
        <v>0</v>
      </c>
      <c r="ES61" s="426">
        <f t="shared" si="204"/>
        <v>0</v>
      </c>
      <c r="ET61" s="426">
        <f t="shared" si="205"/>
        <v>0</v>
      </c>
      <c r="EU61" s="426">
        <f t="shared" si="206"/>
        <v>0</v>
      </c>
      <c r="EV61" s="426">
        <f t="shared" si="207"/>
        <v>0</v>
      </c>
      <c r="EW61" s="426">
        <f t="shared" si="208"/>
        <v>0</v>
      </c>
      <c r="EX61" s="426">
        <f t="shared" si="209"/>
        <v>0</v>
      </c>
      <c r="EY61" s="426">
        <f t="shared" si="210"/>
        <v>0</v>
      </c>
      <c r="EZ61" s="426">
        <f t="shared" si="211"/>
        <v>0</v>
      </c>
      <c r="FA61" s="426">
        <f t="shared" si="212"/>
        <v>0</v>
      </c>
      <c r="FB61" s="426">
        <f t="shared" si="213"/>
        <v>0</v>
      </c>
      <c r="FC61" s="426">
        <f t="shared" si="214"/>
        <v>0</v>
      </c>
      <c r="FD61" s="426">
        <f t="shared" si="215"/>
        <v>0</v>
      </c>
      <c r="FE61" s="426">
        <f t="shared" si="216"/>
        <v>0</v>
      </c>
      <c r="FF61" s="426">
        <f t="shared" si="217"/>
        <v>0</v>
      </c>
      <c r="FG61" s="426">
        <f t="shared" si="218"/>
        <v>0</v>
      </c>
      <c r="FH61" s="426">
        <f t="shared" si="66"/>
        <v>0</v>
      </c>
      <c r="FJ61" s="121">
        <v>7</v>
      </c>
      <c r="FK61" s="495">
        <f>DATE(YEAR(EXPEDIENTE!$F$25)+2,FJ61,1)</f>
        <v>46204</v>
      </c>
      <c r="FL61" s="495" t="str">
        <f>IF('GASTOS EJER, 3'!I55="","",'GASTOS EJER, 3'!I55)</f>
        <v/>
      </c>
      <c r="FM61" s="503">
        <f>'GASTOS EJER, 3'!X26</f>
        <v>0</v>
      </c>
      <c r="FN61" s="503">
        <f>'GASTOS EJER, 3'!H55</f>
        <v>0</v>
      </c>
      <c r="FO61" s="426">
        <f t="shared" si="325"/>
        <v>0</v>
      </c>
      <c r="FP61" s="503">
        <f t="shared" si="283"/>
        <v>0</v>
      </c>
      <c r="FR61" s="490">
        <v>23</v>
      </c>
      <c r="FS61" s="502">
        <f>'GASTOS EJER, 3'!$C43</f>
        <v>0</v>
      </c>
      <c r="FT61" s="499" t="str">
        <f t="shared" si="326"/>
        <v/>
      </c>
      <c r="FU61" s="499" t="str">
        <f t="shared" si="327"/>
        <v/>
      </c>
      <c r="FV61" s="389">
        <f t="shared" si="328"/>
        <v>0</v>
      </c>
      <c r="FW61" s="503">
        <f>'GASTOS EJER, 3'!CM43</f>
        <v>0</v>
      </c>
      <c r="FX61" s="495" t="str">
        <f>IF(FW45=0,"",'GASTOS EJER, 3'!CT43)</f>
        <v/>
      </c>
      <c r="FY61" s="495" t="str">
        <f t="shared" si="284"/>
        <v/>
      </c>
      <c r="FZ61" s="493" t="e">
        <f>IF(AND(FY61&gt;=EXPEDIENTE!$F$25,FY61&lt;=EXPEDIENTE!$F$29),ROUNDDOWN(FW61/FV61,2),0)</f>
        <v>#DIV/0!</v>
      </c>
      <c r="GB61" s="389">
        <v>42</v>
      </c>
      <c r="GC61" s="433">
        <f t="shared" si="103"/>
        <v>46539</v>
      </c>
      <c r="GD61" s="433">
        <f t="shared" si="104"/>
        <v>46568</v>
      </c>
      <c r="GE61" s="389" t="str">
        <f>IF(AND(GD61&gt;=EXPEDIENTE!$F$25,GC61&lt;=EXPEDIENTE!$F$29),"SI","NO")</f>
        <v>SI</v>
      </c>
      <c r="GF61" s="426">
        <f t="shared" si="67"/>
        <v>0</v>
      </c>
      <c r="GG61" s="426">
        <f t="shared" si="68"/>
        <v>0</v>
      </c>
      <c r="GH61" s="426">
        <f t="shared" si="69"/>
        <v>0</v>
      </c>
      <c r="GI61" s="426">
        <f t="shared" si="70"/>
        <v>0</v>
      </c>
      <c r="GJ61" s="426">
        <f t="shared" si="71"/>
        <v>0</v>
      </c>
      <c r="GK61" s="426">
        <f t="shared" si="72"/>
        <v>0</v>
      </c>
      <c r="GL61" s="426">
        <f t="shared" si="73"/>
        <v>0</v>
      </c>
      <c r="GM61" s="426">
        <f t="shared" si="74"/>
        <v>0</v>
      </c>
      <c r="GN61" s="426">
        <f t="shared" si="75"/>
        <v>0</v>
      </c>
      <c r="GO61" s="426">
        <f t="shared" si="76"/>
        <v>0</v>
      </c>
      <c r="GP61" s="426">
        <f t="shared" si="77"/>
        <v>0</v>
      </c>
      <c r="GQ61" s="426">
        <f t="shared" si="78"/>
        <v>0</v>
      </c>
      <c r="GR61" s="426">
        <f t="shared" si="79"/>
        <v>0</v>
      </c>
      <c r="GS61" s="426">
        <f t="shared" si="80"/>
        <v>0</v>
      </c>
      <c r="GT61" s="426">
        <f t="shared" si="81"/>
        <v>0</v>
      </c>
      <c r="GU61" s="426">
        <f t="shared" si="82"/>
        <v>0</v>
      </c>
      <c r="GV61" s="426">
        <f t="shared" si="83"/>
        <v>0</v>
      </c>
      <c r="GW61" s="426">
        <f t="shared" si="84"/>
        <v>0</v>
      </c>
      <c r="GX61" s="426">
        <f t="shared" si="85"/>
        <v>0</v>
      </c>
      <c r="GY61" s="426">
        <f t="shared" si="86"/>
        <v>0</v>
      </c>
      <c r="GZ61" s="426">
        <f t="shared" si="87"/>
        <v>0</v>
      </c>
      <c r="HA61" s="426">
        <f t="shared" si="88"/>
        <v>0</v>
      </c>
      <c r="HB61" s="426">
        <f t="shared" si="89"/>
        <v>0</v>
      </c>
      <c r="HC61" s="426">
        <f t="shared" si="90"/>
        <v>0</v>
      </c>
      <c r="HD61" s="426">
        <f t="shared" si="91"/>
        <v>0</v>
      </c>
      <c r="HE61" s="426">
        <f t="shared" si="92"/>
        <v>0</v>
      </c>
      <c r="HF61" s="426">
        <f t="shared" si="93"/>
        <v>0</v>
      </c>
      <c r="HG61" s="426">
        <f t="shared" si="94"/>
        <v>0</v>
      </c>
      <c r="HH61" s="426">
        <f t="shared" si="95"/>
        <v>0</v>
      </c>
      <c r="HI61" s="426">
        <f t="shared" si="96"/>
        <v>0</v>
      </c>
      <c r="HJ61" s="426">
        <f t="shared" si="97"/>
        <v>0</v>
      </c>
      <c r="HK61" s="426">
        <f t="shared" si="98"/>
        <v>0</v>
      </c>
      <c r="HL61" s="426">
        <f t="shared" si="99"/>
        <v>0</v>
      </c>
      <c r="HO61" s="121">
        <v>7</v>
      </c>
      <c r="HP61" s="495">
        <f>DATE(YEAR(EXPEDIENTE!$F$25)+2,HO61,1)</f>
        <v>46204</v>
      </c>
      <c r="HQ61" s="495" t="str">
        <f>IF('GASTOS EJER, 3'!BF55="","",'GASTOS EJER, 3'!BF55)</f>
        <v/>
      </c>
      <c r="HR61" s="503">
        <f>'GASTOS EJER, 3'!CM26</f>
        <v>0</v>
      </c>
      <c r="HS61" s="503">
        <f>'GASTOS EJER, 3'!BA55</f>
        <v>0</v>
      </c>
      <c r="HT61" s="426">
        <f t="shared" si="329"/>
        <v>0</v>
      </c>
      <c r="HU61" s="503">
        <f t="shared" si="285"/>
        <v>0</v>
      </c>
      <c r="JC61" s="419">
        <v>57</v>
      </c>
      <c r="JD61" s="401">
        <f t="shared" si="100"/>
        <v>22</v>
      </c>
    </row>
    <row r="62" spans="3:264" ht="15.75" thickBot="1" x14ac:dyDescent="0.3">
      <c r="C62" s="209">
        <v>56</v>
      </c>
      <c r="D62" s="404"/>
      <c r="E62" s="420"/>
      <c r="F62" s="421"/>
      <c r="G62" s="422"/>
      <c r="H62" s="422"/>
      <c r="I62" s="422"/>
      <c r="J62" s="404"/>
      <c r="K62" s="410">
        <f t="shared" si="52"/>
        <v>76</v>
      </c>
      <c r="L62" s="410">
        <f t="shared" si="53"/>
        <v>76</v>
      </c>
      <c r="M62" s="410" t="str">
        <f t="shared" si="54"/>
        <v>X</v>
      </c>
      <c r="AG62" s="504">
        <v>24</v>
      </c>
      <c r="AH62" s="506">
        <f>'GASTOS EJER, 3'!M44</f>
        <v>0</v>
      </c>
      <c r="AI62" s="518">
        <f>'GASTOS EJER, 3'!X44</f>
        <v>0</v>
      </c>
      <c r="AJ62" s="507">
        <f t="shared" si="286"/>
        <v>0</v>
      </c>
      <c r="AL62" s="508">
        <f>'GASTOS EJER, 3'!F44+'GASTOS EJER, 3'!L44-'GASTOS EJER, 3'!X44-'GASTOS EJER, 3'!Y44</f>
        <v>0</v>
      </c>
      <c r="AM62" s="509" t="str">
        <f>IF('GASTOS EJER, 3'!AA44="","",'GASTOS EJER, 3'!AA44)</f>
        <v/>
      </c>
      <c r="AN62" s="506">
        <f>'GASTOS EJER, 3'!Y44</f>
        <v>0</v>
      </c>
      <c r="AO62" s="510" t="str">
        <f>IF('GASTOS EJER, 3'!AB44="","",'GASTOS EJER, 3'!AB44)</f>
        <v/>
      </c>
      <c r="AP62" s="511">
        <f>IF(AND(AM62&gt;=EXPEDIENTE!$I$25,AM62&lt;=EXPEDIENTE!$I$29),AL62,0)</f>
        <v>0</v>
      </c>
      <c r="AQ62" s="454">
        <f>IF(AND(AO62&gt;=EXPEDIENTE!$I$25,AO62&lt;=EXPEDIENTE!$I$29),AN62,0)</f>
        <v>0</v>
      </c>
      <c r="AR62" s="507">
        <f t="shared" si="287"/>
        <v>0</v>
      </c>
      <c r="AS62" s="512" t="str">
        <f>IF('GASTOS EJER, 3'!D44="","",'GASTOS EJER, 3'!D44)</f>
        <v/>
      </c>
      <c r="AT62" s="513" t="str">
        <f>IF('GASTOS EJER, 3'!E44="","",'GASTOS EJER, 3'!E44)</f>
        <v/>
      </c>
      <c r="AU62" s="514">
        <f t="shared" si="288"/>
        <v>0</v>
      </c>
      <c r="AV62" s="515">
        <f t="shared" si="266"/>
        <v>0</v>
      </c>
      <c r="AW62" s="456">
        <f t="shared" si="289"/>
        <v>0</v>
      </c>
      <c r="AY62" s="426">
        <v>8</v>
      </c>
      <c r="AZ62" s="427" t="e">
        <f t="shared" si="267"/>
        <v>#VALUE!</v>
      </c>
      <c r="BA62" s="436">
        <f t="shared" si="268"/>
        <v>0</v>
      </c>
      <c r="BB62" s="437">
        <f t="shared" si="269"/>
        <v>0</v>
      </c>
      <c r="BC62" s="437">
        <f t="shared" si="270"/>
        <v>0</v>
      </c>
      <c r="BD62" s="437">
        <f t="shared" si="271"/>
        <v>0</v>
      </c>
      <c r="BE62" s="437">
        <f t="shared" si="272"/>
        <v>0</v>
      </c>
      <c r="BF62" s="437">
        <f t="shared" si="273"/>
        <v>0</v>
      </c>
      <c r="BG62" s="437">
        <f t="shared" si="274"/>
        <v>0</v>
      </c>
      <c r="BH62" s="438">
        <f t="shared" si="275"/>
        <v>0</v>
      </c>
      <c r="BI62" s="439">
        <f t="shared" si="276"/>
        <v>0</v>
      </c>
      <c r="BK62" s="436">
        <f t="shared" si="290"/>
        <v>0</v>
      </c>
      <c r="BL62" s="437">
        <f t="shared" si="291"/>
        <v>0</v>
      </c>
      <c r="BM62" s="437">
        <f t="shared" si="292"/>
        <v>0</v>
      </c>
      <c r="BN62" s="437">
        <f t="shared" si="293"/>
        <v>0</v>
      </c>
      <c r="BO62" s="437">
        <f t="shared" si="294"/>
        <v>0</v>
      </c>
      <c r="BP62" s="437">
        <f t="shared" si="295"/>
        <v>0</v>
      </c>
      <c r="BQ62" s="437">
        <f t="shared" si="296"/>
        <v>0</v>
      </c>
      <c r="BR62" s="438">
        <f t="shared" si="297"/>
        <v>0</v>
      </c>
      <c r="BS62" s="439">
        <f t="shared" si="298"/>
        <v>0</v>
      </c>
      <c r="BU62" s="439">
        <f t="shared" si="299"/>
        <v>0</v>
      </c>
      <c r="BX62" s="504">
        <v>24</v>
      </c>
      <c r="BY62" s="506">
        <f>'GASTOS EJER, 3'!BN44</f>
        <v>0</v>
      </c>
      <c r="BZ62" s="518">
        <f>'GASTOS EJER, 3'!CM44</f>
        <v>0</v>
      </c>
      <c r="CA62" s="507">
        <f t="shared" si="300"/>
        <v>0</v>
      </c>
      <c r="CC62" s="508">
        <f>'GASTOS EJER, 3'!AW44+'GASTOS EJER, 3'!BM44-'GASTOS EJER, 3'!CM44-'GASTOS EJER, 3'!CP44</f>
        <v>0</v>
      </c>
      <c r="CD62" s="509" t="str">
        <f>IF('GASTOS EJER, 3'!CT44="","",'GASTOS EJER, 3'!CT44)</f>
        <v/>
      </c>
      <c r="CE62" s="506">
        <f>'GASTOS EJER, 3'!CP44</f>
        <v>0</v>
      </c>
      <c r="CF62" s="510" t="str">
        <f>IF('GASTOS EJER, 3'!CW44="","",'GASTOS EJER, 3'!CW44)</f>
        <v/>
      </c>
      <c r="CG62" s="511">
        <f>IF(AND(CD62&gt;=EXPEDIENTE!$I$25,CD62&lt;=EXPEDIENTE!$I$29),CC62,0)</f>
        <v>0</v>
      </c>
      <c r="CH62" s="454">
        <f>IF(AND(CF62&gt;=EXPEDIENTE!$I$25,CF62&lt;=EXPEDIENTE!$I$29),CE62,0)</f>
        <v>0</v>
      </c>
      <c r="CI62" s="507">
        <f t="shared" si="301"/>
        <v>0</v>
      </c>
      <c r="CJ62" s="512" t="str">
        <f>IF('GASTOS EJER, 3'!AQ44="","",'GASTOS EJER, 3'!AQ44)</f>
        <v/>
      </c>
      <c r="CK62" s="513" t="str">
        <f>IF('GASTOS EJER, 3'!AT44="","",'GASTOS EJER, 3'!AT44)</f>
        <v/>
      </c>
      <c r="CL62" s="514">
        <f t="shared" si="302"/>
        <v>0</v>
      </c>
      <c r="CM62" s="515">
        <f t="shared" si="277"/>
        <v>0</v>
      </c>
      <c r="CN62" s="456">
        <f t="shared" si="303"/>
        <v>0</v>
      </c>
      <c r="CP62" s="426">
        <v>8</v>
      </c>
      <c r="CQ62" s="427" t="e">
        <f t="shared" si="278"/>
        <v>#VALUE!</v>
      </c>
      <c r="CR62" s="440">
        <f t="shared" si="304"/>
        <v>0</v>
      </c>
      <c r="CS62" s="426">
        <f t="shared" si="305"/>
        <v>0</v>
      </c>
      <c r="CT62" s="426">
        <f t="shared" si="306"/>
        <v>0</v>
      </c>
      <c r="CU62" s="426">
        <f t="shared" si="307"/>
        <v>0</v>
      </c>
      <c r="CV62" s="426">
        <f t="shared" si="308"/>
        <v>0</v>
      </c>
      <c r="CW62" s="426">
        <f t="shared" si="309"/>
        <v>0</v>
      </c>
      <c r="CX62" s="426">
        <f t="shared" si="310"/>
        <v>0</v>
      </c>
      <c r="CY62" s="441">
        <f t="shared" si="311"/>
        <v>0</v>
      </c>
      <c r="CZ62" s="439">
        <f t="shared" si="279"/>
        <v>0</v>
      </c>
      <c r="DB62" s="440">
        <f t="shared" si="312"/>
        <v>0</v>
      </c>
      <c r="DC62" s="426">
        <f t="shared" si="313"/>
        <v>0</v>
      </c>
      <c r="DD62" s="426">
        <f t="shared" si="314"/>
        <v>0</v>
      </c>
      <c r="DE62" s="426">
        <f t="shared" si="315"/>
        <v>0</v>
      </c>
      <c r="DF62" s="426">
        <f t="shared" si="316"/>
        <v>0</v>
      </c>
      <c r="DG62" s="426">
        <f t="shared" si="317"/>
        <v>0</v>
      </c>
      <c r="DH62" s="426">
        <f t="shared" si="318"/>
        <v>0</v>
      </c>
      <c r="DI62" s="441">
        <f t="shared" si="319"/>
        <v>0</v>
      </c>
      <c r="DJ62" s="439">
        <f t="shared" si="320"/>
        <v>0</v>
      </c>
      <c r="DL62" s="439">
        <f t="shared" si="321"/>
        <v>0</v>
      </c>
      <c r="DN62" s="504">
        <v>24</v>
      </c>
      <c r="DO62" s="516">
        <f>'GASTOS EJER, 3'!$C44</f>
        <v>0</v>
      </c>
      <c r="DP62" s="513" t="str">
        <f t="shared" si="322"/>
        <v/>
      </c>
      <c r="DQ62" s="513" t="str">
        <f t="shared" si="323"/>
        <v/>
      </c>
      <c r="DR62" s="517">
        <f t="shared" si="324"/>
        <v>0</v>
      </c>
      <c r="DS62" s="518">
        <f>'GASTOS EJER, 3'!X44</f>
        <v>0</v>
      </c>
      <c r="DT62" s="509" t="str">
        <f>IF(DS46=0,"",'GASTOS EJER, 3'!AA44)</f>
        <v/>
      </c>
      <c r="DU62" s="509" t="str">
        <f t="shared" si="282"/>
        <v/>
      </c>
      <c r="DV62" s="507" t="e">
        <f>IF(AND(DU62&gt;=EXPEDIENTE!$F$25,DU62&lt;=EXPEDIENTE!$F$29),ROUNDDOWN(DS62/DR62,2),0)</f>
        <v>#DIV/0!</v>
      </c>
      <c r="DX62" s="389">
        <v>43</v>
      </c>
      <c r="DY62" s="433">
        <f t="shared" si="101"/>
        <v>46569</v>
      </c>
      <c r="DZ62" s="433">
        <f t="shared" si="102"/>
        <v>46599</v>
      </c>
      <c r="EA62" s="389" t="str">
        <f>IF(AND(DZ62&gt;=EXPEDIENTE!$F$25,DY62&lt;=EXPEDIENTE!$F$29),"SI","NO")</f>
        <v>SI</v>
      </c>
      <c r="EB62" s="426">
        <f t="shared" si="187"/>
        <v>0</v>
      </c>
      <c r="EC62" s="426">
        <f t="shared" si="188"/>
        <v>0</v>
      </c>
      <c r="ED62" s="426">
        <f t="shared" si="189"/>
        <v>0</v>
      </c>
      <c r="EE62" s="426">
        <f t="shared" si="190"/>
        <v>0</v>
      </c>
      <c r="EF62" s="426">
        <f t="shared" si="191"/>
        <v>0</v>
      </c>
      <c r="EG62" s="426">
        <f t="shared" si="192"/>
        <v>0</v>
      </c>
      <c r="EH62" s="426">
        <f t="shared" si="193"/>
        <v>0</v>
      </c>
      <c r="EI62" s="426">
        <f t="shared" si="194"/>
        <v>0</v>
      </c>
      <c r="EJ62" s="426">
        <f t="shared" si="195"/>
        <v>0</v>
      </c>
      <c r="EK62" s="426">
        <f t="shared" si="196"/>
        <v>0</v>
      </c>
      <c r="EL62" s="426">
        <f t="shared" si="197"/>
        <v>0</v>
      </c>
      <c r="EM62" s="426">
        <f t="shared" si="198"/>
        <v>0</v>
      </c>
      <c r="EN62" s="426">
        <f t="shared" si="199"/>
        <v>0</v>
      </c>
      <c r="EO62" s="426">
        <f t="shared" si="200"/>
        <v>0</v>
      </c>
      <c r="EP62" s="426">
        <f t="shared" si="201"/>
        <v>0</v>
      </c>
      <c r="EQ62" s="426">
        <f t="shared" si="202"/>
        <v>0</v>
      </c>
      <c r="ER62" s="426">
        <f t="shared" si="203"/>
        <v>0</v>
      </c>
      <c r="ES62" s="426">
        <f t="shared" si="204"/>
        <v>0</v>
      </c>
      <c r="ET62" s="426">
        <f t="shared" si="205"/>
        <v>0</v>
      </c>
      <c r="EU62" s="426">
        <f t="shared" si="206"/>
        <v>0</v>
      </c>
      <c r="EV62" s="426">
        <f t="shared" si="207"/>
        <v>0</v>
      </c>
      <c r="EW62" s="426">
        <f t="shared" si="208"/>
        <v>0</v>
      </c>
      <c r="EX62" s="426">
        <f t="shared" si="209"/>
        <v>0</v>
      </c>
      <c r="EY62" s="426">
        <f t="shared" si="210"/>
        <v>0</v>
      </c>
      <c r="EZ62" s="426">
        <f t="shared" si="211"/>
        <v>0</v>
      </c>
      <c r="FA62" s="426">
        <f t="shared" si="212"/>
        <v>0</v>
      </c>
      <c r="FB62" s="426">
        <f t="shared" si="213"/>
        <v>0</v>
      </c>
      <c r="FC62" s="426">
        <f t="shared" si="214"/>
        <v>0</v>
      </c>
      <c r="FD62" s="426">
        <f t="shared" si="215"/>
        <v>0</v>
      </c>
      <c r="FE62" s="426">
        <f t="shared" si="216"/>
        <v>0</v>
      </c>
      <c r="FF62" s="426">
        <f t="shared" si="217"/>
        <v>0</v>
      </c>
      <c r="FG62" s="426">
        <f t="shared" si="218"/>
        <v>0</v>
      </c>
      <c r="FH62" s="426">
        <f t="shared" si="66"/>
        <v>0</v>
      </c>
      <c r="FJ62" s="121">
        <v>8</v>
      </c>
      <c r="FK62" s="495">
        <f>DATE(YEAR(EXPEDIENTE!$F$25)+2,FJ62,1)</f>
        <v>46235</v>
      </c>
      <c r="FL62" s="495" t="str">
        <f>IF('GASTOS EJER, 3'!I56="","",'GASTOS EJER, 3'!I56)</f>
        <v/>
      </c>
      <c r="FM62" s="503">
        <f>'GASTOS EJER, 3'!X27</f>
        <v>0</v>
      </c>
      <c r="FN62" s="503">
        <f>'GASTOS EJER, 3'!H56</f>
        <v>0</v>
      </c>
      <c r="FO62" s="426">
        <f t="shared" si="325"/>
        <v>0</v>
      </c>
      <c r="FP62" s="503">
        <f t="shared" si="283"/>
        <v>0</v>
      </c>
      <c r="FR62" s="504">
        <v>24</v>
      </c>
      <c r="FS62" s="516">
        <f>'GASTOS EJER, 3'!$C44</f>
        <v>0</v>
      </c>
      <c r="FT62" s="513" t="str">
        <f t="shared" si="326"/>
        <v/>
      </c>
      <c r="FU62" s="513" t="str">
        <f t="shared" si="327"/>
        <v/>
      </c>
      <c r="FV62" s="517">
        <f t="shared" si="328"/>
        <v>0</v>
      </c>
      <c r="FW62" s="518">
        <f>'GASTOS EJER, 3'!CM44</f>
        <v>0</v>
      </c>
      <c r="FX62" s="509" t="str">
        <f>IF(FW46=0,"",'GASTOS EJER, 3'!CT44)</f>
        <v/>
      </c>
      <c r="FY62" s="509" t="str">
        <f t="shared" si="284"/>
        <v/>
      </c>
      <c r="FZ62" s="507" t="e">
        <f>IF(AND(FY62&gt;=EXPEDIENTE!$F$25,FY62&lt;=EXPEDIENTE!$F$29),ROUNDDOWN(FW62/FV62,2),0)</f>
        <v>#DIV/0!</v>
      </c>
      <c r="GB62" s="389">
        <v>43</v>
      </c>
      <c r="GC62" s="433">
        <f t="shared" si="103"/>
        <v>46569</v>
      </c>
      <c r="GD62" s="433">
        <f t="shared" si="104"/>
        <v>46599</v>
      </c>
      <c r="GE62" s="389" t="str">
        <f>IF(AND(GD62&gt;=EXPEDIENTE!$F$25,GC62&lt;=EXPEDIENTE!$F$29),"SI","NO")</f>
        <v>SI</v>
      </c>
      <c r="GF62" s="426">
        <f t="shared" si="67"/>
        <v>0</v>
      </c>
      <c r="GG62" s="426">
        <f t="shared" si="68"/>
        <v>0</v>
      </c>
      <c r="GH62" s="426">
        <f t="shared" si="69"/>
        <v>0</v>
      </c>
      <c r="GI62" s="426">
        <f t="shared" si="70"/>
        <v>0</v>
      </c>
      <c r="GJ62" s="426">
        <f t="shared" si="71"/>
        <v>0</v>
      </c>
      <c r="GK62" s="426">
        <f t="shared" si="72"/>
        <v>0</v>
      </c>
      <c r="GL62" s="426">
        <f t="shared" si="73"/>
        <v>0</v>
      </c>
      <c r="GM62" s="426">
        <f t="shared" si="74"/>
        <v>0</v>
      </c>
      <c r="GN62" s="426">
        <f t="shared" si="75"/>
        <v>0</v>
      </c>
      <c r="GO62" s="426">
        <f t="shared" si="76"/>
        <v>0</v>
      </c>
      <c r="GP62" s="426">
        <f t="shared" si="77"/>
        <v>0</v>
      </c>
      <c r="GQ62" s="426">
        <f t="shared" si="78"/>
        <v>0</v>
      </c>
      <c r="GR62" s="426">
        <f t="shared" si="79"/>
        <v>0</v>
      </c>
      <c r="GS62" s="426">
        <f t="shared" si="80"/>
        <v>0</v>
      </c>
      <c r="GT62" s="426">
        <f t="shared" si="81"/>
        <v>0</v>
      </c>
      <c r="GU62" s="426">
        <f t="shared" si="82"/>
        <v>0</v>
      </c>
      <c r="GV62" s="426">
        <f t="shared" si="83"/>
        <v>0</v>
      </c>
      <c r="GW62" s="426">
        <f t="shared" si="84"/>
        <v>0</v>
      </c>
      <c r="GX62" s="426">
        <f t="shared" si="85"/>
        <v>0</v>
      </c>
      <c r="GY62" s="426">
        <f t="shared" si="86"/>
        <v>0</v>
      </c>
      <c r="GZ62" s="426">
        <f t="shared" si="87"/>
        <v>0</v>
      </c>
      <c r="HA62" s="426">
        <f t="shared" si="88"/>
        <v>0</v>
      </c>
      <c r="HB62" s="426">
        <f t="shared" si="89"/>
        <v>0</v>
      </c>
      <c r="HC62" s="426">
        <f t="shared" si="90"/>
        <v>0</v>
      </c>
      <c r="HD62" s="426">
        <f t="shared" si="91"/>
        <v>0</v>
      </c>
      <c r="HE62" s="426">
        <f t="shared" si="92"/>
        <v>0</v>
      </c>
      <c r="HF62" s="426">
        <f t="shared" si="93"/>
        <v>0</v>
      </c>
      <c r="HG62" s="426">
        <f t="shared" si="94"/>
        <v>0</v>
      </c>
      <c r="HH62" s="426">
        <f t="shared" si="95"/>
        <v>0</v>
      </c>
      <c r="HI62" s="426">
        <f t="shared" si="96"/>
        <v>0</v>
      </c>
      <c r="HJ62" s="426">
        <f t="shared" si="97"/>
        <v>0</v>
      </c>
      <c r="HK62" s="426">
        <f t="shared" si="98"/>
        <v>0</v>
      </c>
      <c r="HL62" s="426">
        <f t="shared" si="99"/>
        <v>0</v>
      </c>
      <c r="HO62" s="121">
        <v>8</v>
      </c>
      <c r="HP62" s="495">
        <f>DATE(YEAR(EXPEDIENTE!$F$25)+2,HO62,1)</f>
        <v>46235</v>
      </c>
      <c r="HQ62" s="495" t="str">
        <f>IF('GASTOS EJER, 3'!BF56="","",'GASTOS EJER, 3'!BF56)</f>
        <v/>
      </c>
      <c r="HR62" s="503">
        <f>'GASTOS EJER, 3'!CM27</f>
        <v>0</v>
      </c>
      <c r="HS62" s="503">
        <f>'GASTOS EJER, 3'!BA56</f>
        <v>0</v>
      </c>
      <c r="HT62" s="426">
        <f t="shared" si="329"/>
        <v>0</v>
      </c>
      <c r="HU62" s="503">
        <f t="shared" si="285"/>
        <v>0</v>
      </c>
      <c r="JC62" s="419">
        <v>58</v>
      </c>
      <c r="JD62" s="401">
        <f t="shared" si="100"/>
        <v>22</v>
      </c>
    </row>
    <row r="63" spans="3:264" x14ac:dyDescent="0.25">
      <c r="C63" s="209">
        <v>57</v>
      </c>
      <c r="D63" s="404"/>
      <c r="E63" s="420"/>
      <c r="F63" s="421"/>
      <c r="G63" s="422"/>
      <c r="H63" s="422"/>
      <c r="I63" s="422"/>
      <c r="J63" s="404"/>
      <c r="K63" s="410">
        <f t="shared" si="52"/>
        <v>76</v>
      </c>
      <c r="L63" s="410">
        <f t="shared" si="53"/>
        <v>76</v>
      </c>
      <c r="M63" s="410" t="str">
        <f t="shared" si="54"/>
        <v>X</v>
      </c>
      <c r="AG63" s="395"/>
      <c r="AH63" s="395"/>
      <c r="AI63" s="395"/>
      <c r="AJ63" s="395"/>
      <c r="AK63" s="395"/>
      <c r="AL63" s="395"/>
      <c r="AM63" s="395"/>
      <c r="AN63" s="395"/>
      <c r="AO63" s="395"/>
      <c r="AP63" s="395"/>
      <c r="AQ63" s="395"/>
      <c r="AR63" s="395"/>
      <c r="AS63" s="395"/>
      <c r="AT63" s="395"/>
      <c r="AU63" s="395"/>
      <c r="AV63" s="395"/>
      <c r="AW63" s="395"/>
      <c r="AY63" s="426">
        <v>9</v>
      </c>
      <c r="AZ63" s="427" t="e">
        <f t="shared" si="267"/>
        <v>#VALUE!</v>
      </c>
      <c r="BA63" s="436">
        <f t="shared" si="268"/>
        <v>0</v>
      </c>
      <c r="BB63" s="437">
        <f t="shared" si="269"/>
        <v>0</v>
      </c>
      <c r="BC63" s="437">
        <f t="shared" si="270"/>
        <v>0</v>
      </c>
      <c r="BD63" s="437">
        <f t="shared" si="271"/>
        <v>0</v>
      </c>
      <c r="BE63" s="437">
        <f t="shared" si="272"/>
        <v>0</v>
      </c>
      <c r="BF63" s="437">
        <f t="shared" si="273"/>
        <v>0</v>
      </c>
      <c r="BG63" s="437">
        <f t="shared" si="274"/>
        <v>0</v>
      </c>
      <c r="BH63" s="438">
        <f t="shared" si="275"/>
        <v>0</v>
      </c>
      <c r="BI63" s="439">
        <f t="shared" si="276"/>
        <v>0</v>
      </c>
      <c r="BK63" s="436">
        <f t="shared" si="290"/>
        <v>0</v>
      </c>
      <c r="BL63" s="437">
        <f t="shared" si="291"/>
        <v>0</v>
      </c>
      <c r="BM63" s="437">
        <f t="shared" si="292"/>
        <v>0</v>
      </c>
      <c r="BN63" s="437">
        <f t="shared" si="293"/>
        <v>0</v>
      </c>
      <c r="BO63" s="437">
        <f t="shared" si="294"/>
        <v>0</v>
      </c>
      <c r="BP63" s="437">
        <f t="shared" si="295"/>
        <v>0</v>
      </c>
      <c r="BQ63" s="437">
        <f t="shared" si="296"/>
        <v>0</v>
      </c>
      <c r="BR63" s="438">
        <f t="shared" si="297"/>
        <v>0</v>
      </c>
      <c r="BS63" s="439">
        <f t="shared" si="298"/>
        <v>0</v>
      </c>
      <c r="BU63" s="439">
        <f t="shared" si="299"/>
        <v>0</v>
      </c>
      <c r="BX63" s="395"/>
      <c r="BY63" s="395"/>
      <c r="BZ63" s="395"/>
      <c r="CA63" s="395"/>
      <c r="CB63" s="395"/>
      <c r="CC63" s="395"/>
      <c r="CD63" s="395"/>
      <c r="CE63" s="395"/>
      <c r="CF63" s="395"/>
      <c r="CG63" s="395"/>
      <c r="CH63" s="395"/>
      <c r="CI63" s="395"/>
      <c r="CJ63" s="395"/>
      <c r="CK63" s="395"/>
      <c r="CL63" s="395"/>
      <c r="CM63" s="395"/>
      <c r="CN63" s="395"/>
      <c r="CP63" s="426">
        <v>9</v>
      </c>
      <c r="CQ63" s="427" t="e">
        <f t="shared" si="278"/>
        <v>#VALUE!</v>
      </c>
      <c r="CR63" s="440">
        <f t="shared" si="304"/>
        <v>0</v>
      </c>
      <c r="CS63" s="426">
        <f t="shared" si="305"/>
        <v>0</v>
      </c>
      <c r="CT63" s="426">
        <f t="shared" si="306"/>
        <v>0</v>
      </c>
      <c r="CU63" s="426">
        <f t="shared" si="307"/>
        <v>0</v>
      </c>
      <c r="CV63" s="426">
        <f t="shared" si="308"/>
        <v>0</v>
      </c>
      <c r="CW63" s="426">
        <f t="shared" si="309"/>
        <v>0</v>
      </c>
      <c r="CX63" s="426">
        <f t="shared" si="310"/>
        <v>0</v>
      </c>
      <c r="CY63" s="441">
        <f t="shared" si="311"/>
        <v>0</v>
      </c>
      <c r="CZ63" s="439">
        <f t="shared" si="279"/>
        <v>0</v>
      </c>
      <c r="DB63" s="440">
        <f t="shared" si="312"/>
        <v>0</v>
      </c>
      <c r="DC63" s="426">
        <f t="shared" si="313"/>
        <v>0</v>
      </c>
      <c r="DD63" s="426">
        <f t="shared" si="314"/>
        <v>0</v>
      </c>
      <c r="DE63" s="426">
        <f t="shared" si="315"/>
        <v>0</v>
      </c>
      <c r="DF63" s="426">
        <f t="shared" si="316"/>
        <v>0</v>
      </c>
      <c r="DG63" s="426">
        <f t="shared" si="317"/>
        <v>0</v>
      </c>
      <c r="DH63" s="426">
        <f t="shared" si="318"/>
        <v>0</v>
      </c>
      <c r="DI63" s="441">
        <f t="shared" si="319"/>
        <v>0</v>
      </c>
      <c r="DJ63" s="439">
        <f t="shared" si="320"/>
        <v>0</v>
      </c>
      <c r="DL63" s="439">
        <f t="shared" si="321"/>
        <v>0</v>
      </c>
      <c r="DN63" s="395"/>
      <c r="DX63" s="389">
        <v>44</v>
      </c>
      <c r="DY63" s="433">
        <f t="shared" si="101"/>
        <v>46600</v>
      </c>
      <c r="DZ63" s="433">
        <f t="shared" si="102"/>
        <v>46630</v>
      </c>
      <c r="EA63" s="389" t="str">
        <f>IF(AND(DZ63&gt;=EXPEDIENTE!$F$25,DY63&lt;=EXPEDIENTE!$F$29),"SI","NO")</f>
        <v>SI</v>
      </c>
      <c r="EB63" s="426">
        <f t="shared" si="187"/>
        <v>0</v>
      </c>
      <c r="EC63" s="426">
        <f t="shared" si="188"/>
        <v>0</v>
      </c>
      <c r="ED63" s="426">
        <f t="shared" si="189"/>
        <v>0</v>
      </c>
      <c r="EE63" s="426">
        <f t="shared" si="190"/>
        <v>0</v>
      </c>
      <c r="EF63" s="426">
        <f t="shared" si="191"/>
        <v>0</v>
      </c>
      <c r="EG63" s="426">
        <f t="shared" si="192"/>
        <v>0</v>
      </c>
      <c r="EH63" s="426">
        <f t="shared" si="193"/>
        <v>0</v>
      </c>
      <c r="EI63" s="426">
        <f t="shared" si="194"/>
        <v>0</v>
      </c>
      <c r="EJ63" s="426">
        <f t="shared" si="195"/>
        <v>0</v>
      </c>
      <c r="EK63" s="426">
        <f t="shared" si="196"/>
        <v>0</v>
      </c>
      <c r="EL63" s="426">
        <f t="shared" si="197"/>
        <v>0</v>
      </c>
      <c r="EM63" s="426">
        <f t="shared" si="198"/>
        <v>0</v>
      </c>
      <c r="EN63" s="426">
        <f t="shared" si="199"/>
        <v>0</v>
      </c>
      <c r="EO63" s="426">
        <f t="shared" si="200"/>
        <v>0</v>
      </c>
      <c r="EP63" s="426">
        <f t="shared" si="201"/>
        <v>0</v>
      </c>
      <c r="EQ63" s="426">
        <f t="shared" si="202"/>
        <v>0</v>
      </c>
      <c r="ER63" s="426">
        <f t="shared" si="203"/>
        <v>0</v>
      </c>
      <c r="ES63" s="426">
        <f t="shared" si="204"/>
        <v>0</v>
      </c>
      <c r="ET63" s="426">
        <f t="shared" si="205"/>
        <v>0</v>
      </c>
      <c r="EU63" s="426">
        <f t="shared" si="206"/>
        <v>0</v>
      </c>
      <c r="EV63" s="426">
        <f t="shared" si="207"/>
        <v>0</v>
      </c>
      <c r="EW63" s="426">
        <f t="shared" si="208"/>
        <v>0</v>
      </c>
      <c r="EX63" s="426">
        <f t="shared" si="209"/>
        <v>0</v>
      </c>
      <c r="EY63" s="426">
        <f t="shared" si="210"/>
        <v>0</v>
      </c>
      <c r="EZ63" s="426">
        <f t="shared" si="211"/>
        <v>0</v>
      </c>
      <c r="FA63" s="426">
        <f t="shared" si="212"/>
        <v>0</v>
      </c>
      <c r="FB63" s="426">
        <f t="shared" si="213"/>
        <v>0</v>
      </c>
      <c r="FC63" s="426">
        <f t="shared" si="214"/>
        <v>0</v>
      </c>
      <c r="FD63" s="426">
        <f t="shared" si="215"/>
        <v>0</v>
      </c>
      <c r="FE63" s="426">
        <f t="shared" si="216"/>
        <v>0</v>
      </c>
      <c r="FF63" s="426">
        <f t="shared" si="217"/>
        <v>0</v>
      </c>
      <c r="FG63" s="426">
        <f t="shared" si="218"/>
        <v>0</v>
      </c>
      <c r="FH63" s="426">
        <f t="shared" si="66"/>
        <v>0</v>
      </c>
      <c r="FJ63" s="121">
        <v>9</v>
      </c>
      <c r="FK63" s="495">
        <f>DATE(YEAR(EXPEDIENTE!$F$25)+2,FJ63,1)</f>
        <v>46266</v>
      </c>
      <c r="FL63" s="495" t="str">
        <f>IF('GASTOS EJER, 3'!I57="","",'GASTOS EJER, 3'!I57)</f>
        <v/>
      </c>
      <c r="FM63" s="503">
        <f>'GASTOS EJER, 3'!X28</f>
        <v>0</v>
      </c>
      <c r="FN63" s="503">
        <f>'GASTOS EJER, 3'!H57</f>
        <v>0</v>
      </c>
      <c r="FO63" s="426">
        <f t="shared" si="325"/>
        <v>0</v>
      </c>
      <c r="FP63" s="503">
        <f t="shared" si="283"/>
        <v>0</v>
      </c>
      <c r="FR63" s="395"/>
      <c r="GB63" s="389">
        <v>44</v>
      </c>
      <c r="GC63" s="433">
        <f t="shared" si="103"/>
        <v>46600</v>
      </c>
      <c r="GD63" s="433">
        <f t="shared" si="104"/>
        <v>46630</v>
      </c>
      <c r="GE63" s="389" t="str">
        <f>IF(AND(GD63&gt;=EXPEDIENTE!$F$25,GC63&lt;=EXPEDIENTE!$F$29),"SI","NO")</f>
        <v>SI</v>
      </c>
      <c r="GF63" s="426">
        <f t="shared" si="67"/>
        <v>0</v>
      </c>
      <c r="GG63" s="426">
        <f t="shared" si="68"/>
        <v>0</v>
      </c>
      <c r="GH63" s="426">
        <f t="shared" si="69"/>
        <v>0</v>
      </c>
      <c r="GI63" s="426">
        <f t="shared" si="70"/>
        <v>0</v>
      </c>
      <c r="GJ63" s="426">
        <f t="shared" si="71"/>
        <v>0</v>
      </c>
      <c r="GK63" s="426">
        <f t="shared" si="72"/>
        <v>0</v>
      </c>
      <c r="GL63" s="426">
        <f t="shared" si="73"/>
        <v>0</v>
      </c>
      <c r="GM63" s="426">
        <f t="shared" si="74"/>
        <v>0</v>
      </c>
      <c r="GN63" s="426">
        <f t="shared" si="75"/>
        <v>0</v>
      </c>
      <c r="GO63" s="426">
        <f t="shared" si="76"/>
        <v>0</v>
      </c>
      <c r="GP63" s="426">
        <f t="shared" si="77"/>
        <v>0</v>
      </c>
      <c r="GQ63" s="426">
        <f t="shared" si="78"/>
        <v>0</v>
      </c>
      <c r="GR63" s="426">
        <f t="shared" si="79"/>
        <v>0</v>
      </c>
      <c r="GS63" s="426">
        <f t="shared" si="80"/>
        <v>0</v>
      </c>
      <c r="GT63" s="426">
        <f t="shared" si="81"/>
        <v>0</v>
      </c>
      <c r="GU63" s="426">
        <f t="shared" si="82"/>
        <v>0</v>
      </c>
      <c r="GV63" s="426">
        <f t="shared" si="83"/>
        <v>0</v>
      </c>
      <c r="GW63" s="426">
        <f t="shared" si="84"/>
        <v>0</v>
      </c>
      <c r="GX63" s="426">
        <f t="shared" si="85"/>
        <v>0</v>
      </c>
      <c r="GY63" s="426">
        <f t="shared" si="86"/>
        <v>0</v>
      </c>
      <c r="GZ63" s="426">
        <f t="shared" si="87"/>
        <v>0</v>
      </c>
      <c r="HA63" s="426">
        <f t="shared" si="88"/>
        <v>0</v>
      </c>
      <c r="HB63" s="426">
        <f t="shared" si="89"/>
        <v>0</v>
      </c>
      <c r="HC63" s="426">
        <f t="shared" si="90"/>
        <v>0</v>
      </c>
      <c r="HD63" s="426">
        <f t="shared" si="91"/>
        <v>0</v>
      </c>
      <c r="HE63" s="426">
        <f t="shared" si="92"/>
        <v>0</v>
      </c>
      <c r="HF63" s="426">
        <f t="shared" si="93"/>
        <v>0</v>
      </c>
      <c r="HG63" s="426">
        <f t="shared" si="94"/>
        <v>0</v>
      </c>
      <c r="HH63" s="426">
        <f t="shared" si="95"/>
        <v>0</v>
      </c>
      <c r="HI63" s="426">
        <f t="shared" si="96"/>
        <v>0</v>
      </c>
      <c r="HJ63" s="426">
        <f t="shared" si="97"/>
        <v>0</v>
      </c>
      <c r="HK63" s="426">
        <f t="shared" si="98"/>
        <v>0</v>
      </c>
      <c r="HL63" s="426">
        <f t="shared" si="99"/>
        <v>0</v>
      </c>
      <c r="HO63" s="121">
        <v>9</v>
      </c>
      <c r="HP63" s="495">
        <f>DATE(YEAR(EXPEDIENTE!$F$25)+2,HO63,1)</f>
        <v>46266</v>
      </c>
      <c r="HQ63" s="495" t="str">
        <f>IF('GASTOS EJER, 3'!BF57="","",'GASTOS EJER, 3'!BF57)</f>
        <v/>
      </c>
      <c r="HR63" s="503">
        <f>'GASTOS EJER, 3'!CM28</f>
        <v>0</v>
      </c>
      <c r="HS63" s="503">
        <f>'GASTOS EJER, 3'!BA57</f>
        <v>0</v>
      </c>
      <c r="HT63" s="426">
        <f t="shared" si="329"/>
        <v>0</v>
      </c>
      <c r="HU63" s="503">
        <f t="shared" si="285"/>
        <v>0</v>
      </c>
      <c r="JC63" s="419">
        <v>59</v>
      </c>
      <c r="JD63" s="401">
        <f t="shared" si="100"/>
        <v>22</v>
      </c>
    </row>
    <row r="64" spans="3:264" x14ac:dyDescent="0.25">
      <c r="C64" s="209">
        <v>58</v>
      </c>
      <c r="D64" s="404"/>
      <c r="E64" s="420"/>
      <c r="F64" s="421"/>
      <c r="G64" s="422"/>
      <c r="H64" s="422"/>
      <c r="I64" s="422"/>
      <c r="J64" s="404"/>
      <c r="K64" s="410">
        <f t="shared" si="52"/>
        <v>76</v>
      </c>
      <c r="L64" s="410">
        <f t="shared" si="53"/>
        <v>76</v>
      </c>
      <c r="M64" s="410" t="str">
        <f t="shared" si="54"/>
        <v>X</v>
      </c>
      <c r="AG64" s="395"/>
      <c r="AH64" s="395"/>
      <c r="AI64" s="395"/>
      <c r="AJ64" s="395"/>
      <c r="AK64" s="395"/>
      <c r="AL64" s="395"/>
      <c r="AM64" s="395"/>
      <c r="AN64" s="395"/>
      <c r="AO64" s="395"/>
      <c r="AP64" s="395"/>
      <c r="AQ64" s="395"/>
      <c r="AR64" s="395"/>
      <c r="AS64" s="395"/>
      <c r="AT64" s="395"/>
      <c r="AU64" s="395"/>
      <c r="AV64" s="395"/>
      <c r="AW64" s="395"/>
      <c r="AY64" s="426">
        <v>10</v>
      </c>
      <c r="AZ64" s="427" t="e">
        <f t="shared" si="267"/>
        <v>#VALUE!</v>
      </c>
      <c r="BA64" s="436">
        <f t="shared" si="268"/>
        <v>0</v>
      </c>
      <c r="BB64" s="437">
        <f t="shared" si="269"/>
        <v>0</v>
      </c>
      <c r="BC64" s="437">
        <f t="shared" si="270"/>
        <v>0</v>
      </c>
      <c r="BD64" s="437">
        <f t="shared" si="271"/>
        <v>0</v>
      </c>
      <c r="BE64" s="437">
        <f t="shared" si="272"/>
        <v>0</v>
      </c>
      <c r="BF64" s="437">
        <f t="shared" si="273"/>
        <v>0</v>
      </c>
      <c r="BG64" s="437">
        <f t="shared" si="274"/>
        <v>0</v>
      </c>
      <c r="BH64" s="438">
        <f t="shared" si="275"/>
        <v>0</v>
      </c>
      <c r="BI64" s="439">
        <f>SUM(BA64:BH64)</f>
        <v>0</v>
      </c>
      <c r="BK64" s="436">
        <f t="shared" si="290"/>
        <v>0</v>
      </c>
      <c r="BL64" s="437">
        <f t="shared" si="291"/>
        <v>0</v>
      </c>
      <c r="BM64" s="437">
        <f t="shared" si="292"/>
        <v>0</v>
      </c>
      <c r="BN64" s="437">
        <f t="shared" si="293"/>
        <v>0</v>
      </c>
      <c r="BO64" s="437">
        <f t="shared" si="294"/>
        <v>0</v>
      </c>
      <c r="BP64" s="437">
        <f t="shared" si="295"/>
        <v>0</v>
      </c>
      <c r="BQ64" s="437">
        <f t="shared" si="296"/>
        <v>0</v>
      </c>
      <c r="BR64" s="438">
        <f t="shared" si="297"/>
        <v>0</v>
      </c>
      <c r="BS64" s="439">
        <f t="shared" si="298"/>
        <v>0</v>
      </c>
      <c r="BU64" s="439">
        <f t="shared" si="299"/>
        <v>0</v>
      </c>
      <c r="BX64" s="395"/>
      <c r="BY64" s="395"/>
      <c r="BZ64" s="395"/>
      <c r="CA64" s="395"/>
      <c r="CB64" s="395"/>
      <c r="CC64" s="395"/>
      <c r="CD64" s="395"/>
      <c r="CE64" s="395"/>
      <c r="CF64" s="395"/>
      <c r="CG64" s="395"/>
      <c r="CH64" s="395"/>
      <c r="CI64" s="395"/>
      <c r="CJ64" s="395"/>
      <c r="CK64" s="395"/>
      <c r="CL64" s="395"/>
      <c r="CM64" s="395"/>
      <c r="CN64" s="395"/>
      <c r="CP64" s="426">
        <v>10</v>
      </c>
      <c r="CQ64" s="427" t="e">
        <f t="shared" si="278"/>
        <v>#VALUE!</v>
      </c>
      <c r="CR64" s="440">
        <f t="shared" si="304"/>
        <v>0</v>
      </c>
      <c r="CS64" s="426">
        <f t="shared" si="305"/>
        <v>0</v>
      </c>
      <c r="CT64" s="426">
        <f t="shared" si="306"/>
        <v>0</v>
      </c>
      <c r="CU64" s="426">
        <f t="shared" si="307"/>
        <v>0</v>
      </c>
      <c r="CV64" s="426">
        <f t="shared" si="308"/>
        <v>0</v>
      </c>
      <c r="CW64" s="426">
        <f t="shared" si="309"/>
        <v>0</v>
      </c>
      <c r="CX64" s="426">
        <f t="shared" si="310"/>
        <v>0</v>
      </c>
      <c r="CY64" s="441">
        <f t="shared" si="311"/>
        <v>0</v>
      </c>
      <c r="CZ64" s="439">
        <f>SUM(CR64:CY64)</f>
        <v>0</v>
      </c>
      <c r="DB64" s="440">
        <f t="shared" si="312"/>
        <v>0</v>
      </c>
      <c r="DC64" s="426">
        <f t="shared" si="313"/>
        <v>0</v>
      </c>
      <c r="DD64" s="426">
        <f t="shared" si="314"/>
        <v>0</v>
      </c>
      <c r="DE64" s="426">
        <f t="shared" si="315"/>
        <v>0</v>
      </c>
      <c r="DF64" s="426">
        <f t="shared" si="316"/>
        <v>0</v>
      </c>
      <c r="DG64" s="426">
        <f t="shared" si="317"/>
        <v>0</v>
      </c>
      <c r="DH64" s="426">
        <f t="shared" si="318"/>
        <v>0</v>
      </c>
      <c r="DI64" s="441">
        <f t="shared" si="319"/>
        <v>0</v>
      </c>
      <c r="DJ64" s="439">
        <f t="shared" si="320"/>
        <v>0</v>
      </c>
      <c r="DL64" s="439">
        <f t="shared" si="321"/>
        <v>0</v>
      </c>
      <c r="DN64" s="395"/>
      <c r="DX64" s="389">
        <v>45</v>
      </c>
      <c r="DY64" s="433">
        <f t="shared" si="101"/>
        <v>46631</v>
      </c>
      <c r="DZ64" s="433">
        <f t="shared" si="102"/>
        <v>46660</v>
      </c>
      <c r="EA64" s="389" t="str">
        <f>IF(AND(DZ64&gt;=EXPEDIENTE!$F$25,DY64&lt;=EXPEDIENTE!$F$29),"SI","NO")</f>
        <v>SI</v>
      </c>
      <c r="EB64" s="426">
        <f t="shared" si="187"/>
        <v>0</v>
      </c>
      <c r="EC64" s="426">
        <f t="shared" si="188"/>
        <v>0</v>
      </c>
      <c r="ED64" s="426">
        <f t="shared" si="189"/>
        <v>0</v>
      </c>
      <c r="EE64" s="426">
        <f t="shared" si="190"/>
        <v>0</v>
      </c>
      <c r="EF64" s="426">
        <f t="shared" si="191"/>
        <v>0</v>
      </c>
      <c r="EG64" s="426">
        <f t="shared" si="192"/>
        <v>0</v>
      </c>
      <c r="EH64" s="426">
        <f t="shared" si="193"/>
        <v>0</v>
      </c>
      <c r="EI64" s="426">
        <f t="shared" si="194"/>
        <v>0</v>
      </c>
      <c r="EJ64" s="426">
        <f t="shared" si="195"/>
        <v>0</v>
      </c>
      <c r="EK64" s="426">
        <f t="shared" si="196"/>
        <v>0</v>
      </c>
      <c r="EL64" s="426">
        <f t="shared" si="197"/>
        <v>0</v>
      </c>
      <c r="EM64" s="426">
        <f t="shared" si="198"/>
        <v>0</v>
      </c>
      <c r="EN64" s="426">
        <f t="shared" si="199"/>
        <v>0</v>
      </c>
      <c r="EO64" s="426">
        <f t="shared" si="200"/>
        <v>0</v>
      </c>
      <c r="EP64" s="426">
        <f t="shared" si="201"/>
        <v>0</v>
      </c>
      <c r="EQ64" s="426">
        <f t="shared" si="202"/>
        <v>0</v>
      </c>
      <c r="ER64" s="426">
        <f t="shared" si="203"/>
        <v>0</v>
      </c>
      <c r="ES64" s="426">
        <f t="shared" si="204"/>
        <v>0</v>
      </c>
      <c r="ET64" s="426">
        <f t="shared" si="205"/>
        <v>0</v>
      </c>
      <c r="EU64" s="426">
        <f t="shared" si="206"/>
        <v>0</v>
      </c>
      <c r="EV64" s="426">
        <f t="shared" si="207"/>
        <v>0</v>
      </c>
      <c r="EW64" s="426">
        <f t="shared" si="208"/>
        <v>0</v>
      </c>
      <c r="EX64" s="426">
        <f t="shared" si="209"/>
        <v>0</v>
      </c>
      <c r="EY64" s="426">
        <f t="shared" si="210"/>
        <v>0</v>
      </c>
      <c r="EZ64" s="426">
        <f t="shared" si="211"/>
        <v>0</v>
      </c>
      <c r="FA64" s="426">
        <f t="shared" si="212"/>
        <v>0</v>
      </c>
      <c r="FB64" s="426">
        <f t="shared" si="213"/>
        <v>0</v>
      </c>
      <c r="FC64" s="426">
        <f t="shared" si="214"/>
        <v>0</v>
      </c>
      <c r="FD64" s="426">
        <f t="shared" si="215"/>
        <v>0</v>
      </c>
      <c r="FE64" s="426">
        <f t="shared" si="216"/>
        <v>0</v>
      </c>
      <c r="FF64" s="426">
        <f t="shared" si="217"/>
        <v>0</v>
      </c>
      <c r="FG64" s="426">
        <f t="shared" si="218"/>
        <v>0</v>
      </c>
      <c r="FH64" s="426">
        <f t="shared" si="66"/>
        <v>0</v>
      </c>
      <c r="FJ64" s="121">
        <v>10</v>
      </c>
      <c r="FK64" s="495">
        <f>DATE(YEAR(EXPEDIENTE!$F$25)+2,FJ64,1)</f>
        <v>46296</v>
      </c>
      <c r="FL64" s="495" t="str">
        <f>IF('GASTOS EJER, 3'!I58="","",'GASTOS EJER, 3'!I58)</f>
        <v/>
      </c>
      <c r="FM64" s="503">
        <f>'GASTOS EJER, 3'!X29</f>
        <v>0</v>
      </c>
      <c r="FN64" s="503">
        <f>'GASTOS EJER, 3'!H58</f>
        <v>0</v>
      </c>
      <c r="FO64" s="426">
        <f t="shared" si="325"/>
        <v>0</v>
      </c>
      <c r="FP64" s="503">
        <f t="shared" si="283"/>
        <v>0</v>
      </c>
      <c r="FR64" s="395"/>
      <c r="GB64" s="389">
        <v>45</v>
      </c>
      <c r="GC64" s="433">
        <f t="shared" si="103"/>
        <v>46631</v>
      </c>
      <c r="GD64" s="433">
        <f t="shared" si="104"/>
        <v>46660</v>
      </c>
      <c r="GE64" s="389" t="str">
        <f>IF(AND(GD64&gt;=EXPEDIENTE!$F$25,GC64&lt;=EXPEDIENTE!$F$29),"SI","NO")</f>
        <v>SI</v>
      </c>
      <c r="GF64" s="426">
        <f t="shared" si="67"/>
        <v>0</v>
      </c>
      <c r="GG64" s="426">
        <f t="shared" si="68"/>
        <v>0</v>
      </c>
      <c r="GH64" s="426">
        <f t="shared" si="69"/>
        <v>0</v>
      </c>
      <c r="GI64" s="426">
        <f t="shared" si="70"/>
        <v>0</v>
      </c>
      <c r="GJ64" s="426">
        <f t="shared" si="71"/>
        <v>0</v>
      </c>
      <c r="GK64" s="426">
        <f t="shared" si="72"/>
        <v>0</v>
      </c>
      <c r="GL64" s="426">
        <f t="shared" si="73"/>
        <v>0</v>
      </c>
      <c r="GM64" s="426">
        <f t="shared" si="74"/>
        <v>0</v>
      </c>
      <c r="GN64" s="426">
        <f t="shared" si="75"/>
        <v>0</v>
      </c>
      <c r="GO64" s="426">
        <f t="shared" si="76"/>
        <v>0</v>
      </c>
      <c r="GP64" s="426">
        <f t="shared" si="77"/>
        <v>0</v>
      </c>
      <c r="GQ64" s="426">
        <f t="shared" si="78"/>
        <v>0</v>
      </c>
      <c r="GR64" s="426">
        <f t="shared" si="79"/>
        <v>0</v>
      </c>
      <c r="GS64" s="426">
        <f t="shared" si="80"/>
        <v>0</v>
      </c>
      <c r="GT64" s="426">
        <f t="shared" si="81"/>
        <v>0</v>
      </c>
      <c r="GU64" s="426">
        <f t="shared" si="82"/>
        <v>0</v>
      </c>
      <c r="GV64" s="426">
        <f t="shared" si="83"/>
        <v>0</v>
      </c>
      <c r="GW64" s="426">
        <f t="shared" si="84"/>
        <v>0</v>
      </c>
      <c r="GX64" s="426">
        <f t="shared" si="85"/>
        <v>0</v>
      </c>
      <c r="GY64" s="426">
        <f t="shared" si="86"/>
        <v>0</v>
      </c>
      <c r="GZ64" s="426">
        <f t="shared" si="87"/>
        <v>0</v>
      </c>
      <c r="HA64" s="426">
        <f t="shared" si="88"/>
        <v>0</v>
      </c>
      <c r="HB64" s="426">
        <f t="shared" si="89"/>
        <v>0</v>
      </c>
      <c r="HC64" s="426">
        <f t="shared" si="90"/>
        <v>0</v>
      </c>
      <c r="HD64" s="426">
        <f t="shared" si="91"/>
        <v>0</v>
      </c>
      <c r="HE64" s="426">
        <f t="shared" si="92"/>
        <v>0</v>
      </c>
      <c r="HF64" s="426">
        <f t="shared" si="93"/>
        <v>0</v>
      </c>
      <c r="HG64" s="426">
        <f t="shared" si="94"/>
        <v>0</v>
      </c>
      <c r="HH64" s="426">
        <f t="shared" si="95"/>
        <v>0</v>
      </c>
      <c r="HI64" s="426">
        <f t="shared" si="96"/>
        <v>0</v>
      </c>
      <c r="HJ64" s="426">
        <f t="shared" si="97"/>
        <v>0</v>
      </c>
      <c r="HK64" s="426">
        <f t="shared" si="98"/>
        <v>0</v>
      </c>
      <c r="HL64" s="426">
        <f t="shared" si="99"/>
        <v>0</v>
      </c>
      <c r="HO64" s="121">
        <v>10</v>
      </c>
      <c r="HP64" s="495">
        <f>DATE(YEAR(EXPEDIENTE!$F$25)+2,HO64,1)</f>
        <v>46296</v>
      </c>
      <c r="HQ64" s="495" t="str">
        <f>IF('GASTOS EJER, 3'!BF58="","",'GASTOS EJER, 3'!BF58)</f>
        <v/>
      </c>
      <c r="HR64" s="503">
        <f>'GASTOS EJER, 3'!CM29</f>
        <v>0</v>
      </c>
      <c r="HS64" s="503">
        <f>'GASTOS EJER, 3'!BA58</f>
        <v>0</v>
      </c>
      <c r="HT64" s="426">
        <f t="shared" si="329"/>
        <v>0</v>
      </c>
      <c r="HU64" s="503">
        <f t="shared" si="285"/>
        <v>0</v>
      </c>
      <c r="JC64" s="445">
        <v>60</v>
      </c>
      <c r="JD64" s="401">
        <f t="shared" si="100"/>
        <v>22</v>
      </c>
    </row>
    <row r="65" spans="3:264" x14ac:dyDescent="0.25">
      <c r="C65" s="209">
        <v>59</v>
      </c>
      <c r="D65" s="404"/>
      <c r="E65" s="420"/>
      <c r="F65" s="421"/>
      <c r="G65" s="422"/>
      <c r="H65" s="422"/>
      <c r="I65" s="422"/>
      <c r="J65" s="404"/>
      <c r="K65" s="410">
        <f t="shared" si="52"/>
        <v>76</v>
      </c>
      <c r="L65" s="410">
        <f t="shared" si="53"/>
        <v>76</v>
      </c>
      <c r="M65" s="410" t="str">
        <f t="shared" si="54"/>
        <v>X</v>
      </c>
      <c r="AG65" s="395"/>
      <c r="AH65" s="395"/>
      <c r="AI65" s="395"/>
      <c r="AJ65" s="395"/>
      <c r="AK65" s="395"/>
      <c r="AL65" s="395"/>
      <c r="AM65" s="395"/>
      <c r="AN65" s="395"/>
      <c r="AO65" s="395"/>
      <c r="AP65" s="395"/>
      <c r="AQ65" s="395"/>
      <c r="AR65" s="395"/>
      <c r="AS65" s="395"/>
      <c r="AT65" s="395"/>
      <c r="AU65" s="395"/>
      <c r="AV65" s="395"/>
      <c r="AW65" s="395"/>
      <c r="AY65" s="426">
        <v>11</v>
      </c>
      <c r="AZ65" s="427" t="e">
        <f t="shared" si="267"/>
        <v>#VALUE!</v>
      </c>
      <c r="BA65" s="436">
        <f t="shared" si="268"/>
        <v>0</v>
      </c>
      <c r="BB65" s="437">
        <f t="shared" si="269"/>
        <v>0</v>
      </c>
      <c r="BC65" s="437">
        <f t="shared" si="270"/>
        <v>0</v>
      </c>
      <c r="BD65" s="437">
        <f t="shared" si="271"/>
        <v>0</v>
      </c>
      <c r="BE65" s="437">
        <f t="shared" si="272"/>
        <v>0</v>
      </c>
      <c r="BF65" s="437">
        <f t="shared" si="273"/>
        <v>0</v>
      </c>
      <c r="BG65" s="437">
        <f t="shared" si="274"/>
        <v>0</v>
      </c>
      <c r="BH65" s="438">
        <f t="shared" si="275"/>
        <v>0</v>
      </c>
      <c r="BI65" s="439">
        <f t="shared" si="276"/>
        <v>0</v>
      </c>
      <c r="BK65" s="436">
        <f t="shared" si="290"/>
        <v>0</v>
      </c>
      <c r="BL65" s="437">
        <f t="shared" si="291"/>
        <v>0</v>
      </c>
      <c r="BM65" s="437">
        <f t="shared" si="292"/>
        <v>0</v>
      </c>
      <c r="BN65" s="437">
        <f t="shared" si="293"/>
        <v>0</v>
      </c>
      <c r="BO65" s="437">
        <f t="shared" si="294"/>
        <v>0</v>
      </c>
      <c r="BP65" s="437">
        <f t="shared" si="295"/>
        <v>0</v>
      </c>
      <c r="BQ65" s="437">
        <f t="shared" si="296"/>
        <v>0</v>
      </c>
      <c r="BR65" s="438">
        <f t="shared" si="297"/>
        <v>0</v>
      </c>
      <c r="BS65" s="439">
        <f t="shared" si="298"/>
        <v>0</v>
      </c>
      <c r="BU65" s="439">
        <f t="shared" si="299"/>
        <v>0</v>
      </c>
      <c r="BX65" s="395"/>
      <c r="BY65" s="395"/>
      <c r="BZ65" s="395"/>
      <c r="CA65" s="395"/>
      <c r="CB65" s="395"/>
      <c r="CC65" s="395"/>
      <c r="CD65" s="395"/>
      <c r="CE65" s="395"/>
      <c r="CF65" s="395"/>
      <c r="CG65" s="395"/>
      <c r="CH65" s="395"/>
      <c r="CI65" s="395"/>
      <c r="CJ65" s="395"/>
      <c r="CK65" s="395"/>
      <c r="CL65" s="395"/>
      <c r="CM65" s="395"/>
      <c r="CN65" s="395"/>
      <c r="CP65" s="426">
        <v>11</v>
      </c>
      <c r="CQ65" s="427" t="e">
        <f t="shared" si="278"/>
        <v>#VALUE!</v>
      </c>
      <c r="CR65" s="440">
        <f t="shared" si="304"/>
        <v>0</v>
      </c>
      <c r="CS65" s="426">
        <f t="shared" si="305"/>
        <v>0</v>
      </c>
      <c r="CT65" s="426">
        <f t="shared" si="306"/>
        <v>0</v>
      </c>
      <c r="CU65" s="426">
        <f t="shared" si="307"/>
        <v>0</v>
      </c>
      <c r="CV65" s="426">
        <f t="shared" si="308"/>
        <v>0</v>
      </c>
      <c r="CW65" s="426">
        <f t="shared" si="309"/>
        <v>0</v>
      </c>
      <c r="CX65" s="426">
        <f t="shared" si="310"/>
        <v>0</v>
      </c>
      <c r="CY65" s="441">
        <f t="shared" si="311"/>
        <v>0</v>
      </c>
      <c r="CZ65" s="439">
        <f t="shared" ref="CZ65:CZ66" si="330">SUM(CR65:CY65)</f>
        <v>0</v>
      </c>
      <c r="DB65" s="440">
        <f t="shared" si="312"/>
        <v>0</v>
      </c>
      <c r="DC65" s="426">
        <f t="shared" si="313"/>
        <v>0</v>
      </c>
      <c r="DD65" s="426">
        <f t="shared" si="314"/>
        <v>0</v>
      </c>
      <c r="DE65" s="426">
        <f t="shared" si="315"/>
        <v>0</v>
      </c>
      <c r="DF65" s="426">
        <f t="shared" si="316"/>
        <v>0</v>
      </c>
      <c r="DG65" s="426">
        <f t="shared" si="317"/>
        <v>0</v>
      </c>
      <c r="DH65" s="426">
        <f t="shared" si="318"/>
        <v>0</v>
      </c>
      <c r="DI65" s="441">
        <f t="shared" si="319"/>
        <v>0</v>
      </c>
      <c r="DJ65" s="439">
        <f t="shared" si="320"/>
        <v>0</v>
      </c>
      <c r="DL65" s="439">
        <f t="shared" si="321"/>
        <v>0</v>
      </c>
      <c r="DN65" s="395"/>
      <c r="DX65" s="389">
        <v>46</v>
      </c>
      <c r="DY65" s="433">
        <f t="shared" si="101"/>
        <v>46661</v>
      </c>
      <c r="DZ65" s="433">
        <f t="shared" si="102"/>
        <v>46691</v>
      </c>
      <c r="EA65" s="389" t="str">
        <f>IF(AND(DZ65&gt;=EXPEDIENTE!$F$25,DY65&lt;=EXPEDIENTE!$F$29),"SI","NO")</f>
        <v>SI</v>
      </c>
      <c r="EB65" s="426">
        <f t="shared" si="187"/>
        <v>0</v>
      </c>
      <c r="EC65" s="426">
        <f t="shared" si="188"/>
        <v>0</v>
      </c>
      <c r="ED65" s="426">
        <f t="shared" si="189"/>
        <v>0</v>
      </c>
      <c r="EE65" s="426">
        <f t="shared" si="190"/>
        <v>0</v>
      </c>
      <c r="EF65" s="426">
        <f t="shared" si="191"/>
        <v>0</v>
      </c>
      <c r="EG65" s="426">
        <f t="shared" si="192"/>
        <v>0</v>
      </c>
      <c r="EH65" s="426">
        <f t="shared" si="193"/>
        <v>0</v>
      </c>
      <c r="EI65" s="426">
        <f t="shared" si="194"/>
        <v>0</v>
      </c>
      <c r="EJ65" s="426">
        <f t="shared" si="195"/>
        <v>0</v>
      </c>
      <c r="EK65" s="426">
        <f t="shared" si="196"/>
        <v>0</v>
      </c>
      <c r="EL65" s="426">
        <f t="shared" si="197"/>
        <v>0</v>
      </c>
      <c r="EM65" s="426">
        <f t="shared" si="198"/>
        <v>0</v>
      </c>
      <c r="EN65" s="426">
        <f t="shared" si="199"/>
        <v>0</v>
      </c>
      <c r="EO65" s="426">
        <f t="shared" si="200"/>
        <v>0</v>
      </c>
      <c r="EP65" s="426">
        <f t="shared" si="201"/>
        <v>0</v>
      </c>
      <c r="EQ65" s="426">
        <f t="shared" si="202"/>
        <v>0</v>
      </c>
      <c r="ER65" s="426">
        <f t="shared" si="203"/>
        <v>0</v>
      </c>
      <c r="ES65" s="426">
        <f t="shared" si="204"/>
        <v>0</v>
      </c>
      <c r="ET65" s="426">
        <f t="shared" si="205"/>
        <v>0</v>
      </c>
      <c r="EU65" s="426">
        <f t="shared" si="206"/>
        <v>0</v>
      </c>
      <c r="EV65" s="426">
        <f t="shared" si="207"/>
        <v>0</v>
      </c>
      <c r="EW65" s="426">
        <f t="shared" si="208"/>
        <v>0</v>
      </c>
      <c r="EX65" s="426">
        <f t="shared" si="209"/>
        <v>0</v>
      </c>
      <c r="EY65" s="426">
        <f t="shared" si="210"/>
        <v>0</v>
      </c>
      <c r="EZ65" s="426">
        <f t="shared" si="211"/>
        <v>0</v>
      </c>
      <c r="FA65" s="426">
        <f t="shared" si="212"/>
        <v>0</v>
      </c>
      <c r="FB65" s="426">
        <f t="shared" si="213"/>
        <v>0</v>
      </c>
      <c r="FC65" s="426">
        <f t="shared" si="214"/>
        <v>0</v>
      </c>
      <c r="FD65" s="426">
        <f t="shared" si="215"/>
        <v>0</v>
      </c>
      <c r="FE65" s="426">
        <f t="shared" si="216"/>
        <v>0</v>
      </c>
      <c r="FF65" s="426">
        <f t="shared" si="217"/>
        <v>0</v>
      </c>
      <c r="FG65" s="426">
        <f t="shared" si="218"/>
        <v>0</v>
      </c>
      <c r="FH65" s="426">
        <f t="shared" si="66"/>
        <v>0</v>
      </c>
      <c r="FJ65" s="121">
        <v>11</v>
      </c>
      <c r="FK65" s="495">
        <f>DATE(YEAR(EXPEDIENTE!$F$25)+2,FJ65,1)</f>
        <v>46327</v>
      </c>
      <c r="FL65" s="495" t="str">
        <f>IF('GASTOS EJER, 3'!I59="","",'GASTOS EJER, 3'!I59)</f>
        <v/>
      </c>
      <c r="FM65" s="503">
        <f>'GASTOS EJER, 3'!X30</f>
        <v>0</v>
      </c>
      <c r="FN65" s="503">
        <f>'GASTOS EJER, 3'!H59</f>
        <v>0</v>
      </c>
      <c r="FO65" s="426">
        <f t="shared" si="325"/>
        <v>0</v>
      </c>
      <c r="FP65" s="503">
        <f t="shared" si="283"/>
        <v>0</v>
      </c>
      <c r="FR65" s="395"/>
      <c r="GB65" s="389">
        <v>46</v>
      </c>
      <c r="GC65" s="433">
        <f t="shared" si="103"/>
        <v>46661</v>
      </c>
      <c r="GD65" s="433">
        <f t="shared" si="104"/>
        <v>46691</v>
      </c>
      <c r="GE65" s="389" t="str">
        <f>IF(AND(GD65&gt;=EXPEDIENTE!$F$25,GC65&lt;=EXPEDIENTE!$F$29),"SI","NO")</f>
        <v>SI</v>
      </c>
      <c r="GF65" s="426">
        <f t="shared" si="67"/>
        <v>0</v>
      </c>
      <c r="GG65" s="426">
        <f t="shared" si="68"/>
        <v>0</v>
      </c>
      <c r="GH65" s="426">
        <f t="shared" si="69"/>
        <v>0</v>
      </c>
      <c r="GI65" s="426">
        <f t="shared" si="70"/>
        <v>0</v>
      </c>
      <c r="GJ65" s="426">
        <f t="shared" si="71"/>
        <v>0</v>
      </c>
      <c r="GK65" s="426">
        <f t="shared" si="72"/>
        <v>0</v>
      </c>
      <c r="GL65" s="426">
        <f t="shared" si="73"/>
        <v>0</v>
      </c>
      <c r="GM65" s="426">
        <f t="shared" si="74"/>
        <v>0</v>
      </c>
      <c r="GN65" s="426">
        <f t="shared" si="75"/>
        <v>0</v>
      </c>
      <c r="GO65" s="426">
        <f t="shared" si="76"/>
        <v>0</v>
      </c>
      <c r="GP65" s="426">
        <f t="shared" si="77"/>
        <v>0</v>
      </c>
      <c r="GQ65" s="426">
        <f t="shared" si="78"/>
        <v>0</v>
      </c>
      <c r="GR65" s="426">
        <f t="shared" si="79"/>
        <v>0</v>
      </c>
      <c r="GS65" s="426">
        <f t="shared" si="80"/>
        <v>0</v>
      </c>
      <c r="GT65" s="426">
        <f t="shared" si="81"/>
        <v>0</v>
      </c>
      <c r="GU65" s="426">
        <f t="shared" si="82"/>
        <v>0</v>
      </c>
      <c r="GV65" s="426">
        <f t="shared" si="83"/>
        <v>0</v>
      </c>
      <c r="GW65" s="426">
        <f t="shared" si="84"/>
        <v>0</v>
      </c>
      <c r="GX65" s="426">
        <f t="shared" si="85"/>
        <v>0</v>
      </c>
      <c r="GY65" s="426">
        <f t="shared" si="86"/>
        <v>0</v>
      </c>
      <c r="GZ65" s="426">
        <f t="shared" si="87"/>
        <v>0</v>
      </c>
      <c r="HA65" s="426">
        <f t="shared" si="88"/>
        <v>0</v>
      </c>
      <c r="HB65" s="426">
        <f t="shared" si="89"/>
        <v>0</v>
      </c>
      <c r="HC65" s="426">
        <f t="shared" si="90"/>
        <v>0</v>
      </c>
      <c r="HD65" s="426">
        <f t="shared" si="91"/>
        <v>0</v>
      </c>
      <c r="HE65" s="426">
        <f t="shared" si="92"/>
        <v>0</v>
      </c>
      <c r="HF65" s="426">
        <f t="shared" si="93"/>
        <v>0</v>
      </c>
      <c r="HG65" s="426">
        <f t="shared" si="94"/>
        <v>0</v>
      </c>
      <c r="HH65" s="426">
        <f t="shared" si="95"/>
        <v>0</v>
      </c>
      <c r="HI65" s="426">
        <f t="shared" si="96"/>
        <v>0</v>
      </c>
      <c r="HJ65" s="426">
        <f t="shared" si="97"/>
        <v>0</v>
      </c>
      <c r="HK65" s="426">
        <f t="shared" si="98"/>
        <v>0</v>
      </c>
      <c r="HL65" s="426">
        <f t="shared" si="99"/>
        <v>0</v>
      </c>
      <c r="HO65" s="121">
        <v>11</v>
      </c>
      <c r="HP65" s="495">
        <f>DATE(YEAR(EXPEDIENTE!$F$25)+2,HO65,1)</f>
        <v>46327</v>
      </c>
      <c r="HQ65" s="495" t="str">
        <f>IF('GASTOS EJER, 3'!BF59="","",'GASTOS EJER, 3'!BF59)</f>
        <v/>
      </c>
      <c r="HR65" s="503">
        <f>'GASTOS EJER, 3'!CM30</f>
        <v>0</v>
      </c>
      <c r="HS65" s="503">
        <f>'GASTOS EJER, 3'!BA59</f>
        <v>0</v>
      </c>
      <c r="HT65" s="426">
        <f t="shared" si="329"/>
        <v>0</v>
      </c>
      <c r="HU65" s="503">
        <f t="shared" si="285"/>
        <v>0</v>
      </c>
      <c r="JC65" s="409">
        <v>61</v>
      </c>
      <c r="JD65" s="401">
        <f t="shared" si="100"/>
        <v>24</v>
      </c>
    </row>
    <row r="66" spans="3:264" ht="15.75" thickBot="1" x14ac:dyDescent="0.3">
      <c r="C66" s="209">
        <v>60</v>
      </c>
      <c r="D66" s="404"/>
      <c r="E66" s="420"/>
      <c r="F66" s="421"/>
      <c r="G66" s="422"/>
      <c r="H66" s="422"/>
      <c r="I66" s="422"/>
      <c r="J66" s="404"/>
      <c r="K66" s="410">
        <f t="shared" si="52"/>
        <v>76</v>
      </c>
      <c r="L66" s="410">
        <f t="shared" si="53"/>
        <v>76</v>
      </c>
      <c r="M66" s="410" t="str">
        <f t="shared" si="54"/>
        <v>X</v>
      </c>
      <c r="AG66" s="395"/>
      <c r="AH66" s="395"/>
      <c r="AI66" s="395"/>
      <c r="AJ66" s="395"/>
      <c r="AK66" s="395"/>
      <c r="AL66" s="395"/>
      <c r="AM66" s="395"/>
      <c r="AN66" s="395"/>
      <c r="AO66" s="395"/>
      <c r="AP66" s="395"/>
      <c r="AQ66" s="395"/>
      <c r="AR66" s="395"/>
      <c r="AS66" s="395"/>
      <c r="AT66" s="395"/>
      <c r="AU66" s="395"/>
      <c r="AV66" s="395"/>
      <c r="AW66" s="395"/>
      <c r="AY66" s="426">
        <v>12</v>
      </c>
      <c r="AZ66" s="427" t="e">
        <f t="shared" si="267"/>
        <v>#VALUE!</v>
      </c>
      <c r="BA66" s="449">
        <f t="shared" si="268"/>
        <v>0</v>
      </c>
      <c r="BB66" s="450">
        <f t="shared" si="269"/>
        <v>0</v>
      </c>
      <c r="BC66" s="450">
        <f t="shared" si="270"/>
        <v>0</v>
      </c>
      <c r="BD66" s="450">
        <f t="shared" si="271"/>
        <v>0</v>
      </c>
      <c r="BE66" s="450">
        <f t="shared" si="272"/>
        <v>0</v>
      </c>
      <c r="BF66" s="450">
        <f t="shared" si="273"/>
        <v>0</v>
      </c>
      <c r="BG66" s="450">
        <f t="shared" si="274"/>
        <v>0</v>
      </c>
      <c r="BH66" s="451">
        <f t="shared" si="275"/>
        <v>0</v>
      </c>
      <c r="BI66" s="452">
        <f t="shared" si="276"/>
        <v>0</v>
      </c>
      <c r="BK66" s="449">
        <f t="shared" si="290"/>
        <v>0</v>
      </c>
      <c r="BL66" s="450">
        <f t="shared" si="291"/>
        <v>0</v>
      </c>
      <c r="BM66" s="450">
        <f t="shared" si="292"/>
        <v>0</v>
      </c>
      <c r="BN66" s="450">
        <f t="shared" si="293"/>
        <v>0</v>
      </c>
      <c r="BO66" s="450">
        <f t="shared" si="294"/>
        <v>0</v>
      </c>
      <c r="BP66" s="450">
        <f t="shared" si="295"/>
        <v>0</v>
      </c>
      <c r="BQ66" s="450">
        <f t="shared" si="296"/>
        <v>0</v>
      </c>
      <c r="BR66" s="451">
        <f t="shared" si="297"/>
        <v>0</v>
      </c>
      <c r="BS66" s="452">
        <f t="shared" si="298"/>
        <v>0</v>
      </c>
      <c r="BU66" s="452">
        <f t="shared" si="299"/>
        <v>0</v>
      </c>
      <c r="BX66" s="395"/>
      <c r="BY66" s="395"/>
      <c r="BZ66" s="395"/>
      <c r="CA66" s="395"/>
      <c r="CB66" s="395"/>
      <c r="CC66" s="395"/>
      <c r="CD66" s="395"/>
      <c r="CE66" s="395"/>
      <c r="CF66" s="395"/>
      <c r="CG66" s="395"/>
      <c r="CH66" s="395"/>
      <c r="CI66" s="395"/>
      <c r="CJ66" s="395"/>
      <c r="CK66" s="395"/>
      <c r="CL66" s="395"/>
      <c r="CM66" s="395"/>
      <c r="CN66" s="395"/>
      <c r="CP66" s="426">
        <v>12</v>
      </c>
      <c r="CQ66" s="427" t="e">
        <f t="shared" si="278"/>
        <v>#VALUE!</v>
      </c>
      <c r="CR66" s="453">
        <f t="shared" si="304"/>
        <v>0</v>
      </c>
      <c r="CS66" s="454">
        <f t="shared" si="305"/>
        <v>0</v>
      </c>
      <c r="CT66" s="454">
        <f t="shared" si="306"/>
        <v>0</v>
      </c>
      <c r="CU66" s="454">
        <f t="shared" si="307"/>
        <v>0</v>
      </c>
      <c r="CV66" s="454">
        <f t="shared" si="308"/>
        <v>0</v>
      </c>
      <c r="CW66" s="454">
        <f t="shared" si="309"/>
        <v>0</v>
      </c>
      <c r="CX66" s="454">
        <f t="shared" si="310"/>
        <v>0</v>
      </c>
      <c r="CY66" s="455">
        <f>IF($BY$62=0,0,IF($CY$53=0,0,IF(AND($CQ66&gt;=$CJ$62,$CQ66&lt;=$CK$62),$CN$62,0)))</f>
        <v>0</v>
      </c>
      <c r="CZ66" s="452">
        <f t="shared" si="330"/>
        <v>0</v>
      </c>
      <c r="DB66" s="453">
        <f t="shared" si="312"/>
        <v>0</v>
      </c>
      <c r="DC66" s="454">
        <f t="shared" si="313"/>
        <v>0</v>
      </c>
      <c r="DD66" s="454">
        <f t="shared" si="314"/>
        <v>0</v>
      </c>
      <c r="DE66" s="454">
        <f t="shared" si="315"/>
        <v>0</v>
      </c>
      <c r="DF66" s="454">
        <f t="shared" si="316"/>
        <v>0</v>
      </c>
      <c r="DG66" s="454">
        <f t="shared" si="317"/>
        <v>0</v>
      </c>
      <c r="DH66" s="454">
        <f t="shared" si="318"/>
        <v>0</v>
      </c>
      <c r="DI66" s="455">
        <f t="shared" si="319"/>
        <v>0</v>
      </c>
      <c r="DJ66" s="452">
        <f t="shared" si="320"/>
        <v>0</v>
      </c>
      <c r="DL66" s="452">
        <f t="shared" si="321"/>
        <v>0</v>
      </c>
      <c r="DN66" s="395"/>
      <c r="DX66" s="389">
        <v>47</v>
      </c>
      <c r="DY66" s="433">
        <f t="shared" si="101"/>
        <v>46692</v>
      </c>
      <c r="DZ66" s="433">
        <f t="shared" si="102"/>
        <v>46721</v>
      </c>
      <c r="EA66" s="389" t="str">
        <f>IF(AND(DZ66&gt;=EXPEDIENTE!$F$25,DY66&lt;=EXPEDIENTE!$F$29),"SI","NO")</f>
        <v>SI</v>
      </c>
      <c r="EB66" s="426">
        <f t="shared" si="187"/>
        <v>0</v>
      </c>
      <c r="EC66" s="426">
        <f t="shared" si="188"/>
        <v>0</v>
      </c>
      <c r="ED66" s="426">
        <f t="shared" si="189"/>
        <v>0</v>
      </c>
      <c r="EE66" s="426">
        <f t="shared" si="190"/>
        <v>0</v>
      </c>
      <c r="EF66" s="426">
        <f t="shared" si="191"/>
        <v>0</v>
      </c>
      <c r="EG66" s="426">
        <f t="shared" si="192"/>
        <v>0</v>
      </c>
      <c r="EH66" s="426">
        <f t="shared" si="193"/>
        <v>0</v>
      </c>
      <c r="EI66" s="426">
        <f t="shared" si="194"/>
        <v>0</v>
      </c>
      <c r="EJ66" s="426">
        <f t="shared" si="195"/>
        <v>0</v>
      </c>
      <c r="EK66" s="426">
        <f t="shared" si="196"/>
        <v>0</v>
      </c>
      <c r="EL66" s="426">
        <f t="shared" si="197"/>
        <v>0</v>
      </c>
      <c r="EM66" s="426">
        <f t="shared" si="198"/>
        <v>0</v>
      </c>
      <c r="EN66" s="426">
        <f t="shared" si="199"/>
        <v>0</v>
      </c>
      <c r="EO66" s="426">
        <f t="shared" si="200"/>
        <v>0</v>
      </c>
      <c r="EP66" s="426">
        <f t="shared" si="201"/>
        <v>0</v>
      </c>
      <c r="EQ66" s="426">
        <f t="shared" si="202"/>
        <v>0</v>
      </c>
      <c r="ER66" s="426">
        <f t="shared" si="203"/>
        <v>0</v>
      </c>
      <c r="ES66" s="426">
        <f t="shared" si="204"/>
        <v>0</v>
      </c>
      <c r="ET66" s="426">
        <f t="shared" si="205"/>
        <v>0</v>
      </c>
      <c r="EU66" s="426">
        <f t="shared" si="206"/>
        <v>0</v>
      </c>
      <c r="EV66" s="426">
        <f t="shared" si="207"/>
        <v>0</v>
      </c>
      <c r="EW66" s="426">
        <f t="shared" si="208"/>
        <v>0</v>
      </c>
      <c r="EX66" s="426">
        <f t="shared" si="209"/>
        <v>0</v>
      </c>
      <c r="EY66" s="426">
        <f t="shared" si="210"/>
        <v>0</v>
      </c>
      <c r="EZ66" s="426">
        <f t="shared" si="211"/>
        <v>0</v>
      </c>
      <c r="FA66" s="426">
        <f t="shared" si="212"/>
        <v>0</v>
      </c>
      <c r="FB66" s="426">
        <f t="shared" si="213"/>
        <v>0</v>
      </c>
      <c r="FC66" s="426">
        <f t="shared" si="214"/>
        <v>0</v>
      </c>
      <c r="FD66" s="426">
        <f t="shared" si="215"/>
        <v>0</v>
      </c>
      <c r="FE66" s="426">
        <f t="shared" si="216"/>
        <v>0</v>
      </c>
      <c r="FF66" s="426">
        <f t="shared" si="217"/>
        <v>0</v>
      </c>
      <c r="FG66" s="426">
        <f t="shared" si="218"/>
        <v>0</v>
      </c>
      <c r="FH66" s="426">
        <f t="shared" si="66"/>
        <v>0</v>
      </c>
      <c r="FJ66" s="121">
        <v>12</v>
      </c>
      <c r="FK66" s="495">
        <f>DATE(YEAR(EXPEDIENTE!$F$25)+2,FJ66,1)</f>
        <v>46357</v>
      </c>
      <c r="FL66" s="495" t="str">
        <f>IF('GASTOS EJER, 3'!I60="","",'GASTOS EJER, 3'!I60)</f>
        <v/>
      </c>
      <c r="FM66" s="503">
        <f>'GASTOS EJER, 3'!X31</f>
        <v>0</v>
      </c>
      <c r="FN66" s="503">
        <f>'GASTOS EJER, 3'!H60</f>
        <v>0</v>
      </c>
      <c r="FO66" s="426">
        <f t="shared" si="325"/>
        <v>0</v>
      </c>
      <c r="FP66" s="503">
        <f t="shared" si="283"/>
        <v>0</v>
      </c>
      <c r="FR66" s="395"/>
      <c r="GB66" s="389">
        <v>47</v>
      </c>
      <c r="GC66" s="433">
        <f t="shared" si="103"/>
        <v>46692</v>
      </c>
      <c r="GD66" s="433">
        <f t="shared" si="104"/>
        <v>46721</v>
      </c>
      <c r="GE66" s="389" t="str">
        <f>IF(AND(GD66&gt;=EXPEDIENTE!$F$25,GC66&lt;=EXPEDIENTE!$F$29),"SI","NO")</f>
        <v>SI</v>
      </c>
      <c r="GF66" s="426">
        <f t="shared" si="67"/>
        <v>0</v>
      </c>
      <c r="GG66" s="426">
        <f t="shared" si="68"/>
        <v>0</v>
      </c>
      <c r="GH66" s="426">
        <f t="shared" si="69"/>
        <v>0</v>
      </c>
      <c r="GI66" s="426">
        <f t="shared" si="70"/>
        <v>0</v>
      </c>
      <c r="GJ66" s="426">
        <f t="shared" si="71"/>
        <v>0</v>
      </c>
      <c r="GK66" s="426">
        <f t="shared" si="72"/>
        <v>0</v>
      </c>
      <c r="GL66" s="426">
        <f t="shared" si="73"/>
        <v>0</v>
      </c>
      <c r="GM66" s="426">
        <f t="shared" si="74"/>
        <v>0</v>
      </c>
      <c r="GN66" s="426">
        <f t="shared" si="75"/>
        <v>0</v>
      </c>
      <c r="GO66" s="426">
        <f t="shared" si="76"/>
        <v>0</v>
      </c>
      <c r="GP66" s="426">
        <f t="shared" si="77"/>
        <v>0</v>
      </c>
      <c r="GQ66" s="426">
        <f t="shared" si="78"/>
        <v>0</v>
      </c>
      <c r="GR66" s="426">
        <f t="shared" si="79"/>
        <v>0</v>
      </c>
      <c r="GS66" s="426">
        <f t="shared" si="80"/>
        <v>0</v>
      </c>
      <c r="GT66" s="426">
        <f t="shared" si="81"/>
        <v>0</v>
      </c>
      <c r="GU66" s="426">
        <f t="shared" si="82"/>
        <v>0</v>
      </c>
      <c r="GV66" s="426">
        <f t="shared" si="83"/>
        <v>0</v>
      </c>
      <c r="GW66" s="426">
        <f t="shared" si="84"/>
        <v>0</v>
      </c>
      <c r="GX66" s="426">
        <f t="shared" si="85"/>
        <v>0</v>
      </c>
      <c r="GY66" s="426">
        <f t="shared" si="86"/>
        <v>0</v>
      </c>
      <c r="GZ66" s="426">
        <f t="shared" si="87"/>
        <v>0</v>
      </c>
      <c r="HA66" s="426">
        <f t="shared" si="88"/>
        <v>0</v>
      </c>
      <c r="HB66" s="426">
        <f t="shared" si="89"/>
        <v>0</v>
      </c>
      <c r="HC66" s="426">
        <f t="shared" si="90"/>
        <v>0</v>
      </c>
      <c r="HD66" s="426">
        <f t="shared" si="91"/>
        <v>0</v>
      </c>
      <c r="HE66" s="426">
        <f t="shared" si="92"/>
        <v>0</v>
      </c>
      <c r="HF66" s="426">
        <f t="shared" si="93"/>
        <v>0</v>
      </c>
      <c r="HG66" s="426">
        <f t="shared" si="94"/>
        <v>0</v>
      </c>
      <c r="HH66" s="426">
        <f t="shared" si="95"/>
        <v>0</v>
      </c>
      <c r="HI66" s="426">
        <f t="shared" si="96"/>
        <v>0</v>
      </c>
      <c r="HJ66" s="426">
        <f t="shared" si="97"/>
        <v>0</v>
      </c>
      <c r="HK66" s="426">
        <f t="shared" si="98"/>
        <v>0</v>
      </c>
      <c r="HL66" s="426">
        <f t="shared" si="99"/>
        <v>0</v>
      </c>
      <c r="HO66" s="121">
        <v>12</v>
      </c>
      <c r="HP66" s="495">
        <f>DATE(YEAR(EXPEDIENTE!$F$25)+2,HO66,1)</f>
        <v>46357</v>
      </c>
      <c r="HQ66" s="495" t="str">
        <f>IF('GASTOS EJER, 3'!BF60="","",'GASTOS EJER, 3'!BF60)</f>
        <v/>
      </c>
      <c r="HR66" s="503">
        <f>'GASTOS EJER, 3'!CM31</f>
        <v>0</v>
      </c>
      <c r="HS66" s="503">
        <f>'GASTOS EJER, 3'!BA60</f>
        <v>0</v>
      </c>
      <c r="HT66" s="426">
        <f t="shared" si="329"/>
        <v>0</v>
      </c>
      <c r="HU66" s="503">
        <f t="shared" si="285"/>
        <v>0</v>
      </c>
      <c r="JC66" s="419">
        <v>62</v>
      </c>
      <c r="JD66" s="401">
        <f t="shared" si="100"/>
        <v>24</v>
      </c>
    </row>
    <row r="67" spans="3:264" ht="15.75" customHeight="1" thickBot="1" x14ac:dyDescent="0.3">
      <c r="C67" s="209">
        <v>61</v>
      </c>
      <c r="D67" s="404"/>
      <c r="E67" s="420"/>
      <c r="F67" s="421"/>
      <c r="G67" s="422"/>
      <c r="H67" s="422"/>
      <c r="I67" s="422"/>
      <c r="J67" s="404"/>
      <c r="K67" s="410">
        <f t="shared" si="52"/>
        <v>76</v>
      </c>
      <c r="L67" s="410">
        <f t="shared" si="53"/>
        <v>76</v>
      </c>
      <c r="M67" s="410" t="str">
        <f t="shared" si="54"/>
        <v>X</v>
      </c>
      <c r="AG67" s="395"/>
      <c r="AL67" s="1013" t="s">
        <v>349</v>
      </c>
      <c r="AM67" s="1014" t="s">
        <v>64</v>
      </c>
      <c r="AN67" s="1015" t="s">
        <v>71</v>
      </c>
      <c r="AO67" s="1016" t="s">
        <v>204</v>
      </c>
      <c r="AP67" s="1011" t="s">
        <v>109</v>
      </c>
      <c r="AQ67" s="960"/>
      <c r="AR67" s="1012"/>
      <c r="AS67" s="1011" t="s">
        <v>203</v>
      </c>
      <c r="AT67" s="960"/>
      <c r="AU67" s="1012"/>
      <c r="AV67" s="1025" t="s">
        <v>205</v>
      </c>
      <c r="AW67" s="1019" t="s">
        <v>206</v>
      </c>
      <c r="AZ67" s="457"/>
      <c r="BX67" s="395"/>
      <c r="CC67" s="1013" t="s">
        <v>349</v>
      </c>
      <c r="CD67" s="1014" t="s">
        <v>64</v>
      </c>
      <c r="CE67" s="1015" t="s">
        <v>71</v>
      </c>
      <c r="CF67" s="1016" t="s">
        <v>204</v>
      </c>
      <c r="CG67" s="1011" t="s">
        <v>109</v>
      </c>
      <c r="CH67" s="960"/>
      <c r="CI67" s="1012"/>
      <c r="CJ67" s="1011" t="s">
        <v>203</v>
      </c>
      <c r="CK67" s="960"/>
      <c r="CL67" s="1012"/>
      <c r="CM67" s="1025" t="s">
        <v>205</v>
      </c>
      <c r="CN67" s="1019" t="s">
        <v>206</v>
      </c>
      <c r="CQ67" s="457"/>
      <c r="DN67" s="395"/>
      <c r="DO67" s="519" t="e">
        <f>AF71</f>
        <v>#VALUE!</v>
      </c>
      <c r="DP67" s="397"/>
      <c r="DQ67" s="397"/>
      <c r="DR67" s="397"/>
      <c r="DX67" s="389">
        <v>48</v>
      </c>
      <c r="DY67" s="433">
        <f t="shared" si="101"/>
        <v>46722</v>
      </c>
      <c r="DZ67" s="433">
        <f t="shared" si="102"/>
        <v>46752</v>
      </c>
      <c r="EA67" s="389" t="str">
        <f>IF(AND(DZ67&gt;=EXPEDIENTE!$F$25,DY67&lt;=EXPEDIENTE!$F$29),"SI","NO")</f>
        <v>SI</v>
      </c>
      <c r="EB67" s="426">
        <f t="shared" si="187"/>
        <v>0</v>
      </c>
      <c r="EC67" s="426">
        <f t="shared" si="188"/>
        <v>0</v>
      </c>
      <c r="ED67" s="426">
        <f t="shared" si="189"/>
        <v>0</v>
      </c>
      <c r="EE67" s="426">
        <f t="shared" si="190"/>
        <v>0</v>
      </c>
      <c r="EF67" s="426">
        <f t="shared" si="191"/>
        <v>0</v>
      </c>
      <c r="EG67" s="426">
        <f t="shared" si="192"/>
        <v>0</v>
      </c>
      <c r="EH67" s="426">
        <f t="shared" si="193"/>
        <v>0</v>
      </c>
      <c r="EI67" s="426">
        <f t="shared" si="194"/>
        <v>0</v>
      </c>
      <c r="EJ67" s="426">
        <f t="shared" si="195"/>
        <v>0</v>
      </c>
      <c r="EK67" s="426">
        <f t="shared" si="196"/>
        <v>0</v>
      </c>
      <c r="EL67" s="426">
        <f t="shared" si="197"/>
        <v>0</v>
      </c>
      <c r="EM67" s="426">
        <f t="shared" si="198"/>
        <v>0</v>
      </c>
      <c r="EN67" s="426">
        <f t="shared" si="199"/>
        <v>0</v>
      </c>
      <c r="EO67" s="426">
        <f t="shared" si="200"/>
        <v>0</v>
      </c>
      <c r="EP67" s="426">
        <f t="shared" si="201"/>
        <v>0</v>
      </c>
      <c r="EQ67" s="426">
        <f t="shared" si="202"/>
        <v>0</v>
      </c>
      <c r="ER67" s="426">
        <f t="shared" si="203"/>
        <v>0</v>
      </c>
      <c r="ES67" s="426">
        <f t="shared" si="204"/>
        <v>0</v>
      </c>
      <c r="ET67" s="426">
        <f t="shared" si="205"/>
        <v>0</v>
      </c>
      <c r="EU67" s="426">
        <f t="shared" si="206"/>
        <v>0</v>
      </c>
      <c r="EV67" s="426">
        <f t="shared" si="207"/>
        <v>0</v>
      </c>
      <c r="EW67" s="426">
        <f t="shared" si="208"/>
        <v>0</v>
      </c>
      <c r="EX67" s="426">
        <f t="shared" si="209"/>
        <v>0</v>
      </c>
      <c r="EY67" s="426">
        <f t="shared" si="210"/>
        <v>0</v>
      </c>
      <c r="EZ67" s="426">
        <f t="shared" si="211"/>
        <v>0</v>
      </c>
      <c r="FA67" s="426">
        <f t="shared" si="212"/>
        <v>0</v>
      </c>
      <c r="FB67" s="426">
        <f t="shared" si="213"/>
        <v>0</v>
      </c>
      <c r="FC67" s="426">
        <f t="shared" si="214"/>
        <v>0</v>
      </c>
      <c r="FD67" s="426">
        <f t="shared" si="215"/>
        <v>0</v>
      </c>
      <c r="FE67" s="426">
        <f t="shared" si="216"/>
        <v>0</v>
      </c>
      <c r="FF67" s="426">
        <f t="shared" si="217"/>
        <v>0</v>
      </c>
      <c r="FG67" s="426">
        <f t="shared" si="218"/>
        <v>0</v>
      </c>
      <c r="FH67" s="426">
        <f t="shared" si="66"/>
        <v>0</v>
      </c>
      <c r="FJ67" s="124"/>
      <c r="FK67" s="520"/>
      <c r="FL67" s="520"/>
      <c r="FM67" s="521"/>
      <c r="FN67" s="521"/>
      <c r="FP67" s="521"/>
      <c r="FR67" s="395"/>
      <c r="FS67" s="459" t="e">
        <f>BW71</f>
        <v>#VALUE!</v>
      </c>
      <c r="FT67" s="397"/>
      <c r="FU67" s="397"/>
      <c r="FV67" s="397"/>
      <c r="GB67" s="389">
        <v>48</v>
      </c>
      <c r="GC67" s="433">
        <f t="shared" si="103"/>
        <v>46722</v>
      </c>
      <c r="GD67" s="433">
        <f t="shared" si="104"/>
        <v>46752</v>
      </c>
      <c r="GE67" s="389" t="str">
        <f>IF(AND(GD67&gt;=EXPEDIENTE!$F$25,GC67&lt;=EXPEDIENTE!$F$29),"SI","NO")</f>
        <v>SI</v>
      </c>
      <c r="GF67" s="426">
        <f t="shared" si="67"/>
        <v>0</v>
      </c>
      <c r="GG67" s="426">
        <f t="shared" si="68"/>
        <v>0</v>
      </c>
      <c r="GH67" s="426">
        <f t="shared" si="69"/>
        <v>0</v>
      </c>
      <c r="GI67" s="426">
        <f t="shared" si="70"/>
        <v>0</v>
      </c>
      <c r="GJ67" s="426">
        <f t="shared" si="71"/>
        <v>0</v>
      </c>
      <c r="GK67" s="426">
        <f t="shared" si="72"/>
        <v>0</v>
      </c>
      <c r="GL67" s="426">
        <f t="shared" si="73"/>
        <v>0</v>
      </c>
      <c r="GM67" s="426">
        <f t="shared" si="74"/>
        <v>0</v>
      </c>
      <c r="GN67" s="426">
        <f t="shared" si="75"/>
        <v>0</v>
      </c>
      <c r="GO67" s="426">
        <f t="shared" si="76"/>
        <v>0</v>
      </c>
      <c r="GP67" s="426">
        <f t="shared" si="77"/>
        <v>0</v>
      </c>
      <c r="GQ67" s="426">
        <f t="shared" si="78"/>
        <v>0</v>
      </c>
      <c r="GR67" s="426">
        <f t="shared" si="79"/>
        <v>0</v>
      </c>
      <c r="GS67" s="426">
        <f t="shared" si="80"/>
        <v>0</v>
      </c>
      <c r="GT67" s="426">
        <f t="shared" si="81"/>
        <v>0</v>
      </c>
      <c r="GU67" s="426">
        <f t="shared" si="82"/>
        <v>0</v>
      </c>
      <c r="GV67" s="426">
        <f t="shared" si="83"/>
        <v>0</v>
      </c>
      <c r="GW67" s="426">
        <f t="shared" si="84"/>
        <v>0</v>
      </c>
      <c r="GX67" s="426">
        <f t="shared" si="85"/>
        <v>0</v>
      </c>
      <c r="GY67" s="426">
        <f t="shared" si="86"/>
        <v>0</v>
      </c>
      <c r="GZ67" s="426">
        <f t="shared" si="87"/>
        <v>0</v>
      </c>
      <c r="HA67" s="426">
        <f t="shared" si="88"/>
        <v>0</v>
      </c>
      <c r="HB67" s="426">
        <f t="shared" si="89"/>
        <v>0</v>
      </c>
      <c r="HC67" s="426">
        <f t="shared" si="90"/>
        <v>0</v>
      </c>
      <c r="HD67" s="426">
        <f t="shared" si="91"/>
        <v>0</v>
      </c>
      <c r="HE67" s="426">
        <f t="shared" si="92"/>
        <v>0</v>
      </c>
      <c r="HF67" s="426">
        <f t="shared" si="93"/>
        <v>0</v>
      </c>
      <c r="HG67" s="426">
        <f t="shared" si="94"/>
        <v>0</v>
      </c>
      <c r="HH67" s="426">
        <f t="shared" si="95"/>
        <v>0</v>
      </c>
      <c r="HI67" s="426">
        <f t="shared" si="96"/>
        <v>0</v>
      </c>
      <c r="HJ67" s="426">
        <f t="shared" si="97"/>
        <v>0</v>
      </c>
      <c r="HK67" s="426">
        <f t="shared" si="98"/>
        <v>0</v>
      </c>
      <c r="HL67" s="426">
        <f t="shared" si="99"/>
        <v>0</v>
      </c>
      <c r="HO67" s="124"/>
      <c r="HP67" s="520"/>
      <c r="HQ67" s="520"/>
      <c r="HR67" s="521"/>
      <c r="HS67" s="521"/>
      <c r="HU67" s="521"/>
      <c r="JC67" s="419">
        <v>63</v>
      </c>
      <c r="JD67" s="401">
        <f t="shared" si="100"/>
        <v>24</v>
      </c>
    </row>
    <row r="68" spans="3:264" ht="15.75" thickBot="1" x14ac:dyDescent="0.3">
      <c r="C68" s="209">
        <v>62</v>
      </c>
      <c r="D68" s="404"/>
      <c r="E68" s="420"/>
      <c r="F68" s="421"/>
      <c r="G68" s="422"/>
      <c r="H68" s="422"/>
      <c r="I68" s="422"/>
      <c r="J68" s="404"/>
      <c r="K68" s="410">
        <f t="shared" si="52"/>
        <v>76</v>
      </c>
      <c r="L68" s="410">
        <f t="shared" si="53"/>
        <v>76</v>
      </c>
      <c r="M68" s="410" t="str">
        <f t="shared" si="54"/>
        <v>X</v>
      </c>
      <c r="AG68" s="395"/>
      <c r="AH68" s="1002" t="s">
        <v>190</v>
      </c>
      <c r="AI68" s="1005" t="s">
        <v>191</v>
      </c>
      <c r="AJ68" s="1008" t="s">
        <v>192</v>
      </c>
      <c r="AL68" s="998"/>
      <c r="AM68" s="1000"/>
      <c r="AN68" s="970"/>
      <c r="AO68" s="1017"/>
      <c r="AP68" s="998" t="s">
        <v>193</v>
      </c>
      <c r="AQ68" s="1000" t="s">
        <v>110</v>
      </c>
      <c r="AR68" s="968" t="s">
        <v>81</v>
      </c>
      <c r="AS68" s="1027" t="s">
        <v>68</v>
      </c>
      <c r="AT68" s="970" t="s">
        <v>69</v>
      </c>
      <c r="AU68" s="968" t="s">
        <v>111</v>
      </c>
      <c r="AV68" s="1026"/>
      <c r="AW68" s="1020"/>
      <c r="AZ68" s="457"/>
      <c r="BA68" s="993" t="e">
        <f>CONCATENATE("P.P. OTRAS NÓMINAS ABONADAS EN ",AZ70)</f>
        <v>#VALUE!</v>
      </c>
      <c r="BB68" s="994"/>
      <c r="BC68" s="994"/>
      <c r="BD68" s="994"/>
      <c r="BE68" s="994"/>
      <c r="BF68" s="994"/>
      <c r="BG68" s="994"/>
      <c r="BH68" s="994"/>
      <c r="BI68" s="995"/>
      <c r="BU68" s="1031" t="s">
        <v>58</v>
      </c>
      <c r="BX68" s="395"/>
      <c r="BY68" s="1002" t="s">
        <v>190</v>
      </c>
      <c r="BZ68" s="1005" t="s">
        <v>191</v>
      </c>
      <c r="CA68" s="1008" t="s">
        <v>192</v>
      </c>
      <c r="CC68" s="998"/>
      <c r="CD68" s="1000"/>
      <c r="CE68" s="970"/>
      <c r="CF68" s="1017"/>
      <c r="CG68" s="998" t="s">
        <v>193</v>
      </c>
      <c r="CH68" s="1000" t="s">
        <v>110</v>
      </c>
      <c r="CI68" s="968" t="s">
        <v>81</v>
      </c>
      <c r="CJ68" s="1027" t="s">
        <v>68</v>
      </c>
      <c r="CK68" s="970" t="s">
        <v>69</v>
      </c>
      <c r="CL68" s="968" t="s">
        <v>111</v>
      </c>
      <c r="CM68" s="1026"/>
      <c r="CN68" s="1020"/>
      <c r="CQ68" s="457"/>
      <c r="CR68" s="993" t="e">
        <f>CONCATENATE("P.P. OTRAS NÓMINAS ABONADAS EN ",CQ70)</f>
        <v>#VALUE!</v>
      </c>
      <c r="CS68" s="994"/>
      <c r="CT68" s="994"/>
      <c r="CU68" s="994"/>
      <c r="CV68" s="994"/>
      <c r="CW68" s="994"/>
      <c r="CX68" s="994"/>
      <c r="CY68" s="994"/>
      <c r="CZ68" s="995"/>
      <c r="DL68" s="1031" t="s">
        <v>58</v>
      </c>
      <c r="DN68" s="395"/>
      <c r="DO68" s="957" t="s">
        <v>70</v>
      </c>
      <c r="DP68" s="960" t="s">
        <v>203</v>
      </c>
      <c r="DQ68" s="960"/>
      <c r="DR68" s="960"/>
      <c r="DS68" s="961" t="s">
        <v>134</v>
      </c>
      <c r="DT68" s="961" t="s">
        <v>353</v>
      </c>
      <c r="DU68" s="964" t="s">
        <v>354</v>
      </c>
      <c r="DV68" s="967" t="s">
        <v>206</v>
      </c>
      <c r="DX68" s="389">
        <v>49</v>
      </c>
      <c r="DY68" s="433">
        <f t="shared" si="101"/>
        <v>46753</v>
      </c>
      <c r="DZ68" s="433">
        <f t="shared" si="102"/>
        <v>46783</v>
      </c>
      <c r="EA68" s="389" t="str">
        <f>IF(AND(DZ68&gt;=EXPEDIENTE!$F$25,DY68&lt;=EXPEDIENTE!$F$29),"SI","NO")</f>
        <v>SI</v>
      </c>
      <c r="EB68" s="426">
        <f t="shared" si="187"/>
        <v>0</v>
      </c>
      <c r="EC68" s="426">
        <f t="shared" si="188"/>
        <v>0</v>
      </c>
      <c r="ED68" s="426">
        <f t="shared" si="189"/>
        <v>0</v>
      </c>
      <c r="EE68" s="426">
        <f t="shared" si="190"/>
        <v>0</v>
      </c>
      <c r="EF68" s="426">
        <f t="shared" si="191"/>
        <v>0</v>
      </c>
      <c r="EG68" s="426">
        <f t="shared" si="192"/>
        <v>0</v>
      </c>
      <c r="EH68" s="426">
        <f t="shared" si="193"/>
        <v>0</v>
      </c>
      <c r="EI68" s="426">
        <f t="shared" si="194"/>
        <v>0</v>
      </c>
      <c r="EJ68" s="426">
        <f t="shared" si="195"/>
        <v>0</v>
      </c>
      <c r="EK68" s="426">
        <f t="shared" si="196"/>
        <v>0</v>
      </c>
      <c r="EL68" s="426">
        <f t="shared" si="197"/>
        <v>0</v>
      </c>
      <c r="EM68" s="426">
        <f t="shared" si="198"/>
        <v>0</v>
      </c>
      <c r="EN68" s="426">
        <f t="shared" si="199"/>
        <v>0</v>
      </c>
      <c r="EO68" s="426">
        <f t="shared" si="200"/>
        <v>0</v>
      </c>
      <c r="EP68" s="426">
        <f t="shared" si="201"/>
        <v>0</v>
      </c>
      <c r="EQ68" s="426">
        <f t="shared" si="202"/>
        <v>0</v>
      </c>
      <c r="ER68" s="426">
        <f t="shared" si="203"/>
        <v>0</v>
      </c>
      <c r="ES68" s="426">
        <f t="shared" si="204"/>
        <v>0</v>
      </c>
      <c r="ET68" s="426">
        <f t="shared" si="205"/>
        <v>0</v>
      </c>
      <c r="EU68" s="426">
        <f t="shared" si="206"/>
        <v>0</v>
      </c>
      <c r="EV68" s="426">
        <f t="shared" si="207"/>
        <v>0</v>
      </c>
      <c r="EW68" s="426">
        <f t="shared" si="208"/>
        <v>0</v>
      </c>
      <c r="EX68" s="426">
        <f t="shared" si="209"/>
        <v>0</v>
      </c>
      <c r="EY68" s="426">
        <f t="shared" si="210"/>
        <v>0</v>
      </c>
      <c r="EZ68" s="426">
        <f t="shared" si="211"/>
        <v>0</v>
      </c>
      <c r="FA68" s="426">
        <f t="shared" si="212"/>
        <v>0</v>
      </c>
      <c r="FB68" s="426">
        <f t="shared" si="213"/>
        <v>0</v>
      </c>
      <c r="FC68" s="426">
        <f t="shared" si="214"/>
        <v>0</v>
      </c>
      <c r="FD68" s="426">
        <f t="shared" si="215"/>
        <v>0</v>
      </c>
      <c r="FE68" s="426">
        <f t="shared" si="216"/>
        <v>0</v>
      </c>
      <c r="FF68" s="426">
        <f t="shared" si="217"/>
        <v>0</v>
      </c>
      <c r="FG68" s="426">
        <f t="shared" si="218"/>
        <v>0</v>
      </c>
      <c r="FH68" s="426">
        <f t="shared" si="66"/>
        <v>0</v>
      </c>
      <c r="FJ68" s="124"/>
      <c r="FK68" s="520"/>
      <c r="FL68" s="520"/>
      <c r="FM68" s="521"/>
      <c r="FN68" s="521"/>
      <c r="FP68" s="521"/>
      <c r="FR68" s="395"/>
      <c r="FS68" s="957" t="s">
        <v>70</v>
      </c>
      <c r="FT68" s="960" t="s">
        <v>203</v>
      </c>
      <c r="FU68" s="960"/>
      <c r="FV68" s="960"/>
      <c r="FW68" s="961" t="s">
        <v>134</v>
      </c>
      <c r="FX68" s="961" t="s">
        <v>353</v>
      </c>
      <c r="FY68" s="964" t="s">
        <v>354</v>
      </c>
      <c r="FZ68" s="967" t="s">
        <v>206</v>
      </c>
      <c r="GB68" s="389">
        <v>49</v>
      </c>
      <c r="GC68" s="433">
        <f t="shared" si="103"/>
        <v>46753</v>
      </c>
      <c r="GD68" s="433">
        <f t="shared" si="104"/>
        <v>46783</v>
      </c>
      <c r="GE68" s="389" t="str">
        <f>IF(AND(GD68&gt;=EXPEDIENTE!$F$25,GC68&lt;=EXPEDIENTE!$F$29),"SI","NO")</f>
        <v>SI</v>
      </c>
      <c r="GF68" s="426">
        <f t="shared" si="67"/>
        <v>0</v>
      </c>
      <c r="GG68" s="426">
        <f t="shared" si="68"/>
        <v>0</v>
      </c>
      <c r="GH68" s="426">
        <f t="shared" si="69"/>
        <v>0</v>
      </c>
      <c r="GI68" s="426">
        <f t="shared" si="70"/>
        <v>0</v>
      </c>
      <c r="GJ68" s="426">
        <f t="shared" si="71"/>
        <v>0</v>
      </c>
      <c r="GK68" s="426">
        <f t="shared" si="72"/>
        <v>0</v>
      </c>
      <c r="GL68" s="426">
        <f t="shared" si="73"/>
        <v>0</v>
      </c>
      <c r="GM68" s="426">
        <f t="shared" si="74"/>
        <v>0</v>
      </c>
      <c r="GN68" s="426">
        <f t="shared" si="75"/>
        <v>0</v>
      </c>
      <c r="GO68" s="426">
        <f t="shared" si="76"/>
        <v>0</v>
      </c>
      <c r="GP68" s="426">
        <f t="shared" si="77"/>
        <v>0</v>
      </c>
      <c r="GQ68" s="426">
        <f t="shared" si="78"/>
        <v>0</v>
      </c>
      <c r="GR68" s="426">
        <f t="shared" si="79"/>
        <v>0</v>
      </c>
      <c r="GS68" s="426">
        <f t="shared" si="80"/>
        <v>0</v>
      </c>
      <c r="GT68" s="426">
        <f t="shared" si="81"/>
        <v>0</v>
      </c>
      <c r="GU68" s="426">
        <f t="shared" si="82"/>
        <v>0</v>
      </c>
      <c r="GV68" s="426">
        <f t="shared" si="83"/>
        <v>0</v>
      </c>
      <c r="GW68" s="426">
        <f t="shared" si="84"/>
        <v>0</v>
      </c>
      <c r="GX68" s="426">
        <f t="shared" si="85"/>
        <v>0</v>
      </c>
      <c r="GY68" s="426">
        <f t="shared" si="86"/>
        <v>0</v>
      </c>
      <c r="GZ68" s="426">
        <f t="shared" si="87"/>
        <v>0</v>
      </c>
      <c r="HA68" s="426">
        <f t="shared" si="88"/>
        <v>0</v>
      </c>
      <c r="HB68" s="426">
        <f t="shared" si="89"/>
        <v>0</v>
      </c>
      <c r="HC68" s="426">
        <f t="shared" si="90"/>
        <v>0</v>
      </c>
      <c r="HD68" s="426">
        <f t="shared" si="91"/>
        <v>0</v>
      </c>
      <c r="HE68" s="426">
        <f t="shared" si="92"/>
        <v>0</v>
      </c>
      <c r="HF68" s="426">
        <f t="shared" si="93"/>
        <v>0</v>
      </c>
      <c r="HG68" s="426">
        <f t="shared" si="94"/>
        <v>0</v>
      </c>
      <c r="HH68" s="426">
        <f t="shared" si="95"/>
        <v>0</v>
      </c>
      <c r="HI68" s="426">
        <f t="shared" si="96"/>
        <v>0</v>
      </c>
      <c r="HJ68" s="426">
        <f t="shared" si="97"/>
        <v>0</v>
      </c>
      <c r="HK68" s="426">
        <f t="shared" si="98"/>
        <v>0</v>
      </c>
      <c r="HL68" s="426">
        <f t="shared" si="99"/>
        <v>0</v>
      </c>
      <c r="HO68" s="124"/>
      <c r="HP68" s="520"/>
      <c r="HQ68" s="520"/>
      <c r="HR68" s="521"/>
      <c r="HS68" s="521"/>
      <c r="HU68" s="521"/>
      <c r="JC68" s="419">
        <v>64</v>
      </c>
      <c r="JD68" s="401">
        <f t="shared" si="100"/>
        <v>24</v>
      </c>
    </row>
    <row r="69" spans="3:264" ht="15" customHeight="1" thickBot="1" x14ac:dyDescent="0.3">
      <c r="C69" s="209">
        <v>63</v>
      </c>
      <c r="D69" s="404"/>
      <c r="E69" s="420"/>
      <c r="F69" s="421"/>
      <c r="G69" s="422"/>
      <c r="H69" s="422"/>
      <c r="I69" s="422"/>
      <c r="J69" s="404"/>
      <c r="K69" s="410">
        <f t="shared" si="52"/>
        <v>76</v>
      </c>
      <c r="L69" s="410">
        <f t="shared" si="53"/>
        <v>76</v>
      </c>
      <c r="M69" s="410" t="str">
        <f t="shared" si="54"/>
        <v>X</v>
      </c>
      <c r="AG69" s="395"/>
      <c r="AH69" s="1003"/>
      <c r="AI69" s="1006"/>
      <c r="AJ69" s="1009"/>
      <c r="AL69" s="998"/>
      <c r="AM69" s="1000"/>
      <c r="AN69" s="970"/>
      <c r="AO69" s="1017"/>
      <c r="AP69" s="998"/>
      <c r="AQ69" s="1000"/>
      <c r="AR69" s="968"/>
      <c r="AS69" s="1027"/>
      <c r="AT69" s="970"/>
      <c r="AU69" s="968"/>
      <c r="AV69" s="1026"/>
      <c r="AW69" s="1020"/>
      <c r="BA69" s="987">
        <f>'GASTOS EJER, 4'!$C$37</f>
        <v>0</v>
      </c>
      <c r="BB69" s="988">
        <f>'GASTOS EJER, 4'!$C$38</f>
        <v>0</v>
      </c>
      <c r="BC69" s="988">
        <f>'GASTOS EJER, 4'!$C$39</f>
        <v>0</v>
      </c>
      <c r="BD69" s="988">
        <f>'GASTOS EJER, 4'!$C$40</f>
        <v>0</v>
      </c>
      <c r="BE69" s="988">
        <f>'GASTOS EJER, 4'!$C$41</f>
        <v>0</v>
      </c>
      <c r="BF69" s="988">
        <f>'GASTOS EJER, 4'!$C$42</f>
        <v>0</v>
      </c>
      <c r="BG69" s="988">
        <f>'GASTOS EJER, 4'!$C$43</f>
        <v>0</v>
      </c>
      <c r="BH69" s="989">
        <f>'GASTOS EJER, 4'!$C$44</f>
        <v>0</v>
      </c>
      <c r="BI69" s="991" t="s">
        <v>58</v>
      </c>
      <c r="BU69" s="1032"/>
      <c r="BX69" s="395"/>
      <c r="BY69" s="1003"/>
      <c r="BZ69" s="1006"/>
      <c r="CA69" s="1009"/>
      <c r="CC69" s="998"/>
      <c r="CD69" s="1000"/>
      <c r="CE69" s="970"/>
      <c r="CF69" s="1017"/>
      <c r="CG69" s="998"/>
      <c r="CH69" s="1000"/>
      <c r="CI69" s="968"/>
      <c r="CJ69" s="1027"/>
      <c r="CK69" s="970"/>
      <c r="CL69" s="968"/>
      <c r="CM69" s="1026"/>
      <c r="CN69" s="1020"/>
      <c r="CR69" s="987">
        <f>'GASTOS EJER, 4'!$C$37</f>
        <v>0</v>
      </c>
      <c r="CS69" s="988">
        <f>'GASTOS EJER, 4'!$C$38</f>
        <v>0</v>
      </c>
      <c r="CT69" s="988">
        <f>'GASTOS EJER, 4'!$C$39</f>
        <v>0</v>
      </c>
      <c r="CU69" s="988">
        <f>'GASTOS EJER, 4'!$C$40</f>
        <v>0</v>
      </c>
      <c r="CV69" s="988">
        <f>'GASTOS EJER, 4'!$C$41</f>
        <v>0</v>
      </c>
      <c r="CW69" s="988">
        <f>'GASTOS EJER, 4'!$C$42</f>
        <v>0</v>
      </c>
      <c r="CX69" s="988">
        <f>'GASTOS EJER, 4'!$C$43</f>
        <v>0</v>
      </c>
      <c r="CY69" s="989">
        <f>'GASTOS EJER, 4'!$C$44</f>
        <v>0</v>
      </c>
      <c r="CZ69" s="991" t="s">
        <v>58</v>
      </c>
      <c r="DL69" s="1032"/>
      <c r="DN69" s="395"/>
      <c r="DO69" s="958"/>
      <c r="DP69" s="970" t="s">
        <v>68</v>
      </c>
      <c r="DQ69" s="970" t="s">
        <v>69</v>
      </c>
      <c r="DR69" s="970" t="s">
        <v>111</v>
      </c>
      <c r="DS69" s="962"/>
      <c r="DT69" s="962"/>
      <c r="DU69" s="965"/>
      <c r="DV69" s="968"/>
      <c r="DX69" s="389">
        <v>50</v>
      </c>
      <c r="DY69" s="433">
        <f t="shared" si="101"/>
        <v>46784</v>
      </c>
      <c r="DZ69" s="433">
        <f t="shared" si="102"/>
        <v>46812</v>
      </c>
      <c r="EA69" s="389" t="str">
        <f>IF(AND(DZ69&gt;=EXPEDIENTE!$F$25,DY69&lt;=EXPEDIENTE!$F$29),"SI","NO")</f>
        <v>SI</v>
      </c>
      <c r="EB69" s="426">
        <f t="shared" si="187"/>
        <v>0</v>
      </c>
      <c r="EC69" s="426">
        <f t="shared" si="188"/>
        <v>0</v>
      </c>
      <c r="ED69" s="426">
        <f t="shared" si="189"/>
        <v>0</v>
      </c>
      <c r="EE69" s="426">
        <f t="shared" si="190"/>
        <v>0</v>
      </c>
      <c r="EF69" s="426">
        <f t="shared" si="191"/>
        <v>0</v>
      </c>
      <c r="EG69" s="426">
        <f t="shared" si="192"/>
        <v>0</v>
      </c>
      <c r="EH69" s="426">
        <f t="shared" si="193"/>
        <v>0</v>
      </c>
      <c r="EI69" s="426">
        <f t="shared" si="194"/>
        <v>0</v>
      </c>
      <c r="EJ69" s="426">
        <f t="shared" si="195"/>
        <v>0</v>
      </c>
      <c r="EK69" s="426">
        <f t="shared" si="196"/>
        <v>0</v>
      </c>
      <c r="EL69" s="426">
        <f t="shared" si="197"/>
        <v>0</v>
      </c>
      <c r="EM69" s="426">
        <f t="shared" si="198"/>
        <v>0</v>
      </c>
      <c r="EN69" s="426">
        <f t="shared" si="199"/>
        <v>0</v>
      </c>
      <c r="EO69" s="426">
        <f t="shared" si="200"/>
        <v>0</v>
      </c>
      <c r="EP69" s="426">
        <f t="shared" si="201"/>
        <v>0</v>
      </c>
      <c r="EQ69" s="426">
        <f t="shared" si="202"/>
        <v>0</v>
      </c>
      <c r="ER69" s="426">
        <f t="shared" si="203"/>
        <v>0</v>
      </c>
      <c r="ES69" s="426">
        <f t="shared" si="204"/>
        <v>0</v>
      </c>
      <c r="ET69" s="426">
        <f t="shared" si="205"/>
        <v>0</v>
      </c>
      <c r="EU69" s="426">
        <f t="shared" si="206"/>
        <v>0</v>
      </c>
      <c r="EV69" s="426">
        <f t="shared" si="207"/>
        <v>0</v>
      </c>
      <c r="EW69" s="426">
        <f t="shared" si="208"/>
        <v>0</v>
      </c>
      <c r="EX69" s="426">
        <f t="shared" si="209"/>
        <v>0</v>
      </c>
      <c r="EY69" s="426">
        <f t="shared" si="210"/>
        <v>0</v>
      </c>
      <c r="EZ69" s="426">
        <f t="shared" si="211"/>
        <v>0</v>
      </c>
      <c r="FA69" s="426">
        <f t="shared" si="212"/>
        <v>0</v>
      </c>
      <c r="FB69" s="426">
        <f t="shared" si="213"/>
        <v>0</v>
      </c>
      <c r="FC69" s="426">
        <f t="shared" si="214"/>
        <v>0</v>
      </c>
      <c r="FD69" s="426">
        <f t="shared" si="215"/>
        <v>0</v>
      </c>
      <c r="FE69" s="426">
        <f t="shared" si="216"/>
        <v>0</v>
      </c>
      <c r="FF69" s="426">
        <f t="shared" si="217"/>
        <v>0</v>
      </c>
      <c r="FG69" s="426">
        <f t="shared" si="218"/>
        <v>0</v>
      </c>
      <c r="FH69" s="426">
        <f t="shared" si="66"/>
        <v>0</v>
      </c>
      <c r="FR69" s="395"/>
      <c r="FS69" s="958"/>
      <c r="FT69" s="970" t="s">
        <v>68</v>
      </c>
      <c r="FU69" s="970" t="s">
        <v>69</v>
      </c>
      <c r="FV69" s="970" t="s">
        <v>111</v>
      </c>
      <c r="FW69" s="962"/>
      <c r="FX69" s="962"/>
      <c r="FY69" s="965"/>
      <c r="FZ69" s="968"/>
      <c r="GB69" s="389">
        <v>50</v>
      </c>
      <c r="GC69" s="433">
        <f t="shared" si="103"/>
        <v>46784</v>
      </c>
      <c r="GD69" s="433">
        <f t="shared" si="104"/>
        <v>46812</v>
      </c>
      <c r="GE69" s="389" t="str">
        <f>IF(AND(GD69&gt;=EXPEDIENTE!$F$25,GC69&lt;=EXPEDIENTE!$F$29),"SI","NO")</f>
        <v>SI</v>
      </c>
      <c r="GF69" s="426">
        <f t="shared" si="67"/>
        <v>0</v>
      </c>
      <c r="GG69" s="426">
        <f t="shared" si="68"/>
        <v>0</v>
      </c>
      <c r="GH69" s="426">
        <f t="shared" si="69"/>
        <v>0</v>
      </c>
      <c r="GI69" s="426">
        <f t="shared" si="70"/>
        <v>0</v>
      </c>
      <c r="GJ69" s="426">
        <f t="shared" si="71"/>
        <v>0</v>
      </c>
      <c r="GK69" s="426">
        <f t="shared" si="72"/>
        <v>0</v>
      </c>
      <c r="GL69" s="426">
        <f t="shared" si="73"/>
        <v>0</v>
      </c>
      <c r="GM69" s="426">
        <f t="shared" si="74"/>
        <v>0</v>
      </c>
      <c r="GN69" s="426">
        <f t="shared" si="75"/>
        <v>0</v>
      </c>
      <c r="GO69" s="426">
        <f t="shared" si="76"/>
        <v>0</v>
      </c>
      <c r="GP69" s="426">
        <f t="shared" si="77"/>
        <v>0</v>
      </c>
      <c r="GQ69" s="426">
        <f t="shared" si="78"/>
        <v>0</v>
      </c>
      <c r="GR69" s="426">
        <f t="shared" si="79"/>
        <v>0</v>
      </c>
      <c r="GS69" s="426">
        <f t="shared" si="80"/>
        <v>0</v>
      </c>
      <c r="GT69" s="426">
        <f t="shared" si="81"/>
        <v>0</v>
      </c>
      <c r="GU69" s="426">
        <f t="shared" si="82"/>
        <v>0</v>
      </c>
      <c r="GV69" s="426">
        <f t="shared" si="83"/>
        <v>0</v>
      </c>
      <c r="GW69" s="426">
        <f t="shared" si="84"/>
        <v>0</v>
      </c>
      <c r="GX69" s="426">
        <f t="shared" si="85"/>
        <v>0</v>
      </c>
      <c r="GY69" s="426">
        <f t="shared" si="86"/>
        <v>0</v>
      </c>
      <c r="GZ69" s="426">
        <f t="shared" si="87"/>
        <v>0</v>
      </c>
      <c r="HA69" s="426">
        <f t="shared" si="88"/>
        <v>0</v>
      </c>
      <c r="HB69" s="426">
        <f t="shared" si="89"/>
        <v>0</v>
      </c>
      <c r="HC69" s="426">
        <f t="shared" si="90"/>
        <v>0</v>
      </c>
      <c r="HD69" s="426">
        <f t="shared" si="91"/>
        <v>0</v>
      </c>
      <c r="HE69" s="426">
        <f t="shared" si="92"/>
        <v>0</v>
      </c>
      <c r="HF69" s="426">
        <f t="shared" si="93"/>
        <v>0</v>
      </c>
      <c r="HG69" s="426">
        <f t="shared" si="94"/>
        <v>0</v>
      </c>
      <c r="HH69" s="426">
        <f t="shared" si="95"/>
        <v>0</v>
      </c>
      <c r="HI69" s="426">
        <f t="shared" si="96"/>
        <v>0</v>
      </c>
      <c r="HJ69" s="426">
        <f t="shared" si="97"/>
        <v>0</v>
      </c>
      <c r="HK69" s="426">
        <f t="shared" si="98"/>
        <v>0</v>
      </c>
      <c r="HL69" s="426">
        <f t="shared" si="99"/>
        <v>0</v>
      </c>
      <c r="HO69" s="124"/>
      <c r="HP69" s="520"/>
      <c r="HQ69" s="520"/>
      <c r="HR69" s="521"/>
      <c r="HS69" s="521"/>
      <c r="HU69" s="521"/>
      <c r="JC69" s="445">
        <v>65</v>
      </c>
      <c r="JD69" s="401">
        <f t="shared" si="100"/>
        <v>24</v>
      </c>
    </row>
    <row r="70" spans="3:264" ht="15.75" thickBot="1" x14ac:dyDescent="0.3">
      <c r="C70" s="209">
        <v>64</v>
      </c>
      <c r="D70" s="404"/>
      <c r="E70" s="420"/>
      <c r="F70" s="421"/>
      <c r="G70" s="422"/>
      <c r="H70" s="422"/>
      <c r="I70" s="422"/>
      <c r="J70" s="404"/>
      <c r="K70" s="410">
        <f t="shared" si="52"/>
        <v>76</v>
      </c>
      <c r="L70" s="410">
        <f t="shared" si="53"/>
        <v>76</v>
      </c>
      <c r="M70" s="410" t="str">
        <f t="shared" si="54"/>
        <v>X</v>
      </c>
      <c r="AG70" s="395"/>
      <c r="AH70" s="1004"/>
      <c r="AI70" s="1007"/>
      <c r="AJ70" s="1010"/>
      <c r="AL70" s="999"/>
      <c r="AM70" s="1001"/>
      <c r="AN70" s="971"/>
      <c r="AO70" s="1018"/>
      <c r="AP70" s="999"/>
      <c r="AQ70" s="1001"/>
      <c r="AR70" s="969"/>
      <c r="AS70" s="1028"/>
      <c r="AT70" s="1029"/>
      <c r="AU70" s="1030"/>
      <c r="AV70" s="461" t="e">
        <f>AF71</f>
        <v>#VALUE!</v>
      </c>
      <c r="AW70" s="1021"/>
      <c r="AZ70" s="416" t="e">
        <f>AF71</f>
        <v>#VALUE!</v>
      </c>
      <c r="BA70" s="959"/>
      <c r="BB70" s="963"/>
      <c r="BC70" s="963"/>
      <c r="BD70" s="963"/>
      <c r="BE70" s="963"/>
      <c r="BF70" s="963"/>
      <c r="BG70" s="963"/>
      <c r="BH70" s="990"/>
      <c r="BI70" s="992"/>
      <c r="BU70" s="462" t="e">
        <f>AF71</f>
        <v>#VALUE!</v>
      </c>
      <c r="BX70" s="395"/>
      <c r="BY70" s="1004"/>
      <c r="BZ70" s="1007"/>
      <c r="CA70" s="1010"/>
      <c r="CC70" s="999"/>
      <c r="CD70" s="1001"/>
      <c r="CE70" s="971"/>
      <c r="CF70" s="1018"/>
      <c r="CG70" s="999"/>
      <c r="CH70" s="1001"/>
      <c r="CI70" s="969"/>
      <c r="CJ70" s="1028"/>
      <c r="CK70" s="1029"/>
      <c r="CL70" s="1030"/>
      <c r="CM70" s="461" t="e">
        <f>BW71</f>
        <v>#VALUE!</v>
      </c>
      <c r="CN70" s="1021"/>
      <c r="CQ70" s="417" t="e">
        <f>BW71</f>
        <v>#VALUE!</v>
      </c>
      <c r="CR70" s="1022"/>
      <c r="CS70" s="1023"/>
      <c r="CT70" s="1023"/>
      <c r="CU70" s="1023"/>
      <c r="CV70" s="1023"/>
      <c r="CW70" s="1023"/>
      <c r="CX70" s="1023"/>
      <c r="CY70" s="1024"/>
      <c r="CZ70" s="992"/>
      <c r="DL70" s="463" t="e">
        <f>BW71</f>
        <v>#VALUE!</v>
      </c>
      <c r="DN70" s="395"/>
      <c r="DO70" s="959"/>
      <c r="DP70" s="971"/>
      <c r="DQ70" s="971"/>
      <c r="DR70" s="971"/>
      <c r="DS70" s="963"/>
      <c r="DT70" s="963"/>
      <c r="DU70" s="966"/>
      <c r="DV70" s="969"/>
      <c r="DY70" s="397"/>
      <c r="DZ70" s="397"/>
      <c r="EA70" s="397"/>
      <c r="FJ70" s="464" t="e">
        <f>AZ70</f>
        <v>#VALUE!</v>
      </c>
      <c r="FK70" s="465" t="s">
        <v>76</v>
      </c>
      <c r="FL70" s="466" t="s">
        <v>208</v>
      </c>
      <c r="FM70" s="466" t="s">
        <v>136</v>
      </c>
      <c r="FN70" s="466" t="s">
        <v>194</v>
      </c>
      <c r="FO70" s="466" t="s">
        <v>351</v>
      </c>
      <c r="FP70" s="467" t="s">
        <v>58</v>
      </c>
      <c r="FR70" s="395"/>
      <c r="FS70" s="959"/>
      <c r="FT70" s="971"/>
      <c r="FU70" s="971"/>
      <c r="FV70" s="971"/>
      <c r="FW70" s="963"/>
      <c r="FX70" s="963"/>
      <c r="FY70" s="966"/>
      <c r="FZ70" s="969"/>
      <c r="GC70" s="397"/>
      <c r="GD70" s="397"/>
      <c r="GE70" s="397"/>
      <c r="HO70" s="468" t="e">
        <f>BW71</f>
        <v>#VALUE!</v>
      </c>
      <c r="HP70" s="465" t="s">
        <v>76</v>
      </c>
      <c r="HQ70" s="466" t="s">
        <v>208</v>
      </c>
      <c r="HR70" s="466" t="s">
        <v>136</v>
      </c>
      <c r="HS70" s="466" t="s">
        <v>194</v>
      </c>
      <c r="HT70" s="466" t="s">
        <v>351</v>
      </c>
      <c r="HU70" s="467" t="s">
        <v>58</v>
      </c>
      <c r="JC70" s="409">
        <v>66</v>
      </c>
      <c r="JD70" s="401">
        <f t="shared" si="100"/>
        <v>26</v>
      </c>
    </row>
    <row r="71" spans="3:264" ht="15.75" thickBot="1" x14ac:dyDescent="0.3">
      <c r="C71" s="209">
        <v>65</v>
      </c>
      <c r="D71" s="404"/>
      <c r="E71" s="420"/>
      <c r="F71" s="421"/>
      <c r="G71" s="422"/>
      <c r="H71" s="422"/>
      <c r="I71" s="422"/>
      <c r="J71" s="404"/>
      <c r="K71" s="410">
        <f t="shared" si="52"/>
        <v>76</v>
      </c>
      <c r="L71" s="410">
        <f t="shared" si="53"/>
        <v>76</v>
      </c>
      <c r="M71" s="410" t="str">
        <f t="shared" si="54"/>
        <v>X</v>
      </c>
      <c r="AF71" s="469" t="e">
        <f>IF(YEAR(EXPEDIENTE!$F$29)&gt;=$AF$23+3,$AF$23+3,"")</f>
        <v>#VALUE!</v>
      </c>
      <c r="AG71" s="470">
        <v>25</v>
      </c>
      <c r="AH71" s="487">
        <f>'GASTOS EJER, 4'!M37</f>
        <v>0</v>
      </c>
      <c r="AI71" s="487">
        <f>'GASTOS EJER, 4'!X37</f>
        <v>0</v>
      </c>
      <c r="AJ71" s="473">
        <f>AH71-AI71</f>
        <v>0</v>
      </c>
      <c r="AL71" s="474">
        <f>'GASTOS EJER, 4'!F37+'GASTOS EJER, 4'!L37-'GASTOS EJER, 4'!X37-'GASTOS EJER, 4'!Y37</f>
        <v>0</v>
      </c>
      <c r="AM71" s="475" t="str">
        <f>IF('GASTOS EJER, 4'!AA37="","",'GASTOS EJER, 4'!AA37)</f>
        <v/>
      </c>
      <c r="AN71" s="472">
        <f>'GASTOS EJER, 4'!Y37</f>
        <v>0</v>
      </c>
      <c r="AO71" s="476" t="str">
        <f>IF('GASTOS EJER, 4'!AB37="","",'GASTOS EJER, 4'!AB37)</f>
        <v/>
      </c>
      <c r="AP71" s="477">
        <f>IF(AND(AM71&gt;=EXPEDIENTE!$I$25,AM71&lt;=EXPEDIENTE!$I$29),AL71,0)</f>
        <v>0</v>
      </c>
      <c r="AQ71" s="429">
        <f>IF(AND(AO71&gt;=EXPEDIENTE!$I$25,AO71&lt;=EXPEDIENTE!$I$29),AN71,0)</f>
        <v>0</v>
      </c>
      <c r="AR71" s="473">
        <f>AP71+AQ71</f>
        <v>0</v>
      </c>
      <c r="AS71" s="478" t="str">
        <f>IF('GASTOS EJER, 4'!D37="","",'GASTOS EJER, 4'!D37)</f>
        <v/>
      </c>
      <c r="AT71" s="479" t="str">
        <f>IF('GASTOS EJER, 4'!E37="","",'GASTOS EJER, 4'!E37)</f>
        <v/>
      </c>
      <c r="AU71" s="480">
        <f>IF(OR(AS71="",AT71=""),0,DATEDIF(AS71,AT71,"M")+1)</f>
        <v>0</v>
      </c>
      <c r="AV71" s="481">
        <f t="shared" ref="AV71:AV78" si="331">IF(OR(AS71="",AT71=""),0,IF(YEAR(AS71)&lt;$AV$22,DATEDIF(DATE($AV$22,1,1),AT71,"M")+1,AU71))</f>
        <v>0</v>
      </c>
      <c r="AW71" s="482">
        <f>IF(OR(AS71="",AT71=""),0,ROUND(AR71/AU71,2))</f>
        <v>0</v>
      </c>
      <c r="AY71" s="426">
        <v>1</v>
      </c>
      <c r="AZ71" s="427" t="e">
        <f t="shared" ref="AZ71:AZ82" si="332">IF($AZ$70="","",DATE($AZ$70,AY71,1))</f>
        <v>#VALUE!</v>
      </c>
      <c r="BA71" s="428">
        <f t="shared" ref="BA71:BA82" si="333">IF($AH$71=0,0,IF($BA$69=0,0,IF(AND(AZ71&gt;=$AS$71,AZ71&lt;=$AT$71),$AW$71,0)))</f>
        <v>0</v>
      </c>
      <c r="BB71" s="429">
        <f t="shared" ref="BB71:BB82" si="334">IF($AH$72=0,0,IF($BB$69=0,0,IF(AND(AZ71&gt;=$AS$72,AZ71&lt;=$AT$72),$AW$72,0)))</f>
        <v>0</v>
      </c>
      <c r="BC71" s="429">
        <f t="shared" ref="BC71:BC82" si="335">IF($AH$73=0,0,IF($BC$69=0,0,IF(AND(AZ71&gt;=$AS$73,AZ71&lt;=$AT$73),$AW$73,0)))</f>
        <v>0</v>
      </c>
      <c r="BD71" s="429">
        <f t="shared" ref="BD71:BD82" si="336">IF($AH$74=0,0,IF($BD$69=0,0,IF(AND(AZ71&gt;=$AS$74,AZ71&lt;=$AT$74),$AW$74,0)))</f>
        <v>0</v>
      </c>
      <c r="BE71" s="429">
        <f t="shared" ref="BE71:BE82" si="337">IF($AH$75=0,0,IF($BE$69=0,0,IF(AND(AZ71&gt;=$AS$75,AZ71&lt;=$AT$75),$AW$75,0)))</f>
        <v>0</v>
      </c>
      <c r="BF71" s="429">
        <f t="shared" ref="BF71:BF82" si="338">IF($AH$76=0,0,IF($BF$69=0,0,IF(AND(AZ71&gt;=$AS$76,AZ71&lt;=$AT$76),$AW$76,0)))</f>
        <v>0</v>
      </c>
      <c r="BG71" s="429">
        <f t="shared" ref="BG71:BG82" si="339">IF($AH$77=0,0,IF($BG$69=0,0,IF(AND(AZ71&gt;=$AS$77,AZ71&lt;=$AT$77),$AW$77,0)))</f>
        <v>0</v>
      </c>
      <c r="BH71" s="430">
        <f>IF($AH$78=0,0,IF($BH$69=0,0,IF(AND(AZ71&gt;=$AS$78,AZ71&lt;=$AT$78),$AW$78,0)))</f>
        <v>0</v>
      </c>
      <c r="BI71" s="431">
        <f t="shared" ref="BI71:BI82" si="340">SUM(BA71:BH71)</f>
        <v>0</v>
      </c>
      <c r="BU71" s="483">
        <f>BI71</f>
        <v>0</v>
      </c>
      <c r="BW71" s="484" t="e">
        <f>IF(YEAR(EXPEDIENTE!$I$29)&gt;=$BW$23+3,$BW$23+3,"")</f>
        <v>#VALUE!</v>
      </c>
      <c r="BX71" s="470">
        <v>25</v>
      </c>
      <c r="BY71" s="487">
        <f>'GASTOS EJER, 4'!BN37</f>
        <v>0</v>
      </c>
      <c r="BZ71" s="487">
        <f>'GASTOS EJER, 4'!CM37</f>
        <v>0</v>
      </c>
      <c r="CA71" s="473">
        <f>BY71-BZ71</f>
        <v>0</v>
      </c>
      <c r="CC71" s="474">
        <f>'GASTOS EJER, 4'!AW37+'GASTOS EJER, 4'!BM37-'GASTOS EJER, 4'!CM37-'GASTOS EJER, 4'!CP37</f>
        <v>0</v>
      </c>
      <c r="CD71" s="475" t="str">
        <f>IF('GASTOS EJER, 4'!CT37="","",'GASTOS EJER, 4'!CT37)</f>
        <v/>
      </c>
      <c r="CE71" s="472">
        <f>'GASTOS EJER, 4'!CP37</f>
        <v>0</v>
      </c>
      <c r="CF71" s="476" t="str">
        <f>IF('GASTOS EJER, 4'!CW37="","",'GASTOS EJER, 4'!CW37)</f>
        <v/>
      </c>
      <c r="CG71" s="477">
        <f>IF(AND(CD71&gt;=EXPEDIENTE!$I$25,CD71&lt;=EXPEDIENTE!$I$29),CC71,0)</f>
        <v>0</v>
      </c>
      <c r="CH71" s="429">
        <f>IF(AND(CF71&gt;=EXPEDIENTE!$I$25,CF71&lt;=EXPEDIENTE!$I$29),CE71,0)</f>
        <v>0</v>
      </c>
      <c r="CI71" s="473">
        <f>CG71+CH71</f>
        <v>0</v>
      </c>
      <c r="CJ71" s="478" t="str">
        <f>IF('GASTOS EJER, 4'!AQ37="","",'GASTOS EJER, 4'!AQ37)</f>
        <v/>
      </c>
      <c r="CK71" s="479" t="str">
        <f>IF('GASTOS EJER, 4'!AT37="","",'GASTOS EJER, 4'!AT37)</f>
        <v/>
      </c>
      <c r="CL71" s="480">
        <f>IF(OR(CJ71="",CK71=""),0,DATEDIF(CJ71,CK71,"M")+1)</f>
        <v>0</v>
      </c>
      <c r="CM71" s="481">
        <f t="shared" ref="CM71:CM78" si="341">IF(OR(CJ71="",CK71=""),0,IF(YEAR(CJ71)&lt;$AV$22,DATEDIF(DATE($AV$22,1,1),CK71,"M")+1,CL71))</f>
        <v>0</v>
      </c>
      <c r="CN71" s="482">
        <f>IF(OR(CJ71="",CK71=""),0,ROUND(CI71/CL71,2))</f>
        <v>0</v>
      </c>
      <c r="CP71" s="426">
        <v>1</v>
      </c>
      <c r="CQ71" s="427" t="e">
        <f t="shared" ref="CQ71:CQ82" si="342">IF($AZ$70="","",DATE($AZ$70,CP71,1))</f>
        <v>#VALUE!</v>
      </c>
      <c r="CR71" s="428">
        <f>IF($BY$71=0,0,IF($CR$69=0,0,IF(AND($CQ71&gt;=$CJ$71,$CQ71&lt;=$CK$71),$CN$71,0)))</f>
        <v>0</v>
      </c>
      <c r="CS71" s="429">
        <f>IF($BY$72=0,0,IF($CS$69=0,0,IF(AND($CQ71&gt;=$CJ$72,$CQ71&lt;=$CK$72),$CN$72,0)))</f>
        <v>0</v>
      </c>
      <c r="CT71" s="429">
        <f>IF($BY$73=0,0,IF($CT$69=0,0,IF(AND($CQ71&gt;=$CJ$73,$CQ71&lt;=$CK$73),$CN$73,0)))</f>
        <v>0</v>
      </c>
      <c r="CU71" s="429">
        <f>IF($BY$74=0,0,IF($CU$69=0,0,IF(AND($CQ71&gt;=$CJ$74,$CQ71&lt;=$CK$74),$CN$74,0)))</f>
        <v>0</v>
      </c>
      <c r="CV71" s="429">
        <f>IF($BY$75=0,0,IF($CV$69=0,0,IF(AND($CQ71&gt;=$CJ$75,$CQ71&lt;=$CK$75),$CN$75,0)))</f>
        <v>0</v>
      </c>
      <c r="CW71" s="429">
        <f>IF($BY$76=0,0,IF($CW$69=0,0,IF(AND($CQ71&gt;=$CJ$76,$CQ71&lt;=$CK$76),$CN$76,0)))</f>
        <v>0</v>
      </c>
      <c r="CX71" s="429">
        <f>IF($BY$77=0,0,IF($CX$69=0,0,IF(AND($CQ71&gt;=$CJ$77,$CQ71&lt;=$CK$77),$CN$77,0)))</f>
        <v>0</v>
      </c>
      <c r="CY71" s="430">
        <f>IF($BY$78=0,0,IF($CY$69=0,0,IF(AND($CQ71&gt;=$CJ$78,$CQ71&lt;=$CK$78),$CN$78,0)))</f>
        <v>0</v>
      </c>
      <c r="CZ71" s="431">
        <f t="shared" ref="CZ71:CZ79" si="343">SUM(CR71:CY71)</f>
        <v>0</v>
      </c>
      <c r="DL71" s="483">
        <f>CZ71</f>
        <v>0</v>
      </c>
      <c r="DN71" s="470">
        <v>25</v>
      </c>
      <c r="DO71" s="485">
        <f>'GASTOS EJER, 4'!$C37</f>
        <v>0</v>
      </c>
      <c r="DP71" s="479" t="str">
        <f>AS71</f>
        <v/>
      </c>
      <c r="DQ71" s="479" t="str">
        <f t="shared" ref="DQ71" si="344">AT71</f>
        <v/>
      </c>
      <c r="DR71" s="486">
        <f t="shared" ref="DR71" si="345">AU71</f>
        <v>0</v>
      </c>
      <c r="DS71" s="487">
        <f>'GASTOS EJER, 4'!X37</f>
        <v>0</v>
      </c>
      <c r="DT71" s="475" t="str">
        <f>IF(DS71=0,"",'GASTOS EJER, 4'!AA37)</f>
        <v/>
      </c>
      <c r="DU71" s="475" t="str">
        <f t="shared" ref="DU71:DU78" si="346">IF(DT55="","",EOMONTH(DATE(YEAR(DT55),MONTH(DT55)+1,1),0))</f>
        <v/>
      </c>
      <c r="DV71" s="473" t="e">
        <f>IF(AND(DU71&gt;=EXPEDIENTE!$F$25,DU71&lt;=EXPEDIENTE!$F$29),ROUNDDOWN(DS71/DR71,2),0)</f>
        <v>#DIV/0!</v>
      </c>
      <c r="FJ71" s="121">
        <v>1</v>
      </c>
      <c r="FK71" s="488">
        <f>DATE(YEAR(EXPEDIENTE!$F$25)+3,FJ71,1)</f>
        <v>46388</v>
      </c>
      <c r="FL71" s="488" t="str">
        <f>IF('GASTOS EJER, 4'!I49="","",'GASTOS EJER, 4'!I49)</f>
        <v/>
      </c>
      <c r="FM71" s="489">
        <f>'GASTOS EJER, 4'!X20</f>
        <v>0</v>
      </c>
      <c r="FN71" s="489">
        <f>'GASTOS EJER, 4'!H49</f>
        <v>0</v>
      </c>
      <c r="FO71" s="437">
        <f>VLOOKUP(FK71,$DY$7:$FH$69,36,FALSE)</f>
        <v>0</v>
      </c>
      <c r="FP71" s="489">
        <f t="shared" ref="FP71:FP82" si="347">SUM(FM71:FO71)</f>
        <v>0</v>
      </c>
      <c r="FR71" s="470">
        <v>25</v>
      </c>
      <c r="FS71" s="485">
        <f>'GASTOS EJER, 4'!$C37</f>
        <v>0</v>
      </c>
      <c r="FT71" s="479" t="str">
        <f>CJ71</f>
        <v/>
      </c>
      <c r="FU71" s="479" t="str">
        <f>CK71</f>
        <v/>
      </c>
      <c r="FV71" s="486">
        <f>CL71</f>
        <v>0</v>
      </c>
      <c r="FW71" s="487">
        <f>'GASTOS EJER, 4'!CM37</f>
        <v>0</v>
      </c>
      <c r="FX71" s="475" t="str">
        <f>IF(FW71=0,"",'GASTOS EJER, 4'!CT37)</f>
        <v/>
      </c>
      <c r="FY71" s="475" t="str">
        <f t="shared" ref="FY71:FY78" si="348">IF(FX55="","",EOMONTH(DATE(YEAR(FX55),MONTH(FX55)+1,1),0))</f>
        <v/>
      </c>
      <c r="FZ71" s="473" t="e">
        <f>IF(AND(FY71&gt;=EXPEDIENTE!$F$25,FY71&lt;=EXPEDIENTE!$F$29),ROUNDDOWN(FW71/FV71,2),0)</f>
        <v>#DIV/0!</v>
      </c>
      <c r="HO71" s="121">
        <v>1</v>
      </c>
      <c r="HP71" s="488">
        <f>DATE(YEAR(EXPEDIENTE!$F$25)+3,HO71,1)</f>
        <v>46388</v>
      </c>
      <c r="HQ71" s="488" t="str">
        <f>IF('GASTOS EJER, 4'!BF49="","",'GASTOS EJER, 4'!BF49)</f>
        <v/>
      </c>
      <c r="HR71" s="489">
        <f>'GASTOS EJER, 4'!CM20</f>
        <v>0</v>
      </c>
      <c r="HS71" s="489">
        <f>'GASTOS EJER, 4'!BA49</f>
        <v>0</v>
      </c>
      <c r="HT71" s="437">
        <f>VLOOKUP(HP71,$GC$7:$HL$69,36,FALSE)</f>
        <v>0</v>
      </c>
      <c r="HU71" s="489">
        <f t="shared" ref="HU71:HU82" si="349">SUM(HR71:HT71)</f>
        <v>0</v>
      </c>
      <c r="JC71" s="419">
        <v>67</v>
      </c>
      <c r="JD71" s="401">
        <f t="shared" si="100"/>
        <v>26</v>
      </c>
    </row>
    <row r="72" spans="3:264" x14ac:dyDescent="0.25">
      <c r="C72" s="209">
        <v>66</v>
      </c>
      <c r="D72" s="404"/>
      <c r="E72" s="420"/>
      <c r="F72" s="421"/>
      <c r="G72" s="422"/>
      <c r="H72" s="422"/>
      <c r="I72" s="422"/>
      <c r="J72" s="404"/>
      <c r="K72" s="410">
        <f t="shared" ref="K72:K81" si="350">IF(J72="",76,C72)</f>
        <v>76</v>
      </c>
      <c r="L72" s="410">
        <f t="shared" ref="L72:L81" si="351">IF(K72&lt;&gt;76,C72,76)</f>
        <v>76</v>
      </c>
      <c r="M72" s="410" t="str">
        <f t="shared" ref="M72:M81" si="352">IFERROR(VLOOKUP(SMALL($L$7:$L$81,C72),$C$7:$D$81,2,FALSE),"X")</f>
        <v>X</v>
      </c>
      <c r="AG72" s="490">
        <v>26</v>
      </c>
      <c r="AH72" s="503">
        <f>'GASTOS EJER, 4'!M38</f>
        <v>0</v>
      </c>
      <c r="AI72" s="503">
        <f>'GASTOS EJER, 4'!X38</f>
        <v>0</v>
      </c>
      <c r="AJ72" s="493">
        <f t="shared" ref="AJ72:AJ78" si="353">AH72-AI72</f>
        <v>0</v>
      </c>
      <c r="AL72" s="494">
        <f>'GASTOS EJER, 4'!F38+'GASTOS EJER, 4'!L38-'GASTOS EJER, 4'!X38-'GASTOS EJER, 4'!Y38</f>
        <v>0</v>
      </c>
      <c r="AM72" s="495" t="str">
        <f>IF('GASTOS EJER, 4'!AA38="","",'GASTOS EJER, 4'!AA38)</f>
        <v/>
      </c>
      <c r="AN72" s="492">
        <f>'GASTOS EJER, 4'!Y38</f>
        <v>0</v>
      </c>
      <c r="AO72" s="496" t="str">
        <f>IF('GASTOS EJER, 4'!AB38="","",'GASTOS EJER, 4'!AB38)</f>
        <v/>
      </c>
      <c r="AP72" s="497">
        <f>IF(AND(AM72&gt;=EXPEDIENTE!$I$25,AM72&lt;=EXPEDIENTE!$I$29),AL72,0)</f>
        <v>0</v>
      </c>
      <c r="AQ72" s="426">
        <f>IF(AND(AO72&gt;=EXPEDIENTE!$I$25,AO72&lt;=EXPEDIENTE!$I$29),AN72,0)</f>
        <v>0</v>
      </c>
      <c r="AR72" s="493">
        <f t="shared" ref="AR72:AR78" si="354">AP72+AQ72</f>
        <v>0</v>
      </c>
      <c r="AS72" s="498" t="str">
        <f>IF('GASTOS EJER, 4'!D38="","",'GASTOS EJER, 4'!D38)</f>
        <v/>
      </c>
      <c r="AT72" s="499" t="str">
        <f>IF('GASTOS EJER, 4'!E38="","",'GASTOS EJER, 4'!E38)</f>
        <v/>
      </c>
      <c r="AU72" s="500">
        <f t="shared" ref="AU72:AU78" si="355">IF(OR(AS72="",AT72=""),0,DATEDIF(AS72,AT72,"M")+1)</f>
        <v>0</v>
      </c>
      <c r="AV72" s="501">
        <f t="shared" si="331"/>
        <v>0</v>
      </c>
      <c r="AW72" s="442">
        <f t="shared" ref="AW72:AW78" si="356">IF(OR(AS72="",AT72=""),0,ROUND(AR72/AU72,2))</f>
        <v>0</v>
      </c>
      <c r="AY72" s="426">
        <v>2</v>
      </c>
      <c r="AZ72" s="427" t="e">
        <f t="shared" si="332"/>
        <v>#VALUE!</v>
      </c>
      <c r="BA72" s="436">
        <f t="shared" si="333"/>
        <v>0</v>
      </c>
      <c r="BB72" s="437">
        <f t="shared" si="334"/>
        <v>0</v>
      </c>
      <c r="BC72" s="437">
        <f t="shared" si="335"/>
        <v>0</v>
      </c>
      <c r="BD72" s="437">
        <f t="shared" si="336"/>
        <v>0</v>
      </c>
      <c r="BE72" s="437">
        <f t="shared" si="337"/>
        <v>0</v>
      </c>
      <c r="BF72" s="437">
        <f t="shared" si="338"/>
        <v>0</v>
      </c>
      <c r="BG72" s="437">
        <f t="shared" si="339"/>
        <v>0</v>
      </c>
      <c r="BH72" s="438">
        <f t="shared" ref="BH72:BH82" si="357">IF($AH$78=0,0,IF($BH$69=0,0,IF(AND(AZ72&gt;=$AS$78,AZ72&lt;=$AT$78),$AW$78,0)))</f>
        <v>0</v>
      </c>
      <c r="BI72" s="439">
        <f t="shared" si="340"/>
        <v>0</v>
      </c>
      <c r="BU72" s="439">
        <f t="shared" ref="BU72:BU82" si="358">BI72</f>
        <v>0</v>
      </c>
      <c r="BX72" s="490">
        <v>26</v>
      </c>
      <c r="BY72" s="503">
        <f>'GASTOS EJER, 4'!BN38</f>
        <v>0</v>
      </c>
      <c r="BZ72" s="503">
        <f>'GASTOS EJER, 4'!CM38</f>
        <v>0</v>
      </c>
      <c r="CA72" s="493">
        <f t="shared" ref="CA72:CA78" si="359">BY72-BZ72</f>
        <v>0</v>
      </c>
      <c r="CC72" s="494">
        <f>'GASTOS EJER, 4'!AW38+'GASTOS EJER, 4'!BM38-'GASTOS EJER, 4'!CM38-'GASTOS EJER, 4'!CP38</f>
        <v>0</v>
      </c>
      <c r="CD72" s="495" t="str">
        <f>IF('GASTOS EJER, 4'!CT38="","",'GASTOS EJER, 4'!CT38)</f>
        <v/>
      </c>
      <c r="CE72" s="492">
        <f>'GASTOS EJER, 4'!CP38</f>
        <v>0</v>
      </c>
      <c r="CF72" s="496" t="str">
        <f>IF('GASTOS EJER, 4'!CW38="","",'GASTOS EJER, 4'!CW38)</f>
        <v/>
      </c>
      <c r="CG72" s="497">
        <f>IF(AND(CD72&gt;=EXPEDIENTE!$I$25,CD72&lt;=EXPEDIENTE!$I$29),CC72,0)</f>
        <v>0</v>
      </c>
      <c r="CH72" s="426">
        <f>IF(AND(CF72&gt;=EXPEDIENTE!$I$25,CF72&lt;=EXPEDIENTE!$I$29),CE72,0)</f>
        <v>0</v>
      </c>
      <c r="CI72" s="493">
        <f t="shared" ref="CI72:CI78" si="360">CG72+CH72</f>
        <v>0</v>
      </c>
      <c r="CJ72" s="498" t="str">
        <f>IF('GASTOS EJER, 4'!AQ38="","",'GASTOS EJER, 4'!AQ38)</f>
        <v/>
      </c>
      <c r="CK72" s="499" t="str">
        <f>IF('GASTOS EJER, 4'!AT38="","",'GASTOS EJER, 4'!AT38)</f>
        <v/>
      </c>
      <c r="CL72" s="500">
        <f t="shared" ref="CL72:CL78" si="361">IF(OR(CJ72="",CK72=""),0,DATEDIF(CJ72,CK72,"M")+1)</f>
        <v>0</v>
      </c>
      <c r="CM72" s="501">
        <f t="shared" si="341"/>
        <v>0</v>
      </c>
      <c r="CN72" s="442">
        <f t="shared" ref="CN72:CN78" si="362">IF(OR(CJ72="",CK72=""),0,ROUND(CI72/CL72,2))</f>
        <v>0</v>
      </c>
      <c r="CP72" s="426">
        <v>2</v>
      </c>
      <c r="CQ72" s="427" t="e">
        <f t="shared" si="342"/>
        <v>#VALUE!</v>
      </c>
      <c r="CR72" s="440">
        <f t="shared" ref="CR72:CR82" si="363">IF($BY$71=0,0,IF($CR$69=0,0,IF(AND($CQ72&gt;=$CJ$71,$CQ72&lt;=$CK$71),$CN$71,0)))</f>
        <v>0</v>
      </c>
      <c r="CS72" s="426">
        <f t="shared" ref="CS72:CS82" si="364">IF($BY$72=0,0,IF($CS$69=0,0,IF(AND($CQ72&gt;=$CJ$72,$CQ72&lt;=$CK$72),$CN$72,0)))</f>
        <v>0</v>
      </c>
      <c r="CT72" s="426">
        <f t="shared" ref="CT72:CT82" si="365">IF($BY$73=0,0,IF($CT$69=0,0,IF(AND($CQ72&gt;=$CJ$73,$CQ72&lt;=$CK$73),$CN$73,0)))</f>
        <v>0</v>
      </c>
      <c r="CU72" s="426">
        <f t="shared" ref="CU72:CU82" si="366">IF($BY$74=0,0,IF($CU$69=0,0,IF(AND($CQ72&gt;=$CJ$74,$CQ72&lt;=$CK$74),$CN$74,0)))</f>
        <v>0</v>
      </c>
      <c r="CV72" s="426">
        <f t="shared" ref="CV72:CV82" si="367">IF($BY$75=0,0,IF($CV$69=0,0,IF(AND($CQ72&gt;=$CJ$75,$CQ72&lt;=$CK$75),$CN$75,0)))</f>
        <v>0</v>
      </c>
      <c r="CW72" s="426">
        <f t="shared" ref="CW72:CW82" si="368">IF($BY$76=0,0,IF($CW$69=0,0,IF(AND($CQ72&gt;=$CJ$76,$CQ72&lt;=$CK$76),$CN$76,0)))</f>
        <v>0</v>
      </c>
      <c r="CX72" s="426">
        <f t="shared" ref="CX72:CX82" si="369">IF($BY$77=0,0,IF($CX$69=0,0,IF(AND($CQ72&gt;=$CJ$77,$CQ72&lt;=$CK$77),$CN$77,0)))</f>
        <v>0</v>
      </c>
      <c r="CY72" s="441">
        <f t="shared" ref="CY72:CY82" si="370">IF($BY$78=0,0,IF($CY$69=0,0,IF(AND($CQ72&gt;=$CJ$78,$CQ72&lt;=$CK$78),$CN$78,0)))</f>
        <v>0</v>
      </c>
      <c r="CZ72" s="439">
        <f t="shared" si="343"/>
        <v>0</v>
      </c>
      <c r="DL72" s="439">
        <f t="shared" ref="DL72:DL82" si="371">CZ72</f>
        <v>0</v>
      </c>
      <c r="DN72" s="490">
        <v>26</v>
      </c>
      <c r="DO72" s="502">
        <f>'GASTOS EJER, 4'!$C38</f>
        <v>0</v>
      </c>
      <c r="DP72" s="499" t="str">
        <f t="shared" ref="DP72:DP78" si="372">AS72</f>
        <v/>
      </c>
      <c r="DQ72" s="499" t="str">
        <f t="shared" ref="DQ72:DQ78" si="373">AT72</f>
        <v/>
      </c>
      <c r="DR72" s="389">
        <f t="shared" ref="DR72:DR78" si="374">AU72</f>
        <v>0</v>
      </c>
      <c r="DS72" s="503">
        <f>'GASTOS EJER, 4'!X38</f>
        <v>0</v>
      </c>
      <c r="DT72" s="495" t="str">
        <f>IF(DS72=0,"",'GASTOS EJER, 4'!AA38)</f>
        <v/>
      </c>
      <c r="DU72" s="495" t="str">
        <f t="shared" si="346"/>
        <v/>
      </c>
      <c r="DV72" s="493" t="e">
        <f>IF(AND(DU72&gt;=EXPEDIENTE!$F$25,DU72&lt;=EXPEDIENTE!$F$29),ROUNDDOWN(DS72/DR72,2),0)</f>
        <v>#DIV/0!</v>
      </c>
      <c r="FJ72" s="121">
        <v>2</v>
      </c>
      <c r="FK72" s="495">
        <f>DATE(YEAR(EXPEDIENTE!$F$25)+3,FJ72,1)</f>
        <v>46419</v>
      </c>
      <c r="FL72" s="495" t="str">
        <f>IF('GASTOS EJER, 4'!I50="","",'GASTOS EJER, 4'!I50)</f>
        <v/>
      </c>
      <c r="FM72" s="503">
        <f>'GASTOS EJER, 4'!X21</f>
        <v>0</v>
      </c>
      <c r="FN72" s="503">
        <f>'GASTOS EJER, 4'!H50</f>
        <v>0</v>
      </c>
      <c r="FO72" s="426">
        <f t="shared" ref="FO72:FO82" si="375">VLOOKUP(FK72,$DY$7:$FH$69,36,FALSE)</f>
        <v>0</v>
      </c>
      <c r="FP72" s="503">
        <f t="shared" si="347"/>
        <v>0</v>
      </c>
      <c r="FR72" s="490">
        <v>26</v>
      </c>
      <c r="FS72" s="502">
        <f>'GASTOS EJER, 4'!$C38</f>
        <v>0</v>
      </c>
      <c r="FT72" s="499" t="str">
        <f t="shared" ref="FT72:FT78" si="376">CJ72</f>
        <v/>
      </c>
      <c r="FU72" s="499" t="str">
        <f t="shared" ref="FU72:FU78" si="377">CK72</f>
        <v/>
      </c>
      <c r="FV72" s="389">
        <f t="shared" ref="FV72:FV78" si="378">CL72</f>
        <v>0</v>
      </c>
      <c r="FW72" s="503">
        <f>'GASTOS EJER, 4'!CM38</f>
        <v>0</v>
      </c>
      <c r="FX72" s="495" t="str">
        <f>IF(FW72=0,"",'GASTOS EJER, 4'!CT38)</f>
        <v/>
      </c>
      <c r="FY72" s="495" t="str">
        <f t="shared" si="348"/>
        <v/>
      </c>
      <c r="FZ72" s="493" t="e">
        <f>IF(AND(FY72&gt;=EXPEDIENTE!$F$25,FY72&lt;=EXPEDIENTE!$F$29),ROUNDDOWN(FW72/FV72,2),0)</f>
        <v>#DIV/0!</v>
      </c>
      <c r="HO72" s="121">
        <v>2</v>
      </c>
      <c r="HP72" s="495">
        <f>DATE(YEAR(EXPEDIENTE!$F$25)+3,HO72,1)</f>
        <v>46419</v>
      </c>
      <c r="HQ72" s="495" t="str">
        <f>IF('GASTOS EJER, 4'!BF50="","",'GASTOS EJER, 4'!BF50)</f>
        <v/>
      </c>
      <c r="HR72" s="503">
        <f>'GASTOS EJER, 4'!CM21</f>
        <v>0</v>
      </c>
      <c r="HS72" s="503">
        <f>'GASTOS EJER, 4'!BA50</f>
        <v>0</v>
      </c>
      <c r="HT72" s="426">
        <f t="shared" ref="HT72:HT82" si="379">VLOOKUP(HP72,$GC$7:$HL$69,36,FALSE)</f>
        <v>0</v>
      </c>
      <c r="HU72" s="503">
        <f t="shared" si="349"/>
        <v>0</v>
      </c>
      <c r="JC72" s="419">
        <v>68</v>
      </c>
      <c r="JD72" s="401">
        <f t="shared" si="100"/>
        <v>26</v>
      </c>
    </row>
    <row r="73" spans="3:264" x14ac:dyDescent="0.25">
      <c r="C73" s="209">
        <v>67</v>
      </c>
      <c r="D73" s="404"/>
      <c r="E73" s="420"/>
      <c r="F73" s="421"/>
      <c r="G73" s="422"/>
      <c r="H73" s="422"/>
      <c r="I73" s="422"/>
      <c r="J73" s="404"/>
      <c r="K73" s="410">
        <f t="shared" si="350"/>
        <v>76</v>
      </c>
      <c r="L73" s="410">
        <f t="shared" si="351"/>
        <v>76</v>
      </c>
      <c r="M73" s="410" t="str">
        <f t="shared" si="352"/>
        <v>X</v>
      </c>
      <c r="AG73" s="490">
        <v>27</v>
      </c>
      <c r="AH73" s="503">
        <f>'GASTOS EJER, 4'!M39</f>
        <v>0</v>
      </c>
      <c r="AI73" s="503">
        <f>'GASTOS EJER, 4'!X39</f>
        <v>0</v>
      </c>
      <c r="AJ73" s="493">
        <f t="shared" si="353"/>
        <v>0</v>
      </c>
      <c r="AL73" s="494">
        <f>'GASTOS EJER, 4'!F39+'GASTOS EJER, 4'!L39-'GASTOS EJER, 4'!X39-'GASTOS EJER, 4'!Y39</f>
        <v>0</v>
      </c>
      <c r="AM73" s="495" t="str">
        <f>IF('GASTOS EJER, 4'!AA39="","",'GASTOS EJER, 4'!AA39)</f>
        <v/>
      </c>
      <c r="AN73" s="492">
        <f>'GASTOS EJER, 4'!Y39</f>
        <v>0</v>
      </c>
      <c r="AO73" s="496" t="str">
        <f>IF('GASTOS EJER, 4'!AB39="","",'GASTOS EJER, 4'!AB39)</f>
        <v/>
      </c>
      <c r="AP73" s="497">
        <f>IF(AND(AM73&gt;=EXPEDIENTE!$I$25,AM73&lt;=EXPEDIENTE!$I$29),AL73,0)</f>
        <v>0</v>
      </c>
      <c r="AQ73" s="426">
        <f>IF(AND(AO73&gt;=EXPEDIENTE!$I$25,AO73&lt;=EXPEDIENTE!$I$29),AN73,0)</f>
        <v>0</v>
      </c>
      <c r="AR73" s="493">
        <f t="shared" si="354"/>
        <v>0</v>
      </c>
      <c r="AS73" s="498" t="str">
        <f>IF('GASTOS EJER, 4'!D39="","",'GASTOS EJER, 4'!D39)</f>
        <v/>
      </c>
      <c r="AT73" s="499" t="str">
        <f>IF('GASTOS EJER, 4'!E39="","",'GASTOS EJER, 4'!E39)</f>
        <v/>
      </c>
      <c r="AU73" s="500">
        <f t="shared" si="355"/>
        <v>0</v>
      </c>
      <c r="AV73" s="501">
        <f t="shared" si="331"/>
        <v>0</v>
      </c>
      <c r="AW73" s="442">
        <f t="shared" si="356"/>
        <v>0</v>
      </c>
      <c r="AY73" s="426">
        <v>3</v>
      </c>
      <c r="AZ73" s="427" t="e">
        <f t="shared" si="332"/>
        <v>#VALUE!</v>
      </c>
      <c r="BA73" s="436">
        <f t="shared" si="333"/>
        <v>0</v>
      </c>
      <c r="BB73" s="437">
        <f t="shared" si="334"/>
        <v>0</v>
      </c>
      <c r="BC73" s="437">
        <f t="shared" si="335"/>
        <v>0</v>
      </c>
      <c r="BD73" s="437">
        <f t="shared" si="336"/>
        <v>0</v>
      </c>
      <c r="BE73" s="437">
        <f t="shared" si="337"/>
        <v>0</v>
      </c>
      <c r="BF73" s="437">
        <f t="shared" si="338"/>
        <v>0</v>
      </c>
      <c r="BG73" s="437">
        <f t="shared" si="339"/>
        <v>0</v>
      </c>
      <c r="BH73" s="438">
        <f t="shared" si="357"/>
        <v>0</v>
      </c>
      <c r="BI73" s="439">
        <f t="shared" si="340"/>
        <v>0</v>
      </c>
      <c r="BU73" s="439">
        <f t="shared" si="358"/>
        <v>0</v>
      </c>
      <c r="BX73" s="490">
        <v>27</v>
      </c>
      <c r="BY73" s="503">
        <f>'GASTOS EJER, 4'!BN39</f>
        <v>0</v>
      </c>
      <c r="BZ73" s="503">
        <f>'GASTOS EJER, 4'!CM39</f>
        <v>0</v>
      </c>
      <c r="CA73" s="493">
        <f t="shared" si="359"/>
        <v>0</v>
      </c>
      <c r="CC73" s="494">
        <f>'GASTOS EJER, 4'!AW39+'GASTOS EJER, 4'!BM39-'GASTOS EJER, 4'!CM39-'GASTOS EJER, 4'!CP39</f>
        <v>0</v>
      </c>
      <c r="CD73" s="495" t="str">
        <f>IF('GASTOS EJER, 4'!CT39="","",'GASTOS EJER, 4'!CT39)</f>
        <v/>
      </c>
      <c r="CE73" s="492">
        <f>'GASTOS EJER, 4'!CP39</f>
        <v>0</v>
      </c>
      <c r="CF73" s="496" t="str">
        <f>IF('GASTOS EJER, 4'!CW39="","",'GASTOS EJER, 4'!CW39)</f>
        <v/>
      </c>
      <c r="CG73" s="497">
        <f>IF(AND(CD73&gt;=EXPEDIENTE!$I$25,CD73&lt;=EXPEDIENTE!$I$29),CC73,0)</f>
        <v>0</v>
      </c>
      <c r="CH73" s="426">
        <f>IF(AND(CF73&gt;=EXPEDIENTE!$I$25,CF73&lt;=EXPEDIENTE!$I$29),CE73,0)</f>
        <v>0</v>
      </c>
      <c r="CI73" s="493">
        <f t="shared" si="360"/>
        <v>0</v>
      </c>
      <c r="CJ73" s="498" t="str">
        <f>IF('GASTOS EJER, 4'!AQ39="","",'GASTOS EJER, 4'!AQ39)</f>
        <v/>
      </c>
      <c r="CK73" s="499" t="str">
        <f>IF('GASTOS EJER, 4'!AT39="","",'GASTOS EJER, 4'!AT39)</f>
        <v/>
      </c>
      <c r="CL73" s="500">
        <f t="shared" si="361"/>
        <v>0</v>
      </c>
      <c r="CM73" s="501">
        <f t="shared" si="341"/>
        <v>0</v>
      </c>
      <c r="CN73" s="442">
        <f t="shared" si="362"/>
        <v>0</v>
      </c>
      <c r="CP73" s="426">
        <v>3</v>
      </c>
      <c r="CQ73" s="427" t="e">
        <f t="shared" si="342"/>
        <v>#VALUE!</v>
      </c>
      <c r="CR73" s="440">
        <f t="shared" si="363"/>
        <v>0</v>
      </c>
      <c r="CS73" s="426">
        <f t="shared" si="364"/>
        <v>0</v>
      </c>
      <c r="CT73" s="426">
        <f t="shared" si="365"/>
        <v>0</v>
      </c>
      <c r="CU73" s="426">
        <f t="shared" si="366"/>
        <v>0</v>
      </c>
      <c r="CV73" s="426">
        <f t="shared" si="367"/>
        <v>0</v>
      </c>
      <c r="CW73" s="426">
        <f t="shared" si="368"/>
        <v>0</v>
      </c>
      <c r="CX73" s="426">
        <f t="shared" si="369"/>
        <v>0</v>
      </c>
      <c r="CY73" s="441">
        <f t="shared" si="370"/>
        <v>0</v>
      </c>
      <c r="CZ73" s="439">
        <f t="shared" si="343"/>
        <v>0</v>
      </c>
      <c r="DL73" s="439">
        <f t="shared" si="371"/>
        <v>0</v>
      </c>
      <c r="DN73" s="490">
        <v>27</v>
      </c>
      <c r="DO73" s="502">
        <f>'GASTOS EJER, 4'!$C39</f>
        <v>0</v>
      </c>
      <c r="DP73" s="499" t="str">
        <f t="shared" si="372"/>
        <v/>
      </c>
      <c r="DQ73" s="499" t="str">
        <f t="shared" si="373"/>
        <v/>
      </c>
      <c r="DR73" s="389">
        <f t="shared" si="374"/>
        <v>0</v>
      </c>
      <c r="DS73" s="503">
        <f>'GASTOS EJER, 4'!X39</f>
        <v>0</v>
      </c>
      <c r="DT73" s="495" t="str">
        <f>IF(DS73=0,"",'GASTOS EJER, 4'!AA39)</f>
        <v/>
      </c>
      <c r="DU73" s="495" t="str">
        <f t="shared" si="346"/>
        <v/>
      </c>
      <c r="DV73" s="493" t="e">
        <f>IF(AND(DU73&gt;=EXPEDIENTE!$F$25,DU73&lt;=EXPEDIENTE!$F$29),ROUNDDOWN(DS73/DR73,2),0)</f>
        <v>#DIV/0!</v>
      </c>
      <c r="FJ73" s="121">
        <v>3</v>
      </c>
      <c r="FK73" s="495">
        <f>DATE(YEAR(EXPEDIENTE!$F$25)+3,FJ73,1)</f>
        <v>46447</v>
      </c>
      <c r="FL73" s="495" t="str">
        <f>IF('GASTOS EJER, 4'!I51="","",'GASTOS EJER, 4'!I51)</f>
        <v/>
      </c>
      <c r="FM73" s="503">
        <f>'GASTOS EJER, 4'!X22</f>
        <v>0</v>
      </c>
      <c r="FN73" s="503">
        <f>'GASTOS EJER, 4'!H51</f>
        <v>0</v>
      </c>
      <c r="FO73" s="426">
        <f t="shared" si="375"/>
        <v>0</v>
      </c>
      <c r="FP73" s="503">
        <f t="shared" si="347"/>
        <v>0</v>
      </c>
      <c r="FR73" s="490">
        <v>27</v>
      </c>
      <c r="FS73" s="502">
        <f>'GASTOS EJER, 4'!$C39</f>
        <v>0</v>
      </c>
      <c r="FT73" s="499" t="str">
        <f t="shared" si="376"/>
        <v/>
      </c>
      <c r="FU73" s="499" t="str">
        <f t="shared" si="377"/>
        <v/>
      </c>
      <c r="FV73" s="389">
        <f t="shared" si="378"/>
        <v>0</v>
      </c>
      <c r="FW73" s="503">
        <f>'GASTOS EJER, 4'!CM39</f>
        <v>0</v>
      </c>
      <c r="FX73" s="495" t="str">
        <f>IF(FW73=0,"",'GASTOS EJER, 4'!CT39)</f>
        <v/>
      </c>
      <c r="FY73" s="495" t="str">
        <f t="shared" si="348"/>
        <v/>
      </c>
      <c r="FZ73" s="493" t="e">
        <f>IF(AND(FY73&gt;=EXPEDIENTE!$F$25,FY73&lt;=EXPEDIENTE!$F$29),ROUNDDOWN(FW73/FV73,2),0)</f>
        <v>#DIV/0!</v>
      </c>
      <c r="HO73" s="121">
        <v>3</v>
      </c>
      <c r="HP73" s="495">
        <f>DATE(YEAR(EXPEDIENTE!$F$25)+3,HO73,1)</f>
        <v>46447</v>
      </c>
      <c r="HQ73" s="495" t="str">
        <f>IF('GASTOS EJER, 4'!BF51="","",'GASTOS EJER, 4'!BF51)</f>
        <v/>
      </c>
      <c r="HR73" s="503">
        <f>'GASTOS EJER, 4'!CM22</f>
        <v>0</v>
      </c>
      <c r="HS73" s="503">
        <f>'GASTOS EJER, 4'!BA51</f>
        <v>0</v>
      </c>
      <c r="HT73" s="426">
        <f t="shared" si="379"/>
        <v>0</v>
      </c>
      <c r="HU73" s="503">
        <f t="shared" si="349"/>
        <v>0</v>
      </c>
      <c r="JC73" s="419">
        <v>69</v>
      </c>
      <c r="JD73" s="401">
        <f t="shared" si="100"/>
        <v>26</v>
      </c>
    </row>
    <row r="74" spans="3:264" x14ac:dyDescent="0.25">
      <c r="C74" s="209">
        <v>68</v>
      </c>
      <c r="D74" s="404"/>
      <c r="E74" s="420"/>
      <c r="F74" s="421"/>
      <c r="G74" s="422"/>
      <c r="H74" s="422"/>
      <c r="I74" s="422"/>
      <c r="J74" s="404"/>
      <c r="K74" s="410">
        <f t="shared" si="350"/>
        <v>76</v>
      </c>
      <c r="L74" s="410">
        <f t="shared" si="351"/>
        <v>76</v>
      </c>
      <c r="M74" s="410" t="str">
        <f t="shared" si="352"/>
        <v>X</v>
      </c>
      <c r="AG74" s="490">
        <v>28</v>
      </c>
      <c r="AH74" s="503">
        <f>'GASTOS EJER, 4'!M40</f>
        <v>0</v>
      </c>
      <c r="AI74" s="503">
        <f>'GASTOS EJER, 4'!X40</f>
        <v>0</v>
      </c>
      <c r="AJ74" s="493">
        <f t="shared" si="353"/>
        <v>0</v>
      </c>
      <c r="AL74" s="494">
        <f>'GASTOS EJER, 4'!F40+'GASTOS EJER, 4'!L40-'GASTOS EJER, 4'!X40-'GASTOS EJER, 4'!Y40</f>
        <v>0</v>
      </c>
      <c r="AM74" s="495" t="str">
        <f>IF('GASTOS EJER, 4'!AA40="","",'GASTOS EJER, 4'!AA40)</f>
        <v/>
      </c>
      <c r="AN74" s="492">
        <f>'GASTOS EJER, 4'!Y40</f>
        <v>0</v>
      </c>
      <c r="AO74" s="496" t="str">
        <f>IF('GASTOS EJER, 4'!AB40="","",'GASTOS EJER, 4'!AB40)</f>
        <v/>
      </c>
      <c r="AP74" s="497">
        <f>IF(AND(AM74&gt;=EXPEDIENTE!$I$25,AM74&lt;=EXPEDIENTE!$I$29),AL74,0)</f>
        <v>0</v>
      </c>
      <c r="AQ74" s="426">
        <f>IF(AND(AO74&gt;=EXPEDIENTE!$I$25,AO74&lt;=EXPEDIENTE!$I$29),AN74,0)</f>
        <v>0</v>
      </c>
      <c r="AR74" s="493">
        <f t="shared" si="354"/>
        <v>0</v>
      </c>
      <c r="AS74" s="498" t="str">
        <f>IF('GASTOS EJER, 4'!D40="","",'GASTOS EJER, 4'!D40)</f>
        <v/>
      </c>
      <c r="AT74" s="499" t="str">
        <f>IF('GASTOS EJER, 4'!E40="","",'GASTOS EJER, 4'!E40)</f>
        <v/>
      </c>
      <c r="AU74" s="500">
        <f t="shared" si="355"/>
        <v>0</v>
      </c>
      <c r="AV74" s="501">
        <f t="shared" si="331"/>
        <v>0</v>
      </c>
      <c r="AW74" s="442">
        <f t="shared" si="356"/>
        <v>0</v>
      </c>
      <c r="AY74" s="426">
        <v>4</v>
      </c>
      <c r="AZ74" s="427" t="e">
        <f t="shared" si="332"/>
        <v>#VALUE!</v>
      </c>
      <c r="BA74" s="436">
        <f t="shared" si="333"/>
        <v>0</v>
      </c>
      <c r="BB74" s="437">
        <f t="shared" si="334"/>
        <v>0</v>
      </c>
      <c r="BC74" s="437">
        <f t="shared" si="335"/>
        <v>0</v>
      </c>
      <c r="BD74" s="437">
        <f t="shared" si="336"/>
        <v>0</v>
      </c>
      <c r="BE74" s="437">
        <f t="shared" si="337"/>
        <v>0</v>
      </c>
      <c r="BF74" s="437">
        <f t="shared" si="338"/>
        <v>0</v>
      </c>
      <c r="BG74" s="437">
        <f t="shared" si="339"/>
        <v>0</v>
      </c>
      <c r="BH74" s="438">
        <f t="shared" si="357"/>
        <v>0</v>
      </c>
      <c r="BI74" s="439">
        <f t="shared" si="340"/>
        <v>0</v>
      </c>
      <c r="BU74" s="439">
        <f t="shared" si="358"/>
        <v>0</v>
      </c>
      <c r="BX74" s="490">
        <v>28</v>
      </c>
      <c r="BY74" s="503">
        <f>'GASTOS EJER, 4'!BN40</f>
        <v>0</v>
      </c>
      <c r="BZ74" s="503">
        <f>'GASTOS EJER, 4'!CM40</f>
        <v>0</v>
      </c>
      <c r="CA74" s="493">
        <f t="shared" si="359"/>
        <v>0</v>
      </c>
      <c r="CC74" s="494">
        <f>'GASTOS EJER, 4'!AW40+'GASTOS EJER, 4'!BM40-'GASTOS EJER, 4'!CM40-'GASTOS EJER, 4'!CP40</f>
        <v>0</v>
      </c>
      <c r="CD74" s="495" t="str">
        <f>IF('GASTOS EJER, 4'!CT40="","",'GASTOS EJER, 4'!CT40)</f>
        <v/>
      </c>
      <c r="CE74" s="492">
        <f>'GASTOS EJER, 4'!CP40</f>
        <v>0</v>
      </c>
      <c r="CF74" s="496" t="str">
        <f>IF('GASTOS EJER, 4'!CW40="","",'GASTOS EJER, 4'!CW40)</f>
        <v/>
      </c>
      <c r="CG74" s="497">
        <f>IF(AND(CD74&gt;=EXPEDIENTE!$I$25,CD74&lt;=EXPEDIENTE!$I$29),CC74,0)</f>
        <v>0</v>
      </c>
      <c r="CH74" s="426">
        <f>IF(AND(CF74&gt;=EXPEDIENTE!$I$25,CF74&lt;=EXPEDIENTE!$I$29),CE74,0)</f>
        <v>0</v>
      </c>
      <c r="CI74" s="493">
        <f t="shared" si="360"/>
        <v>0</v>
      </c>
      <c r="CJ74" s="498" t="str">
        <f>IF('GASTOS EJER, 4'!AQ40="","",'GASTOS EJER, 4'!AQ40)</f>
        <v/>
      </c>
      <c r="CK74" s="499" t="str">
        <f>IF('GASTOS EJER, 4'!AT40="","",'GASTOS EJER, 4'!AT40)</f>
        <v/>
      </c>
      <c r="CL74" s="500">
        <f t="shared" si="361"/>
        <v>0</v>
      </c>
      <c r="CM74" s="501">
        <f t="shared" si="341"/>
        <v>0</v>
      </c>
      <c r="CN74" s="442">
        <f t="shared" si="362"/>
        <v>0</v>
      </c>
      <c r="CP74" s="426">
        <v>4</v>
      </c>
      <c r="CQ74" s="427" t="e">
        <f t="shared" si="342"/>
        <v>#VALUE!</v>
      </c>
      <c r="CR74" s="440">
        <f t="shared" si="363"/>
        <v>0</v>
      </c>
      <c r="CS74" s="426">
        <f t="shared" si="364"/>
        <v>0</v>
      </c>
      <c r="CT74" s="426">
        <f t="shared" si="365"/>
        <v>0</v>
      </c>
      <c r="CU74" s="426">
        <f t="shared" si="366"/>
        <v>0</v>
      </c>
      <c r="CV74" s="426">
        <f t="shared" si="367"/>
        <v>0</v>
      </c>
      <c r="CW74" s="426">
        <f t="shared" si="368"/>
        <v>0</v>
      </c>
      <c r="CX74" s="426">
        <f t="shared" si="369"/>
        <v>0</v>
      </c>
      <c r="CY74" s="441">
        <f t="shared" si="370"/>
        <v>0</v>
      </c>
      <c r="CZ74" s="439">
        <f t="shared" si="343"/>
        <v>0</v>
      </c>
      <c r="DL74" s="439">
        <f t="shared" si="371"/>
        <v>0</v>
      </c>
      <c r="DN74" s="490">
        <v>28</v>
      </c>
      <c r="DO74" s="502">
        <f>'GASTOS EJER, 4'!$C40</f>
        <v>0</v>
      </c>
      <c r="DP74" s="499" t="str">
        <f t="shared" si="372"/>
        <v/>
      </c>
      <c r="DQ74" s="499" t="str">
        <f t="shared" si="373"/>
        <v/>
      </c>
      <c r="DR74" s="389">
        <f t="shared" si="374"/>
        <v>0</v>
      </c>
      <c r="DS74" s="503">
        <f>'GASTOS EJER, 4'!X40</f>
        <v>0</v>
      </c>
      <c r="DT74" s="495" t="str">
        <f>IF(DS74=0,"",'GASTOS EJER, 4'!AA40)</f>
        <v/>
      </c>
      <c r="DU74" s="495" t="str">
        <f t="shared" si="346"/>
        <v/>
      </c>
      <c r="DV74" s="493" t="e">
        <f>IF(AND(DU74&gt;=EXPEDIENTE!$F$25,DU74&lt;=EXPEDIENTE!$F$29),ROUNDDOWN(DS74/DR74,2),0)</f>
        <v>#DIV/0!</v>
      </c>
      <c r="FJ74" s="121">
        <v>4</v>
      </c>
      <c r="FK74" s="495">
        <f>DATE(YEAR(EXPEDIENTE!$F$25)+3,FJ74,1)</f>
        <v>46478</v>
      </c>
      <c r="FL74" s="495" t="str">
        <f>IF('GASTOS EJER, 4'!I52="","",'GASTOS EJER, 4'!I52)</f>
        <v/>
      </c>
      <c r="FM74" s="503">
        <f>'GASTOS EJER, 4'!X23</f>
        <v>0</v>
      </c>
      <c r="FN74" s="503">
        <f>'GASTOS EJER, 4'!H52</f>
        <v>0</v>
      </c>
      <c r="FO74" s="426">
        <f t="shared" si="375"/>
        <v>0</v>
      </c>
      <c r="FP74" s="503">
        <f t="shared" si="347"/>
        <v>0</v>
      </c>
      <c r="FR74" s="490">
        <v>28</v>
      </c>
      <c r="FS74" s="502">
        <f>'GASTOS EJER, 4'!$C40</f>
        <v>0</v>
      </c>
      <c r="FT74" s="499" t="str">
        <f t="shared" si="376"/>
        <v/>
      </c>
      <c r="FU74" s="499" t="str">
        <f t="shared" si="377"/>
        <v/>
      </c>
      <c r="FV74" s="389">
        <f t="shared" si="378"/>
        <v>0</v>
      </c>
      <c r="FW74" s="503">
        <f>'GASTOS EJER, 4'!CM40</f>
        <v>0</v>
      </c>
      <c r="FX74" s="495" t="str">
        <f>IF(FW74=0,"",'GASTOS EJER, 4'!CT40)</f>
        <v/>
      </c>
      <c r="FY74" s="495" t="str">
        <f t="shared" si="348"/>
        <v/>
      </c>
      <c r="FZ74" s="493" t="e">
        <f>IF(AND(FY74&gt;=EXPEDIENTE!$F$25,FY74&lt;=EXPEDIENTE!$F$29),ROUNDDOWN(FW74/FV74,2),0)</f>
        <v>#DIV/0!</v>
      </c>
      <c r="HO74" s="121">
        <v>4</v>
      </c>
      <c r="HP74" s="495">
        <f>DATE(YEAR(EXPEDIENTE!$F$25)+3,HO74,1)</f>
        <v>46478</v>
      </c>
      <c r="HQ74" s="495" t="str">
        <f>IF('GASTOS EJER, 4'!BF52="","",'GASTOS EJER, 4'!BF52)</f>
        <v/>
      </c>
      <c r="HR74" s="503">
        <f>'GASTOS EJER, 4'!CM23</f>
        <v>0</v>
      </c>
      <c r="HS74" s="503">
        <f>'GASTOS EJER, 4'!BA52</f>
        <v>0</v>
      </c>
      <c r="HT74" s="426">
        <f t="shared" si="379"/>
        <v>0</v>
      </c>
      <c r="HU74" s="503">
        <f t="shared" si="349"/>
        <v>0</v>
      </c>
      <c r="JC74" s="445">
        <v>70</v>
      </c>
      <c r="JD74" s="401">
        <f t="shared" si="100"/>
        <v>26</v>
      </c>
    </row>
    <row r="75" spans="3:264" x14ac:dyDescent="0.25">
      <c r="C75" s="209">
        <v>69</v>
      </c>
      <c r="D75" s="404"/>
      <c r="E75" s="420"/>
      <c r="F75" s="421"/>
      <c r="G75" s="422"/>
      <c r="H75" s="422"/>
      <c r="I75" s="422"/>
      <c r="J75" s="404"/>
      <c r="K75" s="410">
        <f t="shared" si="350"/>
        <v>76</v>
      </c>
      <c r="L75" s="410">
        <f t="shared" si="351"/>
        <v>76</v>
      </c>
      <c r="M75" s="410" t="str">
        <f t="shared" si="352"/>
        <v>X</v>
      </c>
      <c r="AG75" s="490">
        <v>29</v>
      </c>
      <c r="AH75" s="503">
        <f>'GASTOS EJER, 4'!M41</f>
        <v>0</v>
      </c>
      <c r="AI75" s="503">
        <f>'GASTOS EJER, 4'!X41</f>
        <v>0</v>
      </c>
      <c r="AJ75" s="493">
        <f t="shared" si="353"/>
        <v>0</v>
      </c>
      <c r="AL75" s="494">
        <f>'GASTOS EJER, 4'!F41+'GASTOS EJER, 4'!L41-'GASTOS EJER, 4'!X41-'GASTOS EJER, 4'!Y41</f>
        <v>0</v>
      </c>
      <c r="AM75" s="495" t="str">
        <f>IF('GASTOS EJER, 4'!AA41="","",'GASTOS EJER, 4'!AA41)</f>
        <v/>
      </c>
      <c r="AN75" s="492">
        <f>'GASTOS EJER, 4'!Y41</f>
        <v>0</v>
      </c>
      <c r="AO75" s="496" t="str">
        <f>IF('GASTOS EJER, 4'!AB41="","",'GASTOS EJER, 4'!AB41)</f>
        <v/>
      </c>
      <c r="AP75" s="497">
        <f>IF(AND(AM75&gt;=EXPEDIENTE!$I$25,AM75&lt;=EXPEDIENTE!$I$29),AL75,0)</f>
        <v>0</v>
      </c>
      <c r="AQ75" s="426">
        <f>IF(AND(AO75&gt;=EXPEDIENTE!$I$25,AO75&lt;=EXPEDIENTE!$I$29),AN75,0)</f>
        <v>0</v>
      </c>
      <c r="AR75" s="493">
        <f t="shared" si="354"/>
        <v>0</v>
      </c>
      <c r="AS75" s="498" t="str">
        <f>IF('GASTOS EJER, 4'!D41="","",'GASTOS EJER, 4'!D41)</f>
        <v/>
      </c>
      <c r="AT75" s="499" t="str">
        <f>IF('GASTOS EJER, 4'!E41="","",'GASTOS EJER, 4'!E41)</f>
        <v/>
      </c>
      <c r="AU75" s="500">
        <f t="shared" si="355"/>
        <v>0</v>
      </c>
      <c r="AV75" s="501">
        <f t="shared" si="331"/>
        <v>0</v>
      </c>
      <c r="AW75" s="442">
        <f t="shared" si="356"/>
        <v>0</v>
      </c>
      <c r="AY75" s="426">
        <v>5</v>
      </c>
      <c r="AZ75" s="427" t="e">
        <f t="shared" si="332"/>
        <v>#VALUE!</v>
      </c>
      <c r="BA75" s="436">
        <f t="shared" si="333"/>
        <v>0</v>
      </c>
      <c r="BB75" s="437">
        <f t="shared" si="334"/>
        <v>0</v>
      </c>
      <c r="BC75" s="437">
        <f t="shared" si="335"/>
        <v>0</v>
      </c>
      <c r="BD75" s="437">
        <f t="shared" si="336"/>
        <v>0</v>
      </c>
      <c r="BE75" s="437">
        <f t="shared" si="337"/>
        <v>0</v>
      </c>
      <c r="BF75" s="437">
        <f t="shared" si="338"/>
        <v>0</v>
      </c>
      <c r="BG75" s="437">
        <f t="shared" si="339"/>
        <v>0</v>
      </c>
      <c r="BH75" s="438">
        <f t="shared" si="357"/>
        <v>0</v>
      </c>
      <c r="BI75" s="439">
        <f t="shared" si="340"/>
        <v>0</v>
      </c>
      <c r="BU75" s="439">
        <f t="shared" si="358"/>
        <v>0</v>
      </c>
      <c r="BX75" s="490">
        <v>29</v>
      </c>
      <c r="BY75" s="503">
        <f>'GASTOS EJER, 4'!BN41</f>
        <v>0</v>
      </c>
      <c r="BZ75" s="503">
        <f>'GASTOS EJER, 4'!CM41</f>
        <v>0</v>
      </c>
      <c r="CA75" s="493">
        <f t="shared" si="359"/>
        <v>0</v>
      </c>
      <c r="CC75" s="494">
        <f>'GASTOS EJER, 4'!AW41+'GASTOS EJER, 4'!BM41-'GASTOS EJER, 4'!CM41-'GASTOS EJER, 4'!CP41</f>
        <v>0</v>
      </c>
      <c r="CD75" s="495" t="str">
        <f>IF('GASTOS EJER, 4'!CT41="","",'GASTOS EJER, 4'!CT41)</f>
        <v/>
      </c>
      <c r="CE75" s="492">
        <f>'GASTOS EJER, 4'!CP41</f>
        <v>0</v>
      </c>
      <c r="CF75" s="496" t="str">
        <f>IF('GASTOS EJER, 4'!CW41="","",'GASTOS EJER, 4'!CW41)</f>
        <v/>
      </c>
      <c r="CG75" s="497">
        <f>IF(AND(CD75&gt;=EXPEDIENTE!$I$25,CD75&lt;=EXPEDIENTE!$I$29),CC75,0)</f>
        <v>0</v>
      </c>
      <c r="CH75" s="426">
        <f>IF(AND(CF75&gt;=EXPEDIENTE!$I$25,CF75&lt;=EXPEDIENTE!$I$29),CE75,0)</f>
        <v>0</v>
      </c>
      <c r="CI75" s="493">
        <f t="shared" si="360"/>
        <v>0</v>
      </c>
      <c r="CJ75" s="498" t="str">
        <f>IF('GASTOS EJER, 4'!AQ41="","",'GASTOS EJER, 4'!AQ41)</f>
        <v/>
      </c>
      <c r="CK75" s="499" t="str">
        <f>IF('GASTOS EJER, 4'!AT41="","",'GASTOS EJER, 4'!AT41)</f>
        <v/>
      </c>
      <c r="CL75" s="500">
        <f t="shared" si="361"/>
        <v>0</v>
      </c>
      <c r="CM75" s="501">
        <f t="shared" si="341"/>
        <v>0</v>
      </c>
      <c r="CN75" s="442">
        <f t="shared" si="362"/>
        <v>0</v>
      </c>
      <c r="CP75" s="426">
        <v>5</v>
      </c>
      <c r="CQ75" s="427" t="e">
        <f t="shared" si="342"/>
        <v>#VALUE!</v>
      </c>
      <c r="CR75" s="440">
        <f t="shared" si="363"/>
        <v>0</v>
      </c>
      <c r="CS75" s="426">
        <f t="shared" si="364"/>
        <v>0</v>
      </c>
      <c r="CT75" s="426">
        <f t="shared" si="365"/>
        <v>0</v>
      </c>
      <c r="CU75" s="426">
        <f t="shared" si="366"/>
        <v>0</v>
      </c>
      <c r="CV75" s="426">
        <f t="shared" si="367"/>
        <v>0</v>
      </c>
      <c r="CW75" s="426">
        <f t="shared" si="368"/>
        <v>0</v>
      </c>
      <c r="CX75" s="426">
        <f t="shared" si="369"/>
        <v>0</v>
      </c>
      <c r="CY75" s="441">
        <f t="shared" si="370"/>
        <v>0</v>
      </c>
      <c r="CZ75" s="439">
        <f t="shared" si="343"/>
        <v>0</v>
      </c>
      <c r="DL75" s="439">
        <f t="shared" si="371"/>
        <v>0</v>
      </c>
      <c r="DN75" s="490">
        <v>29</v>
      </c>
      <c r="DO75" s="502">
        <f>'GASTOS EJER, 4'!$C41</f>
        <v>0</v>
      </c>
      <c r="DP75" s="499" t="str">
        <f t="shared" si="372"/>
        <v/>
      </c>
      <c r="DQ75" s="499" t="str">
        <f t="shared" si="373"/>
        <v/>
      </c>
      <c r="DR75" s="389">
        <f t="shared" si="374"/>
        <v>0</v>
      </c>
      <c r="DS75" s="503">
        <f>'GASTOS EJER, 4'!X41</f>
        <v>0</v>
      </c>
      <c r="DT75" s="495" t="str">
        <f>IF(DS75=0,"",'GASTOS EJER, 4'!AA41)</f>
        <v/>
      </c>
      <c r="DU75" s="495" t="str">
        <f t="shared" si="346"/>
        <v/>
      </c>
      <c r="DV75" s="493" t="e">
        <f>IF(AND(DU75&gt;=EXPEDIENTE!$F$25,DU75&lt;=EXPEDIENTE!$F$29),ROUNDDOWN(DS75/DR75,2),0)</f>
        <v>#DIV/0!</v>
      </c>
      <c r="FJ75" s="121">
        <v>5</v>
      </c>
      <c r="FK75" s="495">
        <f>DATE(YEAR(EXPEDIENTE!$F$25)+3,FJ75,1)</f>
        <v>46508</v>
      </c>
      <c r="FL75" s="495" t="str">
        <f>IF('GASTOS EJER, 4'!I53="","",'GASTOS EJER, 4'!I53)</f>
        <v/>
      </c>
      <c r="FM75" s="503">
        <f>'GASTOS EJER, 4'!X24</f>
        <v>0</v>
      </c>
      <c r="FN75" s="503">
        <f>'GASTOS EJER, 4'!H53</f>
        <v>0</v>
      </c>
      <c r="FO75" s="426">
        <f t="shared" si="375"/>
        <v>0</v>
      </c>
      <c r="FP75" s="503">
        <f t="shared" si="347"/>
        <v>0</v>
      </c>
      <c r="FR75" s="490">
        <v>29</v>
      </c>
      <c r="FS75" s="502">
        <f>'GASTOS EJER, 4'!$C41</f>
        <v>0</v>
      </c>
      <c r="FT75" s="499" t="str">
        <f t="shared" si="376"/>
        <v/>
      </c>
      <c r="FU75" s="499" t="str">
        <f t="shared" si="377"/>
        <v/>
      </c>
      <c r="FV75" s="389">
        <f t="shared" si="378"/>
        <v>0</v>
      </c>
      <c r="FW75" s="503">
        <f>'GASTOS EJER, 4'!CM41</f>
        <v>0</v>
      </c>
      <c r="FX75" s="495" t="str">
        <f>IF(FW75=0,"",'GASTOS EJER, 4'!CT41)</f>
        <v/>
      </c>
      <c r="FY75" s="495" t="str">
        <f t="shared" si="348"/>
        <v/>
      </c>
      <c r="FZ75" s="493" t="e">
        <f>IF(AND(FY75&gt;=EXPEDIENTE!$F$25,FY75&lt;=EXPEDIENTE!$F$29),ROUNDDOWN(FW75/FV75,2),0)</f>
        <v>#DIV/0!</v>
      </c>
      <c r="HO75" s="121">
        <v>5</v>
      </c>
      <c r="HP75" s="495">
        <f>DATE(YEAR(EXPEDIENTE!$F$25)+3,HO75,1)</f>
        <v>46508</v>
      </c>
      <c r="HQ75" s="495" t="str">
        <f>IF('GASTOS EJER, 4'!BF53="","",'GASTOS EJER, 4'!BF53)</f>
        <v/>
      </c>
      <c r="HR75" s="503">
        <f>'GASTOS EJER, 4'!CM24</f>
        <v>0</v>
      </c>
      <c r="HS75" s="503">
        <f>'GASTOS EJER, 4'!BA53</f>
        <v>0</v>
      </c>
      <c r="HT75" s="426">
        <f t="shared" si="379"/>
        <v>0</v>
      </c>
      <c r="HU75" s="503">
        <f t="shared" si="349"/>
        <v>0</v>
      </c>
      <c r="JC75" s="409">
        <v>71</v>
      </c>
      <c r="JD75" s="401">
        <f t="shared" ref="JD75:JD104" si="380">JD70+2</f>
        <v>28</v>
      </c>
    </row>
    <row r="76" spans="3:264" x14ac:dyDescent="0.25">
      <c r="C76" s="209">
        <v>70</v>
      </c>
      <c r="D76" s="404"/>
      <c r="E76" s="420"/>
      <c r="F76" s="421"/>
      <c r="G76" s="422"/>
      <c r="H76" s="422"/>
      <c r="I76" s="422"/>
      <c r="J76" s="404"/>
      <c r="K76" s="410">
        <f t="shared" si="350"/>
        <v>76</v>
      </c>
      <c r="L76" s="410">
        <f t="shared" si="351"/>
        <v>76</v>
      </c>
      <c r="M76" s="410" t="str">
        <f t="shared" si="352"/>
        <v>X</v>
      </c>
      <c r="AG76" s="490">
        <v>30</v>
      </c>
      <c r="AH76" s="503">
        <f>'GASTOS EJER, 4'!M42</f>
        <v>0</v>
      </c>
      <c r="AI76" s="503">
        <f>'GASTOS EJER, 4'!X42</f>
        <v>0</v>
      </c>
      <c r="AJ76" s="493">
        <f t="shared" si="353"/>
        <v>0</v>
      </c>
      <c r="AL76" s="494">
        <f>'GASTOS EJER, 4'!F42+'GASTOS EJER, 4'!L42-'GASTOS EJER, 4'!X42-'GASTOS EJER, 4'!Y42</f>
        <v>0</v>
      </c>
      <c r="AM76" s="495" t="str">
        <f>IF('GASTOS EJER, 4'!AA42="","",'GASTOS EJER, 4'!AA42)</f>
        <v/>
      </c>
      <c r="AN76" s="492">
        <f>'GASTOS EJER, 4'!Y42</f>
        <v>0</v>
      </c>
      <c r="AO76" s="496" t="str">
        <f>IF('GASTOS EJER, 4'!AB42="","",'GASTOS EJER, 4'!AB42)</f>
        <v/>
      </c>
      <c r="AP76" s="497">
        <f>IF(AND(AM76&gt;=EXPEDIENTE!$I$25,AM76&lt;=EXPEDIENTE!$I$29),AL76,0)</f>
        <v>0</v>
      </c>
      <c r="AQ76" s="426">
        <f>IF(AND(AO76&gt;=EXPEDIENTE!$I$25,AO76&lt;=EXPEDIENTE!$I$29),AN76,0)</f>
        <v>0</v>
      </c>
      <c r="AR76" s="493">
        <f t="shared" si="354"/>
        <v>0</v>
      </c>
      <c r="AS76" s="498" t="str">
        <f>IF('GASTOS EJER, 4'!D42="","",'GASTOS EJER, 4'!D42)</f>
        <v/>
      </c>
      <c r="AT76" s="499" t="str">
        <f>IF('GASTOS EJER, 4'!E42="","",'GASTOS EJER, 4'!E42)</f>
        <v/>
      </c>
      <c r="AU76" s="500">
        <f t="shared" si="355"/>
        <v>0</v>
      </c>
      <c r="AV76" s="501">
        <f t="shared" si="331"/>
        <v>0</v>
      </c>
      <c r="AW76" s="442">
        <f t="shared" si="356"/>
        <v>0</v>
      </c>
      <c r="AY76" s="426">
        <v>6</v>
      </c>
      <c r="AZ76" s="427" t="e">
        <f t="shared" si="332"/>
        <v>#VALUE!</v>
      </c>
      <c r="BA76" s="436">
        <f t="shared" si="333"/>
        <v>0</v>
      </c>
      <c r="BB76" s="437">
        <f t="shared" si="334"/>
        <v>0</v>
      </c>
      <c r="BC76" s="437">
        <f t="shared" si="335"/>
        <v>0</v>
      </c>
      <c r="BD76" s="437">
        <f t="shared" si="336"/>
        <v>0</v>
      </c>
      <c r="BE76" s="437">
        <f t="shared" si="337"/>
        <v>0</v>
      </c>
      <c r="BF76" s="437">
        <f t="shared" si="338"/>
        <v>0</v>
      </c>
      <c r="BG76" s="437">
        <f t="shared" si="339"/>
        <v>0</v>
      </c>
      <c r="BH76" s="438">
        <f t="shared" si="357"/>
        <v>0</v>
      </c>
      <c r="BI76" s="439">
        <f t="shared" si="340"/>
        <v>0</v>
      </c>
      <c r="BU76" s="439">
        <f t="shared" si="358"/>
        <v>0</v>
      </c>
      <c r="BX76" s="490">
        <v>30</v>
      </c>
      <c r="BY76" s="503">
        <f>'GASTOS EJER, 4'!BN42</f>
        <v>0</v>
      </c>
      <c r="BZ76" s="503">
        <f>'GASTOS EJER, 4'!CM42</f>
        <v>0</v>
      </c>
      <c r="CA76" s="493">
        <f t="shared" si="359"/>
        <v>0</v>
      </c>
      <c r="CC76" s="494">
        <f>'GASTOS EJER, 4'!AW42+'GASTOS EJER, 4'!BM42-'GASTOS EJER, 4'!CM42-'GASTOS EJER, 4'!CP42</f>
        <v>0</v>
      </c>
      <c r="CD76" s="495" t="str">
        <f>IF('GASTOS EJER, 4'!CT42="","",'GASTOS EJER, 4'!CT42)</f>
        <v/>
      </c>
      <c r="CE76" s="492">
        <f>'GASTOS EJER, 4'!CP42</f>
        <v>0</v>
      </c>
      <c r="CF76" s="496" t="str">
        <f>IF('GASTOS EJER, 4'!CW42="","",'GASTOS EJER, 4'!CW42)</f>
        <v/>
      </c>
      <c r="CG76" s="497">
        <f>IF(AND(CD76&gt;=EXPEDIENTE!$I$25,CD76&lt;=EXPEDIENTE!$I$29),CC76,0)</f>
        <v>0</v>
      </c>
      <c r="CH76" s="426">
        <f>IF(AND(CF76&gt;=EXPEDIENTE!$I$25,CF76&lt;=EXPEDIENTE!$I$29),CE76,0)</f>
        <v>0</v>
      </c>
      <c r="CI76" s="493">
        <f t="shared" si="360"/>
        <v>0</v>
      </c>
      <c r="CJ76" s="498" t="str">
        <f>IF('GASTOS EJER, 4'!AQ42="","",'GASTOS EJER, 4'!AQ42)</f>
        <v/>
      </c>
      <c r="CK76" s="499" t="str">
        <f>IF('GASTOS EJER, 4'!AT42="","",'GASTOS EJER, 4'!AT42)</f>
        <v/>
      </c>
      <c r="CL76" s="500">
        <f t="shared" si="361"/>
        <v>0</v>
      </c>
      <c r="CM76" s="501">
        <f t="shared" si="341"/>
        <v>0</v>
      </c>
      <c r="CN76" s="442">
        <f t="shared" si="362"/>
        <v>0</v>
      </c>
      <c r="CP76" s="426">
        <v>6</v>
      </c>
      <c r="CQ76" s="427" t="e">
        <f t="shared" si="342"/>
        <v>#VALUE!</v>
      </c>
      <c r="CR76" s="440">
        <f t="shared" si="363"/>
        <v>0</v>
      </c>
      <c r="CS76" s="426">
        <f t="shared" si="364"/>
        <v>0</v>
      </c>
      <c r="CT76" s="426">
        <f t="shared" si="365"/>
        <v>0</v>
      </c>
      <c r="CU76" s="426">
        <f t="shared" si="366"/>
        <v>0</v>
      </c>
      <c r="CV76" s="426">
        <f t="shared" si="367"/>
        <v>0</v>
      </c>
      <c r="CW76" s="426">
        <f t="shared" si="368"/>
        <v>0</v>
      </c>
      <c r="CX76" s="426">
        <f t="shared" si="369"/>
        <v>0</v>
      </c>
      <c r="CY76" s="441">
        <f t="shared" si="370"/>
        <v>0</v>
      </c>
      <c r="CZ76" s="439">
        <f t="shared" si="343"/>
        <v>0</v>
      </c>
      <c r="DL76" s="439">
        <f t="shared" si="371"/>
        <v>0</v>
      </c>
      <c r="DN76" s="490">
        <v>30</v>
      </c>
      <c r="DO76" s="502">
        <f>'GASTOS EJER, 4'!$C42</f>
        <v>0</v>
      </c>
      <c r="DP76" s="499" t="str">
        <f t="shared" si="372"/>
        <v/>
      </c>
      <c r="DQ76" s="499" t="str">
        <f t="shared" si="373"/>
        <v/>
      </c>
      <c r="DR76" s="389">
        <f t="shared" si="374"/>
        <v>0</v>
      </c>
      <c r="DS76" s="503">
        <f>'GASTOS EJER, 4'!X42</f>
        <v>0</v>
      </c>
      <c r="DT76" s="495" t="str">
        <f>IF(DS76=0,"",'GASTOS EJER, 4'!AA42)</f>
        <v/>
      </c>
      <c r="DU76" s="495" t="str">
        <f t="shared" si="346"/>
        <v/>
      </c>
      <c r="DV76" s="493" t="e">
        <f>IF(AND(DU76&gt;=EXPEDIENTE!$F$25,DU76&lt;=EXPEDIENTE!$F$29),ROUNDDOWN(DS76/DR76,2),0)</f>
        <v>#DIV/0!</v>
      </c>
      <c r="FJ76" s="121">
        <v>6</v>
      </c>
      <c r="FK76" s="495">
        <f>DATE(YEAR(EXPEDIENTE!$F$25)+3,FJ76,1)</f>
        <v>46539</v>
      </c>
      <c r="FL76" s="495" t="str">
        <f>IF('GASTOS EJER, 4'!I54="","",'GASTOS EJER, 4'!I54)</f>
        <v/>
      </c>
      <c r="FM76" s="503">
        <f>'GASTOS EJER, 4'!X25</f>
        <v>0</v>
      </c>
      <c r="FN76" s="503">
        <f>'GASTOS EJER, 4'!H54</f>
        <v>0</v>
      </c>
      <c r="FO76" s="426">
        <f t="shared" si="375"/>
        <v>0</v>
      </c>
      <c r="FP76" s="503">
        <f t="shared" si="347"/>
        <v>0</v>
      </c>
      <c r="FR76" s="490">
        <v>30</v>
      </c>
      <c r="FS76" s="502">
        <f>'GASTOS EJER, 4'!$C42</f>
        <v>0</v>
      </c>
      <c r="FT76" s="499" t="str">
        <f t="shared" si="376"/>
        <v/>
      </c>
      <c r="FU76" s="499" t="str">
        <f t="shared" si="377"/>
        <v/>
      </c>
      <c r="FV76" s="389">
        <f t="shared" si="378"/>
        <v>0</v>
      </c>
      <c r="FW76" s="503">
        <f>'GASTOS EJER, 4'!CM42</f>
        <v>0</v>
      </c>
      <c r="FX76" s="495" t="str">
        <f>IF(FW76=0,"",'GASTOS EJER, 4'!CT42)</f>
        <v/>
      </c>
      <c r="FY76" s="495" t="str">
        <f t="shared" si="348"/>
        <v/>
      </c>
      <c r="FZ76" s="493" t="e">
        <f>IF(AND(FY76&gt;=EXPEDIENTE!$F$25,FY76&lt;=EXPEDIENTE!$F$29),ROUNDDOWN(FW76/FV76,2),0)</f>
        <v>#DIV/0!</v>
      </c>
      <c r="HO76" s="121">
        <v>6</v>
      </c>
      <c r="HP76" s="495">
        <f>DATE(YEAR(EXPEDIENTE!$F$25)+3,HO76,1)</f>
        <v>46539</v>
      </c>
      <c r="HQ76" s="495" t="str">
        <f>IF('GASTOS EJER, 4'!BF54="","",'GASTOS EJER, 4'!BF54)</f>
        <v/>
      </c>
      <c r="HR76" s="503">
        <f>'GASTOS EJER, 4'!CM25</f>
        <v>0</v>
      </c>
      <c r="HS76" s="503">
        <f>'GASTOS EJER, 4'!BA54</f>
        <v>0</v>
      </c>
      <c r="HT76" s="426">
        <f t="shared" si="379"/>
        <v>0</v>
      </c>
      <c r="HU76" s="503">
        <f t="shared" si="349"/>
        <v>0</v>
      </c>
      <c r="JC76" s="419">
        <v>72</v>
      </c>
      <c r="JD76" s="401">
        <f t="shared" si="380"/>
        <v>28</v>
      </c>
    </row>
    <row r="77" spans="3:264" x14ac:dyDescent="0.25">
      <c r="C77" s="209">
        <v>71</v>
      </c>
      <c r="D77" s="404"/>
      <c r="E77" s="420"/>
      <c r="F77" s="421"/>
      <c r="G77" s="422"/>
      <c r="H77" s="422"/>
      <c r="I77" s="422"/>
      <c r="J77" s="404"/>
      <c r="K77" s="410">
        <f t="shared" si="350"/>
        <v>76</v>
      </c>
      <c r="L77" s="410">
        <f t="shared" si="351"/>
        <v>76</v>
      </c>
      <c r="M77" s="410" t="str">
        <f t="shared" si="352"/>
        <v>X</v>
      </c>
      <c r="AG77" s="490">
        <v>31</v>
      </c>
      <c r="AH77" s="503">
        <f>'GASTOS EJER, 4'!M43</f>
        <v>0</v>
      </c>
      <c r="AI77" s="503">
        <f>'GASTOS EJER, 4'!X43</f>
        <v>0</v>
      </c>
      <c r="AJ77" s="493">
        <f t="shared" si="353"/>
        <v>0</v>
      </c>
      <c r="AL77" s="494">
        <f>'GASTOS EJER, 4'!F43+'GASTOS EJER, 4'!L43-'GASTOS EJER, 4'!X43-'GASTOS EJER, 4'!Y43</f>
        <v>0</v>
      </c>
      <c r="AM77" s="495" t="str">
        <f>IF('GASTOS EJER, 4'!AA43="","",'GASTOS EJER, 4'!AA43)</f>
        <v/>
      </c>
      <c r="AN77" s="492">
        <f>'GASTOS EJER, 4'!Y43</f>
        <v>0</v>
      </c>
      <c r="AO77" s="496" t="str">
        <f>IF('GASTOS EJER, 4'!AB43="","",'GASTOS EJER, 4'!AB43)</f>
        <v/>
      </c>
      <c r="AP77" s="497">
        <f>IF(AND(AM77&gt;=EXPEDIENTE!$I$25,AM77&lt;=EXPEDIENTE!$I$29),AL77,0)</f>
        <v>0</v>
      </c>
      <c r="AQ77" s="426">
        <f>IF(AND(AO77&gt;=EXPEDIENTE!$I$25,AO77&lt;=EXPEDIENTE!$I$29),AN77,0)</f>
        <v>0</v>
      </c>
      <c r="AR77" s="493">
        <f t="shared" si="354"/>
        <v>0</v>
      </c>
      <c r="AS77" s="498" t="str">
        <f>IF('GASTOS EJER, 4'!D43="","",'GASTOS EJER, 4'!D43)</f>
        <v/>
      </c>
      <c r="AT77" s="499" t="str">
        <f>IF('GASTOS EJER, 4'!E43="","",'GASTOS EJER, 4'!E43)</f>
        <v/>
      </c>
      <c r="AU77" s="500">
        <f t="shared" si="355"/>
        <v>0</v>
      </c>
      <c r="AV77" s="501">
        <f t="shared" si="331"/>
        <v>0</v>
      </c>
      <c r="AW77" s="442">
        <f t="shared" si="356"/>
        <v>0</v>
      </c>
      <c r="AY77" s="426">
        <v>7</v>
      </c>
      <c r="AZ77" s="427" t="e">
        <f t="shared" si="332"/>
        <v>#VALUE!</v>
      </c>
      <c r="BA77" s="436">
        <f t="shared" si="333"/>
        <v>0</v>
      </c>
      <c r="BB77" s="437">
        <f t="shared" si="334"/>
        <v>0</v>
      </c>
      <c r="BC77" s="437">
        <f t="shared" si="335"/>
        <v>0</v>
      </c>
      <c r="BD77" s="437">
        <f t="shared" si="336"/>
        <v>0</v>
      </c>
      <c r="BE77" s="437">
        <f t="shared" si="337"/>
        <v>0</v>
      </c>
      <c r="BF77" s="437">
        <f t="shared" si="338"/>
        <v>0</v>
      </c>
      <c r="BG77" s="437">
        <f t="shared" si="339"/>
        <v>0</v>
      </c>
      <c r="BH77" s="438">
        <f t="shared" si="357"/>
        <v>0</v>
      </c>
      <c r="BI77" s="439">
        <f t="shared" si="340"/>
        <v>0</v>
      </c>
      <c r="BU77" s="439">
        <f t="shared" si="358"/>
        <v>0</v>
      </c>
      <c r="BX77" s="490">
        <v>31</v>
      </c>
      <c r="BY77" s="503">
        <f>'GASTOS EJER, 4'!BN43</f>
        <v>0</v>
      </c>
      <c r="BZ77" s="503">
        <f>'GASTOS EJER, 4'!CM43</f>
        <v>0</v>
      </c>
      <c r="CA77" s="493">
        <f t="shared" si="359"/>
        <v>0</v>
      </c>
      <c r="CC77" s="494">
        <f>'GASTOS EJER, 4'!AW43+'GASTOS EJER, 4'!BM43-'GASTOS EJER, 4'!CM43-'GASTOS EJER, 4'!CP43</f>
        <v>0</v>
      </c>
      <c r="CD77" s="495" t="str">
        <f>IF('GASTOS EJER, 4'!CT43="","",'GASTOS EJER, 4'!CT43)</f>
        <v/>
      </c>
      <c r="CE77" s="492">
        <f>'GASTOS EJER, 4'!CP43</f>
        <v>0</v>
      </c>
      <c r="CF77" s="496" t="str">
        <f>IF('GASTOS EJER, 4'!CW43="","",'GASTOS EJER, 4'!CW43)</f>
        <v/>
      </c>
      <c r="CG77" s="497">
        <f>IF(AND(CD77&gt;=EXPEDIENTE!$I$25,CD77&lt;=EXPEDIENTE!$I$29),CC77,0)</f>
        <v>0</v>
      </c>
      <c r="CH77" s="426">
        <f>IF(AND(CF77&gt;=EXPEDIENTE!$I$25,CF77&lt;=EXPEDIENTE!$I$29),CE77,0)</f>
        <v>0</v>
      </c>
      <c r="CI77" s="493">
        <f t="shared" si="360"/>
        <v>0</v>
      </c>
      <c r="CJ77" s="498" t="str">
        <f>IF('GASTOS EJER, 4'!AQ43="","",'GASTOS EJER, 4'!AQ43)</f>
        <v/>
      </c>
      <c r="CK77" s="499" t="str">
        <f>IF('GASTOS EJER, 4'!AT43="","",'GASTOS EJER, 4'!AT43)</f>
        <v/>
      </c>
      <c r="CL77" s="500">
        <f t="shared" si="361"/>
        <v>0</v>
      </c>
      <c r="CM77" s="501">
        <f t="shared" si="341"/>
        <v>0</v>
      </c>
      <c r="CN77" s="442">
        <f t="shared" si="362"/>
        <v>0</v>
      </c>
      <c r="CP77" s="426">
        <v>7</v>
      </c>
      <c r="CQ77" s="427" t="e">
        <f t="shared" si="342"/>
        <v>#VALUE!</v>
      </c>
      <c r="CR77" s="440">
        <f t="shared" si="363"/>
        <v>0</v>
      </c>
      <c r="CS77" s="426">
        <f t="shared" si="364"/>
        <v>0</v>
      </c>
      <c r="CT77" s="426">
        <f t="shared" si="365"/>
        <v>0</v>
      </c>
      <c r="CU77" s="426">
        <f t="shared" si="366"/>
        <v>0</v>
      </c>
      <c r="CV77" s="426">
        <f t="shared" si="367"/>
        <v>0</v>
      </c>
      <c r="CW77" s="426">
        <f t="shared" si="368"/>
        <v>0</v>
      </c>
      <c r="CX77" s="426">
        <f t="shared" si="369"/>
        <v>0</v>
      </c>
      <c r="CY77" s="441">
        <f t="shared" si="370"/>
        <v>0</v>
      </c>
      <c r="CZ77" s="439">
        <f t="shared" si="343"/>
        <v>0</v>
      </c>
      <c r="DL77" s="439">
        <f t="shared" si="371"/>
        <v>0</v>
      </c>
      <c r="DN77" s="490">
        <v>31</v>
      </c>
      <c r="DO77" s="502">
        <f>'GASTOS EJER, 4'!$C43</f>
        <v>0</v>
      </c>
      <c r="DP77" s="499" t="str">
        <f t="shared" si="372"/>
        <v/>
      </c>
      <c r="DQ77" s="499" t="str">
        <f t="shared" si="373"/>
        <v/>
      </c>
      <c r="DR77" s="389">
        <f t="shared" si="374"/>
        <v>0</v>
      </c>
      <c r="DS77" s="503">
        <f>'GASTOS EJER, 4'!X43</f>
        <v>0</v>
      </c>
      <c r="DT77" s="495" t="str">
        <f>IF(DS77=0,"",'GASTOS EJER, 4'!AA43)</f>
        <v/>
      </c>
      <c r="DU77" s="495" t="str">
        <f t="shared" si="346"/>
        <v/>
      </c>
      <c r="DV77" s="493" t="e">
        <f>IF(AND(DU77&gt;=EXPEDIENTE!$F$25,DU77&lt;=EXPEDIENTE!$F$29),ROUNDDOWN(DS77/DR77,2),0)</f>
        <v>#DIV/0!</v>
      </c>
      <c r="FJ77" s="121">
        <v>7</v>
      </c>
      <c r="FK77" s="495">
        <f>DATE(YEAR(EXPEDIENTE!$F$25)+3,FJ77,1)</f>
        <v>46569</v>
      </c>
      <c r="FL77" s="495" t="str">
        <f>IF('GASTOS EJER, 4'!I55="","",'GASTOS EJER, 4'!I55)</f>
        <v/>
      </c>
      <c r="FM77" s="503">
        <f>'GASTOS EJER, 4'!X26</f>
        <v>0</v>
      </c>
      <c r="FN77" s="503">
        <f>'GASTOS EJER, 4'!H55</f>
        <v>0</v>
      </c>
      <c r="FO77" s="426">
        <f t="shared" si="375"/>
        <v>0</v>
      </c>
      <c r="FP77" s="503">
        <f t="shared" si="347"/>
        <v>0</v>
      </c>
      <c r="FR77" s="490">
        <v>31</v>
      </c>
      <c r="FS77" s="502">
        <f>'GASTOS EJER, 4'!$C43</f>
        <v>0</v>
      </c>
      <c r="FT77" s="499" t="str">
        <f t="shared" si="376"/>
        <v/>
      </c>
      <c r="FU77" s="499" t="str">
        <f t="shared" si="377"/>
        <v/>
      </c>
      <c r="FV77" s="389">
        <f t="shared" si="378"/>
        <v>0</v>
      </c>
      <c r="FW77" s="503">
        <f>'GASTOS EJER, 4'!CM43</f>
        <v>0</v>
      </c>
      <c r="FX77" s="495" t="str">
        <f>IF(FW77=0,"",'GASTOS EJER, 4'!CT43)</f>
        <v/>
      </c>
      <c r="FY77" s="495" t="str">
        <f t="shared" si="348"/>
        <v/>
      </c>
      <c r="FZ77" s="493" t="e">
        <f>IF(AND(FY77&gt;=EXPEDIENTE!$F$25,FY77&lt;=EXPEDIENTE!$F$29),ROUNDDOWN(FW77/FV77,2),0)</f>
        <v>#DIV/0!</v>
      </c>
      <c r="HO77" s="121">
        <v>7</v>
      </c>
      <c r="HP77" s="495">
        <f>DATE(YEAR(EXPEDIENTE!$F$25)+3,HO77,1)</f>
        <v>46569</v>
      </c>
      <c r="HQ77" s="495" t="str">
        <f>IF('GASTOS EJER, 4'!BF55="","",'GASTOS EJER, 4'!BF55)</f>
        <v/>
      </c>
      <c r="HR77" s="503">
        <f>'GASTOS EJER, 4'!CM26</f>
        <v>0</v>
      </c>
      <c r="HS77" s="503">
        <f>'GASTOS EJER, 4'!BA55</f>
        <v>0</v>
      </c>
      <c r="HT77" s="426">
        <f t="shared" si="379"/>
        <v>0</v>
      </c>
      <c r="HU77" s="503">
        <f t="shared" si="349"/>
        <v>0</v>
      </c>
      <c r="JC77" s="419">
        <v>73</v>
      </c>
      <c r="JD77" s="401">
        <f t="shared" si="380"/>
        <v>28</v>
      </c>
    </row>
    <row r="78" spans="3:264" ht="15.75" thickBot="1" x14ac:dyDescent="0.3">
      <c r="C78" s="209">
        <v>72</v>
      </c>
      <c r="D78" s="404"/>
      <c r="E78" s="420"/>
      <c r="F78" s="421"/>
      <c r="G78" s="422"/>
      <c r="H78" s="422"/>
      <c r="I78" s="422"/>
      <c r="J78" s="404"/>
      <c r="K78" s="410">
        <f t="shared" si="350"/>
        <v>76</v>
      </c>
      <c r="L78" s="410">
        <f t="shared" si="351"/>
        <v>76</v>
      </c>
      <c r="M78" s="410" t="str">
        <f t="shared" si="352"/>
        <v>X</v>
      </c>
      <c r="AG78" s="504">
        <v>32</v>
      </c>
      <c r="AH78" s="518">
        <f>'GASTOS EJER, 4'!M44</f>
        <v>0</v>
      </c>
      <c r="AI78" s="518">
        <f>'GASTOS EJER, 4'!X44</f>
        <v>0</v>
      </c>
      <c r="AJ78" s="507">
        <f t="shared" si="353"/>
        <v>0</v>
      </c>
      <c r="AL78" s="508">
        <f>'GASTOS EJER, 4'!F44+'GASTOS EJER, 4'!L44-'GASTOS EJER, 4'!X44-'GASTOS EJER, 4'!Y44</f>
        <v>0</v>
      </c>
      <c r="AM78" s="509" t="str">
        <f>IF('GASTOS EJER, 4'!AA44="","",'GASTOS EJER, 4'!AA44)</f>
        <v/>
      </c>
      <c r="AN78" s="506">
        <f>'GASTOS EJER, 4'!Y44</f>
        <v>0</v>
      </c>
      <c r="AO78" s="510" t="str">
        <f>IF('GASTOS EJER, 4'!AB44="","",'GASTOS EJER, 4'!AB44)</f>
        <v/>
      </c>
      <c r="AP78" s="511">
        <f>IF(AND(AM78&gt;=EXPEDIENTE!$I$25,AM78&lt;=EXPEDIENTE!$I$29),AL78,0)</f>
        <v>0</v>
      </c>
      <c r="AQ78" s="454">
        <f>IF(AND(AO78&gt;=EXPEDIENTE!$I$25,AO78&lt;=EXPEDIENTE!$I$29),AN78,0)</f>
        <v>0</v>
      </c>
      <c r="AR78" s="507">
        <f t="shared" si="354"/>
        <v>0</v>
      </c>
      <c r="AS78" s="512" t="str">
        <f>IF('GASTOS EJER, 4'!D44="","",'GASTOS EJER, 4'!D44)</f>
        <v/>
      </c>
      <c r="AT78" s="513" t="str">
        <f>IF('GASTOS EJER, 4'!E44="","",'GASTOS EJER, 4'!E44)</f>
        <v/>
      </c>
      <c r="AU78" s="514">
        <f t="shared" si="355"/>
        <v>0</v>
      </c>
      <c r="AV78" s="515">
        <f t="shared" si="331"/>
        <v>0</v>
      </c>
      <c r="AW78" s="456">
        <f t="shared" si="356"/>
        <v>0</v>
      </c>
      <c r="AY78" s="426">
        <v>8</v>
      </c>
      <c r="AZ78" s="427" t="e">
        <f t="shared" si="332"/>
        <v>#VALUE!</v>
      </c>
      <c r="BA78" s="436">
        <f t="shared" si="333"/>
        <v>0</v>
      </c>
      <c r="BB78" s="437">
        <f t="shared" si="334"/>
        <v>0</v>
      </c>
      <c r="BC78" s="437">
        <f t="shared" si="335"/>
        <v>0</v>
      </c>
      <c r="BD78" s="437">
        <f t="shared" si="336"/>
        <v>0</v>
      </c>
      <c r="BE78" s="437">
        <f t="shared" si="337"/>
        <v>0</v>
      </c>
      <c r="BF78" s="437">
        <f t="shared" si="338"/>
        <v>0</v>
      </c>
      <c r="BG78" s="437">
        <f t="shared" si="339"/>
        <v>0</v>
      </c>
      <c r="BH78" s="438">
        <f t="shared" si="357"/>
        <v>0</v>
      </c>
      <c r="BI78" s="439">
        <f t="shared" si="340"/>
        <v>0</v>
      </c>
      <c r="BU78" s="439">
        <f t="shared" si="358"/>
        <v>0</v>
      </c>
      <c r="BX78" s="504">
        <v>32</v>
      </c>
      <c r="BY78" s="518">
        <f>'GASTOS EJER, 4'!BN44</f>
        <v>0</v>
      </c>
      <c r="BZ78" s="518">
        <f>'GASTOS EJER, 4'!CM44</f>
        <v>0</v>
      </c>
      <c r="CA78" s="507">
        <f t="shared" si="359"/>
        <v>0</v>
      </c>
      <c r="CC78" s="508">
        <f>'GASTOS EJER, 4'!AW44+'GASTOS EJER, 4'!BM44-'GASTOS EJER, 4'!CM44-'GASTOS EJER, 4'!CP44</f>
        <v>0</v>
      </c>
      <c r="CD78" s="509" t="str">
        <f>IF('GASTOS EJER, 4'!CT44="","",'GASTOS EJER, 4'!CT44)</f>
        <v/>
      </c>
      <c r="CE78" s="506">
        <f>'GASTOS EJER, 4'!CP44</f>
        <v>0</v>
      </c>
      <c r="CF78" s="510" t="str">
        <f>IF('GASTOS EJER, 4'!CW44="","",'GASTOS EJER, 4'!CW44)</f>
        <v/>
      </c>
      <c r="CG78" s="511">
        <f>IF(AND(CD78&gt;=EXPEDIENTE!$I$25,CD78&lt;=EXPEDIENTE!$I$29),CC78,0)</f>
        <v>0</v>
      </c>
      <c r="CH78" s="454">
        <f>IF(AND(CF78&gt;=EXPEDIENTE!$I$25,CF78&lt;=EXPEDIENTE!$I$29),CE78,0)</f>
        <v>0</v>
      </c>
      <c r="CI78" s="507">
        <f t="shared" si="360"/>
        <v>0</v>
      </c>
      <c r="CJ78" s="512" t="str">
        <f>IF('GASTOS EJER, 4'!AQ44="","",'GASTOS EJER, 4'!AQ44)</f>
        <v/>
      </c>
      <c r="CK78" s="513" t="str">
        <f>IF('GASTOS EJER, 4'!AT44="","",'GASTOS EJER, 4'!AT44)</f>
        <v/>
      </c>
      <c r="CL78" s="514">
        <f t="shared" si="361"/>
        <v>0</v>
      </c>
      <c r="CM78" s="515">
        <f t="shared" si="341"/>
        <v>0</v>
      </c>
      <c r="CN78" s="456">
        <f t="shared" si="362"/>
        <v>0</v>
      </c>
      <c r="CP78" s="426">
        <v>8</v>
      </c>
      <c r="CQ78" s="427" t="e">
        <f t="shared" si="342"/>
        <v>#VALUE!</v>
      </c>
      <c r="CR78" s="440">
        <f t="shared" si="363"/>
        <v>0</v>
      </c>
      <c r="CS78" s="426">
        <f t="shared" si="364"/>
        <v>0</v>
      </c>
      <c r="CT78" s="426">
        <f t="shared" si="365"/>
        <v>0</v>
      </c>
      <c r="CU78" s="426">
        <f t="shared" si="366"/>
        <v>0</v>
      </c>
      <c r="CV78" s="426">
        <f t="shared" si="367"/>
        <v>0</v>
      </c>
      <c r="CW78" s="426">
        <f t="shared" si="368"/>
        <v>0</v>
      </c>
      <c r="CX78" s="426">
        <f t="shared" si="369"/>
        <v>0</v>
      </c>
      <c r="CY78" s="441">
        <f t="shared" si="370"/>
        <v>0</v>
      </c>
      <c r="CZ78" s="439">
        <f t="shared" si="343"/>
        <v>0</v>
      </c>
      <c r="DL78" s="439">
        <f t="shared" si="371"/>
        <v>0</v>
      </c>
      <c r="DN78" s="504">
        <v>32</v>
      </c>
      <c r="DO78" s="516">
        <f>'GASTOS EJER, 4'!$C44</f>
        <v>0</v>
      </c>
      <c r="DP78" s="513" t="str">
        <f t="shared" si="372"/>
        <v/>
      </c>
      <c r="DQ78" s="513" t="str">
        <f t="shared" si="373"/>
        <v/>
      </c>
      <c r="DR78" s="517">
        <f t="shared" si="374"/>
        <v>0</v>
      </c>
      <c r="DS78" s="518">
        <f>'GASTOS EJER, 4'!X44</f>
        <v>0</v>
      </c>
      <c r="DT78" s="509" t="str">
        <f>IF(DS78=0,"",'GASTOS EJER, 4'!AA44)</f>
        <v/>
      </c>
      <c r="DU78" s="509" t="str">
        <f t="shared" si="346"/>
        <v/>
      </c>
      <c r="DV78" s="507" t="e">
        <f>IF(AND(DU78&gt;=EXPEDIENTE!$F$25,DU78&lt;=EXPEDIENTE!$F$29),ROUNDDOWN(DS78/DR78,2),0)</f>
        <v>#DIV/0!</v>
      </c>
      <c r="FJ78" s="121">
        <v>8</v>
      </c>
      <c r="FK78" s="495">
        <f>DATE(YEAR(EXPEDIENTE!$F$25)+3,FJ78,1)</f>
        <v>46600</v>
      </c>
      <c r="FL78" s="495" t="str">
        <f>IF('GASTOS EJER, 4'!I56="","",'GASTOS EJER, 4'!I56)</f>
        <v/>
      </c>
      <c r="FM78" s="503">
        <f>'GASTOS EJER, 4'!X27</f>
        <v>0</v>
      </c>
      <c r="FN78" s="503">
        <f>'GASTOS EJER, 4'!H56</f>
        <v>0</v>
      </c>
      <c r="FO78" s="426">
        <f t="shared" si="375"/>
        <v>0</v>
      </c>
      <c r="FP78" s="503">
        <f t="shared" si="347"/>
        <v>0</v>
      </c>
      <c r="FR78" s="504">
        <v>32</v>
      </c>
      <c r="FS78" s="516">
        <f>'GASTOS EJER, 4'!$C44</f>
        <v>0</v>
      </c>
      <c r="FT78" s="513" t="str">
        <f t="shared" si="376"/>
        <v/>
      </c>
      <c r="FU78" s="513" t="str">
        <f t="shared" si="377"/>
        <v/>
      </c>
      <c r="FV78" s="517">
        <f t="shared" si="378"/>
        <v>0</v>
      </c>
      <c r="FW78" s="518">
        <f>'GASTOS EJER, 4'!CM44</f>
        <v>0</v>
      </c>
      <c r="FX78" s="509" t="str">
        <f>IF(FW78=0,"",'GASTOS EJER, 4'!CT44)</f>
        <v/>
      </c>
      <c r="FY78" s="509" t="str">
        <f t="shared" si="348"/>
        <v/>
      </c>
      <c r="FZ78" s="507" t="e">
        <f>IF(AND(FY78&gt;=EXPEDIENTE!$F$25,FY78&lt;=EXPEDIENTE!$F$29),ROUNDDOWN(FW78/FV78,2),0)</f>
        <v>#DIV/0!</v>
      </c>
      <c r="HO78" s="121">
        <v>8</v>
      </c>
      <c r="HP78" s="495">
        <f>DATE(YEAR(EXPEDIENTE!$F$25)+3,HO78,1)</f>
        <v>46600</v>
      </c>
      <c r="HQ78" s="495" t="str">
        <f>IF('GASTOS EJER, 4'!BF56="","",'GASTOS EJER, 4'!BF56)</f>
        <v/>
      </c>
      <c r="HR78" s="503">
        <f>'GASTOS EJER, 4'!CM27</f>
        <v>0</v>
      </c>
      <c r="HS78" s="503">
        <f>'GASTOS EJER, 4'!BA56</f>
        <v>0</v>
      </c>
      <c r="HT78" s="426">
        <f t="shared" si="379"/>
        <v>0</v>
      </c>
      <c r="HU78" s="503">
        <f t="shared" si="349"/>
        <v>0</v>
      </c>
      <c r="JC78" s="419">
        <v>74</v>
      </c>
      <c r="JD78" s="401">
        <f t="shared" si="380"/>
        <v>28</v>
      </c>
    </row>
    <row r="79" spans="3:264" x14ac:dyDescent="0.25">
      <c r="C79" s="209">
        <v>73</v>
      </c>
      <c r="D79" s="404"/>
      <c r="E79" s="420"/>
      <c r="F79" s="421"/>
      <c r="G79" s="422"/>
      <c r="H79" s="422"/>
      <c r="I79" s="422"/>
      <c r="J79" s="404"/>
      <c r="K79" s="410">
        <f t="shared" si="350"/>
        <v>76</v>
      </c>
      <c r="L79" s="410">
        <f t="shared" si="351"/>
        <v>76</v>
      </c>
      <c r="M79" s="410" t="str">
        <f t="shared" si="352"/>
        <v>X</v>
      </c>
      <c r="AY79" s="426">
        <v>9</v>
      </c>
      <c r="AZ79" s="427" t="e">
        <f t="shared" si="332"/>
        <v>#VALUE!</v>
      </c>
      <c r="BA79" s="436">
        <f t="shared" si="333"/>
        <v>0</v>
      </c>
      <c r="BB79" s="437">
        <f t="shared" si="334"/>
        <v>0</v>
      </c>
      <c r="BC79" s="437">
        <f t="shared" si="335"/>
        <v>0</v>
      </c>
      <c r="BD79" s="437">
        <f t="shared" si="336"/>
        <v>0</v>
      </c>
      <c r="BE79" s="437">
        <f t="shared" si="337"/>
        <v>0</v>
      </c>
      <c r="BF79" s="437">
        <f t="shared" si="338"/>
        <v>0</v>
      </c>
      <c r="BG79" s="437">
        <f t="shared" si="339"/>
        <v>0</v>
      </c>
      <c r="BH79" s="438">
        <f t="shared" si="357"/>
        <v>0</v>
      </c>
      <c r="BI79" s="439">
        <f t="shared" si="340"/>
        <v>0</v>
      </c>
      <c r="BU79" s="439">
        <f t="shared" si="358"/>
        <v>0</v>
      </c>
      <c r="CP79" s="426">
        <v>9</v>
      </c>
      <c r="CQ79" s="427" t="e">
        <f t="shared" si="342"/>
        <v>#VALUE!</v>
      </c>
      <c r="CR79" s="440">
        <f t="shared" si="363"/>
        <v>0</v>
      </c>
      <c r="CS79" s="426">
        <f t="shared" si="364"/>
        <v>0</v>
      </c>
      <c r="CT79" s="426">
        <f t="shared" si="365"/>
        <v>0</v>
      </c>
      <c r="CU79" s="426">
        <f t="shared" si="366"/>
        <v>0</v>
      </c>
      <c r="CV79" s="426">
        <f t="shared" si="367"/>
        <v>0</v>
      </c>
      <c r="CW79" s="426">
        <f t="shared" si="368"/>
        <v>0</v>
      </c>
      <c r="CX79" s="426">
        <f t="shared" si="369"/>
        <v>0</v>
      </c>
      <c r="CY79" s="441">
        <f t="shared" si="370"/>
        <v>0</v>
      </c>
      <c r="CZ79" s="439">
        <f t="shared" si="343"/>
        <v>0</v>
      </c>
      <c r="DL79" s="439">
        <f t="shared" si="371"/>
        <v>0</v>
      </c>
      <c r="FJ79" s="121">
        <v>9</v>
      </c>
      <c r="FK79" s="495">
        <f>DATE(YEAR(EXPEDIENTE!$F$25)+3,FJ79,1)</f>
        <v>46631</v>
      </c>
      <c r="FL79" s="495" t="str">
        <f>IF('GASTOS EJER, 4'!I57="","",'GASTOS EJER, 4'!I57)</f>
        <v/>
      </c>
      <c r="FM79" s="503">
        <f>'GASTOS EJER, 4'!X28</f>
        <v>0</v>
      </c>
      <c r="FN79" s="503">
        <f>'GASTOS EJER, 4'!H57</f>
        <v>0</v>
      </c>
      <c r="FO79" s="426">
        <f t="shared" si="375"/>
        <v>0</v>
      </c>
      <c r="FP79" s="503">
        <f t="shared" si="347"/>
        <v>0</v>
      </c>
      <c r="HO79" s="121">
        <v>9</v>
      </c>
      <c r="HP79" s="495">
        <f>DATE(YEAR(EXPEDIENTE!$F$25)+3,HO79,1)</f>
        <v>46631</v>
      </c>
      <c r="HQ79" s="495" t="str">
        <f>IF('GASTOS EJER, 4'!BF57="","",'GASTOS EJER, 4'!BF57)</f>
        <v/>
      </c>
      <c r="HR79" s="503">
        <f>'GASTOS EJER, 4'!CM28</f>
        <v>0</v>
      </c>
      <c r="HS79" s="503">
        <f>'GASTOS EJER, 4'!BA57</f>
        <v>0</v>
      </c>
      <c r="HT79" s="426">
        <f t="shared" si="379"/>
        <v>0</v>
      </c>
      <c r="HU79" s="503">
        <f t="shared" si="349"/>
        <v>0</v>
      </c>
      <c r="JC79" s="445">
        <v>75</v>
      </c>
      <c r="JD79" s="401">
        <f t="shared" si="380"/>
        <v>28</v>
      </c>
    </row>
    <row r="80" spans="3:264" x14ac:dyDescent="0.25">
      <c r="C80" s="209">
        <v>74</v>
      </c>
      <c r="D80" s="404"/>
      <c r="E80" s="420"/>
      <c r="F80" s="421"/>
      <c r="G80" s="422"/>
      <c r="H80" s="422"/>
      <c r="I80" s="422"/>
      <c r="J80" s="404"/>
      <c r="K80" s="410">
        <f t="shared" si="350"/>
        <v>76</v>
      </c>
      <c r="L80" s="410">
        <f t="shared" si="351"/>
        <v>76</v>
      </c>
      <c r="M80" s="410" t="str">
        <f t="shared" si="352"/>
        <v>X</v>
      </c>
      <c r="AY80" s="426">
        <v>10</v>
      </c>
      <c r="AZ80" s="427" t="e">
        <f t="shared" si="332"/>
        <v>#VALUE!</v>
      </c>
      <c r="BA80" s="436">
        <f t="shared" si="333"/>
        <v>0</v>
      </c>
      <c r="BB80" s="437">
        <f t="shared" si="334"/>
        <v>0</v>
      </c>
      <c r="BC80" s="437">
        <f t="shared" si="335"/>
        <v>0</v>
      </c>
      <c r="BD80" s="437">
        <f t="shared" si="336"/>
        <v>0</v>
      </c>
      <c r="BE80" s="437">
        <f t="shared" si="337"/>
        <v>0</v>
      </c>
      <c r="BF80" s="437">
        <f t="shared" si="338"/>
        <v>0</v>
      </c>
      <c r="BG80" s="437">
        <f t="shared" si="339"/>
        <v>0</v>
      </c>
      <c r="BH80" s="438">
        <f t="shared" si="357"/>
        <v>0</v>
      </c>
      <c r="BI80" s="439">
        <f>SUM(BA80:BH80)</f>
        <v>0</v>
      </c>
      <c r="BU80" s="439">
        <f t="shared" si="358"/>
        <v>0</v>
      </c>
      <c r="CP80" s="426">
        <v>10</v>
      </c>
      <c r="CQ80" s="427" t="e">
        <f t="shared" si="342"/>
        <v>#VALUE!</v>
      </c>
      <c r="CR80" s="440">
        <f t="shared" si="363"/>
        <v>0</v>
      </c>
      <c r="CS80" s="426">
        <f t="shared" si="364"/>
        <v>0</v>
      </c>
      <c r="CT80" s="426">
        <f t="shared" si="365"/>
        <v>0</v>
      </c>
      <c r="CU80" s="426">
        <f t="shared" si="366"/>
        <v>0</v>
      </c>
      <c r="CV80" s="426">
        <f t="shared" si="367"/>
        <v>0</v>
      </c>
      <c r="CW80" s="426">
        <f t="shared" si="368"/>
        <v>0</v>
      </c>
      <c r="CX80" s="426">
        <f t="shared" si="369"/>
        <v>0</v>
      </c>
      <c r="CY80" s="441">
        <f t="shared" si="370"/>
        <v>0</v>
      </c>
      <c r="CZ80" s="439">
        <f>SUM(CR80:CY80)</f>
        <v>0</v>
      </c>
      <c r="DL80" s="439">
        <f t="shared" si="371"/>
        <v>0</v>
      </c>
      <c r="FJ80" s="121">
        <v>10</v>
      </c>
      <c r="FK80" s="495">
        <f>DATE(YEAR(EXPEDIENTE!$F$25)+3,FJ80,1)</f>
        <v>46661</v>
      </c>
      <c r="FL80" s="495" t="str">
        <f>IF('GASTOS EJER, 4'!I58="","",'GASTOS EJER, 4'!I58)</f>
        <v/>
      </c>
      <c r="FM80" s="503">
        <f>'GASTOS EJER, 4'!X29</f>
        <v>0</v>
      </c>
      <c r="FN80" s="503">
        <f>'GASTOS EJER, 4'!H58</f>
        <v>0</v>
      </c>
      <c r="FO80" s="426">
        <f t="shared" si="375"/>
        <v>0</v>
      </c>
      <c r="FP80" s="503">
        <f t="shared" si="347"/>
        <v>0</v>
      </c>
      <c r="HO80" s="121">
        <v>10</v>
      </c>
      <c r="HP80" s="495">
        <f>DATE(YEAR(EXPEDIENTE!$F$25)+3,HO80,1)</f>
        <v>46661</v>
      </c>
      <c r="HQ80" s="495" t="str">
        <f>IF('GASTOS EJER, 4'!BF58="","",'GASTOS EJER, 4'!BF58)</f>
        <v/>
      </c>
      <c r="HR80" s="503">
        <f>'GASTOS EJER, 4'!CM29</f>
        <v>0</v>
      </c>
      <c r="HS80" s="503">
        <f>'GASTOS EJER, 4'!BA58</f>
        <v>0</v>
      </c>
      <c r="HT80" s="426">
        <f t="shared" si="379"/>
        <v>0</v>
      </c>
      <c r="HU80" s="503">
        <f t="shared" si="349"/>
        <v>0</v>
      </c>
      <c r="JC80" s="409">
        <v>76</v>
      </c>
      <c r="JD80" s="401">
        <f t="shared" si="380"/>
        <v>30</v>
      </c>
    </row>
    <row r="81" spans="3:264" x14ac:dyDescent="0.25">
      <c r="C81" s="209">
        <v>75</v>
      </c>
      <c r="D81" s="404"/>
      <c r="E81" s="420"/>
      <c r="F81" s="421"/>
      <c r="G81" s="422"/>
      <c r="H81" s="422"/>
      <c r="I81" s="422"/>
      <c r="J81" s="404"/>
      <c r="K81" s="410">
        <f t="shared" si="350"/>
        <v>76</v>
      </c>
      <c r="L81" s="410">
        <f t="shared" si="351"/>
        <v>76</v>
      </c>
      <c r="M81" s="410" t="str">
        <f t="shared" si="352"/>
        <v>X</v>
      </c>
      <c r="AY81" s="426">
        <v>11</v>
      </c>
      <c r="AZ81" s="427" t="e">
        <f t="shared" si="332"/>
        <v>#VALUE!</v>
      </c>
      <c r="BA81" s="436">
        <f t="shared" si="333"/>
        <v>0</v>
      </c>
      <c r="BB81" s="437">
        <f t="shared" si="334"/>
        <v>0</v>
      </c>
      <c r="BC81" s="437">
        <f t="shared" si="335"/>
        <v>0</v>
      </c>
      <c r="BD81" s="437">
        <f t="shared" si="336"/>
        <v>0</v>
      </c>
      <c r="BE81" s="437">
        <f t="shared" si="337"/>
        <v>0</v>
      </c>
      <c r="BF81" s="437">
        <f t="shared" si="338"/>
        <v>0</v>
      </c>
      <c r="BG81" s="437">
        <f t="shared" si="339"/>
        <v>0</v>
      </c>
      <c r="BH81" s="438">
        <f t="shared" si="357"/>
        <v>0</v>
      </c>
      <c r="BI81" s="439">
        <f t="shared" si="340"/>
        <v>0</v>
      </c>
      <c r="BU81" s="439">
        <f t="shared" si="358"/>
        <v>0</v>
      </c>
      <c r="CP81" s="426">
        <v>11</v>
      </c>
      <c r="CQ81" s="427" t="e">
        <f t="shared" si="342"/>
        <v>#VALUE!</v>
      </c>
      <c r="CR81" s="440">
        <f t="shared" si="363"/>
        <v>0</v>
      </c>
      <c r="CS81" s="426">
        <f t="shared" si="364"/>
        <v>0</v>
      </c>
      <c r="CT81" s="426">
        <f t="shared" si="365"/>
        <v>0</v>
      </c>
      <c r="CU81" s="426">
        <f t="shared" si="366"/>
        <v>0</v>
      </c>
      <c r="CV81" s="426">
        <f t="shared" si="367"/>
        <v>0</v>
      </c>
      <c r="CW81" s="426">
        <f t="shared" si="368"/>
        <v>0</v>
      </c>
      <c r="CX81" s="426">
        <f t="shared" si="369"/>
        <v>0</v>
      </c>
      <c r="CY81" s="441">
        <f t="shared" si="370"/>
        <v>0</v>
      </c>
      <c r="CZ81" s="439">
        <f t="shared" ref="CZ81:CZ82" si="381">SUM(CR81:CY81)</f>
        <v>0</v>
      </c>
      <c r="DL81" s="439">
        <f t="shared" si="371"/>
        <v>0</v>
      </c>
      <c r="FJ81" s="121">
        <v>11</v>
      </c>
      <c r="FK81" s="495">
        <f>DATE(YEAR(EXPEDIENTE!$F$25)+3,FJ81,1)</f>
        <v>46692</v>
      </c>
      <c r="FL81" s="495" t="str">
        <f>IF('GASTOS EJER, 4'!I59="","",'GASTOS EJER, 4'!I59)</f>
        <v/>
      </c>
      <c r="FM81" s="503">
        <f>'GASTOS EJER, 4'!X30</f>
        <v>0</v>
      </c>
      <c r="FN81" s="503">
        <f>'GASTOS EJER, 4'!H59</f>
        <v>0</v>
      </c>
      <c r="FO81" s="426">
        <f t="shared" si="375"/>
        <v>0</v>
      </c>
      <c r="FP81" s="503">
        <f t="shared" si="347"/>
        <v>0</v>
      </c>
      <c r="HO81" s="121">
        <v>11</v>
      </c>
      <c r="HP81" s="495">
        <f>DATE(YEAR(EXPEDIENTE!$F$25)+3,HO81,1)</f>
        <v>46692</v>
      </c>
      <c r="HQ81" s="495" t="str">
        <f>IF('GASTOS EJER, 4'!BF59="","",'GASTOS EJER, 4'!BF59)</f>
        <v/>
      </c>
      <c r="HR81" s="503">
        <f>'GASTOS EJER, 4'!CM30</f>
        <v>0</v>
      </c>
      <c r="HS81" s="503">
        <f>'GASTOS EJER, 4'!BA59</f>
        <v>0</v>
      </c>
      <c r="HT81" s="426">
        <f t="shared" si="379"/>
        <v>0</v>
      </c>
      <c r="HU81" s="503">
        <f t="shared" si="349"/>
        <v>0</v>
      </c>
      <c r="JC81" s="419">
        <v>77</v>
      </c>
      <c r="JD81" s="401">
        <f t="shared" si="380"/>
        <v>30</v>
      </c>
    </row>
    <row r="82" spans="3:264" ht="15.75" thickBot="1" x14ac:dyDescent="0.3">
      <c r="AY82" s="426">
        <v>12</v>
      </c>
      <c r="AZ82" s="427" t="e">
        <f t="shared" si="332"/>
        <v>#VALUE!</v>
      </c>
      <c r="BA82" s="449">
        <f t="shared" si="333"/>
        <v>0</v>
      </c>
      <c r="BB82" s="450">
        <f t="shared" si="334"/>
        <v>0</v>
      </c>
      <c r="BC82" s="450">
        <f t="shared" si="335"/>
        <v>0</v>
      </c>
      <c r="BD82" s="450">
        <f t="shared" si="336"/>
        <v>0</v>
      </c>
      <c r="BE82" s="450">
        <f t="shared" si="337"/>
        <v>0</v>
      </c>
      <c r="BF82" s="450">
        <f t="shared" si="338"/>
        <v>0</v>
      </c>
      <c r="BG82" s="450">
        <f t="shared" si="339"/>
        <v>0</v>
      </c>
      <c r="BH82" s="451">
        <f t="shared" si="357"/>
        <v>0</v>
      </c>
      <c r="BI82" s="452">
        <f t="shared" si="340"/>
        <v>0</v>
      </c>
      <c r="BU82" s="452">
        <f t="shared" si="358"/>
        <v>0</v>
      </c>
      <c r="CP82" s="426">
        <v>12</v>
      </c>
      <c r="CQ82" s="427" t="e">
        <f t="shared" si="342"/>
        <v>#VALUE!</v>
      </c>
      <c r="CR82" s="453">
        <f t="shared" si="363"/>
        <v>0</v>
      </c>
      <c r="CS82" s="454">
        <f t="shared" si="364"/>
        <v>0</v>
      </c>
      <c r="CT82" s="454">
        <f t="shared" si="365"/>
        <v>0</v>
      </c>
      <c r="CU82" s="454">
        <f t="shared" si="366"/>
        <v>0</v>
      </c>
      <c r="CV82" s="454">
        <f t="shared" si="367"/>
        <v>0</v>
      </c>
      <c r="CW82" s="454">
        <f t="shared" si="368"/>
        <v>0</v>
      </c>
      <c r="CX82" s="454">
        <f t="shared" si="369"/>
        <v>0</v>
      </c>
      <c r="CY82" s="455">
        <f t="shared" si="370"/>
        <v>0</v>
      </c>
      <c r="CZ82" s="452">
        <f t="shared" si="381"/>
        <v>0</v>
      </c>
      <c r="DL82" s="452">
        <f t="shared" si="371"/>
        <v>0</v>
      </c>
      <c r="FJ82" s="121">
        <v>12</v>
      </c>
      <c r="FK82" s="495">
        <f>DATE(YEAR(EXPEDIENTE!$F$25)+3,FJ82,1)</f>
        <v>46722</v>
      </c>
      <c r="FL82" s="495" t="str">
        <f>IF('GASTOS EJER, 4'!I60="","",'GASTOS EJER, 4'!I60)</f>
        <v/>
      </c>
      <c r="FM82" s="503">
        <f>'GASTOS EJER, 4'!X31</f>
        <v>0</v>
      </c>
      <c r="FN82" s="503">
        <f>'GASTOS EJER, 4'!H60</f>
        <v>0</v>
      </c>
      <c r="FO82" s="426">
        <f t="shared" si="375"/>
        <v>0</v>
      </c>
      <c r="FP82" s="503">
        <f t="shared" si="347"/>
        <v>0</v>
      </c>
      <c r="HO82" s="121">
        <v>12</v>
      </c>
      <c r="HP82" s="495">
        <f>DATE(YEAR(EXPEDIENTE!$F$25)+3,HO82,1)</f>
        <v>46722</v>
      </c>
      <c r="HQ82" s="495" t="str">
        <f>IF('GASTOS EJER, 4'!BF60="","",'GASTOS EJER, 4'!BF60)</f>
        <v/>
      </c>
      <c r="HR82" s="503">
        <f>'GASTOS EJER, 4'!CM31</f>
        <v>0</v>
      </c>
      <c r="HS82" s="503">
        <f>'GASTOS EJER, 4'!BA60</f>
        <v>0</v>
      </c>
      <c r="HT82" s="426">
        <f t="shared" si="379"/>
        <v>0</v>
      </c>
      <c r="HU82" s="503">
        <f t="shared" si="349"/>
        <v>0</v>
      </c>
      <c r="JC82" s="419">
        <v>78</v>
      </c>
      <c r="JD82" s="401">
        <f t="shared" si="380"/>
        <v>30</v>
      </c>
    </row>
    <row r="83" spans="3:264" x14ac:dyDescent="0.25">
      <c r="JC83" s="419">
        <v>79</v>
      </c>
      <c r="JD83" s="401">
        <f t="shared" si="380"/>
        <v>30</v>
      </c>
    </row>
    <row r="84" spans="3:264" x14ac:dyDescent="0.25">
      <c r="JC84" s="445">
        <v>80</v>
      </c>
      <c r="JD84" s="401">
        <f t="shared" si="380"/>
        <v>30</v>
      </c>
    </row>
    <row r="85" spans="3:264" x14ac:dyDescent="0.25">
      <c r="JC85" s="409">
        <v>81</v>
      </c>
      <c r="JD85" s="401">
        <f t="shared" si="380"/>
        <v>32</v>
      </c>
    </row>
    <row r="86" spans="3:264" x14ac:dyDescent="0.25">
      <c r="JC86" s="419">
        <v>82</v>
      </c>
      <c r="JD86" s="401">
        <f t="shared" si="380"/>
        <v>32</v>
      </c>
    </row>
    <row r="87" spans="3:264" x14ac:dyDescent="0.25">
      <c r="JC87" s="419">
        <v>83</v>
      </c>
      <c r="JD87" s="401">
        <f t="shared" si="380"/>
        <v>32</v>
      </c>
    </row>
    <row r="88" spans="3:264" x14ac:dyDescent="0.25">
      <c r="JC88" s="419">
        <v>84</v>
      </c>
      <c r="JD88" s="401">
        <f t="shared" si="380"/>
        <v>32</v>
      </c>
    </row>
    <row r="89" spans="3:264" x14ac:dyDescent="0.25">
      <c r="JC89" s="445">
        <v>85</v>
      </c>
      <c r="JD89" s="401">
        <f t="shared" si="380"/>
        <v>32</v>
      </c>
    </row>
    <row r="90" spans="3:264" x14ac:dyDescent="0.25">
      <c r="JC90" s="409">
        <v>86</v>
      </c>
      <c r="JD90" s="401">
        <f t="shared" si="380"/>
        <v>34</v>
      </c>
    </row>
    <row r="91" spans="3:264" x14ac:dyDescent="0.25">
      <c r="JC91" s="419">
        <v>87</v>
      </c>
      <c r="JD91" s="401">
        <f t="shared" si="380"/>
        <v>34</v>
      </c>
    </row>
    <row r="92" spans="3:264" x14ac:dyDescent="0.25">
      <c r="JC92" s="419">
        <v>88</v>
      </c>
      <c r="JD92" s="401">
        <f t="shared" si="380"/>
        <v>34</v>
      </c>
    </row>
    <row r="93" spans="3:264" x14ac:dyDescent="0.25">
      <c r="JC93" s="419">
        <v>89</v>
      </c>
      <c r="JD93" s="401">
        <f t="shared" si="380"/>
        <v>34</v>
      </c>
    </row>
    <row r="94" spans="3:264" x14ac:dyDescent="0.25">
      <c r="JC94" s="445">
        <v>90</v>
      </c>
      <c r="JD94" s="401">
        <f t="shared" si="380"/>
        <v>34</v>
      </c>
    </row>
    <row r="95" spans="3:264" x14ac:dyDescent="0.25">
      <c r="JC95" s="409">
        <v>91</v>
      </c>
      <c r="JD95" s="401">
        <f t="shared" si="380"/>
        <v>36</v>
      </c>
    </row>
    <row r="96" spans="3:264" x14ac:dyDescent="0.25">
      <c r="JC96" s="419">
        <v>92</v>
      </c>
      <c r="JD96" s="401">
        <f t="shared" si="380"/>
        <v>36</v>
      </c>
    </row>
    <row r="97" spans="263:264" x14ac:dyDescent="0.25">
      <c r="JC97" s="419">
        <v>93</v>
      </c>
      <c r="JD97" s="401">
        <f t="shared" si="380"/>
        <v>36</v>
      </c>
    </row>
    <row r="98" spans="263:264" x14ac:dyDescent="0.25">
      <c r="JC98" s="419">
        <v>94</v>
      </c>
      <c r="JD98" s="401">
        <f t="shared" si="380"/>
        <v>36</v>
      </c>
    </row>
    <row r="99" spans="263:264" x14ac:dyDescent="0.25">
      <c r="JC99" s="445">
        <v>95</v>
      </c>
      <c r="JD99" s="401">
        <f t="shared" si="380"/>
        <v>36</v>
      </c>
    </row>
    <row r="100" spans="263:264" x14ac:dyDescent="0.25">
      <c r="JC100" s="409">
        <v>96</v>
      </c>
      <c r="JD100" s="401">
        <f t="shared" si="380"/>
        <v>38</v>
      </c>
    </row>
    <row r="101" spans="263:264" x14ac:dyDescent="0.25">
      <c r="JC101" s="419">
        <v>97</v>
      </c>
      <c r="JD101" s="401">
        <f t="shared" si="380"/>
        <v>38</v>
      </c>
    </row>
    <row r="102" spans="263:264" x14ac:dyDescent="0.25">
      <c r="JC102" s="419">
        <v>98</v>
      </c>
      <c r="JD102" s="401">
        <f t="shared" si="380"/>
        <v>38</v>
      </c>
    </row>
    <row r="103" spans="263:264" x14ac:dyDescent="0.25">
      <c r="JC103" s="419">
        <v>99</v>
      </c>
      <c r="JD103" s="401">
        <f t="shared" si="380"/>
        <v>38</v>
      </c>
    </row>
    <row r="104" spans="263:264" x14ac:dyDescent="0.25">
      <c r="JC104" s="445">
        <v>100</v>
      </c>
      <c r="JD104" s="401">
        <f t="shared" si="380"/>
        <v>38</v>
      </c>
    </row>
  </sheetData>
  <sheetProtection algorithmName="SHA-512" hashValue="2QtZeh4iVXF34AH99rzrTqfQYSK4zloN4mAM67W9ifHV/BKQ0GkIlHkKHdgj9Bgit+v2fdQ7k+hFPcg7mKi5gA==" saltValue="xSJq8n1FVrYohGKzovBKww==" spinCount="100000" sheet="1" selectLockedCells="1"/>
  <mergeCells count="482">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H20:CH22"/>
    <mergeCell ref="CI20:CI22"/>
    <mergeCell ref="CJ20:CJ22"/>
    <mergeCell ref="CK20:CK22"/>
    <mergeCell ref="CL20:CL22"/>
    <mergeCell ref="DF21:DF22"/>
    <mergeCell ref="DG21:DG22"/>
    <mergeCell ref="DH21:DH22"/>
    <mergeCell ref="DI21:DI22"/>
    <mergeCell ref="BP53:BP54"/>
    <mergeCell ref="BQ53:BQ54"/>
    <mergeCell ref="BR53:BR54"/>
    <mergeCell ref="BK52:BS52"/>
    <mergeCell ref="BS53:BS54"/>
    <mergeCell ref="BU52:BU53"/>
    <mergeCell ref="BK53:BK54"/>
    <mergeCell ref="BL53:BL54"/>
    <mergeCell ref="BM53:BM54"/>
    <mergeCell ref="BN53:BN54"/>
    <mergeCell ref="BO53:BO54"/>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BA36:BI36"/>
    <mergeCell ref="BK36:BS36"/>
    <mergeCell ref="BS37:BS38"/>
    <mergeCell ref="BK37:BK38"/>
    <mergeCell ref="BL37:BL38"/>
    <mergeCell ref="BM37:BM38"/>
    <mergeCell ref="BN37:BN38"/>
    <mergeCell ref="BO37:BO38"/>
    <mergeCell ref="BP37:BP38"/>
    <mergeCell ref="BQ37:BQ38"/>
    <mergeCell ref="BR37:BR38"/>
    <mergeCell ref="AR36:AR38"/>
    <mergeCell ref="AS36:AS38"/>
    <mergeCell ref="AT36:AT38"/>
    <mergeCell ref="AO35:AO38"/>
    <mergeCell ref="AP35:AR35"/>
    <mergeCell ref="AS35:AU35"/>
    <mergeCell ref="AV35:AV37"/>
    <mergeCell ref="AL35:AL38"/>
    <mergeCell ref="AM35:AM38"/>
    <mergeCell ref="AN35:AN38"/>
    <mergeCell ref="AS19:AU19"/>
    <mergeCell ref="BK23:BK24"/>
    <mergeCell ref="BL23:BL24"/>
    <mergeCell ref="BM23:BM24"/>
    <mergeCell ref="BN23:BN24"/>
    <mergeCell ref="BO23:BO24"/>
    <mergeCell ref="BA20:BI20"/>
    <mergeCell ref="BK20:BS20"/>
    <mergeCell ref="BS23:BS24"/>
    <mergeCell ref="AS20:AS22"/>
    <mergeCell ref="AT20:AT22"/>
    <mergeCell ref="AU20:AU22"/>
    <mergeCell ref="AV19:AV21"/>
    <mergeCell ref="BI21:BI22"/>
    <mergeCell ref="BS21:BS22"/>
    <mergeCell ref="BP23:BP24"/>
    <mergeCell ref="BQ23:BQ24"/>
    <mergeCell ref="BR23:BR2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DP21:DP22"/>
    <mergeCell ref="DQ21:DQ22"/>
    <mergeCell ref="DR21:DR22"/>
    <mergeCell ref="DP36:DR36"/>
    <mergeCell ref="DU36:DU38"/>
    <mergeCell ref="DV36:DV38"/>
    <mergeCell ref="DP37:DP38"/>
    <mergeCell ref="DQ37:DQ38"/>
    <mergeCell ref="DR37:DR38"/>
    <mergeCell ref="EZ4:EZ6"/>
    <mergeCell ref="FA4:FA6"/>
    <mergeCell ref="FB4:FB6"/>
    <mergeCell ref="FC4:FC6"/>
    <mergeCell ref="FD4:FD6"/>
    <mergeCell ref="FE4:FE6"/>
    <mergeCell ref="FF4:FF6"/>
    <mergeCell ref="FG4:FG6"/>
    <mergeCell ref="EP4:EP6"/>
    <mergeCell ref="EQ4:EQ6"/>
    <mergeCell ref="ER4:ER6"/>
    <mergeCell ref="ES4:ES6"/>
    <mergeCell ref="ET4:ET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S36:FS38"/>
    <mergeCell ref="FT36:FV36"/>
    <mergeCell ref="FW36:FW38"/>
    <mergeCell ref="FX36:FX38"/>
    <mergeCell ref="FY36:FY38"/>
    <mergeCell ref="FZ36:FZ38"/>
    <mergeCell ref="FT37:FT38"/>
    <mergeCell ref="FU37:FU38"/>
    <mergeCell ref="FV37:FV38"/>
    <mergeCell ref="FS52:FS54"/>
    <mergeCell ref="FT52:FV52"/>
    <mergeCell ref="FW52:FW54"/>
    <mergeCell ref="FX52:FX54"/>
    <mergeCell ref="FY52:FY54"/>
    <mergeCell ref="FZ52:FZ54"/>
    <mergeCell ref="FT53:FT54"/>
    <mergeCell ref="FU53:FU54"/>
    <mergeCell ref="FV53:FV54"/>
    <mergeCell ref="FS68:FS70"/>
    <mergeCell ref="FT68:FV68"/>
    <mergeCell ref="FW68:FW70"/>
    <mergeCell ref="FX68:FX70"/>
    <mergeCell ref="FY68:FY70"/>
    <mergeCell ref="FZ68:FZ70"/>
    <mergeCell ref="FT69:FT70"/>
    <mergeCell ref="FU69:FU70"/>
    <mergeCell ref="FV69:FV70"/>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workbookViewId="0">
      <selection activeCell="C2" sqref="C2"/>
    </sheetView>
  </sheetViews>
  <sheetFormatPr baseColWidth="10" defaultColWidth="11.42578125" defaultRowHeight="15" x14ac:dyDescent="0.3"/>
  <cols>
    <col min="1" max="1" width="5.7109375" style="146" customWidth="1"/>
    <col min="2" max="2" width="10.7109375" style="146" customWidth="1"/>
    <col min="3" max="3" width="10.7109375" style="147" customWidth="1"/>
    <col min="4" max="16384" width="11.42578125" style="146"/>
  </cols>
  <sheetData>
    <row r="2" spans="2:3" x14ac:dyDescent="0.3">
      <c r="B2" s="144" t="s">
        <v>248</v>
      </c>
      <c r="C2" s="145"/>
    </row>
  </sheetData>
  <sheetProtection algorithmName="SHA-512" hashValue="aNEFo2OdwTOQCuYvp3T8HOSz8f/q3oVQxW9IXcJN65ZGapb248e5VGItqDgHg/Vruvm5m5lXS0Ay690X7U6aaA==" saltValue="yaCEBQFvJQcacrG1hiE/pg=="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customXml/itemProps2.xml><?xml version="1.0" encoding="utf-8"?>
<ds:datastoreItem xmlns:ds="http://schemas.openxmlformats.org/officeDocument/2006/customXml" ds:itemID="{ECD7C46B-EABF-4EEF-B033-6E478BE9D565}"/>
</file>

<file path=customXml/itemProps3.xml><?xml version="1.0" encoding="utf-8"?>
<ds:datastoreItem xmlns:ds="http://schemas.openxmlformats.org/officeDocument/2006/customXml" ds:itemID="{5AA4FAF2-C503-4007-9762-C4211A6C0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vt:lpstr>
      <vt:lpstr>GASTOS EJER. 1</vt:lpstr>
      <vt:lpstr>GASTOS EJER. 2</vt:lpstr>
      <vt:lpstr>GASTOS EJER, 3</vt:lpstr>
      <vt:lpstr>GASTOS EJER, 4</vt:lpstr>
      <vt:lpstr>RESUMEN TRABAJADOR </vt:lpstr>
      <vt:lpstr>DATOS A INCORPORAR AL MOD-61</vt:lpstr>
      <vt:lpstr>INFORME</vt:lpstr>
      <vt:lpstr>AUXILIAR</vt:lpstr>
      <vt:lpstr>USUARIO</vt:lpstr>
      <vt:lpstr>'% DEDICACIÓN'!Área_de_impresión</vt:lpstr>
      <vt:lpstr>'DATOS A INCORPORAR AL MOD-61'!Área_de_impresión</vt:lpstr>
      <vt:lpstr>EXPEDIENTE!Área_de_impresión</vt:lpstr>
      <vt:lpstr>'GASTOS EJER, 4'!Área_de_impresión</vt:lpstr>
      <vt:lpstr>'GASTOS EJER. 1'!Área_de_impresión</vt:lpstr>
      <vt:lpstr>'GASTOS EJER. 2'!Área_de_impresión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2025-03-10T08:48:51Z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0x010100B5D8345CE9BD914C9D01226D63129445</vt:lpwstr>
  </property>
</Properties>
</file>