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ACEE/ACEE-COBRO24/"/>
    </mc:Choice>
  </mc:AlternateContent>
  <xr:revisionPtr revIDLastSave="3479" documentId="8_{227968D4-573A-4C59-B97B-8A60BF48DF8E}" xr6:coauthVersionLast="47" xr6:coauthVersionMax="47" xr10:uidLastSave="{761AA91F-187A-4922-A811-278B05422808}"/>
  <bookViews>
    <workbookView xWindow="28680" yWindow="-120" windowWidth="29040" windowHeight="15720" tabRatio="720" xr2:uid="{059C9C14-D8C4-4AFA-A00C-A5BB22C96E35}"/>
  </bookViews>
  <sheets>
    <sheet name="INSTRUCCIONES" sheetId="2" r:id="rId1"/>
    <sheet name="EXPEDIENTE" sheetId="1" r:id="rId2"/>
    <sheet name="IDENTIFICACIÓN TRABAJADOR" sheetId="13" r:id="rId3"/>
    <sheet name="LINEAS CON DEDICACIÓN" sheetId="9" r:id="rId4"/>
    <sheet name="% DEDICACIÓN TRABAJADOR" sheetId="4" r:id="rId5"/>
    <sheet name="GASTOS TRABAJADOR" sheetId="6" r:id="rId6"/>
    <sheet name="RESUMEN TRABAJADOR ACTUACIÓN 1" sheetId="7" r:id="rId7"/>
    <sheet name="RESUMEN TRABAJADOR ACTUACIÓN 2" sheetId="10" r:id="rId8"/>
    <sheet name="RESUMEN TRABAJADOR ACTUACIÓN 3" sheetId="11" r:id="rId9"/>
    <sheet name="RESUMEN TRABAJADOR ACTUACIÓN 4" sheetId="12" r:id="rId10"/>
    <sheet name="DATOS A INCORPORAR AL MOD-66" sheetId="8" r:id="rId11"/>
    <sheet name="AUXILIAR" sheetId="3" r:id="rId12"/>
  </sheets>
  <definedNames>
    <definedName name="_xlnm.Print_Area" localSheetId="4">'% DEDICACIÓN TRABAJADOR'!$A$1:$X$109</definedName>
    <definedName name="_xlnm.Print_Area" localSheetId="11">AUXILIAR!$A$1</definedName>
    <definedName name="_xlnm.Print_Area" localSheetId="10">'DATOS A INCORPORAR AL MOD-66'!$A$1:$F$74</definedName>
    <definedName name="_xlnm.Print_Area" localSheetId="1">EXPEDIENTE!$B$1:$I$33</definedName>
    <definedName name="_xlnm.Print_Area" localSheetId="5">'GASTOS TRABAJADOR'!$A$1:$AF$61</definedName>
    <definedName name="_xlnm.Print_Area" localSheetId="2">'IDENTIFICACIÓN TRABAJADOR'!$A$1:$H$36</definedName>
    <definedName name="_xlnm.Print_Area" localSheetId="3">'LINEAS CON DEDICACIÓN'!$A$1:$P$32</definedName>
    <definedName name="_xlnm.Print_Area" localSheetId="6">'RESUMEN TRABAJADOR ACTUACIÓN 1'!$A$1:$P$39</definedName>
    <definedName name="_xlnm.Print_Area" localSheetId="7">'RESUMEN TRABAJADOR ACTUACIÓN 2'!$A$1:$P$39</definedName>
    <definedName name="_xlnm.Print_Area" localSheetId="8">'RESUMEN TRABAJADOR ACTUACIÓN 3'!$A$1:$P$39</definedName>
    <definedName name="_xlnm.Print_Area" localSheetId="9">'RESUMEN TRABAJADOR ACTUACIÓN 4'!$A$1:$P$39</definedName>
    <definedName name="Lineas">AUXILIAR!$T$4:$T$63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I20" i="1"/>
  <c r="CC7" i="3" l="1"/>
  <c r="CC8" i="3"/>
  <c r="CC9" i="3"/>
  <c r="CC10" i="3"/>
  <c r="CC11" i="3"/>
  <c r="CC12" i="3"/>
  <c r="CC13" i="3"/>
  <c r="CC6" i="3"/>
  <c r="T4" i="3"/>
  <c r="L20" i="6"/>
  <c r="M20" i="6" s="1"/>
  <c r="L21" i="6"/>
  <c r="M21" i="6" s="1"/>
  <c r="L22" i="6"/>
  <c r="M22" i="6"/>
  <c r="L23" i="6"/>
  <c r="M23" i="6" s="1"/>
  <c r="L24" i="6"/>
  <c r="M24" i="6" s="1"/>
  <c r="L25" i="6"/>
  <c r="M25" i="6" s="1"/>
  <c r="L26" i="6"/>
  <c r="M26" i="6"/>
  <c r="L27" i="6"/>
  <c r="M27" i="6" s="1"/>
  <c r="L28" i="6"/>
  <c r="M28" i="6" s="1"/>
  <c r="L29" i="6"/>
  <c r="M29" i="6" s="1"/>
  <c r="L30" i="6"/>
  <c r="M30" i="6"/>
  <c r="L31" i="6"/>
  <c r="M31" i="6" s="1"/>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H51" i="4"/>
  <c r="I51" i="4"/>
  <c r="H52" i="4"/>
  <c r="I52" i="4"/>
  <c r="H53" i="4"/>
  <c r="I53" i="4"/>
  <c r="H54" i="4"/>
  <c r="I54" i="4"/>
  <c r="H58" i="4"/>
  <c r="Y58" i="4" s="1"/>
  <c r="I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 r="H97" i="4"/>
  <c r="I97" i="4"/>
  <c r="H98" i="4"/>
  <c r="I98" i="4"/>
  <c r="H99" i="4"/>
  <c r="I99" i="4"/>
  <c r="H100" i="4"/>
  <c r="I100" i="4"/>
  <c r="H101" i="4"/>
  <c r="I101" i="4"/>
  <c r="H102" i="4"/>
  <c r="I102" i="4"/>
  <c r="H103" i="4"/>
  <c r="I103" i="4"/>
  <c r="H104" i="4"/>
  <c r="I104" i="4"/>
  <c r="H105" i="4"/>
  <c r="I105" i="4"/>
  <c r="H106" i="4"/>
  <c r="I106" i="4"/>
  <c r="H107" i="4"/>
  <c r="I107" i="4"/>
  <c r="H108" i="4"/>
  <c r="I108" i="4"/>
  <c r="CG20" i="3"/>
  <c r="CG21" i="3"/>
  <c r="CG22" i="3"/>
  <c r="CG23" i="3"/>
  <c r="CG24" i="3"/>
  <c r="CG25" i="3"/>
  <c r="CG26" i="3"/>
  <c r="CG27" i="3"/>
  <c r="CG28" i="3"/>
  <c r="CG29" i="3"/>
  <c r="CG30" i="3"/>
  <c r="CG19" i="3"/>
  <c r="BZ7" i="3"/>
  <c r="CB7" i="3" s="1"/>
  <c r="BZ8" i="3"/>
  <c r="CB8" i="3" s="1"/>
  <c r="BZ9" i="3"/>
  <c r="CB9" i="3" s="1"/>
  <c r="BZ10" i="3"/>
  <c r="CA10" i="3" s="1"/>
  <c r="BZ11" i="3"/>
  <c r="CA11" i="3" s="1"/>
  <c r="BZ12" i="3"/>
  <c r="CA12" i="3" s="1"/>
  <c r="BZ13" i="3"/>
  <c r="CB13" i="3" s="1"/>
  <c r="BZ6" i="3"/>
  <c r="CB6" i="3" s="1"/>
  <c r="BV4" i="3"/>
  <c r="BY13" i="3" s="1"/>
  <c r="BU4" i="3"/>
  <c r="BY12" i="3" s="1"/>
  <c r="BT4" i="3"/>
  <c r="BY11" i="3" s="1"/>
  <c r="BS4" i="3"/>
  <c r="BY10" i="3" s="1"/>
  <c r="BR4" i="3"/>
  <c r="BY9" i="3" s="1"/>
  <c r="BQ4" i="3"/>
  <c r="BY8" i="3" s="1"/>
  <c r="BP4" i="3"/>
  <c r="BY7" i="3" s="1"/>
  <c r="BO4" i="3"/>
  <c r="BY6" i="3" s="1"/>
  <c r="BI5" i="3"/>
  <c r="BM5" i="3" s="1"/>
  <c r="BM11" i="3" s="1"/>
  <c r="BF10" i="3"/>
  <c r="BG10" i="3"/>
  <c r="BF11" i="3"/>
  <c r="BG11" i="3"/>
  <c r="BF12" i="3"/>
  <c r="BG12" i="3"/>
  <c r="BF13" i="3"/>
  <c r="BG13" i="3"/>
  <c r="BF14" i="3"/>
  <c r="BG14" i="3"/>
  <c r="BF15" i="3"/>
  <c r="BG15" i="3"/>
  <c r="BF16" i="3"/>
  <c r="BG16" i="3"/>
  <c r="BG9" i="3"/>
  <c r="BF9" i="3"/>
  <c r="BB10" i="3"/>
  <c r="BB11" i="3"/>
  <c r="BB12" i="3"/>
  <c r="BB13" i="3"/>
  <c r="BB14" i="3"/>
  <c r="BB15" i="3"/>
  <c r="BB16" i="3"/>
  <c r="BB9" i="3"/>
  <c r="AZ10" i="3"/>
  <c r="AZ11" i="3"/>
  <c r="AZ12" i="3"/>
  <c r="AZ13" i="3"/>
  <c r="AZ14" i="3"/>
  <c r="AZ15" i="3"/>
  <c r="AZ16" i="3"/>
  <c r="AZ9" i="3"/>
  <c r="BA10" i="3"/>
  <c r="BA11" i="3"/>
  <c r="BA12" i="3"/>
  <c r="BA13" i="3"/>
  <c r="BA14" i="3"/>
  <c r="BA15" i="3"/>
  <c r="BA16" i="3"/>
  <c r="BA9" i="3"/>
  <c r="AV10" i="3"/>
  <c r="AV11" i="3"/>
  <c r="AV12" i="3"/>
  <c r="AV13" i="3"/>
  <c r="AV14" i="3"/>
  <c r="AV15" i="3"/>
  <c r="AV16" i="3"/>
  <c r="AV9" i="3"/>
  <c r="AP3" i="3"/>
  <c r="AP4" i="3" s="1"/>
  <c r="AT38" i="3"/>
  <c r="AT39" i="3"/>
  <c r="AT40" i="3"/>
  <c r="AT41" i="3"/>
  <c r="AT42" i="3"/>
  <c r="AT43" i="3"/>
  <c r="AT44" i="3"/>
  <c r="AT45" i="3"/>
  <c r="AT46" i="3"/>
  <c r="AT47" i="3"/>
  <c r="AT48" i="3"/>
  <c r="AT49" i="3"/>
  <c r="AT50" i="3"/>
  <c r="AT51" i="3"/>
  <c r="AI7" i="6"/>
  <c r="AI8" i="6"/>
  <c r="AI9" i="6"/>
  <c r="AI10" i="6"/>
  <c r="AI11" i="6"/>
  <c r="AI12" i="6"/>
  <c r="AI13" i="6"/>
  <c r="AH9" i="6"/>
  <c r="T40" i="6"/>
  <c r="T41" i="6"/>
  <c r="T42" i="6"/>
  <c r="L40" i="6"/>
  <c r="M40" i="6" s="1"/>
  <c r="AU12" i="3" s="1"/>
  <c r="L41" i="6"/>
  <c r="M41" i="6" s="1"/>
  <c r="W41" i="6" s="1"/>
  <c r="L42" i="6"/>
  <c r="M42" i="6" s="1"/>
  <c r="L43" i="6"/>
  <c r="Z43" i="6" s="1"/>
  <c r="T43" i="6"/>
  <c r="K31" i="4"/>
  <c r="AJ9" i="6" l="1"/>
  <c r="AH11" i="6"/>
  <c r="AJ11" i="6" s="1"/>
  <c r="AU14" i="3"/>
  <c r="BT13" i="3" s="1"/>
  <c r="W42" i="6"/>
  <c r="W40" i="6"/>
  <c r="M43" i="6"/>
  <c r="Z42" i="6"/>
  <c r="AY15" i="3"/>
  <c r="AY14" i="3"/>
  <c r="AY12" i="3"/>
  <c r="Y52" i="4"/>
  <c r="Y51" i="4"/>
  <c r="Y54" i="4"/>
  <c r="Y53" i="4"/>
  <c r="Z41" i="6"/>
  <c r="AH10" i="6"/>
  <c r="AJ10" i="6" s="1"/>
  <c r="AU13" i="3"/>
  <c r="AY13" i="3"/>
  <c r="CB12" i="3"/>
  <c r="CB11" i="3"/>
  <c r="CB10" i="3"/>
  <c r="BH10" i="3"/>
  <c r="CA8" i="3"/>
  <c r="CA6" i="3"/>
  <c r="BH15" i="3"/>
  <c r="BH14" i="3"/>
  <c r="CA9" i="3"/>
  <c r="CA7" i="3"/>
  <c r="CA13" i="3"/>
  <c r="BS11" i="3"/>
  <c r="BR11" i="3"/>
  <c r="BT15" i="3"/>
  <c r="BT10" i="3"/>
  <c r="BM10" i="3"/>
  <c r="BM6" i="3"/>
  <c r="BM17" i="3"/>
  <c r="BM12" i="3"/>
  <c r="BM9" i="3"/>
  <c r="BH16" i="3"/>
  <c r="BI16" i="3" s="1"/>
  <c r="BH12" i="3"/>
  <c r="BM16" i="3"/>
  <c r="BS16" i="3" s="1"/>
  <c r="BM8" i="3"/>
  <c r="BM15" i="3"/>
  <c r="BM7" i="3"/>
  <c r="BM14" i="3"/>
  <c r="BM18" i="3"/>
  <c r="CF18" i="3" s="1"/>
  <c r="BM13" i="3"/>
  <c r="BH9" i="3"/>
  <c r="BH13" i="3"/>
  <c r="BI13" i="3" s="1"/>
  <c r="BJ15" i="3"/>
  <c r="BI14" i="3"/>
  <c r="BJ14" i="3"/>
  <c r="BI15" i="3"/>
  <c r="BI12" i="3"/>
  <c r="BH11" i="3"/>
  <c r="BI11" i="3" s="1"/>
  <c r="BI10" i="3"/>
  <c r="BI9" i="3"/>
  <c r="AW12" i="3"/>
  <c r="AW13" i="3"/>
  <c r="W43" i="6"/>
  <c r="K38" i="4"/>
  <c r="L39" i="4" s="1"/>
  <c r="L36" i="4" s="1"/>
  <c r="K36" i="4"/>
  <c r="L37" i="4" s="1"/>
  <c r="K34" i="4"/>
  <c r="K27" i="4"/>
  <c r="K26" i="4"/>
  <c r="K32" i="4" s="1"/>
  <c r="W39" i="4"/>
  <c r="W36" i="4" s="1"/>
  <c r="V39" i="4"/>
  <c r="V36" i="4" s="1"/>
  <c r="U39" i="4"/>
  <c r="U36" i="4" s="1"/>
  <c r="T39" i="4"/>
  <c r="T36" i="4" s="1"/>
  <c r="S39" i="4"/>
  <c r="S36" i="4" s="1"/>
  <c r="R39" i="4"/>
  <c r="R36" i="4" s="1"/>
  <c r="Q39" i="4"/>
  <c r="Q36" i="4" s="1"/>
  <c r="P39" i="4"/>
  <c r="P36" i="4" s="1"/>
  <c r="O39" i="4"/>
  <c r="O36" i="4" s="1"/>
  <c r="N39" i="4"/>
  <c r="N36" i="4" s="1"/>
  <c r="M39" i="4"/>
  <c r="M36" i="4" s="1"/>
  <c r="W38" i="4"/>
  <c r="W34" i="4" s="1"/>
  <c r="V38" i="4"/>
  <c r="V34" i="4" s="1"/>
  <c r="U38" i="4"/>
  <c r="U34" i="4" s="1"/>
  <c r="T38" i="4"/>
  <c r="T34" i="4" s="1"/>
  <c r="S38" i="4"/>
  <c r="S34" i="4" s="1"/>
  <c r="R38" i="4"/>
  <c r="R34" i="4" s="1"/>
  <c r="Q38" i="4"/>
  <c r="Q34" i="4" s="1"/>
  <c r="P38" i="4"/>
  <c r="P34" i="4" s="1"/>
  <c r="O38" i="4"/>
  <c r="N38" i="4"/>
  <c r="N34" i="4" s="1"/>
  <c r="M38" i="4"/>
  <c r="M34" i="4" s="1"/>
  <c r="L38" i="4"/>
  <c r="L34" i="4" s="1"/>
  <c r="W37" i="4"/>
  <c r="V37" i="4"/>
  <c r="U37" i="4"/>
  <c r="T37" i="4"/>
  <c r="S37" i="4"/>
  <c r="R37" i="4"/>
  <c r="Q37" i="4"/>
  <c r="P37" i="4"/>
  <c r="O37" i="4"/>
  <c r="N37" i="4"/>
  <c r="M37" i="4"/>
  <c r="O34" i="4"/>
  <c r="BT26" i="3" l="1"/>
  <c r="BT8" i="3"/>
  <c r="BT29" i="3"/>
  <c r="BT6" i="3"/>
  <c r="BT19" i="3"/>
  <c r="BT24" i="3"/>
  <c r="BT16" i="3"/>
  <c r="AW14" i="3"/>
  <c r="BT9" i="3"/>
  <c r="BT11" i="3"/>
  <c r="BT22" i="3"/>
  <c r="BT27" i="3"/>
  <c r="BT25" i="3"/>
  <c r="BT12" i="3"/>
  <c r="BT14" i="3"/>
  <c r="BT20" i="3"/>
  <c r="BS13" i="3"/>
  <c r="BT30" i="3"/>
  <c r="BT7" i="3"/>
  <c r="BT17" i="3"/>
  <c r="AH12" i="6"/>
  <c r="AJ12" i="6" s="1"/>
  <c r="AU15" i="3"/>
  <c r="BT21" i="3"/>
  <c r="BT23" i="3"/>
  <c r="BT28" i="3"/>
  <c r="CI21" i="3"/>
  <c r="CI28" i="3"/>
  <c r="CI30" i="3"/>
  <c r="CI22" i="3"/>
  <c r="CI20" i="3"/>
  <c r="CI25" i="3"/>
  <c r="CI27" i="3"/>
  <c r="CI26" i="3"/>
  <c r="CI24" i="3"/>
  <c r="CI19" i="3"/>
  <c r="CI23" i="3"/>
  <c r="CI29" i="3"/>
  <c r="BR12" i="3"/>
  <c r="BS9" i="3"/>
  <c r="BS14" i="3"/>
  <c r="BS8" i="3"/>
  <c r="BR6" i="3"/>
  <c r="BR8" i="3"/>
  <c r="BS15" i="3"/>
  <c r="BS10" i="3"/>
  <c r="BR10" i="3"/>
  <c r="BR7" i="3"/>
  <c r="BS7" i="3"/>
  <c r="BS12" i="3"/>
  <c r="BS17" i="3"/>
  <c r="BR13" i="3"/>
  <c r="BR9" i="3"/>
  <c r="BS6" i="3"/>
  <c r="BM20" i="3"/>
  <c r="BM28" i="3"/>
  <c r="BM21" i="3"/>
  <c r="BM29" i="3"/>
  <c r="BM22" i="3"/>
  <c r="BM30" i="3"/>
  <c r="BM23" i="3"/>
  <c r="BM19" i="3"/>
  <c r="BM24" i="3"/>
  <c r="BM25" i="3"/>
  <c r="BM26" i="3"/>
  <c r="BM27" i="3"/>
  <c r="M35" i="4"/>
  <c r="U35" i="4"/>
  <c r="N35" i="4"/>
  <c r="V35" i="4"/>
  <c r="O35" i="4"/>
  <c r="W35" i="4"/>
  <c r="P35" i="4"/>
  <c r="L35" i="4"/>
  <c r="Q35" i="4"/>
  <c r="R35" i="4"/>
  <c r="S35" i="4"/>
  <c r="T35" i="4"/>
  <c r="K29" i="4"/>
  <c r="K28" i="4"/>
  <c r="G21" i="12"/>
  <c r="G20" i="12"/>
  <c r="G19" i="12"/>
  <c r="G18" i="12"/>
  <c r="G17" i="12"/>
  <c r="G16" i="12"/>
  <c r="G15" i="12"/>
  <c r="G14" i="12"/>
  <c r="G13" i="12"/>
  <c r="G12" i="12"/>
  <c r="G11" i="12"/>
  <c r="G10" i="12"/>
  <c r="G21" i="11"/>
  <c r="G20" i="11"/>
  <c r="G19" i="11"/>
  <c r="G18" i="11"/>
  <c r="G17" i="11"/>
  <c r="G16" i="11"/>
  <c r="G15" i="11"/>
  <c r="G14" i="11"/>
  <c r="G13" i="11"/>
  <c r="G12" i="11"/>
  <c r="G11" i="11"/>
  <c r="G10" i="11"/>
  <c r="AI6" i="6"/>
  <c r="BT34" i="3" l="1"/>
  <c r="BT32" i="3"/>
  <c r="BT36" i="3" s="1"/>
  <c r="BU8" i="3"/>
  <c r="BU19" i="3"/>
  <c r="BU21" i="3"/>
  <c r="BU10" i="3"/>
  <c r="BU7" i="3"/>
  <c r="BU23" i="3"/>
  <c r="BU17" i="3"/>
  <c r="BU15" i="3"/>
  <c r="BU28" i="3"/>
  <c r="BU12" i="3"/>
  <c r="BU30" i="3"/>
  <c r="BU25" i="3"/>
  <c r="BU14" i="3"/>
  <c r="BU26" i="3"/>
  <c r="BU24" i="3"/>
  <c r="BU20" i="3"/>
  <c r="BU9" i="3"/>
  <c r="BU27" i="3"/>
  <c r="BU22" i="3"/>
  <c r="BU16" i="3"/>
  <c r="BU6" i="3"/>
  <c r="AW15" i="3"/>
  <c r="BU11" i="3"/>
  <c r="BU29" i="3"/>
  <c r="BU13" i="3"/>
  <c r="BR28" i="3"/>
  <c r="BS24" i="3"/>
  <c r="BS19" i="3"/>
  <c r="BS21" i="3"/>
  <c r="BS20" i="3"/>
  <c r="BS23" i="3"/>
  <c r="BR30" i="3"/>
  <c r="BS22" i="3"/>
  <c r="BR27" i="3"/>
  <c r="BR29" i="3"/>
  <c r="BK23" i="6"/>
  <c r="BK24" i="6"/>
  <c r="BK25" i="6"/>
  <c r="BK26" i="6"/>
  <c r="BK27" i="6"/>
  <c r="BK28" i="6"/>
  <c r="BK29" i="6"/>
  <c r="BK30" i="6"/>
  <c r="BK31" i="6"/>
  <c r="BK32" i="6"/>
  <c r="BK35" i="6"/>
  <c r="BK22" i="6"/>
  <c r="BE23" i="6"/>
  <c r="BE24" i="6"/>
  <c r="BG24" i="6" s="1"/>
  <c r="BH24" i="6" s="1"/>
  <c r="BE25" i="6"/>
  <c r="BG25" i="6" s="1"/>
  <c r="BH25" i="6" s="1"/>
  <c r="BE26" i="6"/>
  <c r="BG26" i="6" s="1"/>
  <c r="BH26" i="6" s="1"/>
  <c r="BE22" i="6"/>
  <c r="BG22" i="6" s="1"/>
  <c r="BH22" i="6" s="1"/>
  <c r="BC23" i="6"/>
  <c r="BF23" i="6" s="1"/>
  <c r="BC24" i="6"/>
  <c r="BF24" i="6" s="1"/>
  <c r="BC25" i="6"/>
  <c r="BF25" i="6" s="1"/>
  <c r="BC26" i="6"/>
  <c r="BF26" i="6" s="1"/>
  <c r="BC22" i="6"/>
  <c r="BF22" i="6" s="1"/>
  <c r="BU32" i="3" l="1"/>
  <c r="BU36" i="3" s="1"/>
  <c r="BU34" i="3"/>
  <c r="BG23" i="6"/>
  <c r="BH23" i="6" s="1"/>
  <c r="BN28" i="6" s="1"/>
  <c r="L18" i="7"/>
  <c r="AQ2" i="3"/>
  <c r="AO5" i="3" s="1"/>
  <c r="F14" i="13"/>
  <c r="AO6" i="3" l="1"/>
  <c r="AP5" i="3"/>
  <c r="BN35" i="6"/>
  <c r="BN27" i="6"/>
  <c r="BN30" i="6"/>
  <c r="BN32" i="6"/>
  <c r="BN31" i="6"/>
  <c r="BN24" i="6"/>
  <c r="BN26" i="6"/>
  <c r="BN29" i="6"/>
  <c r="BN23" i="6"/>
  <c r="BN22" i="6"/>
  <c r="BN25" i="6"/>
  <c r="A1" i="6"/>
  <c r="B1" i="3"/>
  <c r="AO7" i="3" l="1"/>
  <c r="AP6" i="3"/>
  <c r="C6" i="9"/>
  <c r="D5" i="7" s="1"/>
  <c r="D14" i="13"/>
  <c r="J48" i="4" s="1"/>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49" i="4"/>
  <c r="B50" i="4"/>
  <c r="B51" i="4"/>
  <c r="B52" i="4"/>
  <c r="B53" i="4"/>
  <c r="B54" i="4"/>
  <c r="B55" i="4"/>
  <c r="B56" i="4"/>
  <c r="B57" i="4"/>
  <c r="B58" i="4"/>
  <c r="B59" i="4"/>
  <c r="B60" i="4"/>
  <c r="B61" i="4"/>
  <c r="B62" i="4"/>
  <c r="B63" i="4"/>
  <c r="B64" i="4"/>
  <c r="B65" i="4"/>
  <c r="B66" i="4"/>
  <c r="B67"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49" i="4"/>
  <c r="L21" i="12"/>
  <c r="H21" i="12"/>
  <c r="E21" i="12"/>
  <c r="L20" i="12"/>
  <c r="H20" i="12"/>
  <c r="E20" i="12"/>
  <c r="L19" i="12"/>
  <c r="H19" i="12"/>
  <c r="E19" i="12"/>
  <c r="L18" i="12"/>
  <c r="H18" i="12"/>
  <c r="E18" i="12"/>
  <c r="L17" i="12"/>
  <c r="H17" i="12"/>
  <c r="E17" i="12"/>
  <c r="L16" i="12"/>
  <c r="H16" i="12"/>
  <c r="E16" i="12"/>
  <c r="L15" i="12"/>
  <c r="H15" i="12"/>
  <c r="E15" i="12"/>
  <c r="L14" i="12"/>
  <c r="H14" i="12"/>
  <c r="E14" i="12"/>
  <c r="L13" i="12"/>
  <c r="H13" i="12"/>
  <c r="E13" i="12"/>
  <c r="L12" i="12"/>
  <c r="H12" i="12"/>
  <c r="E12" i="12"/>
  <c r="L11" i="12"/>
  <c r="H11" i="12"/>
  <c r="E11" i="12"/>
  <c r="L10" i="12"/>
  <c r="H10" i="12"/>
  <c r="E10" i="12"/>
  <c r="L21" i="11"/>
  <c r="H21" i="11"/>
  <c r="E21" i="11"/>
  <c r="L20" i="11"/>
  <c r="H20" i="11"/>
  <c r="E20" i="11"/>
  <c r="L19" i="11"/>
  <c r="H19" i="11"/>
  <c r="E19" i="11"/>
  <c r="L18" i="11"/>
  <c r="H18" i="11"/>
  <c r="E18" i="11"/>
  <c r="L17" i="11"/>
  <c r="H17" i="11"/>
  <c r="E17" i="11"/>
  <c r="L16" i="11"/>
  <c r="H16" i="11"/>
  <c r="E16" i="11"/>
  <c r="L15" i="11"/>
  <c r="H15" i="11"/>
  <c r="E15" i="11"/>
  <c r="L14" i="11"/>
  <c r="H14" i="11"/>
  <c r="E14" i="11"/>
  <c r="L13" i="11"/>
  <c r="H13" i="11"/>
  <c r="E13" i="11"/>
  <c r="L12" i="11"/>
  <c r="H12" i="11"/>
  <c r="E12" i="11"/>
  <c r="L11" i="11"/>
  <c r="H11" i="11"/>
  <c r="E11" i="11"/>
  <c r="L10" i="11"/>
  <c r="H10" i="11"/>
  <c r="E10" i="11"/>
  <c r="L21" i="10"/>
  <c r="H21" i="10"/>
  <c r="G21" i="10"/>
  <c r="E21" i="10"/>
  <c r="L20" i="10"/>
  <c r="H20" i="10"/>
  <c r="G20" i="10"/>
  <c r="E20" i="10"/>
  <c r="L19" i="10"/>
  <c r="H19" i="10"/>
  <c r="G19" i="10"/>
  <c r="E19" i="10"/>
  <c r="L18" i="10"/>
  <c r="H18" i="10"/>
  <c r="G18" i="10"/>
  <c r="E18" i="10"/>
  <c r="L17" i="10"/>
  <c r="H17" i="10"/>
  <c r="G17" i="10"/>
  <c r="E17" i="10"/>
  <c r="L16" i="10"/>
  <c r="H16" i="10"/>
  <c r="G16" i="10"/>
  <c r="E16" i="10"/>
  <c r="L15" i="10"/>
  <c r="H15" i="10"/>
  <c r="G15" i="10"/>
  <c r="E15" i="10"/>
  <c r="L14" i="10"/>
  <c r="H14" i="10"/>
  <c r="G14" i="10"/>
  <c r="E14" i="10"/>
  <c r="L13" i="10"/>
  <c r="H13" i="10"/>
  <c r="G13" i="10"/>
  <c r="E13" i="10"/>
  <c r="L12" i="10"/>
  <c r="H12" i="10"/>
  <c r="G12" i="10"/>
  <c r="E12" i="10"/>
  <c r="L11" i="10"/>
  <c r="H11" i="10"/>
  <c r="G11" i="10"/>
  <c r="E11" i="10"/>
  <c r="L10" i="10"/>
  <c r="H10" i="10"/>
  <c r="G10" i="10"/>
  <c r="E10" i="10"/>
  <c r="AO8" i="3" l="1"/>
  <c r="AP7" i="3"/>
  <c r="D5" i="12"/>
  <c r="D5" i="10"/>
  <c r="D5" i="11"/>
  <c r="E5" i="8"/>
  <c r="C7" i="9"/>
  <c r="E29" i="4"/>
  <c r="K6" i="4"/>
  <c r="G6" i="9"/>
  <c r="K6" i="9" s="1"/>
  <c r="O6" i="9" s="1"/>
  <c r="E5" i="6"/>
  <c r="E41" i="4"/>
  <c r="C52" i="4"/>
  <c r="C53" i="4"/>
  <c r="C54" i="4"/>
  <c r="C55" i="4"/>
  <c r="C56" i="4"/>
  <c r="C57" i="4"/>
  <c r="C58" i="4"/>
  <c r="C59" i="4"/>
  <c r="C60" i="4"/>
  <c r="C61" i="4"/>
  <c r="C62" i="4"/>
  <c r="C63" i="4"/>
  <c r="C64" i="4"/>
  <c r="C65" i="4"/>
  <c r="C66" i="4"/>
  <c r="D66" i="4" s="1"/>
  <c r="C67" i="4"/>
  <c r="C68" i="4"/>
  <c r="D68" i="4" s="1"/>
  <c r="C69" i="4"/>
  <c r="D69" i="4" s="1"/>
  <c r="C70" i="4"/>
  <c r="C71" i="4"/>
  <c r="D71" i="4" s="1"/>
  <c r="C72" i="4"/>
  <c r="C73" i="4"/>
  <c r="C74" i="4"/>
  <c r="D74" i="4" s="1"/>
  <c r="C75" i="4"/>
  <c r="D75" i="4" s="1"/>
  <c r="C76" i="4"/>
  <c r="D76" i="4" s="1"/>
  <c r="C77" i="4"/>
  <c r="D77" i="4" s="1"/>
  <c r="C78" i="4"/>
  <c r="C79" i="4"/>
  <c r="C80" i="4"/>
  <c r="C81" i="4"/>
  <c r="C82" i="4"/>
  <c r="C83" i="4"/>
  <c r="D83" i="4" s="1"/>
  <c r="C84" i="4"/>
  <c r="D84" i="4" s="1"/>
  <c r="C85" i="4"/>
  <c r="D85" i="4" s="1"/>
  <c r="C86" i="4"/>
  <c r="C87" i="4"/>
  <c r="C88" i="4"/>
  <c r="C89" i="4"/>
  <c r="D89" i="4" s="1"/>
  <c r="C90" i="4"/>
  <c r="C91" i="4"/>
  <c r="D91" i="4" s="1"/>
  <c r="C92" i="4"/>
  <c r="D92" i="4" s="1"/>
  <c r="C93" i="4"/>
  <c r="D93" i="4" s="1"/>
  <c r="C94" i="4"/>
  <c r="C95" i="4"/>
  <c r="D95" i="4" s="1"/>
  <c r="C96" i="4"/>
  <c r="C97" i="4"/>
  <c r="D97" i="4" s="1"/>
  <c r="C98" i="4"/>
  <c r="C99" i="4"/>
  <c r="D99" i="4" s="1"/>
  <c r="C100" i="4"/>
  <c r="D100" i="4" s="1"/>
  <c r="C101" i="4"/>
  <c r="D101" i="4" s="1"/>
  <c r="C102" i="4"/>
  <c r="C103" i="4"/>
  <c r="D103" i="4" s="1"/>
  <c r="C104" i="4"/>
  <c r="C105" i="4"/>
  <c r="C106" i="4"/>
  <c r="C107" i="4"/>
  <c r="D107" i="4" s="1"/>
  <c r="C108" i="4"/>
  <c r="D108" i="4" s="1"/>
  <c r="C49" i="4"/>
  <c r="C50" i="4"/>
  <c r="C51" i="4"/>
  <c r="AO9" i="3" l="1"/>
  <c r="AP8" i="3"/>
  <c r="E6" i="6"/>
  <c r="E6" i="8"/>
  <c r="D6" i="7"/>
  <c r="D6" i="10"/>
  <c r="D6" i="11"/>
  <c r="D6" i="12"/>
  <c r="K7" i="4"/>
  <c r="G7" i="9"/>
  <c r="K7" i="9" s="1"/>
  <c r="O7" i="9" s="1"/>
  <c r="D67" i="4"/>
  <c r="D53" i="4"/>
  <c r="D49" i="4"/>
  <c r="D63" i="4"/>
  <c r="D61" i="4"/>
  <c r="D65" i="4"/>
  <c r="D57" i="4"/>
  <c r="S4" i="11"/>
  <c r="D106" i="4"/>
  <c r="D98" i="4"/>
  <c r="D90" i="4"/>
  <c r="D82" i="4"/>
  <c r="D54" i="4"/>
  <c r="D105" i="4"/>
  <c r="D81" i="4"/>
  <c r="D73" i="4"/>
  <c r="D87" i="4"/>
  <c r="D79" i="4"/>
  <c r="S4" i="10"/>
  <c r="S4" i="7"/>
  <c r="D59" i="4"/>
  <c r="S4" i="12"/>
  <c r="D51" i="4"/>
  <c r="D102" i="4"/>
  <c r="D94" i="4"/>
  <c r="D86" i="4"/>
  <c r="D78" i="4"/>
  <c r="D70" i="4"/>
  <c r="D62" i="4"/>
  <c r="D104" i="4"/>
  <c r="D96" i="4"/>
  <c r="D88" i="4"/>
  <c r="D80" i="4"/>
  <c r="D72" i="4"/>
  <c r="D64" i="4"/>
  <c r="D52" i="4"/>
  <c r="D60" i="4"/>
  <c r="D58" i="4"/>
  <c r="D56" i="4"/>
  <c r="D50" i="4"/>
  <c r="D55" i="4"/>
  <c r="L45" i="4"/>
  <c r="R44" i="4"/>
  <c r="V45" i="4"/>
  <c r="C20" i="10" s="1"/>
  <c r="V46" i="4"/>
  <c r="C20" i="11" s="1"/>
  <c r="Q47" i="4"/>
  <c r="C15" i="12" s="1"/>
  <c r="T46" i="4"/>
  <c r="C18" i="11" s="1"/>
  <c r="L46" i="4"/>
  <c r="M44" i="4"/>
  <c r="W45" i="4"/>
  <c r="C21" i="10" s="1"/>
  <c r="O45" i="4"/>
  <c r="C13" i="10" s="1"/>
  <c r="S47" i="4"/>
  <c r="C17" i="12" s="1"/>
  <c r="N46" i="4"/>
  <c r="C12" i="11" s="1"/>
  <c r="Q45" i="4"/>
  <c r="C15" i="10" s="1"/>
  <c r="T44" i="4"/>
  <c r="L44" i="4"/>
  <c r="R47" i="4"/>
  <c r="C16" i="12" s="1"/>
  <c r="U46" i="4"/>
  <c r="C19" i="11" s="1"/>
  <c r="M46" i="4"/>
  <c r="C11" i="11" s="1"/>
  <c r="P45" i="4"/>
  <c r="C14" i="10" s="1"/>
  <c r="S44" i="4"/>
  <c r="Q44" i="4"/>
  <c r="W47" i="4"/>
  <c r="C21" i="12" s="1"/>
  <c r="O47" i="4"/>
  <c r="C13" i="12" s="1"/>
  <c r="R46" i="4"/>
  <c r="C16" i="11" s="1"/>
  <c r="U45" i="4"/>
  <c r="C19" i="10" s="1"/>
  <c r="M45" i="4"/>
  <c r="C11" i="10" s="1"/>
  <c r="P44" i="4"/>
  <c r="P47" i="4"/>
  <c r="C14" i="12" s="1"/>
  <c r="N45" i="4"/>
  <c r="C12" i="10" s="1"/>
  <c r="V47" i="4"/>
  <c r="C20" i="12" s="1"/>
  <c r="N47" i="4"/>
  <c r="C12" i="12" s="1"/>
  <c r="Q46" i="4"/>
  <c r="C15" i="11" s="1"/>
  <c r="T45" i="4"/>
  <c r="C18" i="10" s="1"/>
  <c r="W44" i="4"/>
  <c r="O44" i="4"/>
  <c r="S46" i="4"/>
  <c r="C17" i="11" s="1"/>
  <c r="U47" i="4"/>
  <c r="C19" i="12" s="1"/>
  <c r="M47" i="4"/>
  <c r="C11" i="12" s="1"/>
  <c r="P46" i="4"/>
  <c r="C14" i="11" s="1"/>
  <c r="S45" i="4"/>
  <c r="C17" i="10" s="1"/>
  <c r="V44" i="4"/>
  <c r="N44" i="4"/>
  <c r="L47" i="4"/>
  <c r="T47" i="4"/>
  <c r="C18" i="12" s="1"/>
  <c r="W46" i="4"/>
  <c r="C21" i="11" s="1"/>
  <c r="O46" i="4"/>
  <c r="C13" i="11" s="1"/>
  <c r="R45" i="4"/>
  <c r="C16" i="10" s="1"/>
  <c r="U44" i="4"/>
  <c r="M50" i="3"/>
  <c r="N50" i="3"/>
  <c r="M51" i="3"/>
  <c r="N51" i="3"/>
  <c r="M52" i="3"/>
  <c r="N52" i="3"/>
  <c r="M53" i="3"/>
  <c r="N53" i="3"/>
  <c r="M54" i="3"/>
  <c r="N54" i="3"/>
  <c r="M55" i="3"/>
  <c r="N55" i="3"/>
  <c r="M56" i="3"/>
  <c r="N56" i="3"/>
  <c r="M57" i="3"/>
  <c r="N57" i="3"/>
  <c r="M58" i="3"/>
  <c r="N58" i="3"/>
  <c r="M59" i="3"/>
  <c r="N59" i="3"/>
  <c r="M60" i="3"/>
  <c r="N60" i="3"/>
  <c r="M61" i="3"/>
  <c r="N61" i="3"/>
  <c r="M62" i="3"/>
  <c r="N62" i="3"/>
  <c r="M63" i="3"/>
  <c r="N63" i="3"/>
  <c r="N49" i="3"/>
  <c r="M49" i="3"/>
  <c r="M35" i="3"/>
  <c r="N35" i="3"/>
  <c r="M36" i="3"/>
  <c r="N36" i="3"/>
  <c r="M37" i="3"/>
  <c r="N37" i="3"/>
  <c r="M38" i="3"/>
  <c r="N38" i="3"/>
  <c r="M39" i="3"/>
  <c r="N39" i="3"/>
  <c r="M40" i="3"/>
  <c r="N40" i="3"/>
  <c r="M41" i="3"/>
  <c r="N41" i="3"/>
  <c r="M42" i="3"/>
  <c r="N42" i="3"/>
  <c r="M43" i="3"/>
  <c r="N43" i="3"/>
  <c r="M44" i="3"/>
  <c r="N44" i="3"/>
  <c r="M45" i="3"/>
  <c r="N45" i="3"/>
  <c r="M46" i="3"/>
  <c r="N46" i="3"/>
  <c r="M47" i="3"/>
  <c r="N47" i="3"/>
  <c r="M48" i="3"/>
  <c r="N48" i="3"/>
  <c r="N34" i="3"/>
  <c r="M34"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N19" i="3"/>
  <c r="M19" i="3"/>
  <c r="N5" i="3"/>
  <c r="N6" i="3"/>
  <c r="N7" i="3"/>
  <c r="N8" i="3"/>
  <c r="N9" i="3"/>
  <c r="N10" i="3"/>
  <c r="N11" i="3"/>
  <c r="N12" i="3"/>
  <c r="N13" i="3"/>
  <c r="N14" i="3"/>
  <c r="N15" i="3"/>
  <c r="N16" i="3"/>
  <c r="N17" i="3"/>
  <c r="N18" i="3"/>
  <c r="N4" i="3"/>
  <c r="M18" i="3"/>
  <c r="M5" i="3"/>
  <c r="M6" i="3"/>
  <c r="M7" i="3"/>
  <c r="M8" i="3"/>
  <c r="M9" i="3"/>
  <c r="M10" i="3"/>
  <c r="M11" i="3"/>
  <c r="M12" i="3"/>
  <c r="M13" i="3"/>
  <c r="M14" i="3"/>
  <c r="M15" i="3"/>
  <c r="M16" i="3"/>
  <c r="M17" i="3"/>
  <c r="M4" i="3"/>
  <c r="O27" i="3" l="1"/>
  <c r="S27" i="3" s="1"/>
  <c r="O23" i="3"/>
  <c r="S23" i="3" s="1"/>
  <c r="O37" i="3"/>
  <c r="S37" i="3" s="1"/>
  <c r="O51" i="3"/>
  <c r="S51" i="3" s="1"/>
  <c r="O29" i="3"/>
  <c r="S29" i="3" s="1"/>
  <c r="O25" i="3"/>
  <c r="S25" i="3" s="1"/>
  <c r="O21" i="3"/>
  <c r="S21" i="3" s="1"/>
  <c r="O35" i="3"/>
  <c r="S35" i="3" s="1"/>
  <c r="O49" i="3"/>
  <c r="S49" i="3" s="1"/>
  <c r="O4" i="3"/>
  <c r="S4" i="3" s="1"/>
  <c r="AK26" i="3"/>
  <c r="AL26" i="3" s="1"/>
  <c r="O26" i="3"/>
  <c r="S26" i="3" s="1"/>
  <c r="AK22" i="3"/>
  <c r="AL22" i="3" s="1"/>
  <c r="O22" i="3"/>
  <c r="S22" i="3" s="1"/>
  <c r="AK48" i="3"/>
  <c r="AL48" i="3" s="1"/>
  <c r="O48" i="3"/>
  <c r="S48" i="3" s="1"/>
  <c r="AK44" i="3"/>
  <c r="AL44" i="3" s="1"/>
  <c r="O44" i="3"/>
  <c r="S44" i="3" s="1"/>
  <c r="AK40" i="3"/>
  <c r="AL40" i="3" s="1"/>
  <c r="O40" i="3"/>
  <c r="S40" i="3" s="1"/>
  <c r="O36" i="3"/>
  <c r="S36" i="3" s="1"/>
  <c r="AK62" i="3"/>
  <c r="AL62" i="3" s="1"/>
  <c r="O62" i="3"/>
  <c r="S62" i="3" s="1"/>
  <c r="AK58" i="3"/>
  <c r="AL58" i="3" s="1"/>
  <c r="O58" i="3"/>
  <c r="S58" i="3" s="1"/>
  <c r="AK54" i="3"/>
  <c r="AL54" i="3" s="1"/>
  <c r="O54" i="3"/>
  <c r="S54" i="3" s="1"/>
  <c r="O50" i="3"/>
  <c r="S50" i="3" s="1"/>
  <c r="AK14" i="3"/>
  <c r="AL14" i="3" s="1"/>
  <c r="O14" i="3"/>
  <c r="S14" i="3" s="1"/>
  <c r="AK45" i="3"/>
  <c r="AL45" i="3" s="1"/>
  <c r="O45" i="3"/>
  <c r="S45" i="3" s="1"/>
  <c r="AK41" i="3"/>
  <c r="AL41" i="3" s="1"/>
  <c r="O41" i="3"/>
  <c r="S41" i="3" s="1"/>
  <c r="O5" i="3"/>
  <c r="S5" i="3" s="1"/>
  <c r="AK30" i="3"/>
  <c r="AL30" i="3" s="1"/>
  <c r="O30" i="3"/>
  <c r="S30" i="3" s="1"/>
  <c r="O19" i="3"/>
  <c r="S19" i="3" s="1"/>
  <c r="AK47" i="3"/>
  <c r="AL47" i="3" s="1"/>
  <c r="O47" i="3"/>
  <c r="S47" i="3" s="1"/>
  <c r="AK43" i="3"/>
  <c r="AL43" i="3" s="1"/>
  <c r="O43" i="3"/>
  <c r="S43" i="3" s="1"/>
  <c r="AK39" i="3"/>
  <c r="AL39" i="3" s="1"/>
  <c r="O39" i="3"/>
  <c r="S39" i="3" s="1"/>
  <c r="AK61" i="3"/>
  <c r="AL61" i="3" s="1"/>
  <c r="O61" i="3"/>
  <c r="S61" i="3" s="1"/>
  <c r="AK57" i="3"/>
  <c r="AL57" i="3" s="1"/>
  <c r="O57" i="3"/>
  <c r="S57" i="3" s="1"/>
  <c r="AK53" i="3"/>
  <c r="AL53" i="3" s="1"/>
  <c r="O53" i="3"/>
  <c r="S53" i="3" s="1"/>
  <c r="AK15" i="3"/>
  <c r="AL15" i="3" s="1"/>
  <c r="O15" i="3"/>
  <c r="S15" i="3" s="1"/>
  <c r="AK63" i="3"/>
  <c r="AL63" i="3" s="1"/>
  <c r="O63" i="3"/>
  <c r="S63" i="3" s="1"/>
  <c r="AK59" i="3"/>
  <c r="AL59" i="3" s="1"/>
  <c r="O59" i="3"/>
  <c r="S59" i="3" s="1"/>
  <c r="AK55" i="3"/>
  <c r="AL55" i="3" s="1"/>
  <c r="O55" i="3"/>
  <c r="S55" i="3" s="1"/>
  <c r="AK13" i="3"/>
  <c r="AL13" i="3" s="1"/>
  <c r="O13" i="3"/>
  <c r="S13" i="3" s="1"/>
  <c r="O34" i="3"/>
  <c r="S34" i="3" s="1"/>
  <c r="AK12" i="3"/>
  <c r="AL12" i="3" s="1"/>
  <c r="O12" i="3"/>
  <c r="S12" i="3" s="1"/>
  <c r="AK11" i="3"/>
  <c r="AL11" i="3" s="1"/>
  <c r="O11" i="3"/>
  <c r="S11" i="3" s="1"/>
  <c r="AK18" i="3"/>
  <c r="AL18" i="3" s="1"/>
  <c r="O18" i="3"/>
  <c r="S18" i="3" s="1"/>
  <c r="AK10" i="3"/>
  <c r="AL10" i="3" s="1"/>
  <c r="O10" i="3"/>
  <c r="S10" i="3" s="1"/>
  <c r="AK33" i="3"/>
  <c r="AL33" i="3" s="1"/>
  <c r="O33" i="3"/>
  <c r="S33" i="3" s="1"/>
  <c r="AK17" i="3"/>
  <c r="AL17" i="3" s="1"/>
  <c r="O17" i="3"/>
  <c r="S17" i="3" s="1"/>
  <c r="AK9" i="3"/>
  <c r="AL9" i="3" s="1"/>
  <c r="O9" i="3"/>
  <c r="S9" i="3" s="1"/>
  <c r="AK7" i="3"/>
  <c r="AL7" i="3" s="1"/>
  <c r="O7" i="3"/>
  <c r="S7" i="3" s="1"/>
  <c r="O6" i="3"/>
  <c r="S6" i="3" s="1"/>
  <c r="AK31" i="3"/>
  <c r="AL31" i="3" s="1"/>
  <c r="O31" i="3"/>
  <c r="S31" i="3" s="1"/>
  <c r="AK16" i="3"/>
  <c r="AL16" i="3" s="1"/>
  <c r="O16" i="3"/>
  <c r="S16" i="3" s="1"/>
  <c r="AK8" i="3"/>
  <c r="AL8" i="3" s="1"/>
  <c r="O8" i="3"/>
  <c r="S8" i="3" s="1"/>
  <c r="AK32" i="3"/>
  <c r="AL32" i="3" s="1"/>
  <c r="O32" i="3"/>
  <c r="S32" i="3" s="1"/>
  <c r="O28" i="3"/>
  <c r="S28" i="3" s="1"/>
  <c r="O24" i="3"/>
  <c r="S24" i="3" s="1"/>
  <c r="O20" i="3"/>
  <c r="S20" i="3" s="1"/>
  <c r="AK46" i="3"/>
  <c r="AL46" i="3" s="1"/>
  <c r="O46" i="3"/>
  <c r="S46" i="3" s="1"/>
  <c r="AK42" i="3"/>
  <c r="AL42" i="3" s="1"/>
  <c r="O42" i="3"/>
  <c r="S42" i="3" s="1"/>
  <c r="O38" i="3"/>
  <c r="S38" i="3" s="1"/>
  <c r="AK60" i="3"/>
  <c r="AL60" i="3" s="1"/>
  <c r="O60" i="3"/>
  <c r="S60" i="3" s="1"/>
  <c r="AK56" i="3"/>
  <c r="AL56" i="3" s="1"/>
  <c r="O56" i="3"/>
  <c r="S56" i="3" s="1"/>
  <c r="O52" i="3"/>
  <c r="S52" i="3" s="1"/>
  <c r="AK27" i="3"/>
  <c r="AL27" i="3" s="1"/>
  <c r="AK23" i="3"/>
  <c r="AL23" i="3" s="1"/>
  <c r="AK36" i="3"/>
  <c r="AL36" i="3" s="1"/>
  <c r="AK50" i="3"/>
  <c r="AL50" i="3" s="1"/>
  <c r="AO10" i="3"/>
  <c r="AP9" i="3"/>
  <c r="AK28" i="3"/>
  <c r="AL28" i="3" s="1"/>
  <c r="AK24" i="3"/>
  <c r="AL24" i="3" s="1"/>
  <c r="AK20" i="3"/>
  <c r="AL20" i="3" s="1"/>
  <c r="AK38" i="3"/>
  <c r="AL38" i="3" s="1"/>
  <c r="AK52" i="3"/>
  <c r="AL52" i="3" s="1"/>
  <c r="AK29" i="3"/>
  <c r="AL29" i="3" s="1"/>
  <c r="AK6" i="3"/>
  <c r="AL6" i="3" s="1"/>
  <c r="AK37" i="3"/>
  <c r="AL37" i="3" s="1"/>
  <c r="AK25" i="3"/>
  <c r="AL25" i="3" s="1"/>
  <c r="AK21" i="3"/>
  <c r="AL21" i="3" s="1"/>
  <c r="AK51" i="3"/>
  <c r="AL51" i="3" s="1"/>
  <c r="AK5" i="3"/>
  <c r="AL5" i="3" s="1"/>
  <c r="AK4" i="3"/>
  <c r="AL4" i="3" s="1"/>
  <c r="AK19" i="3"/>
  <c r="AL19" i="3" s="1"/>
  <c r="AK35" i="3"/>
  <c r="AL35" i="3" s="1"/>
  <c r="AK34" i="3"/>
  <c r="AL34" i="3" s="1"/>
  <c r="AK49" i="3"/>
  <c r="AL49" i="3" s="1"/>
  <c r="G93" i="4"/>
  <c r="G107" i="4"/>
  <c r="G94" i="4"/>
  <c r="G97" i="4"/>
  <c r="G84" i="4"/>
  <c r="G96" i="4"/>
  <c r="G81" i="4"/>
  <c r="G95" i="4"/>
  <c r="G92" i="4"/>
  <c r="G104" i="4"/>
  <c r="G105" i="4"/>
  <c r="G99" i="4"/>
  <c r="G103" i="4"/>
  <c r="G100" i="4"/>
  <c r="G80" i="4"/>
  <c r="G108" i="4"/>
  <c r="G82" i="4"/>
  <c r="G83" i="4"/>
  <c r="G85" i="4"/>
  <c r="G90" i="4"/>
  <c r="G91" i="4"/>
  <c r="G86" i="4"/>
  <c r="G98" i="4"/>
  <c r="G101" i="4"/>
  <c r="G87" i="4"/>
  <c r="G106" i="4"/>
  <c r="G89" i="4"/>
  <c r="G88" i="4"/>
  <c r="G102" i="4"/>
  <c r="S6" i="11"/>
  <c r="S6" i="12"/>
  <c r="S6" i="10"/>
  <c r="S6" i="7"/>
  <c r="G72" i="4"/>
  <c r="G79" i="4"/>
  <c r="G75" i="4"/>
  <c r="G76" i="4"/>
  <c r="G74" i="4"/>
  <c r="G77" i="4"/>
  <c r="G73" i="4"/>
  <c r="G71" i="4"/>
  <c r="G65" i="4"/>
  <c r="G69" i="4"/>
  <c r="G70" i="4"/>
  <c r="G66" i="4"/>
  <c r="G68" i="4"/>
  <c r="O43" i="4"/>
  <c r="U43" i="4"/>
  <c r="T43" i="4"/>
  <c r="V43" i="4"/>
  <c r="Q43" i="4"/>
  <c r="P43" i="4"/>
  <c r="N43" i="4"/>
  <c r="N32" i="4" s="1"/>
  <c r="N33" i="4" s="1"/>
  <c r="R43" i="4"/>
  <c r="S43" i="4"/>
  <c r="S32" i="4" s="1"/>
  <c r="S33" i="4" s="1"/>
  <c r="M43" i="4"/>
  <c r="P3" i="8"/>
  <c r="Q3" i="8"/>
  <c r="N3" i="8"/>
  <c r="O3" i="8"/>
  <c r="C20" i="7"/>
  <c r="C11" i="7"/>
  <c r="L43" i="4"/>
  <c r="C18" i="7"/>
  <c r="C15" i="7"/>
  <c r="C17" i="7"/>
  <c r="C13" i="7"/>
  <c r="C14" i="7"/>
  <c r="C19" i="7"/>
  <c r="C12" i="7"/>
  <c r="C21" i="7"/>
  <c r="W43" i="4"/>
  <c r="C16" i="7"/>
  <c r="C10" i="10"/>
  <c r="E45" i="4"/>
  <c r="Y45" i="4" s="1"/>
  <c r="C10" i="7"/>
  <c r="E44" i="4"/>
  <c r="C10" i="11"/>
  <c r="E46" i="4"/>
  <c r="C10" i="12"/>
  <c r="E47" i="4"/>
  <c r="G64" i="4"/>
  <c r="G62" i="4"/>
  <c r="G67" i="4"/>
  <c r="G61" i="4"/>
  <c r="G63" i="4"/>
  <c r="G59" i="4"/>
  <c r="G60" i="4"/>
  <c r="G56" i="4"/>
  <c r="G78" i="4"/>
  <c r="G57" i="4"/>
  <c r="G58" i="4"/>
  <c r="G55" i="4"/>
  <c r="G53" i="4"/>
  <c r="G54" i="4"/>
  <c r="G49" i="4"/>
  <c r="G50" i="4"/>
  <c r="G52" i="4"/>
  <c r="G51" i="4"/>
  <c r="T28" i="3" l="1"/>
  <c r="T60" i="3"/>
  <c r="T25" i="3"/>
  <c r="T37" i="3"/>
  <c r="T30" i="3"/>
  <c r="T38" i="3"/>
  <c r="T46" i="3"/>
  <c r="T54" i="3"/>
  <c r="T62" i="3"/>
  <c r="T11" i="3"/>
  <c r="T19" i="3"/>
  <c r="T27" i="3"/>
  <c r="T48" i="3"/>
  <c r="T13" i="3"/>
  <c r="T21" i="3"/>
  <c r="T10" i="3"/>
  <c r="T31" i="3"/>
  <c r="T39" i="3"/>
  <c r="T47" i="3"/>
  <c r="T55" i="3"/>
  <c r="T63" i="3"/>
  <c r="T12" i="3"/>
  <c r="T20" i="3"/>
  <c r="T40" i="3"/>
  <c r="T56" i="3"/>
  <c r="T5" i="3"/>
  <c r="T29" i="3"/>
  <c r="T26" i="3"/>
  <c r="T32" i="3"/>
  <c r="T53" i="3"/>
  <c r="T33" i="3"/>
  <c r="T41" i="3"/>
  <c r="T49" i="3"/>
  <c r="T57" i="3"/>
  <c r="T6" i="3"/>
  <c r="T14" i="3"/>
  <c r="T22" i="3"/>
  <c r="T35" i="3"/>
  <c r="T59" i="3"/>
  <c r="T16" i="3"/>
  <c r="T24" i="3"/>
  <c r="T44" i="3"/>
  <c r="T9" i="3"/>
  <c r="T61" i="3"/>
  <c r="T34" i="3"/>
  <c r="T42" i="3"/>
  <c r="T50" i="3"/>
  <c r="T58" i="3"/>
  <c r="T7" i="3"/>
  <c r="T15" i="3"/>
  <c r="T23" i="3"/>
  <c r="T43" i="3"/>
  <c r="T51" i="3"/>
  <c r="T8" i="3"/>
  <c r="T36" i="3"/>
  <c r="T52" i="3"/>
  <c r="T17" i="3"/>
  <c r="T45" i="3"/>
  <c r="T18" i="3"/>
  <c r="AO11" i="3"/>
  <c r="AP10" i="3"/>
  <c r="AM20" i="3"/>
  <c r="AM28" i="3"/>
  <c r="AM21" i="3"/>
  <c r="AM22" i="3"/>
  <c r="AM30" i="3"/>
  <c r="AM23" i="3"/>
  <c r="AM31" i="3"/>
  <c r="AM24" i="3"/>
  <c r="AM32" i="3"/>
  <c r="AM25" i="3"/>
  <c r="AM33" i="3"/>
  <c r="AM29" i="3"/>
  <c r="AM26" i="3"/>
  <c r="AM19" i="3"/>
  <c r="AM27" i="3"/>
  <c r="AM4" i="3"/>
  <c r="AM12" i="3"/>
  <c r="AM5" i="3"/>
  <c r="AM13" i="3"/>
  <c r="AM6" i="3"/>
  <c r="AM14" i="3"/>
  <c r="AM15" i="3"/>
  <c r="AM7" i="3"/>
  <c r="AM8" i="3"/>
  <c r="AM16" i="3"/>
  <c r="AM9" i="3"/>
  <c r="AM17" i="3"/>
  <c r="AM10" i="3"/>
  <c r="AM18" i="3"/>
  <c r="AM11" i="3"/>
  <c r="AM53" i="3"/>
  <c r="AM54" i="3"/>
  <c r="AM62" i="3"/>
  <c r="AM55" i="3"/>
  <c r="AM63" i="3"/>
  <c r="AM56" i="3"/>
  <c r="AM49" i="3"/>
  <c r="AM57" i="3"/>
  <c r="AM60" i="3"/>
  <c r="AM61" i="3"/>
  <c r="AM50" i="3"/>
  <c r="AM58" i="3"/>
  <c r="AM51" i="3"/>
  <c r="AM59" i="3"/>
  <c r="AM52" i="3"/>
  <c r="AM44" i="3"/>
  <c r="AM38" i="3"/>
  <c r="AM46" i="3"/>
  <c r="AM39" i="3"/>
  <c r="AM47" i="3"/>
  <c r="AM36" i="3"/>
  <c r="AM37" i="3"/>
  <c r="N28" i="11" s="1"/>
  <c r="AM40" i="3"/>
  <c r="AM48" i="3"/>
  <c r="AM41" i="3"/>
  <c r="AM34" i="3"/>
  <c r="AM42" i="3"/>
  <c r="AM35" i="3"/>
  <c r="N26" i="11" s="1"/>
  <c r="AM43" i="3"/>
  <c r="AM45" i="3"/>
  <c r="L32" i="4"/>
  <c r="M32" i="4"/>
  <c r="O32" i="4"/>
  <c r="O33" i="4" s="1"/>
  <c r="U32" i="4"/>
  <c r="U33" i="4" s="1"/>
  <c r="R32" i="4"/>
  <c r="R33" i="4" s="1"/>
  <c r="P32" i="4"/>
  <c r="P33" i="4" s="1"/>
  <c r="Q32" i="4"/>
  <c r="Q33" i="4" s="1"/>
  <c r="V32" i="4"/>
  <c r="V33" i="4" s="1"/>
  <c r="W32" i="4"/>
  <c r="W33" i="4" s="1"/>
  <c r="T32" i="4"/>
  <c r="T33" i="4" s="1"/>
  <c r="M3" i="8"/>
  <c r="Y46" i="4"/>
  <c r="E27" i="4"/>
  <c r="Y44" i="4"/>
  <c r="E26" i="4"/>
  <c r="Y47" i="4"/>
  <c r="E28" i="4"/>
  <c r="E43" i="4"/>
  <c r="Y43" i="4" s="1"/>
  <c r="AQ7" i="6"/>
  <c r="AQ8" i="6"/>
  <c r="AQ9" i="6"/>
  <c r="AQ10" i="6"/>
  <c r="AQ6" i="6"/>
  <c r="AM7" i="6"/>
  <c r="AM8" i="6"/>
  <c r="AM9" i="6"/>
  <c r="AM10" i="6"/>
  <c r="AM6" i="6"/>
  <c r="H10" i="7"/>
  <c r="C18" i="1"/>
  <c r="H27" i="1"/>
  <c r="H11" i="7"/>
  <c r="H12" i="7"/>
  <c r="H13" i="7"/>
  <c r="H14" i="7"/>
  <c r="H15" i="7"/>
  <c r="H16" i="7"/>
  <c r="H17" i="7"/>
  <c r="H18" i="7"/>
  <c r="H19" i="7"/>
  <c r="H20" i="7"/>
  <c r="H21" i="7"/>
  <c r="G11" i="7"/>
  <c r="G12" i="7"/>
  <c r="G13" i="7"/>
  <c r="G14" i="7"/>
  <c r="G15" i="7"/>
  <c r="G16" i="7"/>
  <c r="G17" i="7"/>
  <c r="G18" i="7"/>
  <c r="G19" i="7"/>
  <c r="G20" i="7"/>
  <c r="G21" i="7"/>
  <c r="G10" i="7"/>
  <c r="L11" i="7"/>
  <c r="L12" i="7"/>
  <c r="L13" i="7"/>
  <c r="L14" i="7"/>
  <c r="L15" i="7"/>
  <c r="L16" i="7"/>
  <c r="L17" i="7"/>
  <c r="L19" i="7"/>
  <c r="L20" i="7"/>
  <c r="L21" i="7"/>
  <c r="L10" i="7"/>
  <c r="E11" i="7"/>
  <c r="E12" i="7"/>
  <c r="E13" i="7"/>
  <c r="E14" i="7"/>
  <c r="E15" i="7"/>
  <c r="E16" i="7"/>
  <c r="E17" i="7"/>
  <c r="E18" i="7"/>
  <c r="E19" i="7"/>
  <c r="E20" i="7"/>
  <c r="E21" i="7"/>
  <c r="E10" i="7"/>
  <c r="T38" i="6"/>
  <c r="T39" i="6"/>
  <c r="T44" i="6"/>
  <c r="L39" i="6"/>
  <c r="AY11" i="3" s="1"/>
  <c r="L44" i="6"/>
  <c r="I56" i="4" l="1"/>
  <c r="I55" i="4"/>
  <c r="I57" i="4"/>
  <c r="I50" i="4"/>
  <c r="L33" i="4"/>
  <c r="H56" i="4" s="1"/>
  <c r="I49" i="4"/>
  <c r="AY16" i="3"/>
  <c r="Z44" i="6"/>
  <c r="M44" i="6"/>
  <c r="AO12" i="3"/>
  <c r="AP11" i="3"/>
  <c r="AL10" i="6"/>
  <c r="AL9" i="6"/>
  <c r="Z40" i="6"/>
  <c r="AL8" i="6"/>
  <c r="Z39" i="6"/>
  <c r="D10" i="7"/>
  <c r="D10" i="11"/>
  <c r="D10" i="12"/>
  <c r="D10" i="10"/>
  <c r="M33" i="4"/>
  <c r="L3" i="8"/>
  <c r="K3" i="8" s="1"/>
  <c r="N28" i="12"/>
  <c r="N26" i="12"/>
  <c r="N38" i="12"/>
  <c r="S26" i="11"/>
  <c r="N38" i="7"/>
  <c r="O38" i="7" s="1"/>
  <c r="N28" i="7"/>
  <c r="O28" i="7" s="1"/>
  <c r="N27" i="11"/>
  <c r="N31" i="7"/>
  <c r="O31" i="7" s="1"/>
  <c r="N37" i="7"/>
  <c r="O37" i="7" s="1"/>
  <c r="N37" i="11"/>
  <c r="N31" i="10"/>
  <c r="N29" i="10"/>
  <c r="N29" i="12"/>
  <c r="O29" i="12" s="1"/>
  <c r="N30" i="12"/>
  <c r="O30" i="12" s="1"/>
  <c r="N32" i="11"/>
  <c r="O32" i="11" s="1"/>
  <c r="N36" i="12"/>
  <c r="N39" i="10"/>
  <c r="N32" i="10"/>
  <c r="N33" i="12"/>
  <c r="S28" i="11"/>
  <c r="N35" i="12"/>
  <c r="N26" i="10"/>
  <c r="N33" i="11"/>
  <c r="O33" i="11" s="1"/>
  <c r="N33" i="10"/>
  <c r="N25" i="11"/>
  <c r="N37" i="12"/>
  <c r="N34" i="11"/>
  <c r="N35" i="11"/>
  <c r="N26" i="7"/>
  <c r="N38" i="10"/>
  <c r="N25" i="10"/>
  <c r="N31" i="11"/>
  <c r="O31" i="11" s="1"/>
  <c r="N34" i="12"/>
  <c r="N32" i="7"/>
  <c r="O32" i="7" s="1"/>
  <c r="N29" i="11"/>
  <c r="N35" i="10"/>
  <c r="N36" i="10"/>
  <c r="N25" i="12"/>
  <c r="N38" i="11"/>
  <c r="N31" i="12"/>
  <c r="O31" i="12" s="1"/>
  <c r="N32" i="12"/>
  <c r="N37" i="10"/>
  <c r="N30" i="10"/>
  <c r="N39" i="12"/>
  <c r="N36" i="11"/>
  <c r="N28" i="10"/>
  <c r="N25" i="7"/>
  <c r="N30" i="11"/>
  <c r="O30" i="11" s="1"/>
  <c r="N27" i="10"/>
  <c r="N34" i="10"/>
  <c r="N39" i="11"/>
  <c r="N27" i="12"/>
  <c r="N30" i="7"/>
  <c r="O30" i="7" s="1"/>
  <c r="N33" i="7"/>
  <c r="O33" i="7" s="1"/>
  <c r="N27" i="7"/>
  <c r="N36" i="7"/>
  <c r="O36" i="7" s="1"/>
  <c r="N29" i="7"/>
  <c r="O29" i="7" s="1"/>
  <c r="N39" i="7"/>
  <c r="N35" i="7"/>
  <c r="O35" i="7" s="1"/>
  <c r="N34" i="7"/>
  <c r="O34" i="7" s="1"/>
  <c r="M39" i="6"/>
  <c r="AU11" i="3" l="1"/>
  <c r="AH8" i="6"/>
  <c r="AJ8" i="6" s="1"/>
  <c r="O37" i="12"/>
  <c r="P61" i="3" s="1"/>
  <c r="O32" i="12"/>
  <c r="P56" i="3" s="1"/>
  <c r="O34" i="12"/>
  <c r="P58" i="3" s="1"/>
  <c r="O36" i="12"/>
  <c r="P60" i="3" s="1"/>
  <c r="O39" i="12"/>
  <c r="P63" i="3" s="1"/>
  <c r="O35" i="12"/>
  <c r="P59" i="3" s="1"/>
  <c r="O33" i="12"/>
  <c r="P57" i="3" s="1"/>
  <c r="O38" i="12"/>
  <c r="P62" i="3" s="1"/>
  <c r="O36" i="11"/>
  <c r="P45" i="3" s="1"/>
  <c r="V45" i="3" s="1"/>
  <c r="Y45" i="3" s="1"/>
  <c r="O38" i="11"/>
  <c r="P47" i="3" s="1"/>
  <c r="V47" i="3" s="1"/>
  <c r="Y47" i="3" s="1"/>
  <c r="O34" i="11"/>
  <c r="P43" i="3" s="1"/>
  <c r="O35" i="11"/>
  <c r="P44" i="3" s="1"/>
  <c r="O39" i="11"/>
  <c r="P48" i="3" s="1"/>
  <c r="V48" i="3" s="1"/>
  <c r="Y48" i="3" s="1"/>
  <c r="O37" i="11"/>
  <c r="P46" i="3" s="1"/>
  <c r="V46" i="3" s="1"/>
  <c r="Y46" i="3" s="1"/>
  <c r="O39" i="10"/>
  <c r="P33" i="3" s="1"/>
  <c r="O38" i="10"/>
  <c r="P32" i="3" s="1"/>
  <c r="O36" i="10"/>
  <c r="P30" i="3" s="1"/>
  <c r="O37" i="10"/>
  <c r="P31" i="3" s="1"/>
  <c r="H55" i="4"/>
  <c r="H57" i="4"/>
  <c r="Y57" i="4" s="1"/>
  <c r="H50" i="4"/>
  <c r="H49" i="4"/>
  <c r="O39" i="7"/>
  <c r="P18" i="3" s="1"/>
  <c r="V18" i="3" s="1"/>
  <c r="AU16" i="3"/>
  <c r="AH13" i="6"/>
  <c r="AJ13" i="6" s="1"/>
  <c r="AO13" i="3"/>
  <c r="AP12" i="3"/>
  <c r="W44" i="6"/>
  <c r="K30" i="4"/>
  <c r="W39" i="6"/>
  <c r="S26" i="12"/>
  <c r="X26" i="12" s="1"/>
  <c r="S28" i="7"/>
  <c r="X28" i="7" s="1"/>
  <c r="S31" i="10"/>
  <c r="U31" i="10" s="1"/>
  <c r="S38" i="7"/>
  <c r="AD38" i="7" s="1"/>
  <c r="Q36" i="12"/>
  <c r="Q33" i="12"/>
  <c r="Q35" i="12"/>
  <c r="Q39" i="12"/>
  <c r="Q37" i="12"/>
  <c r="Q38" i="12"/>
  <c r="Q32" i="12"/>
  <c r="Q34" i="12"/>
  <c r="AE28" i="11"/>
  <c r="Y28" i="11"/>
  <c r="AB28" i="11"/>
  <c r="U28" i="11"/>
  <c r="V28" i="11"/>
  <c r="X28" i="11"/>
  <c r="Z28" i="11"/>
  <c r="AC28" i="11"/>
  <c r="AD28" i="11"/>
  <c r="W28" i="11"/>
  <c r="AF28" i="11"/>
  <c r="AA28" i="11"/>
  <c r="Q38" i="11"/>
  <c r="V26" i="11"/>
  <c r="Y26" i="11"/>
  <c r="X26" i="11"/>
  <c r="AA26" i="11"/>
  <c r="AB26" i="11"/>
  <c r="AE26" i="11"/>
  <c r="AD26" i="11"/>
  <c r="AC26" i="11"/>
  <c r="AF26" i="11"/>
  <c r="W26" i="11"/>
  <c r="Z26" i="11"/>
  <c r="U26" i="11"/>
  <c r="Q39" i="11"/>
  <c r="Q35" i="11"/>
  <c r="Q34" i="11"/>
  <c r="Q37" i="11"/>
  <c r="Q36" i="11"/>
  <c r="T26" i="11"/>
  <c r="Q36" i="10"/>
  <c r="Q39" i="10"/>
  <c r="Q37" i="10"/>
  <c r="S37" i="10"/>
  <c r="Q38" i="10"/>
  <c r="S28" i="12"/>
  <c r="T28" i="12" s="1"/>
  <c r="S38" i="12"/>
  <c r="T38" i="12" s="1"/>
  <c r="S28" i="10"/>
  <c r="S39" i="10"/>
  <c r="S34" i="10"/>
  <c r="S37" i="7"/>
  <c r="S30" i="10"/>
  <c r="S25" i="10"/>
  <c r="S32" i="10"/>
  <c r="S26" i="10"/>
  <c r="S29" i="10"/>
  <c r="S27" i="7"/>
  <c r="S25" i="7"/>
  <c r="S33" i="10"/>
  <c r="S35" i="10"/>
  <c r="S27" i="11"/>
  <c r="T27" i="11" s="1"/>
  <c r="S38" i="10"/>
  <c r="S36" i="10"/>
  <c r="S26" i="7"/>
  <c r="S31" i="7"/>
  <c r="S30" i="11"/>
  <c r="S33" i="11"/>
  <c r="S39" i="11"/>
  <c r="S35" i="7"/>
  <c r="S34" i="7"/>
  <c r="S30" i="7"/>
  <c r="S38" i="11"/>
  <c r="S31" i="11"/>
  <c r="S35" i="11"/>
  <c r="S35" i="12"/>
  <c r="S32" i="11"/>
  <c r="S37" i="12"/>
  <c r="S36" i="11"/>
  <c r="S32" i="12"/>
  <c r="S29" i="11"/>
  <c r="S25" i="11"/>
  <c r="S30" i="12"/>
  <c r="S25" i="12"/>
  <c r="S32" i="7"/>
  <c r="S37" i="11"/>
  <c r="S36" i="7"/>
  <c r="S34" i="11"/>
  <c r="S33" i="7"/>
  <c r="S34" i="12"/>
  <c r="S39" i="7"/>
  <c r="S39" i="12"/>
  <c r="T28" i="11"/>
  <c r="S36" i="12"/>
  <c r="S27" i="12"/>
  <c r="S29" i="7"/>
  <c r="S31" i="12"/>
  <c r="S33" i="12"/>
  <c r="S29" i="12"/>
  <c r="S27" i="10"/>
  <c r="BQ11" i="3" l="1"/>
  <c r="AW11" i="3"/>
  <c r="BQ10" i="3"/>
  <c r="BQ8" i="3"/>
  <c r="BQ12" i="3"/>
  <c r="BQ16" i="3"/>
  <c r="BQ7" i="3"/>
  <c r="BQ9" i="3"/>
  <c r="BQ17" i="3"/>
  <c r="BQ6" i="3"/>
  <c r="BQ14" i="3"/>
  <c r="BQ15" i="3"/>
  <c r="BQ13" i="3"/>
  <c r="BQ25" i="3"/>
  <c r="BQ28" i="3"/>
  <c r="BQ27" i="3"/>
  <c r="BQ26" i="3"/>
  <c r="BQ30" i="3"/>
  <c r="BQ29" i="3"/>
  <c r="V63" i="3"/>
  <c r="Y63" i="3" s="1"/>
  <c r="W63" i="3"/>
  <c r="V33" i="3"/>
  <c r="Y33" i="3" s="1"/>
  <c r="W33" i="3"/>
  <c r="V43" i="3"/>
  <c r="Y43" i="3" s="1"/>
  <c r="W43" i="3"/>
  <c r="V61" i="3"/>
  <c r="Y61" i="3" s="1"/>
  <c r="W61" i="3"/>
  <c r="Y55" i="4"/>
  <c r="V60" i="3"/>
  <c r="Y60" i="3" s="1"/>
  <c r="W60" i="3"/>
  <c r="V56" i="3"/>
  <c r="Y56" i="3" s="1"/>
  <c r="W56" i="3"/>
  <c r="V62" i="3"/>
  <c r="Y62" i="3" s="1"/>
  <c r="W62" i="3"/>
  <c r="V59" i="3"/>
  <c r="Y59" i="3" s="1"/>
  <c r="W59" i="3"/>
  <c r="V58" i="3"/>
  <c r="Y58" i="3" s="1"/>
  <c r="W58" i="3"/>
  <c r="V57" i="3"/>
  <c r="Y57" i="3" s="1"/>
  <c r="W57" i="3"/>
  <c r="V44" i="3"/>
  <c r="Y44" i="3" s="1"/>
  <c r="W44" i="3"/>
  <c r="W45" i="3"/>
  <c r="W48" i="3"/>
  <c r="W46" i="3"/>
  <c r="W47" i="3"/>
  <c r="V31" i="3"/>
  <c r="Y31" i="3" s="1"/>
  <c r="W31" i="3"/>
  <c r="V30" i="3"/>
  <c r="Y30" i="3" s="1"/>
  <c r="W30" i="3"/>
  <c r="V32" i="3"/>
  <c r="Y32" i="3" s="1"/>
  <c r="W32" i="3"/>
  <c r="Y56" i="4"/>
  <c r="Y50" i="4"/>
  <c r="Y49" i="4"/>
  <c r="W18" i="3"/>
  <c r="Y18" i="3"/>
  <c r="BV11" i="3"/>
  <c r="AW16" i="3"/>
  <c r="BV13" i="3"/>
  <c r="BV10" i="3"/>
  <c r="BV8" i="3"/>
  <c r="BV14" i="3"/>
  <c r="BV15" i="3"/>
  <c r="BV17" i="3"/>
  <c r="BV9" i="3"/>
  <c r="BV16" i="3"/>
  <c r="BV7" i="3"/>
  <c r="BV6" i="3"/>
  <c r="BV12" i="3"/>
  <c r="BV24" i="3"/>
  <c r="BV21" i="3"/>
  <c r="BV23" i="3"/>
  <c r="BV20" i="3"/>
  <c r="BV19" i="3"/>
  <c r="BV22" i="3"/>
  <c r="AO14" i="3"/>
  <c r="AP13" i="3"/>
  <c r="E9" i="4"/>
  <c r="M9" i="4" s="1"/>
  <c r="W26" i="12"/>
  <c r="AB26" i="12"/>
  <c r="Z26" i="12"/>
  <c r="AA26" i="12"/>
  <c r="AF26" i="12"/>
  <c r="V26" i="12"/>
  <c r="AD26" i="12"/>
  <c r="T26" i="12"/>
  <c r="AC26" i="12"/>
  <c r="Y26" i="12"/>
  <c r="U26" i="12"/>
  <c r="AE26" i="12"/>
  <c r="AD31" i="10"/>
  <c r="V28" i="7"/>
  <c r="W28" i="7"/>
  <c r="AB28" i="7"/>
  <c r="Z28" i="7"/>
  <c r="AD28" i="7"/>
  <c r="AE28" i="7"/>
  <c r="T28" i="7"/>
  <c r="Y28" i="7"/>
  <c r="U28" i="7"/>
  <c r="AA28" i="7"/>
  <c r="AF28" i="7"/>
  <c r="AC28" i="7"/>
  <c r="Y38" i="7"/>
  <c r="T38" i="7"/>
  <c r="AB31" i="10"/>
  <c r="AF31" i="10"/>
  <c r="T31" i="10"/>
  <c r="Y31" i="10"/>
  <c r="W31" i="10"/>
  <c r="V31" i="10"/>
  <c r="X31" i="10"/>
  <c r="AC38" i="7"/>
  <c r="AA38" i="7"/>
  <c r="X38" i="7"/>
  <c r="AE38" i="7"/>
  <c r="W38" i="7"/>
  <c r="AC31" i="10"/>
  <c r="AA31" i="10"/>
  <c r="AE31" i="10"/>
  <c r="Z31" i="10"/>
  <c r="V38" i="7"/>
  <c r="AB38" i="7"/>
  <c r="AF38" i="7"/>
  <c r="Z38" i="7"/>
  <c r="U38" i="7"/>
  <c r="AB39" i="12"/>
  <c r="AD39" i="12"/>
  <c r="V39" i="12"/>
  <c r="U39" i="12"/>
  <c r="AA39" i="12"/>
  <c r="Y39" i="12"/>
  <c r="Z39" i="12"/>
  <c r="W39" i="12"/>
  <c r="AE39" i="12"/>
  <c r="AC39" i="12"/>
  <c r="X39" i="12"/>
  <c r="AF39" i="12"/>
  <c r="Z30" i="12"/>
  <c r="U30" i="12"/>
  <c r="AF30" i="12"/>
  <c r="W30" i="12"/>
  <c r="AB30" i="12"/>
  <c r="X30" i="12"/>
  <c r="AA30" i="12"/>
  <c r="Y30" i="12"/>
  <c r="V30" i="12"/>
  <c r="AE30" i="12"/>
  <c r="AC30" i="12"/>
  <c r="AD30" i="12"/>
  <c r="V28" i="12"/>
  <c r="AF28" i="12"/>
  <c r="Y28" i="12"/>
  <c r="U28" i="12"/>
  <c r="W28" i="12"/>
  <c r="AC28" i="12"/>
  <c r="AB28" i="12"/>
  <c r="Z28" i="12"/>
  <c r="AA28" i="12"/>
  <c r="AE28" i="12"/>
  <c r="X28" i="12"/>
  <c r="AD28" i="12"/>
  <c r="W27" i="12"/>
  <c r="AF27" i="12"/>
  <c r="U27" i="12"/>
  <c r="V27" i="12"/>
  <c r="AD27" i="12"/>
  <c r="X27" i="12"/>
  <c r="AE27" i="12"/>
  <c r="AC27" i="12"/>
  <c r="AA27" i="12"/>
  <c r="Z27" i="12"/>
  <c r="Y27" i="12"/>
  <c r="AB27" i="12"/>
  <c r="AD34" i="12"/>
  <c r="AF34" i="12"/>
  <c r="AB34" i="12"/>
  <c r="AE34" i="12"/>
  <c r="Z34" i="12"/>
  <c r="W34" i="12"/>
  <c r="AA34" i="12"/>
  <c r="U34" i="12"/>
  <c r="X34" i="12"/>
  <c r="Y34" i="12"/>
  <c r="AC34" i="12"/>
  <c r="V34" i="12"/>
  <c r="Y37" i="12"/>
  <c r="AF37" i="12"/>
  <c r="AE37" i="12"/>
  <c r="U37" i="12"/>
  <c r="AA37" i="12"/>
  <c r="W37" i="12"/>
  <c r="AC37" i="12"/>
  <c r="AB37" i="12"/>
  <c r="V37" i="12"/>
  <c r="AD37" i="12"/>
  <c r="X37" i="12"/>
  <c r="Z37" i="12"/>
  <c r="AC25" i="12"/>
  <c r="U25" i="12"/>
  <c r="AB25" i="12"/>
  <c r="X25" i="12"/>
  <c r="Y25" i="12"/>
  <c r="AA25" i="12"/>
  <c r="W25" i="12"/>
  <c r="AE25" i="12"/>
  <c r="Z25" i="12"/>
  <c r="AF25" i="12"/>
  <c r="V25" i="12"/>
  <c r="AD25" i="12"/>
  <c r="W36" i="12"/>
  <c r="X36" i="12"/>
  <c r="Y36" i="12"/>
  <c r="AE36" i="12"/>
  <c r="U36" i="12"/>
  <c r="V36" i="12"/>
  <c r="AF36" i="12"/>
  <c r="AD36" i="12"/>
  <c r="Z36" i="12"/>
  <c r="AC36" i="12"/>
  <c r="AB36" i="12"/>
  <c r="AA36" i="12"/>
  <c r="X33" i="12"/>
  <c r="AE33" i="12"/>
  <c r="U33" i="12"/>
  <c r="Z33" i="12"/>
  <c r="V33" i="12"/>
  <c r="AF33" i="12"/>
  <c r="AD33" i="12"/>
  <c r="AC33" i="12"/>
  <c r="AB33" i="12"/>
  <c r="Y33" i="12"/>
  <c r="W33" i="12"/>
  <c r="AA33" i="12"/>
  <c r="Y32" i="12"/>
  <c r="AD32" i="12"/>
  <c r="AE32" i="12"/>
  <c r="AF32" i="12"/>
  <c r="U32" i="12"/>
  <c r="AB32" i="12"/>
  <c r="X32" i="12"/>
  <c r="Z32" i="12"/>
  <c r="AA32" i="12"/>
  <c r="V32" i="12"/>
  <c r="AC32" i="12"/>
  <c r="W32" i="12"/>
  <c r="W38" i="12"/>
  <c r="AD38" i="12"/>
  <c r="Y38" i="12"/>
  <c r="AE38" i="12"/>
  <c r="AC38" i="12"/>
  <c r="AB38" i="12"/>
  <c r="Z38" i="12"/>
  <c r="X38" i="12"/>
  <c r="AF38" i="12"/>
  <c r="AA38" i="12"/>
  <c r="U38" i="12"/>
  <c r="V38" i="12"/>
  <c r="AB29" i="12"/>
  <c r="AA29" i="12"/>
  <c r="V29" i="12"/>
  <c r="U29" i="12"/>
  <c r="AC29" i="12"/>
  <c r="AD29" i="12"/>
  <c r="AF29" i="12"/>
  <c r="Z29" i="12"/>
  <c r="W29" i="12"/>
  <c r="Y29" i="12"/>
  <c r="AE29" i="12"/>
  <c r="X29" i="12"/>
  <c r="AA31" i="12"/>
  <c r="AE31" i="12"/>
  <c r="AC31" i="12"/>
  <c r="X31" i="12"/>
  <c r="W31" i="12"/>
  <c r="Z31" i="12"/>
  <c r="AD31" i="12"/>
  <c r="U31" i="12"/>
  <c r="AF31" i="12"/>
  <c r="AB31" i="12"/>
  <c r="V31" i="12"/>
  <c r="Y31" i="12"/>
  <c r="Z35" i="12"/>
  <c r="Y35" i="12"/>
  <c r="AC35" i="12"/>
  <c r="X35" i="12"/>
  <c r="W35" i="12"/>
  <c r="V35" i="12"/>
  <c r="AB35" i="12"/>
  <c r="AF35" i="12"/>
  <c r="U35" i="12"/>
  <c r="AD35" i="12"/>
  <c r="AE35" i="12"/>
  <c r="AA35" i="12"/>
  <c r="AC34" i="11"/>
  <c r="U34" i="11"/>
  <c r="AF34" i="11"/>
  <c r="Z34" i="11"/>
  <c r="W34" i="11"/>
  <c r="AE34" i="11"/>
  <c r="V34" i="11"/>
  <c r="AA34" i="11"/>
  <c r="AB34" i="11"/>
  <c r="AD34" i="11"/>
  <c r="Y34" i="11"/>
  <c r="X34" i="11"/>
  <c r="Z29" i="11"/>
  <c r="AA29" i="11"/>
  <c r="AC29" i="11"/>
  <c r="V29" i="11"/>
  <c r="AF29" i="11"/>
  <c r="AB29" i="11"/>
  <c r="AD29" i="11"/>
  <c r="Y29" i="11"/>
  <c r="U29" i="11"/>
  <c r="AE29" i="11"/>
  <c r="W29" i="11"/>
  <c r="X29" i="11"/>
  <c r="AB38" i="11"/>
  <c r="Y38" i="11"/>
  <c r="AD38" i="11"/>
  <c r="AC38" i="11"/>
  <c r="W38" i="11"/>
  <c r="X38" i="11"/>
  <c r="Z38" i="11"/>
  <c r="AA38" i="11"/>
  <c r="AE38" i="11"/>
  <c r="AF38" i="11"/>
  <c r="V38" i="11"/>
  <c r="U38" i="11"/>
  <c r="W30" i="11"/>
  <c r="Z30" i="11"/>
  <c r="U30" i="11"/>
  <c r="AE30" i="11"/>
  <c r="AF30" i="11"/>
  <c r="Y30" i="11"/>
  <c r="AC30" i="11"/>
  <c r="AA30" i="11"/>
  <c r="AD30" i="11"/>
  <c r="V30" i="11"/>
  <c r="AB30" i="11"/>
  <c r="X30" i="11"/>
  <c r="V32" i="11"/>
  <c r="AD32" i="11"/>
  <c r="AF32" i="11"/>
  <c r="AC32" i="11"/>
  <c r="AA32" i="11"/>
  <c r="Y32" i="11"/>
  <c r="Z32" i="11"/>
  <c r="AB32" i="11"/>
  <c r="W32" i="11"/>
  <c r="U32" i="11"/>
  <c r="AE32" i="11"/>
  <c r="X32" i="11"/>
  <c r="V27" i="11"/>
  <c r="X27" i="11"/>
  <c r="Y27" i="11"/>
  <c r="AA27" i="11"/>
  <c r="AF27" i="11"/>
  <c r="AC27" i="11"/>
  <c r="Z27" i="11"/>
  <c r="AD27" i="11"/>
  <c r="U27" i="11"/>
  <c r="W27" i="11"/>
  <c r="AB27" i="11"/>
  <c r="AE27" i="11"/>
  <c r="AC36" i="11"/>
  <c r="AD36" i="11"/>
  <c r="Z36" i="11"/>
  <c r="W36" i="11"/>
  <c r="AF36" i="11"/>
  <c r="AA36" i="11"/>
  <c r="AB36" i="11"/>
  <c r="U36" i="11"/>
  <c r="Y36" i="11"/>
  <c r="AE36" i="11"/>
  <c r="V36" i="11"/>
  <c r="X36" i="11"/>
  <c r="V25" i="11"/>
  <c r="AB25" i="11"/>
  <c r="W25" i="11"/>
  <c r="AE25" i="11"/>
  <c r="AC25" i="11"/>
  <c r="AF25" i="11"/>
  <c r="AD25" i="11"/>
  <c r="X25" i="11"/>
  <c r="Y25" i="11"/>
  <c r="U25" i="11"/>
  <c r="Z25" i="11"/>
  <c r="AA25" i="11"/>
  <c r="X35" i="11"/>
  <c r="Y35" i="11"/>
  <c r="AA35" i="11"/>
  <c r="V35" i="11"/>
  <c r="AD35" i="11"/>
  <c r="U35" i="11"/>
  <c r="AB35" i="11"/>
  <c r="W35" i="11"/>
  <c r="AE35" i="11"/>
  <c r="AF35" i="11"/>
  <c r="Z35" i="11"/>
  <c r="AC35" i="11"/>
  <c r="AA33" i="11"/>
  <c r="AC33" i="11"/>
  <c r="Z33" i="11"/>
  <c r="U33" i="11"/>
  <c r="V33" i="11"/>
  <c r="Y33" i="11"/>
  <c r="W33" i="11"/>
  <c r="AD33" i="11"/>
  <c r="AE33" i="11"/>
  <c r="X33" i="11"/>
  <c r="AB33" i="11"/>
  <c r="AF33" i="11"/>
  <c r="AE37" i="11"/>
  <c r="W37" i="11"/>
  <c r="Y37" i="11"/>
  <c r="U37" i="11"/>
  <c r="Z37" i="11"/>
  <c r="AA37" i="11"/>
  <c r="AC37" i="11"/>
  <c r="X37" i="11"/>
  <c r="AF37" i="11"/>
  <c r="V37" i="11"/>
  <c r="AB37" i="11"/>
  <c r="AD37" i="11"/>
  <c r="X31" i="11"/>
  <c r="AF31" i="11"/>
  <c r="W31" i="11"/>
  <c r="AB31" i="11"/>
  <c r="AC31" i="11"/>
  <c r="V31" i="11"/>
  <c r="AE31" i="11"/>
  <c r="Z31" i="11"/>
  <c r="AD31" i="11"/>
  <c r="AA31" i="11"/>
  <c r="U31" i="11"/>
  <c r="Y31" i="11"/>
  <c r="V39" i="11"/>
  <c r="AD39" i="11"/>
  <c r="AA39" i="11"/>
  <c r="Y39" i="11"/>
  <c r="X39" i="11"/>
  <c r="AF39" i="11"/>
  <c r="W39" i="11"/>
  <c r="AB39" i="11"/>
  <c r="AC39" i="11"/>
  <c r="AE39" i="11"/>
  <c r="Z39" i="11"/>
  <c r="U39" i="11"/>
  <c r="T34" i="10"/>
  <c r="AD34" i="10"/>
  <c r="AC34" i="10"/>
  <c r="Y34" i="10"/>
  <c r="AB34" i="10"/>
  <c r="U34" i="10"/>
  <c r="AA34" i="10"/>
  <c r="Z34" i="10"/>
  <c r="W34" i="10"/>
  <c r="AF34" i="10"/>
  <c r="V34" i="10"/>
  <c r="AE34" i="10"/>
  <c r="X34" i="10"/>
  <c r="T36" i="10"/>
  <c r="AC36" i="10"/>
  <c r="AB36" i="10"/>
  <c r="Y36" i="10"/>
  <c r="AA36" i="10"/>
  <c r="X36" i="10"/>
  <c r="Z36" i="10"/>
  <c r="AE36" i="10"/>
  <c r="W36" i="10"/>
  <c r="AF36" i="10"/>
  <c r="V36" i="10"/>
  <c r="U36" i="10"/>
  <c r="AD36" i="10"/>
  <c r="T29" i="10"/>
  <c r="AD29" i="10"/>
  <c r="W29" i="10"/>
  <c r="AC29" i="10"/>
  <c r="X29" i="10"/>
  <c r="AA29" i="10"/>
  <c r="AE29" i="10"/>
  <c r="Z29" i="10"/>
  <c r="AF29" i="10"/>
  <c r="Y29" i="10"/>
  <c r="U29" i="10"/>
  <c r="V29" i="10"/>
  <c r="AB29" i="10"/>
  <c r="T39" i="10"/>
  <c r="Z39" i="10"/>
  <c r="AC39" i="10"/>
  <c r="V39" i="10"/>
  <c r="AB39" i="10"/>
  <c r="AD39" i="10"/>
  <c r="Y39" i="10"/>
  <c r="AA39" i="10"/>
  <c r="X39" i="10"/>
  <c r="W39" i="10"/>
  <c r="AF39" i="10"/>
  <c r="AE39" i="10"/>
  <c r="U39" i="10"/>
  <c r="T37" i="10"/>
  <c r="Z37" i="10"/>
  <c r="AF37" i="10"/>
  <c r="Y37" i="10"/>
  <c r="V37" i="10"/>
  <c r="AD37" i="10"/>
  <c r="X37" i="10"/>
  <c r="AC37" i="10"/>
  <c r="W37" i="10"/>
  <c r="U37" i="10"/>
  <c r="AA37" i="10"/>
  <c r="AE37" i="10"/>
  <c r="AB37" i="10"/>
  <c r="T38" i="10"/>
  <c r="AF38" i="10"/>
  <c r="W38" i="10"/>
  <c r="V38" i="10"/>
  <c r="AE38" i="10"/>
  <c r="Y38" i="10"/>
  <c r="AD38" i="10"/>
  <c r="AA38" i="10"/>
  <c r="U38" i="10"/>
  <c r="Z38" i="10"/>
  <c r="AB38" i="10"/>
  <c r="X38" i="10"/>
  <c r="AC38" i="10"/>
  <c r="AA26" i="10"/>
  <c r="Z26" i="10"/>
  <c r="W26" i="10"/>
  <c r="V26" i="10"/>
  <c r="AE26" i="10"/>
  <c r="AF26" i="10"/>
  <c r="X26" i="10"/>
  <c r="AD26" i="10"/>
  <c r="AC26" i="10"/>
  <c r="Y26" i="10"/>
  <c r="U26" i="10"/>
  <c r="AB26" i="10"/>
  <c r="T28" i="10"/>
  <c r="AF28" i="10"/>
  <c r="V28" i="10"/>
  <c r="AD28" i="10"/>
  <c r="W28" i="10"/>
  <c r="AC28" i="10"/>
  <c r="AE28" i="10"/>
  <c r="AB28" i="10"/>
  <c r="U28" i="10"/>
  <c r="Y28" i="10"/>
  <c r="AA28" i="10"/>
  <c r="X28" i="10"/>
  <c r="Z28" i="10"/>
  <c r="T32" i="10"/>
  <c r="AA32" i="10"/>
  <c r="AE32" i="10"/>
  <c r="W32" i="10"/>
  <c r="Y32" i="10"/>
  <c r="X32" i="10"/>
  <c r="AF32" i="10"/>
  <c r="AC32" i="10"/>
  <c r="AB32" i="10"/>
  <c r="V32" i="10"/>
  <c r="Z32" i="10"/>
  <c r="U32" i="10"/>
  <c r="AD32" i="10"/>
  <c r="T35" i="10"/>
  <c r="AE35" i="10"/>
  <c r="AB35" i="10"/>
  <c r="V35" i="10"/>
  <c r="AA35" i="10"/>
  <c r="U35" i="10"/>
  <c r="Z35" i="10"/>
  <c r="Y35" i="10"/>
  <c r="X35" i="10"/>
  <c r="AC35" i="10"/>
  <c r="AD35" i="10"/>
  <c r="W35" i="10"/>
  <c r="AF35" i="10"/>
  <c r="T25" i="10"/>
  <c r="X25" i="10"/>
  <c r="V25" i="10"/>
  <c r="AD25" i="10"/>
  <c r="AA25" i="10"/>
  <c r="AF25" i="10"/>
  <c r="AC25" i="10"/>
  <c r="Z25" i="10"/>
  <c r="U25" i="10"/>
  <c r="Y25" i="10"/>
  <c r="W25" i="10"/>
  <c r="AB25" i="10"/>
  <c r="AE25" i="10"/>
  <c r="T26" i="10"/>
  <c r="T33" i="10"/>
  <c r="W33" i="10"/>
  <c r="U33" i="10"/>
  <c r="AE33" i="10"/>
  <c r="AA33" i="10"/>
  <c r="V33" i="10"/>
  <c r="AF33" i="10"/>
  <c r="X33" i="10"/>
  <c r="AD33" i="10"/>
  <c r="AC33" i="10"/>
  <c r="Z33" i="10"/>
  <c r="AB33" i="10"/>
  <c r="Y33" i="10"/>
  <c r="T30" i="10"/>
  <c r="V30" i="10"/>
  <c r="AE30" i="10"/>
  <c r="AD30" i="10"/>
  <c r="AA30" i="10"/>
  <c r="Z30" i="10"/>
  <c r="X30" i="10"/>
  <c r="AF30" i="10"/>
  <c r="U30" i="10"/>
  <c r="Y30" i="10"/>
  <c r="AC30" i="10"/>
  <c r="W30" i="10"/>
  <c r="AB30" i="10"/>
  <c r="Y27" i="10"/>
  <c r="AD27" i="10"/>
  <c r="X27" i="10"/>
  <c r="U27" i="10"/>
  <c r="V27" i="10"/>
  <c r="W27" i="10"/>
  <c r="AF27" i="10"/>
  <c r="AE27" i="10"/>
  <c r="AB27" i="10"/>
  <c r="AA27" i="10"/>
  <c r="Z27" i="10"/>
  <c r="AC27" i="10"/>
  <c r="T29" i="7"/>
  <c r="V29" i="7"/>
  <c r="AD29" i="7"/>
  <c r="W29" i="7"/>
  <c r="X29" i="7"/>
  <c r="AF29" i="7"/>
  <c r="Y29" i="7"/>
  <c r="AA29" i="7"/>
  <c r="U29" i="7"/>
  <c r="Z29" i="7"/>
  <c r="AC29" i="7"/>
  <c r="AE29" i="7"/>
  <c r="AB29" i="7"/>
  <c r="T33" i="7"/>
  <c r="X33" i="7"/>
  <c r="AF33" i="7"/>
  <c r="Y33" i="7"/>
  <c r="U33" i="7"/>
  <c r="Z33" i="7"/>
  <c r="AA33" i="7"/>
  <c r="AC33" i="7"/>
  <c r="AB33" i="7"/>
  <c r="V33" i="7"/>
  <c r="AD33" i="7"/>
  <c r="W33" i="7"/>
  <c r="AE33" i="7"/>
  <c r="AA32" i="7"/>
  <c r="AB32" i="7"/>
  <c r="AC32" i="7"/>
  <c r="U32" i="7"/>
  <c r="X32" i="7"/>
  <c r="V32" i="7"/>
  <c r="AD32" i="7"/>
  <c r="W32" i="7"/>
  <c r="AE32" i="7"/>
  <c r="AF32" i="7"/>
  <c r="Y32" i="7"/>
  <c r="Z32" i="7"/>
  <c r="Z25" i="7"/>
  <c r="AB25" i="7"/>
  <c r="AC25" i="7"/>
  <c r="W25" i="7"/>
  <c r="U25" i="7"/>
  <c r="V25" i="7"/>
  <c r="AD25" i="7"/>
  <c r="AE25" i="7"/>
  <c r="X25" i="7"/>
  <c r="AF25" i="7"/>
  <c r="Y25" i="7"/>
  <c r="AA25" i="7"/>
  <c r="T35" i="7"/>
  <c r="Z35" i="7"/>
  <c r="AA35" i="7"/>
  <c r="AB35" i="7"/>
  <c r="W35" i="7"/>
  <c r="AC35" i="7"/>
  <c r="V35" i="7"/>
  <c r="AD35" i="7"/>
  <c r="AE35" i="7"/>
  <c r="X35" i="7"/>
  <c r="AF35" i="7"/>
  <c r="Y35" i="7"/>
  <c r="U35" i="7"/>
  <c r="T30" i="7"/>
  <c r="Z30" i="7"/>
  <c r="AB30" i="7"/>
  <c r="AC30" i="7"/>
  <c r="AE30" i="7"/>
  <c r="V30" i="7"/>
  <c r="AD30" i="7"/>
  <c r="W30" i="7"/>
  <c r="X30" i="7"/>
  <c r="AF30" i="7"/>
  <c r="Y30" i="7"/>
  <c r="U30" i="7"/>
  <c r="AA30" i="7"/>
  <c r="T27" i="7"/>
  <c r="Z27" i="7"/>
  <c r="AB27" i="7"/>
  <c r="AC27" i="7"/>
  <c r="U27" i="7"/>
  <c r="W27" i="7"/>
  <c r="Y27" i="7"/>
  <c r="AA27" i="7"/>
  <c r="V27" i="7"/>
  <c r="AD27" i="7"/>
  <c r="AE27" i="7"/>
  <c r="X27" i="7"/>
  <c r="AF27" i="7"/>
  <c r="V31" i="7"/>
  <c r="AD31" i="7"/>
  <c r="AE31" i="7"/>
  <c r="W31" i="7"/>
  <c r="X31" i="7"/>
  <c r="AF31" i="7"/>
  <c r="Y31" i="7"/>
  <c r="U31" i="7"/>
  <c r="Z31" i="7"/>
  <c r="AA31" i="7"/>
  <c r="AB31" i="7"/>
  <c r="AC31" i="7"/>
  <c r="T39" i="7"/>
  <c r="V39" i="7"/>
  <c r="AD39" i="7"/>
  <c r="W39" i="7"/>
  <c r="AE39" i="7"/>
  <c r="X39" i="7"/>
  <c r="AF39" i="7"/>
  <c r="AA39" i="7"/>
  <c r="Y39" i="7"/>
  <c r="U39" i="7"/>
  <c r="Z39" i="7"/>
  <c r="AB39" i="7"/>
  <c r="AC39" i="7"/>
  <c r="T36" i="7"/>
  <c r="W36" i="7"/>
  <c r="AE36" i="7"/>
  <c r="X36" i="7"/>
  <c r="AF36" i="7"/>
  <c r="Y36" i="7"/>
  <c r="Z36" i="7"/>
  <c r="AB36" i="7"/>
  <c r="AA36" i="7"/>
  <c r="AC36" i="7"/>
  <c r="U36" i="7"/>
  <c r="V36" i="7"/>
  <c r="AD36" i="7"/>
  <c r="T34" i="7"/>
  <c r="AC34" i="7"/>
  <c r="U34" i="7"/>
  <c r="V34" i="7"/>
  <c r="AD34" i="7"/>
  <c r="W34" i="7"/>
  <c r="AE34" i="7"/>
  <c r="Z34" i="7"/>
  <c r="X34" i="7"/>
  <c r="AF34" i="7"/>
  <c r="Y34" i="7"/>
  <c r="AA34" i="7"/>
  <c r="AB34" i="7"/>
  <c r="V26" i="7"/>
  <c r="AD26" i="7"/>
  <c r="AE26" i="7"/>
  <c r="X26" i="7"/>
  <c r="AF26" i="7"/>
  <c r="U26" i="7"/>
  <c r="AA26" i="7"/>
  <c r="Y26" i="7"/>
  <c r="Z26" i="7"/>
  <c r="AC26" i="7"/>
  <c r="W26" i="7"/>
  <c r="AB26" i="7"/>
  <c r="AB37" i="7"/>
  <c r="AC37" i="7"/>
  <c r="V37" i="7"/>
  <c r="AD37" i="7"/>
  <c r="Y37" i="7"/>
  <c r="U37" i="7"/>
  <c r="W37" i="7"/>
  <c r="AE37" i="7"/>
  <c r="X37" i="7"/>
  <c r="AF37" i="7"/>
  <c r="Z37" i="7"/>
  <c r="AA37" i="7"/>
  <c r="T31" i="7"/>
  <c r="T37" i="7"/>
  <c r="T25" i="7"/>
  <c r="T26" i="7"/>
  <c r="T36" i="12"/>
  <c r="T38" i="11"/>
  <c r="T32" i="7"/>
  <c r="T32" i="12"/>
  <c r="T27" i="10"/>
  <c r="T31" i="12"/>
  <c r="T25" i="12"/>
  <c r="T30" i="12"/>
  <c r="T39" i="11"/>
  <c r="T32" i="11"/>
  <c r="T37" i="12"/>
  <c r="T31" i="11"/>
  <c r="T27" i="12"/>
  <c r="T36" i="11"/>
  <c r="T35" i="12"/>
  <c r="T30" i="11"/>
  <c r="T33" i="12"/>
  <c r="T39" i="12"/>
  <c r="T34" i="11"/>
  <c r="T37" i="11"/>
  <c r="T29" i="12"/>
  <c r="T34" i="12"/>
  <c r="T25" i="11"/>
  <c r="T29" i="11"/>
  <c r="T35" i="11"/>
  <c r="T33" i="11"/>
  <c r="L38" i="6"/>
  <c r="AY10" i="3" s="1"/>
  <c r="T37" i="6"/>
  <c r="L37" i="6"/>
  <c r="AY9" i="3" s="1"/>
  <c r="AY21" i="6"/>
  <c r="AX21" i="6"/>
  <c r="AW21" i="6"/>
  <c r="AV21" i="6"/>
  <c r="AU21" i="6"/>
  <c r="T31" i="6"/>
  <c r="T30" i="6"/>
  <c r="T29" i="6"/>
  <c r="T28" i="6"/>
  <c r="T27" i="6"/>
  <c r="T26" i="6"/>
  <c r="T25" i="6"/>
  <c r="T24" i="6"/>
  <c r="T23" i="6"/>
  <c r="T22" i="6"/>
  <c r="T21" i="6"/>
  <c r="T20" i="6"/>
  <c r="W20" i="6" s="1"/>
  <c r="F14" i="6"/>
  <c r="AO15" i="3" l="1"/>
  <c r="AP14" i="3"/>
  <c r="AL7" i="6"/>
  <c r="Z38" i="6"/>
  <c r="AL6" i="6"/>
  <c r="Z37" i="6"/>
  <c r="D13" i="7"/>
  <c r="D13" i="11"/>
  <c r="D13" i="12"/>
  <c r="D13" i="10"/>
  <c r="D17" i="11"/>
  <c r="D17" i="7"/>
  <c r="D17" i="12"/>
  <c r="D17" i="10"/>
  <c r="D21" i="7"/>
  <c r="D21" i="11"/>
  <c r="D21" i="12"/>
  <c r="D21" i="10"/>
  <c r="D18" i="10"/>
  <c r="D18" i="12"/>
  <c r="D18" i="7"/>
  <c r="D18" i="11"/>
  <c r="D15" i="7"/>
  <c r="D15" i="12"/>
  <c r="D15" i="10"/>
  <c r="D15" i="11"/>
  <c r="D14" i="7"/>
  <c r="D14" i="12"/>
  <c r="D14" i="10"/>
  <c r="D14" i="11"/>
  <c r="D19" i="7"/>
  <c r="D19" i="12"/>
  <c r="D19" i="10"/>
  <c r="D19" i="11"/>
  <c r="D12" i="7"/>
  <c r="D12" i="11"/>
  <c r="D12" i="12"/>
  <c r="D12" i="10"/>
  <c r="D16" i="7"/>
  <c r="D16" i="11"/>
  <c r="D16" i="10"/>
  <c r="D16" i="12"/>
  <c r="D20" i="7"/>
  <c r="D20" i="11"/>
  <c r="D20" i="12"/>
  <c r="D20" i="10"/>
  <c r="D11" i="7"/>
  <c r="D11" i="12"/>
  <c r="D11" i="11"/>
  <c r="D11" i="10"/>
  <c r="S8" i="10"/>
  <c r="W29" i="6"/>
  <c r="W22" i="6"/>
  <c r="W30" i="6"/>
  <c r="W23" i="6"/>
  <c r="W27" i="6"/>
  <c r="W31" i="6"/>
  <c r="W21" i="6"/>
  <c r="W25" i="6"/>
  <c r="W26" i="6"/>
  <c r="W24" i="6"/>
  <c r="W28" i="6"/>
  <c r="S8" i="7"/>
  <c r="S8" i="12"/>
  <c r="S8" i="11"/>
  <c r="M37" i="6"/>
  <c r="AU9" i="3" s="1"/>
  <c r="M38" i="6"/>
  <c r="E48" i="6"/>
  <c r="H48" i="6" s="1"/>
  <c r="E52" i="6"/>
  <c r="E53" i="6"/>
  <c r="E54" i="6"/>
  <c r="E49" i="6"/>
  <c r="E55" i="6"/>
  <c r="E57" i="6"/>
  <c r="E56" i="6"/>
  <c r="E50" i="6"/>
  <c r="E58" i="6"/>
  <c r="E51" i="6"/>
  <c r="E59" i="6"/>
  <c r="Z21" i="6"/>
  <c r="Z26" i="6"/>
  <c r="Z31" i="6"/>
  <c r="Z29" i="6"/>
  <c r="Z28" i="6"/>
  <c r="Z24" i="6"/>
  <c r="Z25" i="6"/>
  <c r="Z27" i="6"/>
  <c r="Z30" i="6"/>
  <c r="Z23" i="6"/>
  <c r="Z22" i="6"/>
  <c r="Z20" i="6"/>
  <c r="BM22" i="6" l="1"/>
  <c r="BO22" i="6" s="1"/>
  <c r="CH19" i="3"/>
  <c r="CJ19" i="3" s="1"/>
  <c r="AW9" i="3"/>
  <c r="BO7" i="3"/>
  <c r="BO6" i="3"/>
  <c r="BO23" i="3"/>
  <c r="BO27" i="3"/>
  <c r="BO25" i="3"/>
  <c r="BO24" i="3"/>
  <c r="BO22" i="3"/>
  <c r="BO26" i="3"/>
  <c r="BO30" i="3"/>
  <c r="BO29" i="3"/>
  <c r="BO28" i="3"/>
  <c r="BO21" i="3"/>
  <c r="AH7" i="6"/>
  <c r="AJ7" i="6" s="1"/>
  <c r="AU10" i="3"/>
  <c r="Q23" i="12"/>
  <c r="O28" i="12"/>
  <c r="O26" i="12"/>
  <c r="O27" i="12"/>
  <c r="O25" i="12"/>
  <c r="O29" i="11"/>
  <c r="O26" i="11"/>
  <c r="O25" i="11"/>
  <c r="O27" i="11"/>
  <c r="O28" i="11"/>
  <c r="O25" i="10"/>
  <c r="O31" i="10"/>
  <c r="O28" i="10"/>
  <c r="O27" i="10"/>
  <c r="O26" i="10"/>
  <c r="O33" i="10"/>
  <c r="O32" i="10"/>
  <c r="O29" i="10"/>
  <c r="O34" i="10"/>
  <c r="O35" i="10"/>
  <c r="O30" i="10"/>
  <c r="P14" i="3"/>
  <c r="AO16" i="3"/>
  <c r="AP15" i="3"/>
  <c r="Q23" i="10"/>
  <c r="W38" i="6"/>
  <c r="W37" i="6"/>
  <c r="AH6" i="6"/>
  <c r="AJ6" i="6" s="1"/>
  <c r="Q23" i="11"/>
  <c r="P15" i="3"/>
  <c r="V15" i="3" s="1"/>
  <c r="P16" i="3"/>
  <c r="V16" i="3" s="1"/>
  <c r="P13" i="3"/>
  <c r="V13" i="3" s="1"/>
  <c r="P17" i="3"/>
  <c r="V17" i="3" s="1"/>
  <c r="Q23" i="7"/>
  <c r="H51" i="6"/>
  <c r="H53" i="6"/>
  <c r="H52" i="6"/>
  <c r="H59" i="6"/>
  <c r="CH30" i="3" s="1"/>
  <c r="CJ30" i="3" s="1"/>
  <c r="H58" i="6"/>
  <c r="H50" i="6"/>
  <c r="H56" i="6"/>
  <c r="H57" i="6"/>
  <c r="H55" i="6"/>
  <c r="H54" i="6"/>
  <c r="H49" i="6"/>
  <c r="Q4" i="8"/>
  <c r="O4" i="8"/>
  <c r="N4" i="8"/>
  <c r="P4" i="8"/>
  <c r="E16" i="3"/>
  <c r="K21" i="11" l="1"/>
  <c r="K21" i="12"/>
  <c r="K21" i="10"/>
  <c r="K21" i="7"/>
  <c r="BM26" i="6"/>
  <c r="BO26" i="6" s="1"/>
  <c r="CH23" i="3"/>
  <c r="CJ23" i="3" s="1"/>
  <c r="BM28" i="6"/>
  <c r="BO28" i="6" s="1"/>
  <c r="CH25" i="3"/>
  <c r="CJ25" i="3" s="1"/>
  <c r="BM27" i="6"/>
  <c r="BO27" i="6" s="1"/>
  <c r="CH24" i="3"/>
  <c r="CJ24" i="3" s="1"/>
  <c r="BM25" i="6"/>
  <c r="BO25" i="6" s="1"/>
  <c r="CH22" i="3"/>
  <c r="CJ22" i="3" s="1"/>
  <c r="BM23" i="6"/>
  <c r="BO23" i="6" s="1"/>
  <c r="CH20" i="3"/>
  <c r="CJ20" i="3" s="1"/>
  <c r="BM31" i="6"/>
  <c r="BO31" i="6" s="1"/>
  <c r="CH28" i="3"/>
  <c r="CJ28" i="3" s="1"/>
  <c r="BM30" i="6"/>
  <c r="BO30" i="6" s="1"/>
  <c r="CH27" i="3"/>
  <c r="CJ27" i="3" s="1"/>
  <c r="K10" i="11"/>
  <c r="K10" i="7"/>
  <c r="K10" i="10"/>
  <c r="K10" i="12"/>
  <c r="BM32" i="6"/>
  <c r="BO32" i="6" s="1"/>
  <c r="CH29" i="3"/>
  <c r="CJ29" i="3" s="1"/>
  <c r="BM29" i="6"/>
  <c r="BO29" i="6" s="1"/>
  <c r="CH26" i="3"/>
  <c r="CJ26" i="3" s="1"/>
  <c r="BM24" i="6"/>
  <c r="BO24" i="6" s="1"/>
  <c r="CH21" i="3"/>
  <c r="CJ21" i="3" s="1"/>
  <c r="AW10" i="3"/>
  <c r="AW18" i="3" s="1"/>
  <c r="BP11" i="3"/>
  <c r="BP9" i="3"/>
  <c r="BP16" i="3"/>
  <c r="BP7" i="3"/>
  <c r="BW7" i="3" s="1"/>
  <c r="BP8" i="3"/>
  <c r="BP13" i="3"/>
  <c r="BP6" i="3"/>
  <c r="BW6" i="3" s="1"/>
  <c r="BP12" i="3"/>
  <c r="BP10" i="3"/>
  <c r="BP14" i="3"/>
  <c r="BP17" i="3"/>
  <c r="BP15" i="3"/>
  <c r="BP25" i="3"/>
  <c r="BP27" i="3"/>
  <c r="BP28" i="3"/>
  <c r="BP24" i="3"/>
  <c r="BP30" i="3"/>
  <c r="BP26" i="3"/>
  <c r="BP29" i="3"/>
  <c r="V14" i="3"/>
  <c r="Y14" i="3" s="1"/>
  <c r="W14" i="3"/>
  <c r="AO17" i="3"/>
  <c r="AP16" i="3"/>
  <c r="Y17" i="3"/>
  <c r="W17" i="3"/>
  <c r="Y13" i="3"/>
  <c r="W13" i="3"/>
  <c r="Y16" i="3"/>
  <c r="W16" i="3"/>
  <c r="Y15" i="3"/>
  <c r="W15" i="3"/>
  <c r="BM35" i="6"/>
  <c r="K4" i="8"/>
  <c r="G8" i="8" s="1"/>
  <c r="I16" i="1"/>
  <c r="C20" i="1"/>
  <c r="C16" i="1"/>
  <c r="C12" i="1"/>
  <c r="E21" i="3"/>
  <c r="H25" i="1"/>
  <c r="K19" i="12" l="1"/>
  <c r="K19" i="11"/>
  <c r="K19" i="7"/>
  <c r="K19" i="10"/>
  <c r="K20" i="11"/>
  <c r="K20" i="7"/>
  <c r="K20" i="10"/>
  <c r="K20" i="12"/>
  <c r="K16" i="11"/>
  <c r="K16" i="7"/>
  <c r="K16" i="10"/>
  <c r="K16" i="12"/>
  <c r="K11" i="11"/>
  <c r="K11" i="12"/>
  <c r="K11" i="7"/>
  <c r="K11" i="10"/>
  <c r="K14" i="12"/>
  <c r="K14" i="11"/>
  <c r="K14" i="7"/>
  <c r="K14" i="10"/>
  <c r="K13" i="12"/>
  <c r="K13" i="7"/>
  <c r="K13" i="11"/>
  <c r="K13" i="10"/>
  <c r="K12" i="10"/>
  <c r="K12" i="7"/>
  <c r="K12" i="11"/>
  <c r="K12" i="12"/>
  <c r="K17" i="10"/>
  <c r="K17" i="11"/>
  <c r="K17" i="7"/>
  <c r="K17" i="12"/>
  <c r="K18" i="12"/>
  <c r="K18" i="7"/>
  <c r="K18" i="10"/>
  <c r="K18" i="11"/>
  <c r="K15" i="12"/>
  <c r="K15" i="10"/>
  <c r="K15" i="7"/>
  <c r="K15" i="11"/>
  <c r="AO18" i="3"/>
  <c r="AP17" i="3"/>
  <c r="BO35" i="6"/>
  <c r="B8" i="12"/>
  <c r="B8" i="6"/>
  <c r="G3" i="13"/>
  <c r="J41" i="4"/>
  <c r="B8" i="11"/>
  <c r="B8" i="10"/>
  <c r="AS8" i="6"/>
  <c r="B8" i="7"/>
  <c r="C22" i="1"/>
  <c r="E18" i="3"/>
  <c r="E17" i="3"/>
  <c r="E22" i="3"/>
  <c r="I11" i="6" s="1"/>
  <c r="E19" i="3"/>
  <c r="AO19" i="3" l="1"/>
  <c r="AP18" i="3"/>
  <c r="AS9" i="6"/>
  <c r="AU9" i="6" s="1"/>
  <c r="AS17" i="6"/>
  <c r="AS10" i="6"/>
  <c r="AU10" i="6" s="1"/>
  <c r="AS18" i="6"/>
  <c r="AS11" i="6"/>
  <c r="AS19" i="6"/>
  <c r="AS12" i="6"/>
  <c r="AS20" i="6"/>
  <c r="AS13" i="6"/>
  <c r="AS14" i="6"/>
  <c r="AS15" i="6"/>
  <c r="AS16" i="6"/>
  <c r="AS22" i="6"/>
  <c r="D3" i="7"/>
  <c r="D3" i="12"/>
  <c r="E3" i="6"/>
  <c r="D3" i="11"/>
  <c r="K4" i="4"/>
  <c r="D3" i="10"/>
  <c r="C4" i="9"/>
  <c r="AS28" i="6"/>
  <c r="AU28" i="6" s="1"/>
  <c r="AS31" i="6"/>
  <c r="AU31" i="6" s="1"/>
  <c r="AS26" i="6"/>
  <c r="AU26" i="6" s="1"/>
  <c r="AS27" i="6"/>
  <c r="AU27" i="6" s="1"/>
  <c r="AS30" i="6"/>
  <c r="AU30" i="6" s="1"/>
  <c r="AS35" i="6"/>
  <c r="AU35" i="6" s="1"/>
  <c r="AS32" i="6"/>
  <c r="AU32" i="6" s="1"/>
  <c r="AS29" i="6"/>
  <c r="AU29" i="6" s="1"/>
  <c r="AS24" i="6"/>
  <c r="AU24" i="6" s="1"/>
  <c r="AS23" i="6"/>
  <c r="AS25" i="6"/>
  <c r="AU25" i="6" s="1"/>
  <c r="H29" i="1"/>
  <c r="BD11" i="3" l="1"/>
  <c r="BC11" i="3"/>
  <c r="BD13" i="3"/>
  <c r="BC13" i="3"/>
  <c r="BD15" i="3"/>
  <c r="BC15" i="3"/>
  <c r="BC9" i="3"/>
  <c r="BC10" i="3"/>
  <c r="BD14" i="3"/>
  <c r="BD10" i="3"/>
  <c r="BD9" i="3"/>
  <c r="BD16" i="3"/>
  <c r="BC16" i="3"/>
  <c r="BD12" i="3"/>
  <c r="BC12" i="3"/>
  <c r="BC14" i="3"/>
  <c r="AO20" i="3"/>
  <c r="AP19" i="3"/>
  <c r="AX22" i="6"/>
  <c r="AY22" i="6"/>
  <c r="AX26" i="6"/>
  <c r="AY26" i="6"/>
  <c r="AX25" i="6"/>
  <c r="AY25" i="6"/>
  <c r="AY23" i="6"/>
  <c r="AX23" i="6"/>
  <c r="AX24" i="6"/>
  <c r="AY24" i="6"/>
  <c r="AX29" i="6"/>
  <c r="AX32" i="6"/>
  <c r="AX30" i="6"/>
  <c r="AX27" i="6"/>
  <c r="AY27" i="6"/>
  <c r="AX31" i="6"/>
  <c r="AX28" i="6"/>
  <c r="AX35" i="6"/>
  <c r="AV32" i="6"/>
  <c r="AV35" i="6"/>
  <c r="E3" i="8"/>
  <c r="O4" i="9"/>
  <c r="G4" i="9"/>
  <c r="K4" i="9"/>
  <c r="M10" i="12"/>
  <c r="I18" i="12"/>
  <c r="I17" i="12"/>
  <c r="I11" i="12"/>
  <c r="M20" i="12"/>
  <c r="M15" i="12"/>
  <c r="I16" i="12"/>
  <c r="M14" i="12"/>
  <c r="I10" i="12"/>
  <c r="M18" i="12"/>
  <c r="F17" i="12"/>
  <c r="M13" i="12"/>
  <c r="M12" i="12"/>
  <c r="I19" i="12"/>
  <c r="F16" i="12"/>
  <c r="F10" i="12"/>
  <c r="F18" i="12"/>
  <c r="I12" i="12"/>
  <c r="F11" i="12"/>
  <c r="M11" i="12"/>
  <c r="M19" i="12"/>
  <c r="I13" i="12"/>
  <c r="F21" i="12"/>
  <c r="I20" i="12"/>
  <c r="F15" i="12"/>
  <c r="I14" i="12"/>
  <c r="M16" i="12"/>
  <c r="M21" i="12"/>
  <c r="M17" i="12"/>
  <c r="I15" i="12"/>
  <c r="F14" i="12"/>
  <c r="F20" i="12"/>
  <c r="F12" i="12"/>
  <c r="F19" i="12"/>
  <c r="I21" i="12"/>
  <c r="F13" i="12"/>
  <c r="M18" i="10"/>
  <c r="M20" i="10"/>
  <c r="F15" i="11"/>
  <c r="M14" i="10"/>
  <c r="I20" i="11"/>
  <c r="I10" i="11"/>
  <c r="I10" i="10"/>
  <c r="I19" i="11"/>
  <c r="I14" i="10"/>
  <c r="F13" i="10"/>
  <c r="M20" i="11"/>
  <c r="I16" i="11"/>
  <c r="M12" i="11"/>
  <c r="F17" i="10"/>
  <c r="M10" i="10"/>
  <c r="F17" i="11"/>
  <c r="I18" i="11"/>
  <c r="I18" i="10"/>
  <c r="M14" i="11"/>
  <c r="I16" i="10"/>
  <c r="F20" i="10"/>
  <c r="M16" i="11"/>
  <c r="I15" i="10"/>
  <c r="F19" i="11"/>
  <c r="F16" i="11"/>
  <c r="M10" i="11"/>
  <c r="I20" i="10"/>
  <c r="F12" i="10"/>
  <c r="I12" i="11"/>
  <c r="I11" i="10"/>
  <c r="I21" i="11"/>
  <c r="M19" i="11"/>
  <c r="F18" i="10"/>
  <c r="I21" i="10"/>
  <c r="F11" i="10"/>
  <c r="F15" i="10"/>
  <c r="F14" i="11"/>
  <c r="M21" i="10"/>
  <c r="M12" i="10"/>
  <c r="M11" i="11"/>
  <c r="F10" i="11"/>
  <c r="I17" i="10"/>
  <c r="M13" i="11"/>
  <c r="F21" i="11"/>
  <c r="I11" i="11"/>
  <c r="M13" i="10"/>
  <c r="I13" i="10"/>
  <c r="F14" i="10"/>
  <c r="F11" i="11"/>
  <c r="I19" i="10"/>
  <c r="M21" i="11"/>
  <c r="M11" i="10"/>
  <c r="I14" i="11"/>
  <c r="M16" i="10"/>
  <c r="F18" i="11"/>
  <c r="F16" i="10"/>
  <c r="I17" i="11"/>
  <c r="F12" i="11"/>
  <c r="F21" i="10"/>
  <c r="M17" i="11"/>
  <c r="M17" i="10"/>
  <c r="F10" i="10"/>
  <c r="I13" i="11"/>
  <c r="F19" i="10"/>
  <c r="F20" i="11"/>
  <c r="F13" i="11"/>
  <c r="I12" i="10"/>
  <c r="I15" i="11"/>
  <c r="M18" i="11"/>
  <c r="M19" i="10"/>
  <c r="M15" i="11"/>
  <c r="M15" i="10"/>
  <c r="AO9" i="6"/>
  <c r="AO10" i="6"/>
  <c r="AO6" i="6"/>
  <c r="AN7" i="6"/>
  <c r="AN6" i="6"/>
  <c r="AN8" i="6"/>
  <c r="AO7" i="6"/>
  <c r="AN9" i="6"/>
  <c r="AN10" i="6"/>
  <c r="AO8" i="6"/>
  <c r="I21" i="7"/>
  <c r="I19" i="7"/>
  <c r="I16" i="7"/>
  <c r="M18" i="7"/>
  <c r="I18" i="7"/>
  <c r="M19" i="7"/>
  <c r="F19" i="7"/>
  <c r="I17" i="7"/>
  <c r="F18" i="7"/>
  <c r="I11" i="7"/>
  <c r="M16" i="7"/>
  <c r="M20" i="7"/>
  <c r="M17" i="7"/>
  <c r="I13" i="7"/>
  <c r="F17" i="7"/>
  <c r="I15" i="7"/>
  <c r="I20" i="7"/>
  <c r="F21" i="7"/>
  <c r="I12" i="7"/>
  <c r="I14" i="7"/>
  <c r="F20" i="7"/>
  <c r="M21" i="7"/>
  <c r="I10" i="7"/>
  <c r="F14" i="7"/>
  <c r="F12" i="7"/>
  <c r="F11" i="7"/>
  <c r="F15" i="7"/>
  <c r="F16" i="7"/>
  <c r="F10" i="7"/>
  <c r="F13" i="7"/>
  <c r="M13" i="7"/>
  <c r="M10" i="7"/>
  <c r="M12" i="7"/>
  <c r="M15" i="7"/>
  <c r="M14" i="7"/>
  <c r="M11" i="7"/>
  <c r="BE9" i="3" l="1"/>
  <c r="BJ9" i="3" s="1"/>
  <c r="BE13" i="3"/>
  <c r="BJ13" i="3" s="1"/>
  <c r="BS30" i="3" s="1"/>
  <c r="BO8" i="3"/>
  <c r="BO11" i="3"/>
  <c r="BW11" i="3" s="1"/>
  <c r="BO10" i="3"/>
  <c r="BW10" i="3" s="1"/>
  <c r="BO14" i="3"/>
  <c r="BO12" i="3"/>
  <c r="BW12" i="3" s="1"/>
  <c r="BO9" i="3"/>
  <c r="BW9" i="3" s="1"/>
  <c r="BO16" i="3"/>
  <c r="BO15" i="3"/>
  <c r="BO17" i="3"/>
  <c r="BO13" i="3"/>
  <c r="BW13" i="3" s="1"/>
  <c r="BO20" i="3"/>
  <c r="BO19" i="3"/>
  <c r="BO34" i="3" s="1"/>
  <c r="BE14" i="3"/>
  <c r="BE15" i="3"/>
  <c r="BE11" i="3"/>
  <c r="BJ11" i="3" s="1"/>
  <c r="BE10" i="3"/>
  <c r="BJ10" i="3" s="1"/>
  <c r="BE12" i="3"/>
  <c r="BJ12" i="3" s="1"/>
  <c r="BE16" i="3"/>
  <c r="BJ16" i="3" s="1"/>
  <c r="AO21" i="3"/>
  <c r="AP20" i="3"/>
  <c r="AP6" i="6"/>
  <c r="AP10" i="6"/>
  <c r="AP8" i="6"/>
  <c r="AP9" i="6"/>
  <c r="AP7" i="6"/>
  <c r="BW8" i="3" l="1"/>
  <c r="BO32" i="3"/>
  <c r="BO36" i="3" s="1"/>
  <c r="BS26" i="3"/>
  <c r="BS27" i="3"/>
  <c r="BS28" i="3"/>
  <c r="BS25" i="3"/>
  <c r="BS29" i="3"/>
  <c r="BR14" i="3"/>
  <c r="BR17" i="3"/>
  <c r="BW17" i="3" s="1"/>
  <c r="BR15" i="3"/>
  <c r="BW15" i="3" s="1"/>
  <c r="BR16" i="3"/>
  <c r="BW16" i="3" s="1"/>
  <c r="BR25" i="3"/>
  <c r="BR26" i="3"/>
  <c r="BR19" i="3"/>
  <c r="BR21" i="3"/>
  <c r="BR23" i="3"/>
  <c r="BR22" i="3"/>
  <c r="BR24" i="3"/>
  <c r="BR20" i="3"/>
  <c r="BV26" i="3"/>
  <c r="BV27" i="3"/>
  <c r="BV29" i="3"/>
  <c r="BV30" i="3"/>
  <c r="BW30" i="3" s="1"/>
  <c r="BV25" i="3"/>
  <c r="BV28" i="3"/>
  <c r="BQ19" i="3"/>
  <c r="BQ22" i="3"/>
  <c r="BQ20" i="3"/>
  <c r="BQ23" i="3"/>
  <c r="BQ21" i="3"/>
  <c r="BQ24" i="3"/>
  <c r="BP22" i="3"/>
  <c r="BP21" i="3"/>
  <c r="BP19" i="3"/>
  <c r="BP20" i="3"/>
  <c r="BP23" i="3"/>
  <c r="AO22" i="3"/>
  <c r="AP21" i="3"/>
  <c r="AU12" i="6"/>
  <c r="AU18" i="6"/>
  <c r="AU16" i="6"/>
  <c r="AU17" i="6"/>
  <c r="AU14" i="6"/>
  <c r="AU20" i="6"/>
  <c r="AU11" i="6"/>
  <c r="AU15" i="6"/>
  <c r="AU13" i="6"/>
  <c r="AU19" i="6"/>
  <c r="AU23" i="6"/>
  <c r="AU22" i="6"/>
  <c r="AY35" i="6"/>
  <c r="AY28" i="6"/>
  <c r="AY31" i="6"/>
  <c r="AY29" i="6"/>
  <c r="AY30" i="6"/>
  <c r="AY32" i="6"/>
  <c r="AW26" i="6"/>
  <c r="AW22" i="6"/>
  <c r="AW27" i="6"/>
  <c r="AW25" i="6"/>
  <c r="AW24" i="6"/>
  <c r="AW23" i="6"/>
  <c r="AW28" i="6"/>
  <c r="AW31" i="6"/>
  <c r="AW30" i="6"/>
  <c r="AW32" i="6"/>
  <c r="AW35" i="6"/>
  <c r="AW29" i="6"/>
  <c r="AV24" i="6"/>
  <c r="AV30" i="6"/>
  <c r="AV28" i="6"/>
  <c r="AV26" i="6"/>
  <c r="AV25" i="6"/>
  <c r="AV23" i="6"/>
  <c r="AV27" i="6"/>
  <c r="AV31" i="6"/>
  <c r="AV22" i="6"/>
  <c r="AV29" i="6"/>
  <c r="BV32" i="3" l="1"/>
  <c r="BV34" i="3"/>
  <c r="BW14" i="3"/>
  <c r="BR32" i="3"/>
  <c r="BR34" i="3"/>
  <c r="BP34" i="3"/>
  <c r="BP32" i="3"/>
  <c r="BP36" i="3" s="1"/>
  <c r="BQ34" i="3"/>
  <c r="BQ32" i="3"/>
  <c r="BS34" i="3"/>
  <c r="BS32" i="3"/>
  <c r="BS36" i="3" s="1"/>
  <c r="J21" i="11"/>
  <c r="N21" i="11" s="1"/>
  <c r="O21" i="11" s="1"/>
  <c r="J21" i="7"/>
  <c r="N21" i="7" s="1"/>
  <c r="O21" i="7" s="1"/>
  <c r="J21" i="12"/>
  <c r="N21" i="12" s="1"/>
  <c r="O21" i="12" s="1"/>
  <c r="J21" i="10"/>
  <c r="N21" i="10" s="1"/>
  <c r="O21" i="10" s="1"/>
  <c r="BW29" i="3"/>
  <c r="BW28" i="3"/>
  <c r="BW27" i="3"/>
  <c r="BW20" i="3"/>
  <c r="BW22" i="3"/>
  <c r="BW19" i="3"/>
  <c r="BW24" i="3"/>
  <c r="BW26" i="3"/>
  <c r="BW23" i="3"/>
  <c r="BW25" i="3"/>
  <c r="BW21" i="3"/>
  <c r="AO23" i="3"/>
  <c r="AP22" i="3"/>
  <c r="AZ32" i="6"/>
  <c r="AZ31" i="6"/>
  <c r="AZ35" i="6"/>
  <c r="AZ29" i="6"/>
  <c r="AZ30" i="6"/>
  <c r="AZ28" i="6"/>
  <c r="AZ25" i="6"/>
  <c r="AZ22" i="6"/>
  <c r="AZ27" i="6"/>
  <c r="AZ23" i="6"/>
  <c r="AZ24" i="6"/>
  <c r="AZ26" i="6"/>
  <c r="BR36" i="3" l="1"/>
  <c r="BW34" i="3"/>
  <c r="BW32" i="3"/>
  <c r="BQ36" i="3"/>
  <c r="BV36" i="3"/>
  <c r="J18" i="11"/>
  <c r="N18" i="11" s="1"/>
  <c r="O18" i="11" s="1"/>
  <c r="J18" i="7"/>
  <c r="N18" i="7" s="1"/>
  <c r="O18" i="7" s="1"/>
  <c r="J18" i="10"/>
  <c r="N18" i="10" s="1"/>
  <c r="O18" i="10" s="1"/>
  <c r="J18" i="12"/>
  <c r="N18" i="12" s="1"/>
  <c r="O18" i="12" s="1"/>
  <c r="J16" i="12"/>
  <c r="N16" i="12" s="1"/>
  <c r="O16" i="12" s="1"/>
  <c r="J16" i="10"/>
  <c r="N16" i="10" s="1"/>
  <c r="O16" i="10" s="1"/>
  <c r="J16" i="11"/>
  <c r="N16" i="11" s="1"/>
  <c r="O16" i="11" s="1"/>
  <c r="J16" i="7"/>
  <c r="N16" i="7" s="1"/>
  <c r="O16" i="7" s="1"/>
  <c r="J19" i="11"/>
  <c r="N19" i="11" s="1"/>
  <c r="O19" i="11" s="1"/>
  <c r="J19" i="7"/>
  <c r="N19" i="7" s="1"/>
  <c r="O19" i="7" s="1"/>
  <c r="J19" i="12"/>
  <c r="N19" i="12" s="1"/>
  <c r="O19" i="12" s="1"/>
  <c r="J19" i="10"/>
  <c r="N19" i="10" s="1"/>
  <c r="O19" i="10" s="1"/>
  <c r="J13" i="11"/>
  <c r="N13" i="11" s="1"/>
  <c r="O13" i="11" s="1"/>
  <c r="J13" i="7"/>
  <c r="N13" i="7" s="1"/>
  <c r="O13" i="7" s="1"/>
  <c r="J13" i="12"/>
  <c r="N13" i="12" s="1"/>
  <c r="O13" i="12" s="1"/>
  <c r="J13" i="10"/>
  <c r="N13" i="10" s="1"/>
  <c r="O13" i="10" s="1"/>
  <c r="J11" i="11"/>
  <c r="N11" i="11" s="1"/>
  <c r="O11" i="11" s="1"/>
  <c r="J11" i="7"/>
  <c r="N11" i="7" s="1"/>
  <c r="O11" i="7" s="1"/>
  <c r="J11" i="12"/>
  <c r="N11" i="12" s="1"/>
  <c r="O11" i="12" s="1"/>
  <c r="J11" i="10"/>
  <c r="N11" i="10" s="1"/>
  <c r="O11" i="10" s="1"/>
  <c r="J14" i="12"/>
  <c r="N14" i="12" s="1"/>
  <c r="O14" i="12" s="1"/>
  <c r="J14" i="10"/>
  <c r="N14" i="10" s="1"/>
  <c r="O14" i="10" s="1"/>
  <c r="J14" i="11"/>
  <c r="N14" i="11" s="1"/>
  <c r="O14" i="11" s="1"/>
  <c r="J14" i="7"/>
  <c r="N14" i="7" s="1"/>
  <c r="O14" i="7" s="1"/>
  <c r="J17" i="12"/>
  <c r="N17" i="12" s="1"/>
  <c r="O17" i="12" s="1"/>
  <c r="J17" i="10"/>
  <c r="N17" i="10" s="1"/>
  <c r="O17" i="10" s="1"/>
  <c r="J17" i="11"/>
  <c r="N17" i="11" s="1"/>
  <c r="O17" i="11" s="1"/>
  <c r="J17" i="7"/>
  <c r="N17" i="7" s="1"/>
  <c r="O17" i="7" s="1"/>
  <c r="J12" i="7"/>
  <c r="N12" i="7" s="1"/>
  <c r="O12" i="7" s="1"/>
  <c r="J12" i="11"/>
  <c r="N12" i="11" s="1"/>
  <c r="O12" i="11" s="1"/>
  <c r="J12" i="12"/>
  <c r="N12" i="12" s="1"/>
  <c r="O12" i="12" s="1"/>
  <c r="J12" i="10"/>
  <c r="N12" i="10" s="1"/>
  <c r="O12" i="10" s="1"/>
  <c r="J20" i="11"/>
  <c r="N20" i="11" s="1"/>
  <c r="O20" i="11" s="1"/>
  <c r="J20" i="7"/>
  <c r="N20" i="7" s="1"/>
  <c r="O20" i="7" s="1"/>
  <c r="J20" i="12"/>
  <c r="N20" i="12" s="1"/>
  <c r="O20" i="12" s="1"/>
  <c r="J20" i="10"/>
  <c r="N20" i="10" s="1"/>
  <c r="O20" i="10" s="1"/>
  <c r="J15" i="12"/>
  <c r="N15" i="12" s="1"/>
  <c r="O15" i="12" s="1"/>
  <c r="J15" i="10"/>
  <c r="N15" i="10" s="1"/>
  <c r="O15" i="10" s="1"/>
  <c r="J15" i="11"/>
  <c r="N15" i="11" s="1"/>
  <c r="O15" i="11" s="1"/>
  <c r="J15" i="7"/>
  <c r="N15" i="7" s="1"/>
  <c r="O15" i="7" s="1"/>
  <c r="J10" i="10"/>
  <c r="N10" i="10" s="1"/>
  <c r="O10" i="10" s="1"/>
  <c r="J10" i="12"/>
  <c r="N10" i="12" s="1"/>
  <c r="O10" i="12" s="1"/>
  <c r="J10" i="11"/>
  <c r="N10" i="11" s="1"/>
  <c r="O10" i="11" s="1"/>
  <c r="J10" i="7"/>
  <c r="N10" i="7" s="1"/>
  <c r="O10" i="7" s="1"/>
  <c r="AO24" i="3"/>
  <c r="AP23" i="3"/>
  <c r="BW36" i="3" l="1"/>
  <c r="O26" i="7"/>
  <c r="O27" i="7"/>
  <c r="O25" i="7"/>
  <c r="AO25" i="3"/>
  <c r="AP24" i="3"/>
  <c r="P27" i="3"/>
  <c r="V27" i="3" s="1"/>
  <c r="P29" i="3"/>
  <c r="V29" i="3" s="1"/>
  <c r="P25" i="3"/>
  <c r="V25" i="3" s="1"/>
  <c r="P26" i="3"/>
  <c r="V26" i="3" s="1"/>
  <c r="P28" i="3"/>
  <c r="V28" i="3" s="1"/>
  <c r="P42" i="3"/>
  <c r="V42" i="3" s="1"/>
  <c r="P34" i="3"/>
  <c r="V34" i="3" s="1"/>
  <c r="P41" i="3"/>
  <c r="V41" i="3" s="1"/>
  <c r="P39" i="3"/>
  <c r="V39" i="3" s="1"/>
  <c r="P40" i="3"/>
  <c r="V40" i="3" s="1"/>
  <c r="P38" i="3"/>
  <c r="V38" i="3" s="1"/>
  <c r="P37" i="3"/>
  <c r="V37" i="3" s="1"/>
  <c r="P36" i="3"/>
  <c r="V36" i="3" s="1"/>
  <c r="P35" i="3"/>
  <c r="V35" i="3" s="1"/>
  <c r="P51" i="3"/>
  <c r="V51" i="3" s="1"/>
  <c r="P52" i="3"/>
  <c r="V52" i="3" s="1"/>
  <c r="P54" i="3"/>
  <c r="V54" i="3" s="1"/>
  <c r="P55" i="3"/>
  <c r="V55" i="3" s="1"/>
  <c r="P20" i="3"/>
  <c r="V20" i="3" s="1"/>
  <c r="P24" i="3"/>
  <c r="V24" i="3" s="1"/>
  <c r="P19" i="3"/>
  <c r="V19" i="3" s="1"/>
  <c r="P21" i="3"/>
  <c r="V21" i="3" s="1"/>
  <c r="P22" i="3"/>
  <c r="V22" i="3" s="1"/>
  <c r="P23" i="3"/>
  <c r="V23" i="3" s="1"/>
  <c r="AO26" i="3" l="1"/>
  <c r="AP26" i="3" s="1"/>
  <c r="AP25" i="3"/>
  <c r="Y51" i="3"/>
  <c r="W51" i="3"/>
  <c r="Y35" i="3"/>
  <c r="W35" i="3"/>
  <c r="Y42" i="3"/>
  <c r="W42" i="3"/>
  <c r="Y20" i="3"/>
  <c r="W20" i="3"/>
  <c r="Y34" i="3"/>
  <c r="W34" i="3"/>
  <c r="Y55" i="3"/>
  <c r="W55" i="3"/>
  <c r="Y36" i="3"/>
  <c r="W36" i="3"/>
  <c r="Y54" i="3"/>
  <c r="W54" i="3"/>
  <c r="Y28" i="3"/>
  <c r="W28" i="3"/>
  <c r="Y22" i="3"/>
  <c r="W22" i="3"/>
  <c r="Y38" i="3"/>
  <c r="W38" i="3"/>
  <c r="Y26" i="3"/>
  <c r="W26" i="3"/>
  <c r="Y37" i="3"/>
  <c r="W37" i="3"/>
  <c r="Y21" i="3"/>
  <c r="W21" i="3"/>
  <c r="Y40" i="3"/>
  <c r="W40" i="3"/>
  <c r="Y25" i="3"/>
  <c r="W25" i="3"/>
  <c r="Y23" i="3"/>
  <c r="W23" i="3"/>
  <c r="Y19" i="3"/>
  <c r="W19" i="3"/>
  <c r="Y52" i="3"/>
  <c r="W52" i="3"/>
  <c r="Y39" i="3"/>
  <c r="W39" i="3"/>
  <c r="Y29" i="3"/>
  <c r="W29" i="3"/>
  <c r="Y24" i="3"/>
  <c r="W24" i="3"/>
  <c r="Y41" i="3"/>
  <c r="W41" i="3"/>
  <c r="Y27" i="3"/>
  <c r="W27" i="3"/>
  <c r="Q25" i="12"/>
  <c r="P49" i="3"/>
  <c r="V49" i="3" s="1"/>
  <c r="Q26" i="12"/>
  <c r="P50" i="3"/>
  <c r="V50" i="3" s="1"/>
  <c r="P53" i="3"/>
  <c r="V53" i="3" s="1"/>
  <c r="Q34" i="10"/>
  <c r="Q32" i="10"/>
  <c r="Q31" i="10"/>
  <c r="Q35" i="10"/>
  <c r="Q33" i="10"/>
  <c r="P11" i="3"/>
  <c r="V11" i="3" s="1"/>
  <c r="P4" i="3"/>
  <c r="V4" i="3" s="1"/>
  <c r="P9" i="3"/>
  <c r="V9" i="3" s="1"/>
  <c r="P8" i="3"/>
  <c r="V8" i="3" s="1"/>
  <c r="P12" i="3"/>
  <c r="V12" i="3" s="1"/>
  <c r="P7" i="3"/>
  <c r="V7" i="3" s="1"/>
  <c r="P5" i="3"/>
  <c r="V5" i="3" s="1"/>
  <c r="P6" i="3"/>
  <c r="V6" i="3" s="1"/>
  <c r="P10" i="3"/>
  <c r="V10" i="3" s="1"/>
  <c r="O23" i="12"/>
  <c r="E12" i="8" s="1"/>
  <c r="Q26" i="11"/>
  <c r="Q25" i="11"/>
  <c r="Q29" i="12"/>
  <c r="Q30" i="12"/>
  <c r="Q26" i="10"/>
  <c r="Q28" i="12"/>
  <c r="Q31" i="12"/>
  <c r="Q27" i="12"/>
  <c r="AR4" i="3"/>
  <c r="Y5" i="3" l="1"/>
  <c r="W5" i="3"/>
  <c r="Y7" i="3"/>
  <c r="W7" i="3"/>
  <c r="Y53" i="3"/>
  <c r="W53" i="3"/>
  <c r="Y12" i="3"/>
  <c r="W12" i="3"/>
  <c r="Y8" i="3"/>
  <c r="W8" i="3"/>
  <c r="Y50" i="3"/>
  <c r="W50" i="3"/>
  <c r="Y6" i="3"/>
  <c r="W6" i="3"/>
  <c r="Y9" i="3"/>
  <c r="W9" i="3"/>
  <c r="Y4" i="3"/>
  <c r="W4" i="3"/>
  <c r="Y49" i="3"/>
  <c r="W49" i="3"/>
  <c r="Y10" i="3"/>
  <c r="W10" i="3"/>
  <c r="Y11" i="3"/>
  <c r="W11" i="3"/>
  <c r="O23" i="7"/>
  <c r="O23" i="11"/>
  <c r="E11" i="8" s="1"/>
  <c r="Q25" i="10"/>
  <c r="O23" i="10"/>
  <c r="E10" i="8" s="1"/>
  <c r="Q25" i="7"/>
  <c r="Q33" i="7"/>
  <c r="Q26" i="7"/>
  <c r="Q29" i="7"/>
  <c r="Q27" i="7"/>
  <c r="Q33" i="11"/>
  <c r="Q31" i="11"/>
  <c r="Q30" i="11"/>
  <c r="Q32" i="11"/>
  <c r="Q29" i="11"/>
  <c r="Q29" i="10"/>
  <c r="Q28" i="10"/>
  <c r="Q28" i="11"/>
  <c r="Q30" i="10"/>
  <c r="Q27" i="10"/>
  <c r="Q27" i="11"/>
  <c r="Z4" i="3" l="1"/>
  <c r="AA14" i="3"/>
  <c r="D25" i="8" s="1"/>
  <c r="AB30" i="3"/>
  <c r="AB35" i="3"/>
  <c r="Z59" i="3"/>
  <c r="AE59" i="3" s="1"/>
  <c r="AB53" i="3"/>
  <c r="AB16" i="3"/>
  <c r="AA11" i="3"/>
  <c r="D22" i="8" s="1"/>
  <c r="Z13" i="3"/>
  <c r="Z26" i="3"/>
  <c r="AE26" i="3" s="1"/>
  <c r="AB41" i="3"/>
  <c r="Z52" i="3"/>
  <c r="AA62" i="3"/>
  <c r="D73" i="8" s="1"/>
  <c r="AB56" i="3"/>
  <c r="Z43" i="3"/>
  <c r="AE43" i="3" s="1"/>
  <c r="AA53" i="3"/>
  <c r="D64" i="8" s="1"/>
  <c r="Z61" i="3"/>
  <c r="AA59" i="3"/>
  <c r="D70" i="8" s="1"/>
  <c r="AB20" i="3"/>
  <c r="AA36" i="3"/>
  <c r="D47" i="8" s="1"/>
  <c r="AA41" i="3"/>
  <c r="D52" i="8" s="1"/>
  <c r="Z57" i="3"/>
  <c r="AE57" i="3" s="1"/>
  <c r="AB37" i="3"/>
  <c r="AA20" i="3"/>
  <c r="D31" i="8" s="1"/>
  <c r="AB58" i="3"/>
  <c r="Z36" i="3"/>
  <c r="AE36" i="3" s="1"/>
  <c r="AA63" i="3"/>
  <c r="D74" i="8" s="1"/>
  <c r="AB21" i="3"/>
  <c r="Z32" i="3"/>
  <c r="AE32" i="3" s="1"/>
  <c r="AB39" i="3"/>
  <c r="AB52" i="3"/>
  <c r="AB24" i="3"/>
  <c r="Z15" i="3"/>
  <c r="Z20" i="3"/>
  <c r="AB55" i="3"/>
  <c r="Z10" i="3"/>
  <c r="AA46" i="3"/>
  <c r="D57" i="8" s="1"/>
  <c r="AA6" i="3"/>
  <c r="D17" i="8" s="1"/>
  <c r="AA16" i="3"/>
  <c r="D27" i="8" s="1"/>
  <c r="AA21" i="3"/>
  <c r="D32" i="8" s="1"/>
  <c r="AA34" i="3"/>
  <c r="D45" i="8" s="1"/>
  <c r="AA47" i="3"/>
  <c r="D58" i="8" s="1"/>
  <c r="Z63" i="3"/>
  <c r="AB9" i="3"/>
  <c r="AB14" i="3"/>
  <c r="Z25" i="3"/>
  <c r="AE25" i="3" s="1"/>
  <c r="AB42" i="3"/>
  <c r="Z31" i="3"/>
  <c r="AE31" i="3" s="1"/>
  <c r="AA48" i="3"/>
  <c r="D59" i="8" s="1"/>
  <c r="AA32" i="3"/>
  <c r="D43" i="8" s="1"/>
  <c r="AA37" i="3"/>
  <c r="D48" i="8" s="1"/>
  <c r="Z45" i="3"/>
  <c r="Z46" i="3"/>
  <c r="AE46" i="3" s="1"/>
  <c r="Z41" i="3"/>
  <c r="AE41" i="3" s="1"/>
  <c r="Z6" i="3"/>
  <c r="AE6" i="3" s="1"/>
  <c r="Z11" i="3"/>
  <c r="AE11" i="3" s="1"/>
  <c r="Z16" i="3"/>
  <c r="AB23" i="3"/>
  <c r="Z42" i="3"/>
  <c r="AB57" i="3"/>
  <c r="AB32" i="3"/>
  <c r="AA9" i="3"/>
  <c r="D20" i="8" s="1"/>
  <c r="AB19" i="3"/>
  <c r="AB40" i="3"/>
  <c r="AB10" i="3"/>
  <c r="AA18" i="3"/>
  <c r="D29" i="8" s="1"/>
  <c r="AA31" i="3"/>
  <c r="D42" i="8" s="1"/>
  <c r="AA52" i="3"/>
  <c r="D63" i="8" s="1"/>
  <c r="AB62" i="3"/>
  <c r="Z60" i="3"/>
  <c r="AC20" i="3"/>
  <c r="AB61" i="3"/>
  <c r="AA40" i="3"/>
  <c r="D51" i="8" s="1"/>
  <c r="Z19" i="3"/>
  <c r="AE19" i="3" s="1"/>
  <c r="Z30" i="3"/>
  <c r="AE30" i="3" s="1"/>
  <c r="Z40" i="3"/>
  <c r="AE40" i="3" s="1"/>
  <c r="AB18" i="3"/>
  <c r="AB4" i="3"/>
  <c r="AA42" i="3"/>
  <c r="D53" i="8" s="1"/>
  <c r="Z21" i="3"/>
  <c r="AE21" i="3" s="1"/>
  <c r="AA27" i="3"/>
  <c r="D38" i="8" s="1"/>
  <c r="Z50" i="3"/>
  <c r="AE50" i="3" s="1"/>
  <c r="AB28" i="3"/>
  <c r="AA7" i="3"/>
  <c r="D18" i="8" s="1"/>
  <c r="AA60" i="3"/>
  <c r="D71" i="8" s="1"/>
  <c r="Z39" i="3"/>
  <c r="AE39" i="3" s="1"/>
  <c r="AB17" i="3"/>
  <c r="Z14" i="3"/>
  <c r="AE14" i="3" s="1"/>
  <c r="AB38" i="3"/>
  <c r="AA17" i="3"/>
  <c r="D28" i="8" s="1"/>
  <c r="AB54" i="3"/>
  <c r="AB43" i="3"/>
  <c r="AA22" i="3"/>
  <c r="D33" i="8" s="1"/>
  <c r="AA56" i="3"/>
  <c r="D67" i="8" s="1"/>
  <c r="Z35" i="3"/>
  <c r="AE35" i="3" s="1"/>
  <c r="AB13" i="3"/>
  <c r="AA61" i="3"/>
  <c r="D72" i="8" s="1"/>
  <c r="AB34" i="3"/>
  <c r="AA13" i="3"/>
  <c r="D24" i="8" s="1"/>
  <c r="AA58" i="3"/>
  <c r="D69" i="8" s="1"/>
  <c r="Z37" i="3"/>
  <c r="AE37" i="3" s="1"/>
  <c r="AB15" i="3"/>
  <c r="AB63" i="3"/>
  <c r="AB44" i="3"/>
  <c r="AA23" i="3"/>
  <c r="D34" i="8" s="1"/>
  <c r="AA35" i="3"/>
  <c r="D46" i="8" s="1"/>
  <c r="Z55" i="3"/>
  <c r="AE55" i="3" s="1"/>
  <c r="AB33" i="3"/>
  <c r="AA12" i="3"/>
  <c r="D23" i="8" s="1"/>
  <c r="AA57" i="3"/>
  <c r="D68" i="8" s="1"/>
  <c r="AA33" i="3"/>
  <c r="D44" i="8" s="1"/>
  <c r="Z12" i="3"/>
  <c r="AE12" i="3" s="1"/>
  <c r="AB59" i="3"/>
  <c r="AA38" i="3"/>
  <c r="D49" i="8" s="1"/>
  <c r="Z17" i="3"/>
  <c r="AE17" i="3" s="1"/>
  <c r="Z51" i="3"/>
  <c r="AE51" i="3" s="1"/>
  <c r="AB29" i="3"/>
  <c r="AA8" i="3"/>
  <c r="D19" i="8" s="1"/>
  <c r="AB50" i="3"/>
  <c r="AA29" i="3"/>
  <c r="D40" i="8" s="1"/>
  <c r="Z8" i="3"/>
  <c r="AE8" i="3" s="1"/>
  <c r="Z53" i="3"/>
  <c r="AE53" i="3" s="1"/>
  <c r="AB31" i="3"/>
  <c r="AA10" i="3"/>
  <c r="D21" i="8" s="1"/>
  <c r="AB60" i="3"/>
  <c r="AA39" i="3"/>
  <c r="D50" i="8" s="1"/>
  <c r="Z18" i="3"/>
  <c r="AE18" i="3" s="1"/>
  <c r="Z22" i="3"/>
  <c r="AE22" i="3" s="1"/>
  <c r="AB49" i="3"/>
  <c r="AA28" i="3"/>
  <c r="D39" i="8" s="1"/>
  <c r="Z7" i="3"/>
  <c r="AE7" i="3" s="1"/>
  <c r="AA49" i="3"/>
  <c r="D60" i="8" s="1"/>
  <c r="Z28" i="3"/>
  <c r="AE28" i="3" s="1"/>
  <c r="AB6" i="3"/>
  <c r="AA54" i="3"/>
  <c r="D65" i="8" s="1"/>
  <c r="Z33" i="3"/>
  <c r="AE33" i="3" s="1"/>
  <c r="AB11" i="3"/>
  <c r="Z27" i="3"/>
  <c r="AE27" i="3" s="1"/>
  <c r="AB5" i="3"/>
  <c r="Z48" i="3"/>
  <c r="AE48" i="3" s="1"/>
  <c r="AB26" i="3"/>
  <c r="AA5" i="3"/>
  <c r="D16" i="8" s="1"/>
  <c r="AA50" i="3"/>
  <c r="D61" i="8" s="1"/>
  <c r="Z29" i="3"/>
  <c r="AE29" i="3" s="1"/>
  <c r="AB7" i="3"/>
  <c r="Z58" i="3"/>
  <c r="AE58" i="3" s="1"/>
  <c r="AB36" i="3"/>
  <c r="AA15" i="3"/>
  <c r="D26" i="8" s="1"/>
  <c r="AB8" i="3"/>
  <c r="Z47" i="3"/>
  <c r="AE47" i="3" s="1"/>
  <c r="AB25" i="3"/>
  <c r="Z62" i="3"/>
  <c r="AE62" i="3" s="1"/>
  <c r="AB46" i="3"/>
  <c r="AA25" i="3"/>
  <c r="D36" i="8" s="1"/>
  <c r="AB48" i="3"/>
  <c r="AB51" i="3"/>
  <c r="AA30" i="3"/>
  <c r="D41" i="8" s="1"/>
  <c r="Z9" i="3"/>
  <c r="AE9" i="3" s="1"/>
  <c r="Z38" i="3"/>
  <c r="AE38" i="3" s="1"/>
  <c r="AB45" i="3"/>
  <c r="AA24" i="3"/>
  <c r="D35" i="8" s="1"/>
  <c r="Z54" i="3"/>
  <c r="AE54" i="3" s="1"/>
  <c r="AA45" i="3"/>
  <c r="D56" i="8" s="1"/>
  <c r="Z24" i="3"/>
  <c r="AE24" i="3" s="1"/>
  <c r="AA51" i="3"/>
  <c r="D62" i="8" s="1"/>
  <c r="AB47" i="3"/>
  <c r="AA26" i="3"/>
  <c r="D37" i="8" s="1"/>
  <c r="Z5" i="3"/>
  <c r="AE5" i="3" s="1"/>
  <c r="AA55" i="3"/>
  <c r="D66" i="8" s="1"/>
  <c r="Z34" i="3"/>
  <c r="AE34" i="3" s="1"/>
  <c r="AB12" i="3"/>
  <c r="Z56" i="3"/>
  <c r="AE56" i="3" s="1"/>
  <c r="AA44" i="3"/>
  <c r="D55" i="8" s="1"/>
  <c r="Z23" i="3"/>
  <c r="AE23" i="3" s="1"/>
  <c r="AA43" i="3"/>
  <c r="D54" i="8" s="1"/>
  <c r="Z44" i="3"/>
  <c r="AE44" i="3" s="1"/>
  <c r="AB22" i="3"/>
  <c r="AA19" i="3"/>
  <c r="D30" i="8" s="1"/>
  <c r="Z49" i="3"/>
  <c r="AE49" i="3" s="1"/>
  <c r="AB27" i="3"/>
  <c r="AC7" i="3"/>
  <c r="AC26" i="3"/>
  <c r="AC10" i="3"/>
  <c r="AC62" i="3"/>
  <c r="AC17" i="3"/>
  <c r="AC22" i="3"/>
  <c r="AC32" i="3"/>
  <c r="AC15" i="3"/>
  <c r="AC13" i="3"/>
  <c r="AC44" i="3"/>
  <c r="AC12" i="3"/>
  <c r="AC48" i="3"/>
  <c r="AC55" i="3"/>
  <c r="AC54" i="3"/>
  <c r="AC43" i="3"/>
  <c r="AC39" i="3"/>
  <c r="AC34" i="3"/>
  <c r="AC49" i="3"/>
  <c r="AC56" i="3"/>
  <c r="AC36" i="3"/>
  <c r="AC33" i="3"/>
  <c r="AC16" i="3"/>
  <c r="AC41" i="3"/>
  <c r="AC11" i="3"/>
  <c r="AC37" i="3"/>
  <c r="AA4" i="3"/>
  <c r="D15" i="8" s="1"/>
  <c r="AC50" i="3"/>
  <c r="AC19" i="3"/>
  <c r="AC29" i="3"/>
  <c r="AC24" i="3"/>
  <c r="AC51" i="3"/>
  <c r="AC58" i="3"/>
  <c r="AC9" i="3"/>
  <c r="AC23" i="3"/>
  <c r="AC47" i="3"/>
  <c r="AC59" i="3"/>
  <c r="AC61" i="3"/>
  <c r="AC4" i="3"/>
  <c r="AC5" i="3"/>
  <c r="AC60" i="3"/>
  <c r="AC38" i="3"/>
  <c r="AC6" i="3"/>
  <c r="AC31" i="3"/>
  <c r="AC46" i="3"/>
  <c r="AC21" i="3"/>
  <c r="AC27" i="3"/>
  <c r="AC52" i="3"/>
  <c r="AC8" i="3"/>
  <c r="AC18" i="3"/>
  <c r="AC28" i="3"/>
  <c r="AC30" i="3"/>
  <c r="AC14" i="3"/>
  <c r="AC35" i="3"/>
  <c r="AC42" i="3"/>
  <c r="AC53" i="3"/>
  <c r="AC45" i="3"/>
  <c r="AC57" i="3"/>
  <c r="AC25" i="3"/>
  <c r="AC40" i="3"/>
  <c r="AC63" i="3"/>
  <c r="Q39" i="7"/>
  <c r="Q37" i="7"/>
  <c r="Q38" i="7"/>
  <c r="Q35" i="7"/>
  <c r="Q36" i="7"/>
  <c r="Q34" i="7"/>
  <c r="Q28" i="7"/>
  <c r="Q30" i="7"/>
  <c r="E9" i="8"/>
  <c r="Q31" i="7"/>
  <c r="Q32" i="7"/>
  <c r="C37" i="8" l="1"/>
  <c r="B37" i="8" s="1"/>
  <c r="C68" i="8"/>
  <c r="B68" i="8" s="1"/>
  <c r="C70" i="8"/>
  <c r="B70" i="8" s="1"/>
  <c r="C57" i="8"/>
  <c r="B57" i="8" s="1"/>
  <c r="C43" i="8"/>
  <c r="B43" i="8" s="1"/>
  <c r="C47" i="8"/>
  <c r="B47" i="8" s="1"/>
  <c r="C17" i="8"/>
  <c r="B17" i="8" s="1"/>
  <c r="C54" i="8"/>
  <c r="B54" i="8" s="1"/>
  <c r="C52" i="8"/>
  <c r="B52" i="8" s="1"/>
  <c r="E74" i="8"/>
  <c r="AF63" i="3"/>
  <c r="E42" i="8"/>
  <c r="AF31" i="3"/>
  <c r="E26" i="8"/>
  <c r="AF15" i="3"/>
  <c r="E72" i="8"/>
  <c r="AF61" i="3"/>
  <c r="E51" i="8"/>
  <c r="AF40" i="3"/>
  <c r="E35" i="8"/>
  <c r="AF24" i="3"/>
  <c r="E69" i="8"/>
  <c r="AF58" i="3"/>
  <c r="E58" i="8"/>
  <c r="AF47" i="3"/>
  <c r="E36" i="8"/>
  <c r="AF25" i="3"/>
  <c r="E28" i="8"/>
  <c r="AF17" i="3"/>
  <c r="E30" i="8"/>
  <c r="AF19" i="3"/>
  <c r="E53" i="8"/>
  <c r="AF42" i="3"/>
  <c r="E63" i="8"/>
  <c r="AF52" i="3"/>
  <c r="E48" i="8"/>
  <c r="AF37" i="3"/>
  <c r="E27" i="8"/>
  <c r="AF16" i="3"/>
  <c r="E18" i="8"/>
  <c r="AF7" i="3"/>
  <c r="E22" i="8"/>
  <c r="AF11" i="3"/>
  <c r="E60" i="8"/>
  <c r="AF49" i="3"/>
  <c r="E44" i="8"/>
  <c r="AF33" i="3"/>
  <c r="E15" i="8"/>
  <c r="AF4" i="3"/>
  <c r="E50" i="8"/>
  <c r="AF39" i="3"/>
  <c r="E67" i="8"/>
  <c r="AF56" i="3"/>
  <c r="E64" i="8"/>
  <c r="AF53" i="3"/>
  <c r="E56" i="8"/>
  <c r="AF45" i="3"/>
  <c r="E38" i="8"/>
  <c r="AF27" i="3"/>
  <c r="E19" i="8"/>
  <c r="AF8" i="3"/>
  <c r="E37" i="8"/>
  <c r="AF26" i="3"/>
  <c r="E29" i="8"/>
  <c r="AF18" i="3"/>
  <c r="E73" i="8"/>
  <c r="AF62" i="3"/>
  <c r="E43" i="8"/>
  <c r="AF32" i="3"/>
  <c r="E25" i="8"/>
  <c r="AF14" i="3"/>
  <c r="E57" i="8"/>
  <c r="AF46" i="3"/>
  <c r="E23" i="8"/>
  <c r="AF12" i="3"/>
  <c r="E62" i="8"/>
  <c r="AF51" i="3"/>
  <c r="E61" i="8"/>
  <c r="AF50" i="3"/>
  <c r="E45" i="8"/>
  <c r="AF34" i="3"/>
  <c r="E54" i="8"/>
  <c r="AF43" i="3"/>
  <c r="E68" i="8"/>
  <c r="AF57" i="3"/>
  <c r="E20" i="8"/>
  <c r="AF9" i="3"/>
  <c r="E32" i="8"/>
  <c r="AF21" i="3"/>
  <c r="E46" i="8"/>
  <c r="AF35" i="3"/>
  <c r="E49" i="8"/>
  <c r="AF38" i="3"/>
  <c r="E59" i="8"/>
  <c r="AF48" i="3"/>
  <c r="E47" i="8"/>
  <c r="AF36" i="3"/>
  <c r="E16" i="8"/>
  <c r="AF5" i="3"/>
  <c r="E17" i="8"/>
  <c r="AF6" i="3"/>
  <c r="E70" i="8"/>
  <c r="AF59" i="3"/>
  <c r="E65" i="8"/>
  <c r="AF54" i="3"/>
  <c r="E39" i="8"/>
  <c r="AF28" i="3"/>
  <c r="E66" i="8"/>
  <c r="AF55" i="3"/>
  <c r="E31" i="8"/>
  <c r="AF20" i="3"/>
  <c r="E52" i="8"/>
  <c r="AF41" i="3"/>
  <c r="E41" i="8"/>
  <c r="AF30" i="3"/>
  <c r="E21" i="8"/>
  <c r="AF10" i="3"/>
  <c r="E33" i="8"/>
  <c r="AF22" i="3"/>
  <c r="E71" i="8"/>
  <c r="AF60" i="3"/>
  <c r="E40" i="8"/>
  <c r="AF29" i="3"/>
  <c r="E55" i="8"/>
  <c r="AF44" i="3"/>
  <c r="E24" i="8"/>
  <c r="AF13" i="3"/>
  <c r="E34" i="8"/>
  <c r="AF23" i="3"/>
  <c r="C36" i="8"/>
  <c r="B36" i="8" s="1"/>
  <c r="C71" i="8"/>
  <c r="B71" i="8" s="1"/>
  <c r="AE60" i="3"/>
  <c r="C24" i="8"/>
  <c r="B24" i="8" s="1"/>
  <c r="AE13" i="3"/>
  <c r="C27" i="8"/>
  <c r="B27" i="8" s="1"/>
  <c r="AE16" i="3"/>
  <c r="C72" i="8"/>
  <c r="B72" i="8" s="1"/>
  <c r="AE61" i="3"/>
  <c r="C56" i="8"/>
  <c r="B56" i="8" s="1"/>
  <c r="AE45" i="3"/>
  <c r="C21" i="8"/>
  <c r="B21" i="8" s="1"/>
  <c r="AE10" i="3"/>
  <c r="C63" i="8"/>
  <c r="B63" i="8" s="1"/>
  <c r="AE52" i="3"/>
  <c r="C53" i="8"/>
  <c r="B53" i="8" s="1"/>
  <c r="AE42" i="3"/>
  <c r="C74" i="8"/>
  <c r="B74" i="8" s="1"/>
  <c r="AE63" i="3"/>
  <c r="C26" i="8"/>
  <c r="B26" i="8" s="1"/>
  <c r="AE15" i="3"/>
  <c r="C22" i="8"/>
  <c r="B22" i="8" s="1"/>
  <c r="C42" i="8"/>
  <c r="B42" i="8" s="1"/>
  <c r="C31" i="8"/>
  <c r="B31" i="8" s="1"/>
  <c r="AE20" i="3"/>
  <c r="C38" i="8"/>
  <c r="B38" i="8" s="1"/>
  <c r="C51" i="8"/>
  <c r="B51" i="8" s="1"/>
  <c r="C49" i="8"/>
  <c r="B49" i="8" s="1"/>
  <c r="C19" i="8"/>
  <c r="B19" i="8" s="1"/>
  <c r="C41" i="8"/>
  <c r="B41" i="8" s="1"/>
  <c r="C55" i="8"/>
  <c r="B55" i="8" s="1"/>
  <c r="C23" i="8"/>
  <c r="B23" i="8" s="1"/>
  <c r="C61" i="8"/>
  <c r="B61" i="8" s="1"/>
  <c r="C29" i="8"/>
  <c r="B29" i="8" s="1"/>
  <c r="C46" i="8"/>
  <c r="B46" i="8" s="1"/>
  <c r="C16" i="8"/>
  <c r="B16" i="8" s="1"/>
  <c r="C15" i="8"/>
  <c r="B15" i="8" s="1"/>
  <c r="AE4" i="3"/>
  <c r="C34" i="8"/>
  <c r="B34" i="8" s="1"/>
  <c r="C33" i="8"/>
  <c r="B33" i="8" s="1"/>
  <c r="C67" i="8"/>
  <c r="B67" i="8" s="1"/>
  <c r="C35" i="8"/>
  <c r="B35" i="8" s="1"/>
  <c r="C20" i="8"/>
  <c r="B20" i="8" s="1"/>
  <c r="C58" i="8"/>
  <c r="B58" i="8" s="1"/>
  <c r="C25" i="8"/>
  <c r="B25" i="8" s="1"/>
  <c r="C32" i="8"/>
  <c r="B32" i="8" s="1"/>
  <c r="C64" i="8"/>
  <c r="B64" i="8" s="1"/>
  <c r="C44" i="8"/>
  <c r="B44" i="8" s="1"/>
  <c r="C60" i="8"/>
  <c r="B60" i="8" s="1"/>
  <c r="C39" i="8"/>
  <c r="B39" i="8" s="1"/>
  <c r="C48" i="8"/>
  <c r="B48" i="8" s="1"/>
  <c r="C40" i="8"/>
  <c r="B40" i="8" s="1"/>
  <c r="C30" i="8"/>
  <c r="B30" i="8" s="1"/>
  <c r="C45" i="8"/>
  <c r="B45" i="8" s="1"/>
  <c r="C65" i="8"/>
  <c r="B65" i="8" s="1"/>
  <c r="C59" i="8"/>
  <c r="B59" i="8" s="1"/>
  <c r="C62" i="8"/>
  <c r="B62" i="8" s="1"/>
  <c r="C50" i="8"/>
  <c r="B50" i="8" s="1"/>
  <c r="C69" i="8"/>
  <c r="B69" i="8" s="1"/>
  <c r="C73" i="8"/>
  <c r="B73" i="8" s="1"/>
  <c r="C18" i="8"/>
  <c r="B18" i="8" s="1"/>
  <c r="C28" i="8"/>
  <c r="B28" i="8" s="1"/>
  <c r="C66" i="8"/>
  <c r="B66" i="8" s="1"/>
  <c r="AH7" i="3" l="1"/>
  <c r="AH6" i="3"/>
  <c r="AH5" i="3"/>
  <c r="AH4" i="3"/>
  <c r="E8" i="8"/>
</calcChain>
</file>

<file path=xl/sharedStrings.xml><?xml version="1.0" encoding="utf-8"?>
<sst xmlns="http://schemas.openxmlformats.org/spreadsheetml/2006/main" count="585" uniqueCount="375">
  <si>
    <t>-. Debe cumplimentar esta Hoja Excel y anexarla a la cuenta justificativa (Solicitud de Cobro) del expediente.</t>
  </si>
  <si>
    <t>HOJA/PESTAÑA "EXPEDIENTE"</t>
  </si>
  <si>
    <t>-. En la Hoja/Pestaña "EXPEDIENTE" se deberá cumplimentar:</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</si>
  <si>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</si>
  <si>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</si>
  <si>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</si>
  <si>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</si>
  <si>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</si>
  <si>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</si>
  <si>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</si>
  <si>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BENEFICIARIO:</t>
  </si>
  <si>
    <t>PROGRAMA:</t>
  </si>
  <si>
    <t>AÑO:</t>
  </si>
  <si>
    <t>BORM BASES REGULADORAS:</t>
  </si>
  <si>
    <t>DIVISIÓN:</t>
  </si>
  <si>
    <t>BORM EXTRACTO CONVOCATORIA:</t>
  </si>
  <si>
    <t>LÍNEA:</t>
  </si>
  <si>
    <t>Nº EXPEDIENTE:</t>
  </si>
  <si>
    <t>(dd/mm/aa)</t>
  </si>
  <si>
    <t>FECHAS INFO</t>
  </si>
  <si>
    <t>FECHA FINAL PLAZO JUSTIFICACIÓN:</t>
  </si>
  <si>
    <t>BBRR:</t>
  </si>
  <si>
    <t>EXTRACTO CONVOCATORIA:</t>
  </si>
  <si>
    <t>PLAZO JUSTIFICACIÓN TRAS EJECUCIÓN</t>
  </si>
  <si>
    <t>meses</t>
  </si>
  <si>
    <t>FECHA FINAL EJECUCIÓN</t>
  </si>
  <si>
    <t>DIA FINAL EJECUCIÓN</t>
  </si>
  <si>
    <t>MES FINAL EJECUCIÓN</t>
  </si>
  <si>
    <t>AÑO FINAL DE EJECUCIÓN</t>
  </si>
  <si>
    <t>FECHA FINAL PROV. JUSTIFICACIÓN</t>
  </si>
  <si>
    <t>FECHA FINAL DE JUSTIFICACIÓN</t>
  </si>
  <si>
    <t>NOMBRE:</t>
  </si>
  <si>
    <t>PRIMER APELLIDO:</t>
  </si>
  <si>
    <t>SEGUNDO APELLIDO:</t>
  </si>
  <si>
    <t>ACRÓNIMO:</t>
  </si>
  <si>
    <t>ENE</t>
  </si>
  <si>
    <t>FEB</t>
  </si>
  <si>
    <t>MAR</t>
  </si>
  <si>
    <t>ABR</t>
  </si>
  <si>
    <t>MAY</t>
  </si>
  <si>
    <t>JUN</t>
  </si>
  <si>
    <t>JUL</t>
  </si>
  <si>
    <t>AGO</t>
  </si>
  <si>
    <t>SEP</t>
  </si>
  <si>
    <t>OCT</t>
  </si>
  <si>
    <t>NOV</t>
  </si>
  <si>
    <t>DIC</t>
  </si>
  <si>
    <t>Contingencias comunes:</t>
  </si>
  <si>
    <t>Desempleo:</t>
  </si>
  <si>
    <t>Formación profesional:</t>
  </si>
  <si>
    <t>TIPO COTIZACIÓN SS EMPRESA</t>
  </si>
  <si>
    <t>PERÍODO DE
LIQUIDACIÓN</t>
  </si>
  <si>
    <t>ENERO</t>
  </si>
  <si>
    <t>FEBRERO</t>
  </si>
  <si>
    <t>MARZO</t>
  </si>
  <si>
    <t>ABRIL</t>
  </si>
  <si>
    <t>MAYO</t>
  </si>
  <si>
    <t>JUNIO</t>
  </si>
  <si>
    <t>JULIO</t>
  </si>
  <si>
    <t>AGOSTO</t>
  </si>
  <si>
    <t>SEPTIEMBRE</t>
  </si>
  <si>
    <t>OCTUBRE</t>
  </si>
  <si>
    <t>NOVIEMBRE</t>
  </si>
  <si>
    <t>DICIEMBRE</t>
  </si>
  <si>
    <t>SALARIO
BASE</t>
  </si>
  <si>
    <t>TOTAL</t>
  </si>
  <si>
    <t>RETENCIÓN
IRPF
TRABAJADOR</t>
  </si>
  <si>
    <t>IMPORTE
LÍQUIDO
PERCIBIDO</t>
  </si>
  <si>
    <t>TABLA DE COTIZACIONES</t>
  </si>
  <si>
    <t>AT y EP:</t>
  </si>
  <si>
    <t>Fondo garantía salarial:</t>
  </si>
  <si>
    <t>PERÍODO DEVENGO</t>
  </si>
  <si>
    <t>SEGURIDAD SOCIAL EMPRESA</t>
  </si>
  <si>
    <t>BASE
COTIZACIÓN</t>
  </si>
  <si>
    <t>FECHA
VALOR
ABONO
NÓMINA</t>
  </si>
  <si>
    <t>DATOS TRABAJADOR</t>
  </si>
  <si>
    <t>SEGURIDAD
SOCIAL
TRABAJADOR</t>
  </si>
  <si>
    <t>EN SU CASO,
OBSERVACIONES DEL BENEFICIARIO</t>
  </si>
  <si>
    <t>INICIO
(dd/mm/aa)</t>
  </si>
  <si>
    <t>FIN
(dd/mm/aa)</t>
  </si>
  <si>
    <t>IDENTIFICACIÓN
NÓMINA</t>
  </si>
  <si>
    <t>IRPF</t>
  </si>
  <si>
    <t>COMPLEMENTOS NÓMINA INCLUIDOS EN CONVENIO</t>
  </si>
  <si>
    <r>
      <t xml:space="preserve">COMPLEMENTOS NÓMINA </t>
    </r>
    <r>
      <rPr>
        <b/>
        <sz val="10"/>
        <color rgb="FFFF0000"/>
        <rFont val="Century Gothic"/>
        <family val="2"/>
      </rPr>
      <t>NO</t>
    </r>
    <r>
      <rPr>
        <b/>
        <sz val="8"/>
        <color theme="1"/>
        <rFont val="Century Gothic"/>
        <family val="2"/>
      </rPr>
      <t xml:space="preserve"> INCLUIDOS EN CONVENIO</t>
    </r>
  </si>
  <si>
    <t>BONIF.
SEG.
SOCIAL</t>
  </si>
  <si>
    <t>FECHA
VALOR
ABONO
SEG.SOC.</t>
  </si>
  <si>
    <t>NÓMINAS MENSUALES</t>
  </si>
  <si>
    <t>MES</t>
  </si>
  <si>
    <t>IMPORTE
MENSUAL
IRPF</t>
  </si>
  <si>
    <t>GASTO
IRPF
SUBVENCIONABLE</t>
  </si>
  <si>
    <t>TOTAL
DEVENGADO
NÓMINA</t>
  </si>
  <si>
    <t>GASTO
SEGURIDAD
SOCIAL
SUBVENCIONABLE</t>
  </si>
  <si>
    <t>TOTAL
SUBVENC.</t>
  </si>
  <si>
    <t>TOTAL TRABAJADOR</t>
  </si>
  <si>
    <t>GASTO
TOTAL
MENSUAL
SUBVENCIONADO</t>
  </si>
  <si>
    <t>GASTO
MENSUAL
NÓMINA
SUBVENCIONABLE</t>
  </si>
  <si>
    <t>ACEE</t>
  </si>
  <si>
    <t>FECHA
VALOR
INGRESO
IRPF
(MODELO 111)</t>
  </si>
  <si>
    <t>IMPORTES SUBVENCIONABLES</t>
  </si>
  <si>
    <t>TOTAL
DÍAS
(indicados en nómina)</t>
  </si>
  <si>
    <t>IDENTIFICACIÓN DE LA NÓMINA</t>
  </si>
  <si>
    <r>
      <t xml:space="preserve">IMPORTES </t>
    </r>
    <r>
      <rPr>
        <b/>
        <sz val="10"/>
        <color rgb="FFFF0000"/>
        <rFont val="Century Gothic"/>
        <family val="2"/>
      </rPr>
      <t>NO</t>
    </r>
    <r>
      <rPr>
        <b/>
        <sz val="10"/>
        <color theme="1"/>
        <rFont val="Century Gothic"/>
        <family val="2"/>
      </rPr>
      <t xml:space="preserve"> SUBVENCIONABLES</t>
    </r>
  </si>
  <si>
    <r>
      <t xml:space="preserve">PERCEPCIONES
</t>
    </r>
    <r>
      <rPr>
        <b/>
        <sz val="8"/>
        <color rgb="FFFF0000"/>
        <rFont val="Century Gothic"/>
        <family val="2"/>
      </rPr>
      <t>NO</t>
    </r>
    <r>
      <rPr>
        <b/>
        <sz val="8"/>
        <color theme="1"/>
        <rFont val="Century Gothic"/>
        <family val="2"/>
      </rPr>
      <t xml:space="preserve">
SALARIALES</t>
    </r>
  </si>
  <si>
    <t>INSERTAR DOCUMENTO(S) DE PAGO DE NÓMINA
(PDF)</t>
  </si>
  <si>
    <t>INSERTAR
ARCHIVO
NÓNIMA
(PDF)</t>
  </si>
  <si>
    <t>PROGRAMA DE AYUDA DIRIGIDO A FOMENTAR LA INNOVACIÓN Y EL EMPRENDIMIENTO</t>
  </si>
  <si>
    <t>NOTA 2:</t>
  </si>
  <si>
    <t>NOTA 3:</t>
  </si>
  <si>
    <t>El porcentaje se reflejará con dos cifras decimales.</t>
  </si>
  <si>
    <t>IMPORTE
NÓMINA
A CONSIDERAR
SUBVENCIONABLE</t>
  </si>
  <si>
    <r>
      <t xml:space="preserve">COMPLEMENTO
CONVENIO
</t>
    </r>
    <r>
      <rPr>
        <b/>
        <sz val="8"/>
        <color theme="1"/>
        <rFont val="Century Gothic"/>
        <family val="2"/>
      </rPr>
      <t>1</t>
    </r>
  </si>
  <si>
    <r>
      <t xml:space="preserve">COMPLEMENTO
CONVENIO
</t>
    </r>
    <r>
      <rPr>
        <b/>
        <sz val="8"/>
        <color theme="1"/>
        <rFont val="Century Gothic"/>
        <family val="2"/>
      </rPr>
      <t>2</t>
    </r>
  </si>
  <si>
    <r>
      <t xml:space="preserve">COMPLEMENTO
CONVENIO
</t>
    </r>
    <r>
      <rPr>
        <b/>
        <sz val="8"/>
        <color theme="1"/>
        <rFont val="Century Gothic"/>
        <family val="2"/>
      </rPr>
      <t>3</t>
    </r>
  </si>
  <si>
    <r>
      <t xml:space="preserve">COMPLEMENTO
CONVENIO
</t>
    </r>
    <r>
      <rPr>
        <b/>
        <sz val="8"/>
        <color theme="1"/>
        <rFont val="Century Gothic"/>
        <family val="2"/>
      </rPr>
      <t>4</t>
    </r>
  </si>
  <si>
    <r>
      <t xml:space="preserve">COMPLEMENTO
CONVENIO
</t>
    </r>
    <r>
      <rPr>
        <b/>
        <sz val="8"/>
        <color theme="1"/>
        <rFont val="Century Gothic"/>
        <family val="2"/>
      </rPr>
      <t>5</t>
    </r>
  </si>
  <si>
    <r>
      <t xml:space="preserve">COMPLEMENTO
FUERA DE
CONVENIO
</t>
    </r>
    <r>
      <rPr>
        <b/>
        <sz val="8"/>
        <color theme="1"/>
        <rFont val="Century Gothic"/>
        <family val="2"/>
      </rPr>
      <t>1</t>
    </r>
  </si>
  <si>
    <r>
      <t xml:space="preserve">COMPLEMENTO
FUERA DE
CONVENIO
</t>
    </r>
    <r>
      <rPr>
        <b/>
        <sz val="8"/>
        <color theme="1"/>
        <rFont val="Century Gothic"/>
        <family val="2"/>
      </rPr>
      <t>2</t>
    </r>
  </si>
  <si>
    <r>
      <t xml:space="preserve">COMPLEMENTO
FUERA DE
CONVENIO
</t>
    </r>
    <r>
      <rPr>
        <b/>
        <sz val="8"/>
        <color theme="1"/>
        <rFont val="Century Gothic"/>
        <family val="2"/>
      </rPr>
      <t>3</t>
    </r>
  </si>
  <si>
    <r>
      <t xml:space="preserve">COMPLEMENTO
FUERA DE
CONVENIO
</t>
    </r>
    <r>
      <rPr>
        <b/>
        <sz val="8"/>
        <color theme="1"/>
        <rFont val="Century Gothic"/>
        <family val="2"/>
      </rPr>
      <t>4</t>
    </r>
  </si>
  <si>
    <r>
      <t xml:space="preserve">COMPLEMENTO
FUERA DE
CONVENIO
</t>
    </r>
    <r>
      <rPr>
        <b/>
        <sz val="8"/>
        <color theme="1"/>
        <rFont val="Century Gothic"/>
        <family val="2"/>
      </rPr>
      <t>5</t>
    </r>
  </si>
  <si>
    <r>
      <rPr>
        <b/>
        <sz val="8"/>
        <color theme="1"/>
        <rFont val="Century Gothic"/>
        <family val="2"/>
      </rPr>
      <t>TOTAL</t>
    </r>
    <r>
      <rPr>
        <b/>
        <sz val="6"/>
        <color theme="1"/>
        <rFont val="Century Gothic"/>
        <family val="2"/>
      </rPr>
      <t xml:space="preserve">
COMPLEMENTO
FUERA
CONVENIO</t>
    </r>
  </si>
  <si>
    <r>
      <rPr>
        <b/>
        <sz val="8"/>
        <rFont val="Century Gothic"/>
        <family val="2"/>
      </rPr>
      <t>TOTAL</t>
    </r>
    <r>
      <rPr>
        <b/>
        <sz val="6"/>
        <rFont val="Century Gothic"/>
        <family val="2"/>
      </rPr>
      <t xml:space="preserve">
COMPLEMENTO
SEGÚN
CONVENIO</t>
    </r>
  </si>
  <si>
    <t>APLICACIÓN FECHA ABONO</t>
  </si>
  <si>
    <t>IRPF
SUBVENCIONABLE</t>
  </si>
  <si>
    <t>MESES
DEVENGO</t>
  </si>
  <si>
    <t>NOTA 5:</t>
  </si>
  <si>
    <t>a) El período de devengo se encuentre comprendido, al menos parcialmente, dentro del plazo de ejecución del proyecto.</t>
  </si>
  <si>
    <t xml:space="preserve">Solamente cumplimentar los datos correspondientes a "OTRAS NÓMINAS" que cumplan simultáneamente los dos siguientes criterios: </t>
  </si>
  <si>
    <t>Sólamente cumplimentar los datos correspondientes a aquellas nóminas de meses en los que el trabajador tenga dedicación al proyecto. Las celdas correspondientes a los meses en los que no se refleje dedicación se colorearán automáticamente en verde.</t>
  </si>
  <si>
    <t>NÓMINA</t>
  </si>
  <si>
    <t>OTRAS
NÓMINAS</t>
  </si>
  <si>
    <t>REPERCUSIÓN
MENSUAL (EXTRAS,...)</t>
  </si>
  <si>
    <t>FECHA
VALOR
INGRESO
IRPF</t>
  </si>
  <si>
    <t>-. Como norma general, hay que cumplimentar datos en las celdas de color azul. Las celdas en color naranja indican que será necesario insertar algún tipo de documento en formato pdf.</t>
  </si>
  <si>
    <t>HOJA/PESTAÑA "% DEDICACIÓN TRABAJADOR"</t>
  </si>
  <si>
    <t>-. La inserción de archivos digitalizados, en formato pdf, se realiza de la siguiente manera:</t>
  </si>
  <si>
    <t>a) BLOQUE 1: Tabla de cotizaciones.</t>
  </si>
  <si>
    <t>b) BLOQUE 2: Nóminas mensuales.</t>
  </si>
  <si>
    <t>c) BLOQUE 3: Otras nóminas.</t>
  </si>
  <si>
    <t>d) BLOQUE 4: Seguridad Social empresa.</t>
  </si>
  <si>
    <t>-. BLOQUE 1: Tabla de cotizaciones.</t>
  </si>
  <si>
    <t>Se cumplimentarán los porcentajes correspondientes a Contigencias comunes, AT y EP, desempleo, formación profesional y fondo de garantía salarial. (celdas F10 a F14).</t>
  </si>
  <si>
    <t>-. BLOQUE 2: Nóminas mensuales.</t>
  </si>
  <si>
    <t>Este formulario debe emitirse y ser firmado por el trabajador y el responsable con anterioridad a la primera imputación mensual del trabajador al proyecto.</t>
  </si>
  <si>
    <t>NOTA 6:</t>
  </si>
  <si>
    <t>El pocentaje de dedicación mensual se calculará dividiendo el número de horas (días, para el caso de dedicación a jornada completa) dedicadas al proyecto en el mes entre el número de horas laborables del mes (días laborables, para el caso de dedicación a jornada completa) de acuerdo con el calendario laboral de la empresa.</t>
  </si>
  <si>
    <t>ACTUACIÓN 1:</t>
  </si>
  <si>
    <t>ACTUACIONES DIRIGIDAS A LA PROMOCIÓN DEL EMPRENDIMIENTO Y LA INNOVACIÓN EN EDADES TEMPRANAS (JORNADAS, TALLERES, ASESORAMIENTO Y MENTORÍAS, ENCUENTROS DE NETWORKING, ETC).</t>
  </si>
  <si>
    <t>ACTUACIÓN 2:</t>
  </si>
  <si>
    <t>ACTUACIÓN 3:</t>
  </si>
  <si>
    <t>ACTUACIÓN 4:</t>
  </si>
  <si>
    <t>ACTUACIONES DIRIGIDAS A FOMENTAR LOS PROYECTOS DE INNOVACIÓN Y EMPRENDIMIENTO EN EL TEJIDO EMPRESARIAL REGIONAL, ESPECIALMENTE LOS QUE PROMUEVAN LA PARTICIPACIÓN EN PROYECTOS NACIONALES, EUROPEOS E INTERNACIONALES (ENCUENTROS DE INTERCAMBIO DE EXPERIENCIAS, JORNADAS DE ASESORAMIENTO Y DIFUSIÓN, ETC.). ACTUACIONES QUE PROMUEVAN LA PUESTA EN MARCHA Y CONSOLIDACIÓN DE EMPRESAS DE CARÁCTER INNOVADOR Y SPINOFFS UNIVERSITARIAS.</t>
  </si>
  <si>
    <t>ACCIONES DIRIGIDAS A PROMOVER PUNTOS DE ENCUENTRO QUE FACILITEN EL CONTACTO DE LOS EMPRENDEDORES CON LOS INVERSORES PRIVADOS, BUSINESS ANGELS O CORPORATES (ORGANIZACIÓN DE FOROS DE EMPRENDIMIENTO, INVERSIÓN, Y TRANSFERENCIA DE TECNOLOGÍA, DESARROLLO DE PLATAFORMAS DE INVERSIÓN, ACTUACIONES DE DIFUSIÓN Y JORNADAS DE CAPACITACIÓN DE EMPRESAS EN VALIDACIÓN DE SUS MODELOS DE NEGOCIO, ESTABLECIMIENTO DE MÉTRICAS, ETC.).</t>
  </si>
  <si>
    <t>Línea 1.1:</t>
  </si>
  <si>
    <t>Línea 2.1:</t>
  </si>
  <si>
    <t>Línea 3.1:</t>
  </si>
  <si>
    <t>Línea 4.1:</t>
  </si>
  <si>
    <t>Línea 1.2:</t>
  </si>
  <si>
    <t>Línea 2.2:</t>
  </si>
  <si>
    <t>Línea 3.2:</t>
  </si>
  <si>
    <t>Línea 4.2:</t>
  </si>
  <si>
    <t>Línea 1.3:</t>
  </si>
  <si>
    <t>Línea 2.3:</t>
  </si>
  <si>
    <t>Línea 3.3:</t>
  </si>
  <si>
    <t>Línea 4.3:</t>
  </si>
  <si>
    <t>Línea 1.4:</t>
  </si>
  <si>
    <t>Línea 2.4:</t>
  </si>
  <si>
    <t>Línea 3.4:</t>
  </si>
  <si>
    <t>Línea 4.4:</t>
  </si>
  <si>
    <t>Línea 1.5:</t>
  </si>
  <si>
    <t>Línea 2.5:</t>
  </si>
  <si>
    <t>Línea 3.5:</t>
  </si>
  <si>
    <t>Línea 4.5:</t>
  </si>
  <si>
    <t>Línea 1.6:</t>
  </si>
  <si>
    <t>Línea 2.6:</t>
  </si>
  <si>
    <t>Línea 3.6:</t>
  </si>
  <si>
    <t>Línea 4.6:</t>
  </si>
  <si>
    <t>Línea 1.7:</t>
  </si>
  <si>
    <t>Línea 2.7:</t>
  </si>
  <si>
    <t>Línea 3.7:</t>
  </si>
  <si>
    <t>Línea 4.7:</t>
  </si>
  <si>
    <t>Línea 1.8:</t>
  </si>
  <si>
    <t>Línea 2.8:</t>
  </si>
  <si>
    <t>Línea 3.8:</t>
  </si>
  <si>
    <t>Línea 4.8:</t>
  </si>
  <si>
    <t>Línea 1.9:</t>
  </si>
  <si>
    <t>Línea 2.9:</t>
  </si>
  <si>
    <t>Línea 3.9:</t>
  </si>
  <si>
    <t>Línea 4.9:</t>
  </si>
  <si>
    <t>Línea 1.10:</t>
  </si>
  <si>
    <t>Línea 2.10:</t>
  </si>
  <si>
    <t>Línea 3.10:</t>
  </si>
  <si>
    <t>Línea 4.10:</t>
  </si>
  <si>
    <t>Línea 1.11:</t>
  </si>
  <si>
    <t>Línea 2.11:</t>
  </si>
  <si>
    <t>Línea 3.11:</t>
  </si>
  <si>
    <t>Línea 4.11:</t>
  </si>
  <si>
    <t>Línea 1.12:</t>
  </si>
  <si>
    <t>Línea 2.12:</t>
  </si>
  <si>
    <t>Línea 3.12:</t>
  </si>
  <si>
    <t>Línea 4.12:</t>
  </si>
  <si>
    <t>Línea 1.13:</t>
  </si>
  <si>
    <t>Línea 2.13:</t>
  </si>
  <si>
    <t>Línea 3.13:</t>
  </si>
  <si>
    <t>Línea 4.13:</t>
  </si>
  <si>
    <t>Línea 1.14:</t>
  </si>
  <si>
    <t>Línea 2.14:</t>
  </si>
  <si>
    <t>Línea 3.14:</t>
  </si>
  <si>
    <t>Línea 4.14:</t>
  </si>
  <si>
    <t>Línea 1.15:</t>
  </si>
  <si>
    <t>Línea 2.15:</t>
  </si>
  <si>
    <t>Línea 3.15:</t>
  </si>
  <si>
    <t>Línea 4.15:</t>
  </si>
  <si>
    <t xml:space="preserve">NOTA 1: </t>
  </si>
  <si>
    <t>NOTA 4:</t>
  </si>
  <si>
    <t>ACT</t>
  </si>
  <si>
    <t>LIN</t>
  </si>
  <si>
    <t>ACUMULADO TOTAL</t>
  </si>
  <si>
    <t>ACUMULADO ACTUACIÓN 1</t>
  </si>
  <si>
    <t>ACUMULADO ACTUACIÓN 2</t>
  </si>
  <si>
    <t>ACUMULADO ACTUACIÓN 3</t>
  </si>
  <si>
    <t>ACUMULADO ACTUACIÓN 4</t>
  </si>
  <si>
    <t>ACTLIN</t>
  </si>
  <si>
    <t>PORCENTAJE
DEDICACIÓN
MENSUAL
ACTUACIÓN
1</t>
  </si>
  <si>
    <t>TOTAL ACTUACIÓN 1</t>
  </si>
  <si>
    <t>PORCENTAJE
DEDICACIÓN
MENSUAL
ACTUACIÓN
2</t>
  </si>
  <si>
    <t>TOTAL ACTUACIÓN 2</t>
  </si>
  <si>
    <t>PORCENTAJE
DEDICACIÓN
MENSUAL
ACTUACIÓN
3</t>
  </si>
  <si>
    <t>TOTAL ACTUACIÓN 3</t>
  </si>
  <si>
    <t>PORCENTAJE
DEDICACIÓN
MENSUAL
ACTUACIÓN
4</t>
  </si>
  <si>
    <t>TOTAL ACTUACIÓN 4</t>
  </si>
  <si>
    <t>LÍNEA</t>
  </si>
  <si>
    <t>IMPORTE</t>
  </si>
  <si>
    <t>ACT1</t>
  </si>
  <si>
    <t>ACT2</t>
  </si>
  <si>
    <t>ACT3</t>
  </si>
  <si>
    <t>ACT4</t>
  </si>
  <si>
    <t>SUBTOTAL ACTUACIÓN 1</t>
  </si>
  <si>
    <t>SUBTOTAL ACTUACIÓN 2</t>
  </si>
  <si>
    <t>SUBTOTAL ACTUACIÓN 3</t>
  </si>
  <si>
    <t>SUBTOTAL ACTUACIÓN 4</t>
  </si>
  <si>
    <t>Nº LÍNEA</t>
  </si>
  <si>
    <t>&gt;100%</t>
  </si>
  <si>
    <t>REP</t>
  </si>
  <si>
    <t>EXISTEN LÍNEA REPETIDAS EN ESTA ACTUACIÓN</t>
  </si>
  <si>
    <t>TRABAJADOR</t>
  </si>
  <si>
    <t>HOJA/PESTAÑA "IDENTIFICACIÓN DEL TRABAJADOR"</t>
  </si>
  <si>
    <t>-. En la Hoja/Pestaña "IDENTIFICACIÓN DEL TRABAJADOR" se deberá cumplimentar el nombre y apellidos del trabajador (celdas D11, D12 y D13).</t>
  </si>
  <si>
    <t>HOJA/PESTAÑA "LÍNEAS CON DEDICACIÓN"</t>
  </si>
  <si>
    <t>-. En la Hoja/Pestaña "LÍNEAS CON DEDICACIÓN" se deberá cumplimentar ÚNICAMENTE el nombre de aquellas líneas de cada actuación en las que participe el trabajador.</t>
  </si>
  <si>
    <t>PORCENTAJE DE DEDICACIÓN MENSUAL A CADA LÍNEA DE CADA ACTUACIÓN</t>
  </si>
  <si>
    <t>EXISTE ALGÚN % SUPERIOR A 100%;</t>
  </si>
  <si>
    <t>EXISTEN LÍNEA REPETIDAS:</t>
  </si>
  <si>
    <t>FIRMA DEL TRABAJADOR:</t>
  </si>
  <si>
    <t>FIRMA DEL RESPONSABLE:</t>
  </si>
  <si>
    <t>FECHA EMISIÓN (1):</t>
  </si>
  <si>
    <t>INSERTAR CONTRATO
DE TRABAJO (PDF)</t>
  </si>
  <si>
    <t>Una vez cumplimentada la fecha de emisión y los porcentajes de dedicación mensual, se imprimirá la hoja firmándola tanto el trabajador como su responsable y se incorporará como archivo en formato pdf (celdas Q15:T15).</t>
  </si>
  <si>
    <t>LÍNEAS CON % &gt;100%</t>
  </si>
  <si>
    <t>ACTUACIONES CON % &gt;100%</t>
  </si>
  <si>
    <t>INSTRUCCIONES PARA LA CORRECTA CUMPLIMENTACIÓN DEL MOD65.
 GASTO PERSONAL (ACEE)</t>
  </si>
  <si>
    <t>a) Celda C9: nombre o razón social del beneficiario.</t>
  </si>
  <si>
    <t>b) Celda D22: número del expediente.</t>
  </si>
  <si>
    <t>FECHA INICIO PLAZO DE EJECUCIÓN:</t>
  </si>
  <si>
    <t>(*): La fecha final del plazo de ejecución del proyecto/actividad se corresponde con el 31 de diciembre del ejercicio de la convocatoria excepto en el caso de existir prórroga.</t>
  </si>
  <si>
    <t>FECHA FINAL PLAZO EJECUCIÓN DEL PROYECTO (*):</t>
  </si>
  <si>
    <t>c) Celda F27: se deberá incluir la fecha final del plazo de ejecución del proyecto/actividad que se corresponde con el 31 de diciembre del ejercicio de la convocatoria excepto en el caso de existir prórroga.</t>
  </si>
  <si>
    <t>NOTA: la fecha reflejada debe cumplir dos requisitos: por un lado, ser anterior a la fecha de finalización del plazo de ejecución del proyecto y, por otro lado, no exisitir dedicación del trabajador en un mes anterior al de la firma de dicho documento.</t>
  </si>
  <si>
    <t>-. A continuación, se irán seleccionando todas y cada una de las líneas de las actuaciones en las que el trabajador hubiese tenido dedicación cumplimentado los porcentajes de dedicación mensual.</t>
  </si>
  <si>
    <t>NOTA 1: El pocentaje de dedicación mensual se calculará dividiendo el número de horas (días, para el caso de dedicación a jornada completa) dedicadas al proyecto en el mes entre el número de horas laborables del mes (días laborables, para el caso de dedicación a jornada completa) de acuerdo con el calendario laboral de la empresa.</t>
  </si>
  <si>
    <t>NOTA 2: El porcentaje se reflejará con dos cifras decimales.</t>
  </si>
  <si>
    <t>-. En la Hoja/Pestaña "% DEDICACIÓN TRABAJADOR" se debera cumplimentar, en primer lugar, la fecha en la que se elabora la mencionada Hoja/pestaña.</t>
  </si>
  <si>
    <t>-. Por último, se procederá a la firma de la hoja, tanto el trabajador como por su responsable, y se insertará como archivo en formato pdf (celdas Q15:T15).</t>
  </si>
  <si>
    <t xml:space="preserve">-. Sólamente es necesario cumplimentar los datos correspondientes a aquellas nóminas de meses en los que el trabajador tenga dedicación al proyecto. </t>
  </si>
  <si>
    <t>NOTA:  Las filas correspondientes a los meses en los que no se hubiese reflejado dedicación estarán coloreadas en verde.</t>
  </si>
  <si>
    <t>-. A la hora de cumplimentar los complementos de la nómina mensual hay que diferenciar entre aquellos incluidos en el Convenio (SUBVENCIONABLES) y aquellos no incluidos en el Convenio (NO SUBVENCIONABLES).</t>
  </si>
  <si>
    <t>-. BLOQUE 3: Otras nóminas (por ejemplo, pagas extraordinarias).</t>
  </si>
  <si>
    <t>INSERTAR INFORME DATOS
PARA LA COTIZACIÓN (Idc)</t>
  </si>
  <si>
    <t>INSERTAR  ESTE FORMULARIO DE
DEDICACIÓN FIRMADO (PDF)</t>
  </si>
  <si>
    <t>-. Antes de imprimir esta hoja/pestaña hay que insertar los siguintes archivos:, se insertará el contrato de trabajo como archivo en formato pdf (celdas L15:O:15).</t>
  </si>
  <si>
    <t>a) Informe de datos para la Cotización (Idc) emitido por la Tesorería General de la Seguridad Social como archivo en formato pdf (celdas I15:L15)</t>
  </si>
  <si>
    <t>a) ontrato de trabajo como archivo en formato pdf (celdas M15:P15).</t>
  </si>
  <si>
    <t>-. En las columnas "AC" y "AD" hay que insertar, respectivamente, los archivos en formato pdf de la nómina mensual y los documentos acreditativos del pago de la misma.</t>
  </si>
  <si>
    <t xml:space="preserve">-. De forma análoga, se procederá a cumplimentar el bloque correspondiente a "OTRAS NÓMINAS", teniendo en cuenta que para que sean subvencionables, total o parcialmente, será necesario que cumplan simultáneamente los dos siguientes criterios: </t>
  </si>
  <si>
    <t>b) La fecha valor de abono de la nómina y/o de su IRPF sea anterior a la finalización del plazo de justificación.</t>
  </si>
  <si>
    <t>NOTA: la repercusión mensual de las "OTRAS NÓMINAS" en el coste mensual del trabajador se hace en función del período de devengo indicado para cada una de ellas por lo que hay que prestar especial atención a las fechas que se indiquen.</t>
  </si>
  <si>
    <t>-.  BLOQUE 4: Seguridad Social empresa:</t>
  </si>
  <si>
    <t>-. En la columna "AE" se puede insertar, si fuera necesario, cualquier observación que el beneficiario considere oportuna.</t>
  </si>
  <si>
    <t>-. En este bloque se reflejara, para cada mes del ejercicicio, la base de cotización (columna "D") . Así mismo y si fuera el caso, se reflejará la bonificación de la Seguridad Social (columna "F").</t>
  </si>
  <si>
    <t>-. Hay que cunplimentar, para cada nómina, los importes correspondientes a "Seguridad social del trabajador" (columna "X") y "Retención IRPF del trabajador" (columna "Y"). Así mismo, hay que cumplimentar la fecha valor de abono de la nómina (columna "AA") y la fecha valor de ingreso de IRPF (columna "AB").</t>
  </si>
  <si>
    <t>-.Por último, se reflejara la fecha de valor del abono del recibo de liquidación de cotizaciones mensual (RLC) (columna "G").</t>
  </si>
  <si>
    <t>HOJA/PESTAÑA "GASTOS TRABAJADOR".</t>
  </si>
  <si>
    <t>-. La Hoja/Pestaña "% GASTO EJERCICIO 1" está dividida en 4 bloques:</t>
  </si>
  <si>
    <t>MOD-65-ACEE</t>
  </si>
  <si>
    <t>Se entenderá día laborable aquel que no sea festivo de acuerdo con el calendario laboral de la empresa.</t>
  </si>
  <si>
    <t>GASTO
TOTAL
MENSUAL
CON REPERCUSIÓN 
DE VACACIONES</t>
  </si>
  <si>
    <t>INSERTAR 
ARCHIVO NÓMINA (PDF)</t>
  </si>
  <si>
    <t>INSERTAR DOCUMENTO(S)
DE PAGO DE NÓMINA (PDF)</t>
  </si>
  <si>
    <t>Nº DÍAS DE
VACACIONES</t>
  </si>
  <si>
    <t>Meses duración proyecto</t>
  </si>
  <si>
    <t/>
  </si>
  <si>
    <t>MESES EN LOS QUE EL TRABAJADOR HA DISFRUTADO DE ALGÚN DIA DE VACACIONES</t>
  </si>
  <si>
    <t>-. Identificar el mes, del período de ejecución, en el que se disfrutó de algún día de vacaciones.</t>
  </si>
  <si>
    <t>-. Reflejar el número de días de dicho mes en los que el trabajador disfrutó de días de vacaciones.</t>
  </si>
  <si>
    <t>-. Insertar los archivos, en formato pdf, de la nómina mensual y los documentos acreditativos del pago de la misma.</t>
  </si>
  <si>
    <t>-.A continuación, en el bloque "MESES EN LOS QUE EL TRABAJADOR HA DISFRUTADO DE ALGÚN DÍA DE VACACIONES" y para cada mes en el que se hubiese disfrutado de días de vacaciones, se deberá:</t>
  </si>
  <si>
    <t>IRPF NÓMINA (MODELO 111)</t>
  </si>
  <si>
    <t>GASTO LÍQUIDO
MENSUAL
A CONSIDERAR
(excl. SS e IRPF)</t>
  </si>
  <si>
    <t>GASTO
MENSUAL
SEGURIDAD
SOCIAL</t>
  </si>
  <si>
    <t>SEGURIDAD SOCIAL</t>
  </si>
  <si>
    <t>S.S. otras nominas</t>
  </si>
  <si>
    <t>IMPORTE
SEG. SOCIAL
EMPRESA
MENSUAL</t>
  </si>
  <si>
    <t>IMPORTE
SEG. SOC.
EMPRESA
OTRAS NÓMINAS</t>
  </si>
  <si>
    <t>IMPORTE
TOTAL
SEG. SOCIAL
EMPRESA</t>
  </si>
  <si>
    <t>PAGA</t>
  </si>
  <si>
    <t>Mes pago
nómina</t>
  </si>
  <si>
    <t>Mes
siguiente</t>
  </si>
  <si>
    <t>S.S. TOTAL</t>
  </si>
  <si>
    <t>EMPRESA</t>
  </si>
  <si>
    <t>ene</t>
  </si>
  <si>
    <t>feb</t>
  </si>
  <si>
    <t>mar</t>
  </si>
  <si>
    <t>abr</t>
  </si>
  <si>
    <t>may</t>
  </si>
  <si>
    <t>jun</t>
  </si>
  <si>
    <t>jul</t>
  </si>
  <si>
    <t>ago</t>
  </si>
  <si>
    <t>sep</t>
  </si>
  <si>
    <t>oct</t>
  </si>
  <si>
    <t>nov</t>
  </si>
  <si>
    <t>dic</t>
  </si>
  <si>
    <t>Nº
DE MES</t>
  </si>
  <si>
    <t>TRABAJADOR
OTRAS
NOMINAS</t>
  </si>
  <si>
    <t>S.S.
TRABAJADOR</t>
  </si>
  <si>
    <t>TOTAL
DEVENGADO
NOMINA
SUBVENCIONABLE</t>
  </si>
  <si>
    <t>DEVENGADO
NOMINA
TOTAL
SIN S.S</t>
  </si>
  <si>
    <t>LÍQUIDO
NÓMINA
A CONSIDERAR
(EXCLUIDO
IRPF)</t>
  </si>
  <si>
    <t xml:space="preserve">LÍQUIDO
NÓMINA
SUBVENCIONABLE
</t>
  </si>
  <si>
    <r>
      <t xml:space="preserve">OTRAS NÓMINAS (por ejemplo, pagas extraordinarias, atrasos...).
</t>
    </r>
    <r>
      <rPr>
        <b/>
        <sz val="10"/>
        <color theme="1"/>
        <rFont val="Century Gothic"/>
        <family val="2"/>
      </rPr>
      <t xml:space="preserve">
NOTA: en el caso, por ejemplo, de nómina de atrasos se incluirá en este bloque el importe de la Seguridad Social correspondiente al trabajador. La Seguridad Social correspondiente a la empresa se reflejará, en el mes correspondiente, en el siguiente bloque (SEGURIDAD SOCIAL EMPRESA)</t>
    </r>
  </si>
  <si>
    <t>PORCENTAJE TOTAL MENSUAL &gt;100%</t>
  </si>
  <si>
    <t>EXISTE ALGÚN % SUPERIOR A 100% EN ALGUNA LÍNEA DE ESTA ACTUACIÓN</t>
  </si>
  <si>
    <t>INICIO:</t>
  </si>
  <si>
    <t>FINAL:</t>
  </si>
  <si>
    <t>PRIMERA DEDICACIÓN FACTIBLE:</t>
  </si>
  <si>
    <t>ÚLTIMA DEDICACIÓN FACTIBLE:</t>
  </si>
  <si>
    <t>MESES CON DEDICACIÓN EJERC.:</t>
  </si>
  <si>
    <t>MES CON DEDICACIÓN</t>
  </si>
  <si>
    <t>1º DEDICACIÓN POR % INDICADO:</t>
  </si>
  <si>
    <t>1º DEDICACIÓN POR FORMULARIO:</t>
  </si>
  <si>
    <t>DATOS</t>
  </si>
  <si>
    <t>DATOS FILTRADOS</t>
  </si>
  <si>
    <t>DATOS ORDENADOS</t>
  </si>
  <si>
    <t>DATOS ACUMULADOS ACTUACIÓN</t>
  </si>
  <si>
    <t>LISTADO LÍNEAS RESUMEN ACTUACIÓN</t>
  </si>
  <si>
    <t>??????</t>
  </si>
  <si>
    <t>FECHA
VALOR
ABONO
IRPF</t>
  </si>
  <si>
    <t>DEVENGO</t>
  </si>
  <si>
    <t>REPERCUSIÓN
MENSUAL</t>
  </si>
  <si>
    <t>MESES EN
EJERCICIO</t>
  </si>
  <si>
    <t>S.S. OTRAS NÓMINAS</t>
  </si>
  <si>
    <t>FECHA PAGO</t>
  </si>
  <si>
    <t>MES
SIGUIENTE</t>
  </si>
  <si>
    <t>OTRAS</t>
  </si>
  <si>
    <t>SUBVENCIONABLE 2023</t>
  </si>
  <si>
    <t>%</t>
  </si>
  <si>
    <t>OTRAS NÓMINAS</t>
  </si>
  <si>
    <t>REPERCUSIÓN MENSUAL DE LA S.S. (EMPRESA+TRABAJADOR)</t>
  </si>
  <si>
    <t>PRIMERA
IMPUTACIÓN</t>
  </si>
  <si>
    <t>ÚLTIMA
IMPUTACIÓN</t>
  </si>
  <si>
    <t>COLOR
AZUL</t>
  </si>
  <si>
    <t>LÍNEA
DUPLICADA</t>
  </si>
  <si>
    <t>VALIDACIÓN DATOS PARA % DEDICACIÓN</t>
  </si>
  <si>
    <t>ELIMINAR</t>
  </si>
  <si>
    <t>nº 82, de 11 de abril de 2023
nº 100, de 2 de mayo de 2024</t>
  </si>
  <si>
    <t>nº 128, de 4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</si>
</sst>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
  </numFmts>
  <fonts count="29" x14ac:knownFonts="1">
    <font>
      <sz val="10"/>
      <color theme="1"/>
      <name val="Century Gothic"/>
      <family val="2"/>
    </font>
    <font>
      <sz val="10"/>
      <color theme="1"/>
      <name val="Century Gothic"/>
      <family val="2"/>
    </font>
    <font>
      <b/>
      <sz val="10"/>
      <color theme="1"/>
      <name val="Century Gothic"/>
      <family val="2"/>
    </font>
    <font>
      <sz val="10"/>
      <color theme="0"/>
      <name val="Century Gothic"/>
      <family val="2"/>
    </font>
    <font>
      <sz val="10"/>
      <name val="Century Gothic"/>
      <family val="2"/>
    </font>
    <font>
      <b/>
      <sz val="12"/>
      <name val="Century Gothic"/>
      <family val="2"/>
    </font>
    <font>
      <b/>
      <sz val="10"/>
      <name val="Century Gothic"/>
      <family val="2"/>
    </font>
    <font>
      <b/>
      <sz val="10"/>
      <color rgb="FFFF0000"/>
      <name val="Century Gothic"/>
      <family val="2"/>
    </font>
    <font>
      <sz val="10"/>
      <name val="Arial"/>
      <family val="2"/>
    </font>
    <font>
      <sz val="9"/>
      <name val="Century Gothic"/>
      <family val="2"/>
    </font>
    <font>
      <sz val="8"/>
      <name val="Century Gothic"/>
      <family val="2"/>
    </font>
    <font>
      <b/>
      <sz val="12"/>
      <color theme="1"/>
      <name val="Century Gothic"/>
      <family val="2"/>
    </font>
    <font>
      <sz val="8"/>
      <color theme="1"/>
      <name val="Century Gothic"/>
      <family val="2"/>
    </font>
    <font>
      <b/>
      <sz val="8"/>
      <color theme="1"/>
      <name val="Century Gothic"/>
      <family val="2"/>
    </font>
    <font>
      <b/>
      <sz val="14"/>
      <color theme="1"/>
      <name val="Century Gothic"/>
      <family val="2"/>
    </font>
    <font>
      <sz val="12"/>
      <color theme="1"/>
      <name val="Century Gothic"/>
      <family val="2"/>
    </font>
    <font>
      <b/>
      <u/>
      <sz val="11"/>
      <color theme="1"/>
      <name val="Century Gothic"/>
      <family val="2"/>
    </font>
    <font>
      <b/>
      <sz val="8"/>
      <name val="Century Gothic"/>
      <family val="2"/>
    </font>
    <font>
      <b/>
      <sz val="8"/>
      <color rgb="FFFF0000"/>
      <name val="Century Gothic"/>
      <family val="2"/>
    </font>
    <font>
      <sz val="11"/>
      <color theme="1"/>
      <name val="Century Gothic"/>
      <family val="2"/>
    </font>
    <font>
      <b/>
      <sz val="6"/>
      <color theme="1"/>
      <name val="Century Gothic"/>
      <family val="2"/>
    </font>
    <font>
      <b/>
      <sz val="6"/>
      <name val="Century Gothic"/>
      <family val="2"/>
    </font>
    <font>
      <b/>
      <sz val="11"/>
      <color theme="1"/>
      <name val="Century Gothic"/>
      <family val="2"/>
    </font>
    <font>
      <b/>
      <sz val="9"/>
      <name val="Century Gothic"/>
      <family val="2"/>
    </font>
    <font>
      <b/>
      <sz val="11"/>
      <name val="Century Gothic"/>
      <family val="2"/>
    </font>
    <font>
      <sz val="6"/>
      <color theme="1"/>
      <name val="Century Gothic"/>
      <family val="2"/>
    </font>
    <font>
      <sz val="9"/>
      <color theme="1"/>
      <name val="Century Gothic"/>
      <family val="2"/>
    </font>
    <font>
      <b/>
      <sz val="9"/>
      <color theme="1"/>
      <name val="Century Gothic"/>
      <family val="2"/>
    </font>
    <font>
      <sz val="7"/>
      <color theme="1"/>
      <name val="Century Gothic"/>
      <family val="2"/>
    </font>
  </fonts>
  <fills count="15">
    <fill>
      <patternFill patternType="none"/>
    </fill>
    <fill>
      <patternFill patternType="gray125"/>
    </fill>
    <fill>
      <patternFill patternType="solid">
        <fgColor rgb="FFE7F1F9"/>
        <bgColor rgb="FFCCFFFF"/>
      </patternFill>
    </fill>
    <fill>
      <patternFill patternType="solid">
        <fgColor theme="0" tint="-0.14999847407452621"/>
        <bgColor indexed="64"/>
      </patternFill>
    </fill>
    <fill>
      <patternFill patternType="solid">
        <fgColor rgb="FFE7F1F9"/>
        <bgColor indexed="64"/>
      </patternFill>
    </fill>
    <fill>
      <patternFill patternType="solid">
        <fgColor rgb="FFC1D400"/>
        <bgColor indexed="64"/>
      </patternFill>
    </fill>
    <fill>
      <patternFill patternType="solid">
        <fgColor theme="8" tint="0.79998168889431442"/>
        <bgColor indexed="64"/>
      </patternFill>
    </fill>
    <fill>
      <patternFill patternType="solid">
        <fgColor rgb="FFFFE57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9999"/>
        <bgColor indexed="64"/>
      </patternFill>
    </fill>
    <fill>
      <patternFill patternType="solid">
        <fgColor theme="9" tint="0.39997558519241921"/>
        <bgColor indexed="64"/>
      </patternFill>
    </fill>
    <fill>
      <patternFill patternType="solid">
        <fgColor rgb="FFCCCCFF"/>
        <bgColor indexed="64"/>
      </patternFill>
    </fill>
    <fill>
      <patternFill patternType="solid">
        <fgColor rgb="FFFFFF00"/>
        <bgColor indexed="64"/>
      </patternFill>
    </fill>
    <fill>
      <patternFill patternType="solid">
        <fgColor rgb="FFFF0000"/>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top style="thick">
        <color auto="1"/>
      </top>
      <bottom style="medium">
        <color indexed="64"/>
      </bottom>
      <diagonal/>
    </border>
    <border>
      <left/>
      <right/>
      <top style="thick">
        <color auto="1"/>
      </top>
      <bottom style="medium">
        <color indexed="64"/>
      </bottom>
      <diagonal/>
    </border>
    <border>
      <left style="thick">
        <color auto="1"/>
      </left>
      <right style="thin">
        <color indexed="64"/>
      </right>
      <top/>
      <bottom style="medium">
        <color indexed="64"/>
      </bottom>
      <diagonal/>
    </border>
    <border>
      <left style="thin">
        <color indexed="64"/>
      </left>
      <right style="thick">
        <color auto="1"/>
      </right>
      <top/>
      <bottom style="thin">
        <color indexed="64"/>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medium">
        <color indexed="64"/>
      </top>
      <bottom style="thin">
        <color auto="1"/>
      </bottom>
      <diagonal/>
    </border>
    <border>
      <left style="thick">
        <color auto="1"/>
      </left>
      <right style="thin">
        <color auto="1"/>
      </right>
      <top style="thin">
        <color auto="1"/>
      </top>
      <bottom style="medium">
        <color indexed="64"/>
      </bottom>
      <diagonal/>
    </border>
    <border>
      <left style="thick">
        <color auto="1"/>
      </left>
      <right style="thin">
        <color indexed="64"/>
      </right>
      <top/>
      <bottom style="thin">
        <color indexed="64"/>
      </bottom>
      <diagonal/>
    </border>
    <border>
      <left style="thick">
        <color auto="1"/>
      </left>
      <right style="thin">
        <color auto="1"/>
      </right>
      <top style="thin">
        <color auto="1"/>
      </top>
      <bottom style="thin">
        <color auto="1"/>
      </bottom>
      <diagonal/>
    </border>
    <border>
      <left/>
      <right/>
      <top style="thin">
        <color auto="1"/>
      </top>
      <bottom style="thick">
        <color auto="1"/>
      </bottom>
      <diagonal/>
    </border>
    <border>
      <left style="thin">
        <color indexed="64"/>
      </left>
      <right style="thin">
        <color indexed="64"/>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indexed="64"/>
      </left>
      <right/>
      <top/>
      <bottom/>
      <diagonal/>
    </border>
    <border>
      <left/>
      <right/>
      <top style="thick">
        <color auto="1"/>
      </top>
      <bottom/>
      <diagonal/>
    </border>
    <border>
      <left/>
      <right/>
      <top style="medium">
        <color indexed="64"/>
      </top>
      <bottom style="thick">
        <color auto="1"/>
      </bottom>
      <diagonal/>
    </border>
    <border>
      <left/>
      <right style="thick">
        <color auto="1"/>
      </right>
      <top/>
      <bottom style="thin">
        <color indexed="64"/>
      </bottom>
      <diagonal/>
    </border>
    <border>
      <left/>
      <right style="thick">
        <color auto="1"/>
      </right>
      <top style="thin">
        <color auto="1"/>
      </top>
      <bottom style="thin">
        <color auto="1"/>
      </bottom>
      <diagonal/>
    </border>
    <border>
      <left/>
      <right/>
      <top style="thick">
        <color auto="1"/>
      </top>
      <bottom style="thick">
        <color auto="1"/>
      </bottom>
      <diagonal/>
    </border>
    <border>
      <left style="thin">
        <color indexed="64"/>
      </left>
      <right style="thick">
        <color indexed="64"/>
      </right>
      <top style="thick">
        <color indexed="64"/>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style="thick">
        <color indexed="64"/>
      </right>
      <top style="thick">
        <color auto="1"/>
      </top>
      <bottom style="thick">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auto="1"/>
      </right>
      <top style="medium">
        <color auto="1"/>
      </top>
      <bottom/>
      <diagonal/>
    </border>
    <border>
      <left style="medium">
        <color auto="1"/>
      </left>
      <right style="thin">
        <color indexed="64"/>
      </right>
      <top/>
      <bottom/>
      <diagonal/>
    </border>
    <border>
      <left style="thin">
        <color auto="1"/>
      </left>
      <right style="medium">
        <color auto="1"/>
      </right>
      <top/>
      <bottom/>
      <diagonal/>
    </border>
    <border>
      <left style="thin">
        <color indexed="64"/>
      </left>
      <right style="medium">
        <color auto="1"/>
      </right>
      <top/>
      <bottom style="medium">
        <color indexed="64"/>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right style="medium">
        <color auto="1"/>
      </right>
      <top style="thick">
        <color auto="1"/>
      </top>
      <bottom style="medium">
        <color indexed="64"/>
      </bottom>
      <diagonal/>
    </border>
    <border>
      <left style="medium">
        <color indexed="64"/>
      </left>
      <right/>
      <top style="thick">
        <color auto="1"/>
      </top>
      <bottom/>
      <diagonal/>
    </border>
    <border>
      <left/>
      <right style="medium">
        <color indexed="64"/>
      </right>
      <top style="thick">
        <color auto="1"/>
      </top>
      <bottom/>
      <diagonal/>
    </border>
    <border>
      <left style="medium">
        <color auto="1"/>
      </left>
      <right style="thin">
        <color auto="1"/>
      </right>
      <top style="thick">
        <color auto="1"/>
      </top>
      <bottom/>
      <diagonal/>
    </border>
    <border>
      <left style="thin">
        <color indexed="64"/>
      </left>
      <right style="medium">
        <color auto="1"/>
      </right>
      <top style="thick">
        <color auto="1"/>
      </top>
      <bottom/>
      <diagonal/>
    </border>
    <border>
      <left style="medium">
        <color auto="1"/>
      </left>
      <right style="thick">
        <color auto="1"/>
      </right>
      <top style="thick">
        <color auto="1"/>
      </top>
      <bottom/>
      <diagonal/>
    </border>
    <border>
      <left style="thick">
        <color auto="1"/>
      </left>
      <right style="thin">
        <color auto="1"/>
      </right>
      <top style="medium">
        <color auto="1"/>
      </top>
      <bottom/>
      <diagonal/>
    </border>
    <border>
      <left style="medium">
        <color auto="1"/>
      </left>
      <right style="thick">
        <color auto="1"/>
      </right>
      <top/>
      <bottom style="thin">
        <color indexed="64"/>
      </bottom>
      <diagonal/>
    </border>
    <border>
      <left style="medium">
        <color auto="1"/>
      </left>
      <right style="thick">
        <color auto="1"/>
      </right>
      <top style="thin">
        <color auto="1"/>
      </top>
      <bottom style="thin">
        <color auto="1"/>
      </bottom>
      <diagonal/>
    </border>
    <border>
      <left style="medium">
        <color auto="1"/>
      </left>
      <right style="thick">
        <color auto="1"/>
      </right>
      <top style="thin">
        <color auto="1"/>
      </top>
      <bottom/>
      <diagonal/>
    </border>
    <border>
      <left/>
      <right style="medium">
        <color indexed="64"/>
      </right>
      <top/>
      <bottom style="thick">
        <color auto="1"/>
      </bottom>
      <diagonal/>
    </border>
    <border>
      <left style="medium">
        <color auto="1"/>
      </left>
      <right/>
      <top style="thin">
        <color auto="1"/>
      </top>
      <bottom style="thick">
        <color auto="1"/>
      </bottom>
      <diagonal/>
    </border>
    <border>
      <left/>
      <right style="medium">
        <color auto="1"/>
      </right>
      <top style="thin">
        <color auto="1"/>
      </top>
      <bottom style="thick">
        <color auto="1"/>
      </bottom>
      <diagonal/>
    </border>
    <border>
      <left style="medium">
        <color indexed="64"/>
      </left>
      <right/>
      <top/>
      <bottom style="thick">
        <color auto="1"/>
      </bottom>
      <diagonal/>
    </border>
    <border>
      <left style="medium">
        <color auto="1"/>
      </left>
      <right style="thick">
        <color auto="1"/>
      </right>
      <top style="thin">
        <color auto="1"/>
      </top>
      <bottom style="thick">
        <color auto="1"/>
      </bottom>
      <diagonal/>
    </border>
    <border>
      <left style="thick">
        <color indexed="64"/>
      </left>
      <right style="thin">
        <color indexed="64"/>
      </right>
      <top style="thick">
        <color auto="1"/>
      </top>
      <bottom style="medium">
        <color indexed="64"/>
      </bottom>
      <diagonal/>
    </border>
    <border>
      <left style="thin">
        <color indexed="64"/>
      </left>
      <right style="thin">
        <color indexed="64"/>
      </right>
      <top style="thick">
        <color auto="1"/>
      </top>
      <bottom style="medium">
        <color indexed="64"/>
      </bottom>
      <diagonal/>
    </border>
    <border>
      <left style="thin">
        <color indexed="64"/>
      </left>
      <right style="thick">
        <color indexed="64"/>
      </right>
      <top style="thick">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style="medium">
        <color indexed="64"/>
      </right>
      <top style="thick">
        <color auto="1"/>
      </top>
      <bottom/>
      <diagonal/>
    </border>
    <border>
      <left style="medium">
        <color indexed="64"/>
      </left>
      <right style="medium">
        <color indexed="64"/>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left style="thin">
        <color indexed="64"/>
      </left>
      <right style="medium">
        <color indexed="64"/>
      </right>
      <top style="medium">
        <color auto="1"/>
      </top>
      <bottom style="medium">
        <color indexed="64"/>
      </bottom>
      <diagonal/>
    </border>
    <border>
      <left style="medium">
        <color auto="1"/>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8" fillId="0" borderId="0"/>
  </cellStyleXfs>
  <cellXfs count="501">
    <xf numFmtId="0" fontId="0" fillId="0" borderId="0" xfId="0"/>
    <xf numFmtId="0" fontId="3" fillId="0" borderId="0" xfId="0" applyFont="1" applyAlignment="1" applyProtection="1">
      <alignment vertical="center"/>
      <protection locked="0"/>
    </xf>
    <xf numFmtId="0" fontId="4" fillId="0" borderId="0" xfId="0" applyFont="1" applyAlignment="1">
      <alignment vertical="center"/>
    </xf>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0" fontId="4" fillId="0" borderId="0" xfId="0" quotePrefix="1" applyFont="1" applyAlignment="1">
      <alignment vertical="center" wrapText="1"/>
    </xf>
    <xf numFmtId="0" fontId="4" fillId="0" borderId="0" xfId="0" quotePrefix="1" applyFont="1" applyAlignment="1">
      <alignment horizontal="left" vertical="center" wrapText="1" indent="1"/>
    </xf>
    <xf numFmtId="0" fontId="6" fillId="0" borderId="0" xfId="0" quotePrefix="1" applyFont="1" applyAlignment="1">
      <alignment vertical="center"/>
    </xf>
    <xf numFmtId="0" fontId="4" fillId="0" borderId="0" xfId="0" quotePrefix="1" applyFont="1" applyAlignment="1">
      <alignment vertical="center"/>
    </xf>
    <xf numFmtId="0" fontId="4" fillId="4" borderId="0" xfId="2" applyFont="1" applyFill="1" applyAlignment="1">
      <alignment vertical="center"/>
    </xf>
    <xf numFmtId="0" fontId="4" fillId="0" borderId="0" xfId="2" applyFont="1" applyAlignment="1">
      <alignment vertical="center"/>
    </xf>
    <xf numFmtId="0" fontId="6" fillId="0" borderId="0" xfId="2" applyFont="1" applyAlignment="1">
      <alignment vertical="center"/>
    </xf>
    <xf numFmtId="0" fontId="6" fillId="5" borderId="1" xfId="2" applyFont="1" applyFill="1" applyBorder="1" applyAlignment="1">
      <alignment horizontal="left" vertical="center" indent="1"/>
    </xf>
    <xf numFmtId="0" fontId="4" fillId="0" borderId="0" xfId="2" applyFont="1" applyAlignment="1">
      <alignment horizontal="left" vertical="center" indent="1"/>
    </xf>
    <xf numFmtId="0" fontId="6" fillId="0" borderId="0" xfId="2" applyFont="1" applyAlignment="1">
      <alignment horizontal="right" vertical="center" indent="1"/>
    </xf>
    <xf numFmtId="164" fontId="6" fillId="5" borderId="1" xfId="2" applyNumberFormat="1" applyFont="1" applyFill="1" applyBorder="1" applyAlignment="1">
      <alignment horizontal="left" vertical="center" indent="1"/>
    </xf>
    <xf numFmtId="164" fontId="4" fillId="0" borderId="0" xfId="2" applyNumberFormat="1" applyFont="1" applyAlignment="1">
      <alignment horizontal="left" vertical="center" indent="1"/>
    </xf>
    <xf numFmtId="0" fontId="6" fillId="5" borderId="1" xfId="0" applyFont="1" applyFill="1" applyBorder="1" applyAlignment="1">
      <alignment horizontal="left" vertical="center" indent="1"/>
    </xf>
    <xf numFmtId="165" fontId="4" fillId="4" borderId="1" xfId="2" applyNumberFormat="1" applyFont="1" applyFill="1" applyBorder="1" applyAlignment="1" applyProtection="1">
      <alignment horizontal="left" vertical="center"/>
      <protection locked="0"/>
    </xf>
    <xf numFmtId="0" fontId="3" fillId="0" borderId="0" xfId="2" applyFont="1" applyAlignment="1">
      <alignment horizontal="right" vertical="center"/>
    </xf>
    <xf numFmtId="0" fontId="9" fillId="0" borderId="0" xfId="2" applyFont="1" applyAlignment="1">
      <alignment horizontal="center" vertical="center"/>
    </xf>
    <xf numFmtId="0" fontId="4" fillId="0" borderId="0" xfId="2" applyFont="1" applyAlignment="1">
      <alignment horizontal="center" vertical="center"/>
    </xf>
    <xf numFmtId="0" fontId="6" fillId="0" borderId="0" xfId="0" applyFont="1"/>
    <xf numFmtId="0" fontId="4" fillId="0" borderId="0" xfId="0" applyFont="1"/>
    <xf numFmtId="0" fontId="0" fillId="0" borderId="0" xfId="0" applyAlignment="1">
      <alignment vertical="center"/>
    </xf>
    <xf numFmtId="4" fontId="0" fillId="0" borderId="0" xfId="0" applyNumberFormat="1" applyAlignment="1">
      <alignment vertical="center"/>
    </xf>
    <xf numFmtId="0" fontId="12" fillId="0" borderId="0" xfId="0" applyFont="1" applyAlignment="1">
      <alignment vertical="center"/>
    </xf>
    <xf numFmtId="0" fontId="13" fillId="0" borderId="0" xfId="0" applyFont="1" applyAlignment="1">
      <alignment horizontal="center" vertical="center"/>
    </xf>
    <xf numFmtId="166" fontId="4" fillId="6" borderId="1" xfId="0" applyNumberFormat="1" applyFont="1" applyFill="1" applyBorder="1" applyAlignment="1" applyProtection="1">
      <alignment horizontal="center" vertical="center"/>
      <protection locked="0"/>
    </xf>
    <xf numFmtId="166" fontId="4" fillId="7" borderId="1" xfId="0" applyNumberFormat="1" applyFont="1" applyFill="1" applyBorder="1" applyAlignment="1">
      <alignment horizontal="center" vertical="center"/>
    </xf>
    <xf numFmtId="166" fontId="4" fillId="5" borderId="1" xfId="0" applyNumberFormat="1" applyFont="1" applyFill="1" applyBorder="1" applyAlignment="1">
      <alignment horizontal="center" vertical="center"/>
    </xf>
    <xf numFmtId="4" fontId="13" fillId="0" borderId="0" xfId="0" applyNumberFormat="1" applyFont="1" applyAlignment="1">
      <alignment horizontal="center" vertical="center"/>
    </xf>
    <xf numFmtId="0" fontId="2" fillId="0" borderId="0" xfId="0" applyFont="1" applyAlignment="1">
      <alignment horizontal="center" vertical="center"/>
    </xf>
    <xf numFmtId="0" fontId="2" fillId="8" borderId="1" xfId="0" applyFont="1" applyFill="1" applyBorder="1" applyAlignment="1">
      <alignment horizontal="center" vertical="center"/>
    </xf>
    <xf numFmtId="0" fontId="2" fillId="0" borderId="0" xfId="0" applyFont="1" applyAlignment="1">
      <alignment horizontal="right"/>
    </xf>
    <xf numFmtId="0" fontId="4" fillId="0" borderId="0" xfId="2" applyFont="1" applyAlignment="1">
      <alignment horizontal="right" vertical="center"/>
    </xf>
    <xf numFmtId="166" fontId="0" fillId="0" borderId="22" xfId="0" applyNumberFormat="1" applyBorder="1" applyAlignment="1">
      <alignment horizontal="center" vertical="center"/>
    </xf>
    <xf numFmtId="166" fontId="0" fillId="0" borderId="1" xfId="0" applyNumberFormat="1" applyBorder="1" applyAlignment="1">
      <alignment horizontal="center" vertical="center"/>
    </xf>
    <xf numFmtId="166" fontId="0" fillId="0" borderId="19" xfId="0" applyNumberFormat="1" applyBorder="1" applyAlignment="1">
      <alignment horizontal="center" vertical="center"/>
    </xf>
    <xf numFmtId="0" fontId="0" fillId="0" borderId="0" xfId="0" applyAlignment="1">
      <alignment horizontal="right" vertical="center"/>
    </xf>
    <xf numFmtId="0" fontId="5" fillId="0" borderId="0" xfId="0" applyFont="1" applyAlignment="1">
      <alignment vertical="center"/>
    </xf>
    <xf numFmtId="0" fontId="16" fillId="0" borderId="0" xfId="0" applyFont="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5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10" fontId="0" fillId="0" borderId="42" xfId="0" applyNumberFormat="1" applyBorder="1" applyAlignment="1">
      <alignment vertical="center"/>
    </xf>
    <xf numFmtId="0" fontId="0" fillId="8" borderId="43" xfId="0" applyFill="1" applyBorder="1" applyAlignment="1">
      <alignment vertical="center"/>
    </xf>
    <xf numFmtId="0" fontId="0" fillId="8" borderId="44" xfId="0" applyFill="1" applyBorder="1" applyAlignment="1">
      <alignment vertical="center"/>
    </xf>
    <xf numFmtId="0" fontId="0" fillId="8" borderId="44" xfId="0" applyFill="1" applyBorder="1" applyAlignment="1">
      <alignment horizontal="center" vertical="center"/>
    </xf>
    <xf numFmtId="0" fontId="0" fillId="8" borderId="45" xfId="0" applyFill="1" applyBorder="1" applyAlignment="1">
      <alignment horizontal="center" vertical="center"/>
    </xf>
    <xf numFmtId="0" fontId="13" fillId="10" borderId="65" xfId="0" applyFont="1" applyFill="1" applyBorder="1" applyAlignment="1">
      <alignment horizontal="center" vertical="center"/>
    </xf>
    <xf numFmtId="0" fontId="13" fillId="10" borderId="28"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13" fillId="10" borderId="65" xfId="0" applyFont="1" applyFill="1" applyBorder="1" applyAlignment="1">
      <alignment horizontal="center" vertical="center" wrapText="1"/>
    </xf>
    <xf numFmtId="0" fontId="20" fillId="9" borderId="25" xfId="0" applyFont="1" applyFill="1" applyBorder="1" applyAlignment="1">
      <alignment horizontal="center" vertical="center" wrapText="1"/>
    </xf>
    <xf numFmtId="0" fontId="13" fillId="10" borderId="28" xfId="0" applyFont="1" applyFill="1" applyBorder="1" applyAlignment="1">
      <alignment horizontal="center" vertical="center"/>
    </xf>
    <xf numFmtId="4" fontId="0" fillId="0" borderId="1" xfId="0" applyNumberFormat="1" applyBorder="1" applyAlignment="1">
      <alignment vertical="center"/>
    </xf>
    <xf numFmtId="4" fontId="0" fillId="0" borderId="15" xfId="0" applyNumberFormat="1" applyBorder="1" applyAlignment="1">
      <alignment vertical="center"/>
    </xf>
    <xf numFmtId="4" fontId="0" fillId="10" borderId="65" xfId="0" applyNumberFormat="1" applyFill="1" applyBorder="1" applyAlignment="1">
      <alignment vertical="center"/>
    </xf>
    <xf numFmtId="4" fontId="0" fillId="0" borderId="13" xfId="0" applyNumberFormat="1" applyBorder="1" applyAlignment="1">
      <alignment vertical="center"/>
    </xf>
    <xf numFmtId="4" fontId="2" fillId="10" borderId="28" xfId="0" applyNumberFormat="1" applyFont="1" applyFill="1" applyBorder="1" applyAlignment="1">
      <alignment vertical="center"/>
    </xf>
    <xf numFmtId="4" fontId="0" fillId="0" borderId="96" xfId="0" applyNumberFormat="1" applyBorder="1" applyAlignment="1">
      <alignment vertical="center"/>
    </xf>
    <xf numFmtId="4" fontId="0" fillId="0" borderId="19" xfId="0" applyNumberFormat="1" applyBorder="1" applyAlignment="1">
      <alignment vertical="center"/>
    </xf>
    <xf numFmtId="4" fontId="0" fillId="0" borderId="33" xfId="0" applyNumberFormat="1" applyBorder="1" applyAlignment="1">
      <alignment vertical="center"/>
    </xf>
    <xf numFmtId="0" fontId="0" fillId="8" borderId="83" xfId="0" applyFill="1" applyBorder="1" applyAlignment="1">
      <alignment vertical="center"/>
    </xf>
    <xf numFmtId="0" fontId="0" fillId="8" borderId="84" xfId="0" applyFill="1" applyBorder="1" applyAlignment="1">
      <alignment vertical="center"/>
    </xf>
    <xf numFmtId="0" fontId="0" fillId="8" borderId="50" xfId="0" applyFill="1" applyBorder="1" applyAlignment="1">
      <alignment vertical="center"/>
    </xf>
    <xf numFmtId="0" fontId="0" fillId="8" borderId="85" xfId="0" applyFill="1" applyBorder="1" applyAlignment="1">
      <alignment vertical="center"/>
    </xf>
    <xf numFmtId="0" fontId="0" fillId="10" borderId="86" xfId="0" applyFill="1" applyBorder="1" applyAlignment="1">
      <alignment vertical="center"/>
    </xf>
    <xf numFmtId="0" fontId="0" fillId="10" borderId="44" xfId="0" applyFill="1" applyBorder="1" applyAlignment="1">
      <alignment vertical="center"/>
    </xf>
    <xf numFmtId="0" fontId="0" fillId="10" borderId="83" xfId="0" applyFill="1" applyBorder="1" applyAlignment="1">
      <alignment vertical="center"/>
    </xf>
    <xf numFmtId="0" fontId="0" fillId="8" borderId="87" xfId="0" applyFill="1" applyBorder="1" applyAlignment="1">
      <alignment vertical="center"/>
    </xf>
    <xf numFmtId="0" fontId="15" fillId="0" borderId="0" xfId="0" applyFont="1" applyAlignment="1">
      <alignment vertical="center"/>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4" fontId="0" fillId="0" borderId="22" xfId="0" applyNumberFormat="1" applyBorder="1" applyAlignment="1">
      <alignment vertical="center"/>
    </xf>
    <xf numFmtId="4" fontId="0" fillId="0" borderId="23" xfId="0" applyNumberFormat="1" applyBorder="1" applyAlignment="1">
      <alignment vertical="center"/>
    </xf>
    <xf numFmtId="4" fontId="2" fillId="10" borderId="65" xfId="0" applyNumberFormat="1" applyFont="1" applyFill="1" applyBorder="1" applyAlignment="1">
      <alignment vertical="center"/>
    </xf>
    <xf numFmtId="4" fontId="0" fillId="0" borderId="101" xfId="0" applyNumberFormat="1" applyBorder="1" applyAlignment="1">
      <alignment vertical="center"/>
    </xf>
    <xf numFmtId="4" fontId="0" fillId="0" borderId="17" xfId="0" applyNumberFormat="1" applyBorder="1" applyAlignment="1">
      <alignment vertical="center"/>
    </xf>
    <xf numFmtId="4" fontId="0" fillId="0" borderId="102" xfId="0" applyNumberFormat="1" applyBorder="1" applyAlignment="1">
      <alignment vertical="center"/>
    </xf>
    <xf numFmtId="0" fontId="0" fillId="8" borderId="86" xfId="0" applyFill="1" applyBorder="1" applyAlignment="1">
      <alignment vertical="center"/>
    </xf>
    <xf numFmtId="0" fontId="0" fillId="10" borderId="56" xfId="0" applyFill="1" applyBorder="1" applyAlignment="1">
      <alignment vertical="center"/>
    </xf>
    <xf numFmtId="0" fontId="0" fillId="8" borderId="45" xfId="0" applyFill="1" applyBorder="1" applyAlignment="1">
      <alignment vertical="center"/>
    </xf>
    <xf numFmtId="0" fontId="2" fillId="8" borderId="88" xfId="0" applyFont="1" applyFill="1" applyBorder="1" applyAlignment="1">
      <alignment horizontal="center" vertical="center"/>
    </xf>
    <xf numFmtId="0" fontId="13" fillId="8" borderId="89" xfId="0" applyFont="1" applyFill="1" applyBorder="1" applyAlignment="1">
      <alignment horizontal="center" vertical="center" wrapText="1"/>
    </xf>
    <xf numFmtId="0" fontId="13" fillId="8" borderId="90" xfId="0" applyFont="1" applyFill="1" applyBorder="1" applyAlignment="1">
      <alignment horizontal="center" vertical="center" wrapText="1"/>
    </xf>
    <xf numFmtId="0" fontId="2" fillId="0" borderId="48" xfId="0" applyFont="1" applyBorder="1" applyAlignment="1">
      <alignment vertical="center"/>
    </xf>
    <xf numFmtId="0" fontId="2" fillId="0" borderId="49" xfId="0" applyFont="1" applyBorder="1" applyAlignment="1">
      <alignment vertical="center"/>
    </xf>
    <xf numFmtId="0" fontId="2" fillId="0" borderId="1" xfId="0" applyFont="1" applyBorder="1" applyAlignment="1">
      <alignment horizontal="center" vertical="center"/>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1" fontId="0" fillId="0" borderId="1" xfId="0" applyNumberFormat="1" applyBorder="1" applyAlignment="1">
      <alignment vertical="center"/>
    </xf>
    <xf numFmtId="14" fontId="0" fillId="0" borderId="1" xfId="0" applyNumberFormat="1" applyBorder="1" applyAlignment="1">
      <alignment vertical="center"/>
    </xf>
    <xf numFmtId="2" fontId="0" fillId="0" borderId="1" xfId="0" applyNumberFormat="1" applyBorder="1" applyAlignment="1">
      <alignment vertical="center"/>
    </xf>
    <xf numFmtId="10" fontId="0" fillId="6" borderId="60" xfId="1" applyNumberFormat="1" applyFont="1" applyFill="1" applyBorder="1" applyAlignment="1" applyProtection="1">
      <alignment vertical="center"/>
      <protection locked="0"/>
    </xf>
    <xf numFmtId="10" fontId="0" fillId="6" borderId="42" xfId="1" applyNumberFormat="1" applyFont="1" applyFill="1" applyBorder="1" applyAlignment="1" applyProtection="1">
      <alignment vertical="center"/>
      <protection locked="0"/>
    </xf>
    <xf numFmtId="0" fontId="0" fillId="6" borderId="31" xfId="0" applyFill="1" applyBorder="1" applyAlignment="1" applyProtection="1">
      <alignment horizontal="center" vertical="center"/>
      <protection locked="0"/>
    </xf>
    <xf numFmtId="4" fontId="0" fillId="6" borderId="32" xfId="0" applyNumberFormat="1" applyFill="1" applyBorder="1" applyAlignment="1" applyProtection="1">
      <alignment vertical="center"/>
      <protection locked="0"/>
    </xf>
    <xf numFmtId="4" fontId="0" fillId="6" borderId="13" xfId="0" applyNumberFormat="1" applyFill="1" applyBorder="1" applyAlignment="1" applyProtection="1">
      <alignment vertical="center"/>
      <protection locked="0"/>
    </xf>
    <xf numFmtId="0" fontId="0" fillId="6" borderId="17" xfId="0" applyFill="1" applyBorder="1" applyAlignment="1" applyProtection="1">
      <alignment horizontal="center" vertical="center"/>
      <protection locked="0"/>
    </xf>
    <xf numFmtId="4" fontId="0" fillId="6" borderId="24" xfId="0" applyNumberFormat="1" applyFill="1" applyBorder="1" applyAlignment="1" applyProtection="1">
      <alignment vertical="center"/>
      <protection locked="0"/>
    </xf>
    <xf numFmtId="4" fontId="0" fillId="6" borderId="1" xfId="0" applyNumberFormat="1" applyFill="1" applyBorder="1" applyAlignment="1" applyProtection="1">
      <alignment vertical="center"/>
      <protection locked="0"/>
    </xf>
    <xf numFmtId="4" fontId="0" fillId="6" borderId="16" xfId="0" applyNumberFormat="1" applyFill="1" applyBorder="1" applyAlignment="1" applyProtection="1">
      <alignment vertical="center"/>
      <protection locked="0"/>
    </xf>
    <xf numFmtId="4" fontId="0" fillId="6" borderId="33" xfId="0" applyNumberFormat="1" applyFill="1" applyBorder="1" applyAlignment="1" applyProtection="1">
      <alignment vertical="center"/>
      <protection locked="0"/>
    </xf>
    <xf numFmtId="4" fontId="0" fillId="6" borderId="25" xfId="0" applyNumberFormat="1" applyFill="1" applyBorder="1" applyAlignment="1" applyProtection="1">
      <alignment vertical="center"/>
      <protection locked="0"/>
    </xf>
    <xf numFmtId="4" fontId="0" fillId="6" borderId="19" xfId="0" applyNumberFormat="1" applyFill="1" applyBorder="1" applyAlignment="1" applyProtection="1">
      <alignment vertical="center"/>
      <protection locked="0"/>
    </xf>
    <xf numFmtId="4" fontId="0" fillId="6" borderId="31" xfId="0" applyNumberFormat="1" applyFill="1" applyBorder="1" applyAlignment="1" applyProtection="1">
      <alignment vertical="center"/>
      <protection locked="0"/>
    </xf>
    <xf numFmtId="4" fontId="0" fillId="6" borderId="17" xfId="0" applyNumberFormat="1" applyFill="1" applyBorder="1" applyAlignment="1" applyProtection="1">
      <alignment vertical="center"/>
      <protection locked="0"/>
    </xf>
    <xf numFmtId="4" fontId="0" fillId="6" borderId="20" xfId="0" applyNumberFormat="1" applyFill="1" applyBorder="1" applyAlignment="1" applyProtection="1">
      <alignment vertical="center"/>
      <protection locked="0"/>
    </xf>
    <xf numFmtId="166" fontId="0" fillId="6" borderId="13" xfId="0" applyNumberFormat="1" applyFill="1" applyBorder="1" applyAlignment="1" applyProtection="1">
      <alignment horizontal="center" vertical="center"/>
      <protection locked="0"/>
    </xf>
    <xf numFmtId="166" fontId="0" fillId="6" borderId="31" xfId="0" applyNumberFormat="1" applyFill="1" applyBorder="1" applyAlignment="1" applyProtection="1">
      <alignment horizontal="center" vertical="center"/>
      <protection locked="0"/>
    </xf>
    <xf numFmtId="166" fontId="0" fillId="6" borderId="1" xfId="0" applyNumberFormat="1" applyFill="1" applyBorder="1" applyAlignment="1" applyProtection="1">
      <alignment horizontal="center" vertical="center"/>
      <protection locked="0"/>
    </xf>
    <xf numFmtId="166" fontId="0" fillId="6" borderId="17" xfId="0" applyNumberFormat="1" applyFill="1" applyBorder="1" applyAlignment="1" applyProtection="1">
      <alignment horizontal="center" vertical="center"/>
      <protection locked="0"/>
    </xf>
    <xf numFmtId="166" fontId="0" fillId="6" borderId="33" xfId="0" applyNumberFormat="1" applyFill="1" applyBorder="1" applyAlignment="1" applyProtection="1">
      <alignment horizontal="center" vertical="center"/>
      <protection locked="0"/>
    </xf>
    <xf numFmtId="166" fontId="0" fillId="6" borderId="72" xfId="0" applyNumberFormat="1" applyFill="1" applyBorder="1" applyAlignment="1" applyProtection="1">
      <alignment horizontal="center" vertical="center"/>
      <protection locked="0"/>
    </xf>
    <xf numFmtId="0" fontId="0" fillId="7" borderId="32" xfId="0" applyFill="1" applyBorder="1" applyAlignment="1" applyProtection="1">
      <alignment vertical="center"/>
      <protection locked="0"/>
    </xf>
    <xf numFmtId="0" fontId="0" fillId="7" borderId="31" xfId="0" applyFill="1" applyBorder="1" applyAlignment="1" applyProtection="1">
      <alignment vertical="center"/>
      <protection locked="0"/>
    </xf>
    <xf numFmtId="0" fontId="0" fillId="7" borderId="24" xfId="0" applyFill="1" applyBorder="1" applyAlignment="1" applyProtection="1">
      <alignment vertical="center"/>
      <protection locked="0"/>
    </xf>
    <xf numFmtId="0" fontId="0" fillId="7" borderId="17" xfId="0" applyFill="1" applyBorder="1" applyAlignment="1" applyProtection="1">
      <alignment vertical="center"/>
      <protection locked="0"/>
    </xf>
    <xf numFmtId="0" fontId="0" fillId="6" borderId="81" xfId="0" applyFill="1" applyBorder="1" applyAlignment="1" applyProtection="1">
      <alignment vertical="center"/>
      <protection locked="0"/>
    </xf>
    <xf numFmtId="0" fontId="0" fillId="7" borderId="16" xfId="0" applyFill="1" applyBorder="1" applyAlignment="1" applyProtection="1">
      <alignment vertical="center"/>
      <protection locked="0"/>
    </xf>
    <xf numFmtId="0" fontId="0" fillId="7" borderId="72" xfId="0" applyFill="1" applyBorder="1" applyAlignment="1" applyProtection="1">
      <alignment vertical="center"/>
      <protection locked="0"/>
    </xf>
    <xf numFmtId="0" fontId="0" fillId="6" borderId="82" xfId="0" applyFill="1" applyBorder="1" applyAlignment="1" applyProtection="1">
      <alignment vertical="center"/>
      <protection locked="0"/>
    </xf>
    <xf numFmtId="0" fontId="0" fillId="6" borderId="48" xfId="0" applyFill="1" applyBorder="1" applyAlignment="1" applyProtection="1">
      <alignment vertical="center"/>
      <protection locked="0"/>
    </xf>
    <xf numFmtId="0" fontId="0" fillId="6" borderId="49" xfId="0" applyFill="1" applyBorder="1" applyAlignment="1" applyProtection="1">
      <alignment vertical="center"/>
      <protection locked="0"/>
    </xf>
    <xf numFmtId="4" fontId="0" fillId="6" borderId="21" xfId="0" applyNumberFormat="1" applyFill="1" applyBorder="1" applyAlignment="1" applyProtection="1">
      <alignment vertical="center"/>
      <protection locked="0"/>
    </xf>
    <xf numFmtId="4" fontId="0" fillId="6" borderId="22" xfId="0" applyNumberFormat="1" applyFill="1" applyBorder="1" applyAlignment="1" applyProtection="1">
      <alignment vertical="center"/>
      <protection locked="0"/>
    </xf>
    <xf numFmtId="4" fontId="2" fillId="6" borderId="23" xfId="0" applyNumberFormat="1" applyFont="1" applyFill="1" applyBorder="1" applyAlignment="1" applyProtection="1">
      <alignment vertical="center"/>
      <protection locked="0"/>
    </xf>
    <xf numFmtId="4" fontId="2" fillId="6" borderId="17" xfId="0" applyNumberFormat="1" applyFont="1" applyFill="1" applyBorder="1" applyAlignment="1" applyProtection="1">
      <alignment vertical="center"/>
      <protection locked="0"/>
    </xf>
    <xf numFmtId="4" fontId="2" fillId="6" borderId="20" xfId="0" applyNumberFormat="1" applyFont="1" applyFill="1" applyBorder="1" applyAlignment="1" applyProtection="1">
      <alignment vertical="center"/>
      <protection locked="0"/>
    </xf>
    <xf numFmtId="166" fontId="0" fillId="6" borderId="40" xfId="0" applyNumberFormat="1" applyFill="1" applyBorder="1" applyAlignment="1" applyProtection="1">
      <alignment horizontal="center" vertical="center"/>
      <protection locked="0"/>
    </xf>
    <xf numFmtId="166" fontId="0" fillId="6" borderId="42" xfId="0" applyNumberFormat="1" applyFill="1" applyBorder="1" applyAlignment="1" applyProtection="1">
      <alignment horizontal="center" vertical="center"/>
      <protection locked="0"/>
    </xf>
    <xf numFmtId="0" fontId="13" fillId="8" borderId="19" xfId="0" applyFont="1" applyFill="1" applyBorder="1" applyAlignment="1">
      <alignment horizontal="center" vertical="center" wrapText="1"/>
    </xf>
    <xf numFmtId="0" fontId="2" fillId="0" borderId="14" xfId="0" applyFont="1" applyBorder="1" applyAlignment="1">
      <alignment vertical="center"/>
    </xf>
    <xf numFmtId="0" fontId="2" fillId="0" borderId="71" xfId="0" applyFont="1" applyBorder="1" applyAlignment="1">
      <alignment vertical="center"/>
    </xf>
    <xf numFmtId="0" fontId="2" fillId="0" borderId="97" xfId="0" applyFont="1" applyBorder="1" applyAlignment="1">
      <alignment vertical="center"/>
    </xf>
    <xf numFmtId="10" fontId="0" fillId="0" borderId="101" xfId="1" applyNumberFormat="1" applyFont="1" applyFill="1" applyBorder="1" applyAlignment="1">
      <alignment horizontal="right" vertical="center" indent="1"/>
    </xf>
    <xf numFmtId="10" fontId="0" fillId="0" borderId="102" xfId="1" applyNumberFormat="1" applyFont="1" applyFill="1" applyBorder="1" applyAlignment="1">
      <alignment horizontal="right" vertical="center" indent="1"/>
    </xf>
    <xf numFmtId="10" fontId="0" fillId="0" borderId="103" xfId="1" applyNumberFormat="1" applyFont="1" applyFill="1" applyBorder="1" applyAlignment="1">
      <alignment horizontal="right" vertical="center" indent="1"/>
    </xf>
    <xf numFmtId="0" fontId="2" fillId="8" borderId="101" xfId="0" applyFont="1" applyFill="1" applyBorder="1" applyAlignment="1">
      <alignment horizontal="center" vertical="center" wrapText="1"/>
    </xf>
    <xf numFmtId="0" fontId="13" fillId="8" borderId="103"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7" fillId="8" borderId="20" xfId="0" applyFont="1" applyFill="1" applyBorder="1" applyAlignment="1">
      <alignment horizontal="center" vertical="center" wrapText="1"/>
    </xf>
    <xf numFmtId="4" fontId="0" fillId="0" borderId="21" xfId="0" applyNumberFormat="1" applyBorder="1" applyAlignment="1">
      <alignment horizontal="right" vertical="center" indent="1"/>
    </xf>
    <xf numFmtId="4" fontId="2" fillId="0" borderId="23" xfId="0" applyNumberFormat="1" applyFont="1" applyBorder="1" applyAlignment="1">
      <alignment horizontal="right" vertical="center" indent="1"/>
    </xf>
    <xf numFmtId="4" fontId="0" fillId="0" borderId="24" xfId="0" applyNumberFormat="1" applyBorder="1" applyAlignment="1">
      <alignment horizontal="right" vertical="center" indent="1"/>
    </xf>
    <xf numFmtId="4" fontId="2" fillId="0" borderId="17" xfId="0" applyNumberFormat="1" applyFont="1" applyBorder="1" applyAlignment="1">
      <alignment horizontal="right" vertical="center" indent="1"/>
    </xf>
    <xf numFmtId="4" fontId="0" fillId="0" borderId="25" xfId="0" applyNumberFormat="1" applyBorder="1" applyAlignment="1">
      <alignment horizontal="right" vertical="center" indent="1"/>
    </xf>
    <xf numFmtId="4" fontId="2" fillId="0" borderId="20" xfId="0" applyNumberFormat="1" applyFont="1" applyBorder="1" applyAlignment="1">
      <alignment horizontal="right" vertical="center" indent="1"/>
    </xf>
    <xf numFmtId="0" fontId="13" fillId="8" borderId="20" xfId="0" applyFont="1" applyFill="1" applyBorder="1" applyAlignment="1">
      <alignment horizontal="center" vertical="center" wrapText="1"/>
    </xf>
    <xf numFmtId="4" fontId="2" fillId="0" borderId="101" xfId="0" applyNumberFormat="1" applyFont="1" applyBorder="1" applyAlignment="1">
      <alignment horizontal="right" vertical="center" indent="1"/>
    </xf>
    <xf numFmtId="4" fontId="2" fillId="0" borderId="102" xfId="0" applyNumberFormat="1" applyFont="1" applyBorder="1" applyAlignment="1">
      <alignment horizontal="right" vertical="center" indent="1"/>
    </xf>
    <xf numFmtId="4" fontId="2" fillId="0" borderId="103" xfId="0" applyNumberFormat="1" applyFont="1" applyBorder="1" applyAlignment="1">
      <alignment horizontal="right" vertical="center" indent="1"/>
    </xf>
    <xf numFmtId="4" fontId="2" fillId="8" borderId="15" xfId="0" applyNumberFormat="1" applyFont="1" applyFill="1" applyBorder="1" applyAlignment="1">
      <alignment horizontal="right" vertical="center" indent="1"/>
    </xf>
    <xf numFmtId="4" fontId="2" fillId="8" borderId="96" xfId="0" applyNumberFormat="1" applyFont="1" applyFill="1" applyBorder="1" applyAlignment="1">
      <alignment horizontal="right" vertical="center" indent="1"/>
    </xf>
    <xf numFmtId="4" fontId="2" fillId="8" borderId="94" xfId="0" applyNumberFormat="1" applyFont="1" applyFill="1" applyBorder="1" applyAlignment="1">
      <alignment horizontal="right" vertical="center" indent="1"/>
    </xf>
    <xf numFmtId="4" fontId="22" fillId="0" borderId="93" xfId="0" applyNumberFormat="1" applyFont="1" applyBorder="1" applyAlignment="1">
      <alignment horizontal="right" vertical="center" indent="1"/>
    </xf>
    <xf numFmtId="49" fontId="4" fillId="0" borderId="0" xfId="0" quotePrefix="1" applyNumberFormat="1" applyFont="1" applyAlignment="1">
      <alignment horizontal="left" vertical="center" wrapText="1"/>
    </xf>
    <xf numFmtId="0" fontId="4" fillId="0" borderId="0" xfId="0" quotePrefix="1" applyFont="1" applyAlignment="1">
      <alignment horizontal="left" vertical="center" wrapText="1"/>
    </xf>
    <xf numFmtId="0" fontId="2" fillId="0" borderId="0" xfId="0" applyFont="1"/>
    <xf numFmtId="0" fontId="0" fillId="0" borderId="0" xfId="0" applyAlignment="1">
      <alignment horizontal="right" vertical="center" indent="1"/>
    </xf>
    <xf numFmtId="0" fontId="4" fillId="0" borderId="0" xfId="0" applyFont="1" applyAlignment="1">
      <alignment horizontal="left" vertical="center" indent="1"/>
    </xf>
    <xf numFmtId="0" fontId="4" fillId="0" borderId="0" xfId="0" quotePrefix="1" applyFont="1" applyAlignment="1">
      <alignment horizontal="left" vertical="center" indent="1"/>
    </xf>
    <xf numFmtId="0" fontId="9" fillId="0" borderId="0" xfId="2" applyFont="1" applyAlignment="1">
      <alignment vertical="center"/>
    </xf>
    <xf numFmtId="10" fontId="10" fillId="0" borderId="33" xfId="2" applyNumberFormat="1" applyFont="1" applyBorder="1" applyAlignment="1">
      <alignment horizontal="center" vertical="center"/>
    </xf>
    <xf numFmtId="10" fontId="12" fillId="6" borderId="1" xfId="0" applyNumberFormat="1" applyFont="1" applyFill="1" applyBorder="1" applyAlignment="1" applyProtection="1">
      <alignment horizontal="center" vertical="center"/>
      <protection locked="0"/>
    </xf>
    <xf numFmtId="10" fontId="12" fillId="6" borderId="17" xfId="0" applyNumberFormat="1" applyFont="1" applyFill="1" applyBorder="1" applyAlignment="1" applyProtection="1">
      <alignment horizontal="center" vertical="center"/>
      <protection locked="0"/>
    </xf>
    <xf numFmtId="0" fontId="2" fillId="8" borderId="65" xfId="0" applyFont="1" applyFill="1" applyBorder="1" applyAlignment="1">
      <alignment horizontal="center" vertical="center" wrapText="1"/>
    </xf>
    <xf numFmtId="0" fontId="2" fillId="8" borderId="65" xfId="0" applyFont="1" applyFill="1" applyBorder="1" applyAlignment="1">
      <alignment vertical="center" wrapText="1"/>
    </xf>
    <xf numFmtId="10" fontId="10" fillId="0" borderId="72" xfId="2" applyNumberFormat="1" applyFont="1" applyBorder="1" applyAlignment="1">
      <alignment horizontal="center" vertical="center"/>
    </xf>
    <xf numFmtId="0" fontId="11" fillId="0" borderId="0" xfId="0" applyFont="1" applyAlignment="1">
      <alignment horizontal="right" vertical="center" indent="1"/>
    </xf>
    <xf numFmtId="0" fontId="11" fillId="0" borderId="0" xfId="0" applyFont="1" applyAlignment="1">
      <alignment vertical="center"/>
    </xf>
    <xf numFmtId="0" fontId="11" fillId="0" borderId="0" xfId="0" applyFont="1" applyAlignment="1">
      <alignment horizontal="right" vertical="center"/>
    </xf>
    <xf numFmtId="0" fontId="22" fillId="0" borderId="92" xfId="0" applyFont="1" applyBorder="1" applyAlignment="1">
      <alignment horizontal="right" vertical="center" indent="1"/>
    </xf>
    <xf numFmtId="0" fontId="11" fillId="0" borderId="0" xfId="0" applyFont="1" applyAlignment="1">
      <alignment horizontal="right"/>
    </xf>
    <xf numFmtId="4" fontId="0" fillId="0" borderId="0" xfId="0" applyNumberFormat="1" applyAlignment="1">
      <alignment horizontal="right"/>
    </xf>
    <xf numFmtId="4" fontId="22" fillId="0" borderId="0" xfId="0" applyNumberFormat="1" applyFont="1" applyAlignment="1">
      <alignment horizontal="right"/>
    </xf>
    <xf numFmtId="0" fontId="22" fillId="0" borderId="0" xfId="0" applyFont="1" applyAlignment="1">
      <alignment horizontal="right" indent="1"/>
    </xf>
    <xf numFmtId="0" fontId="0" fillId="0" borderId="0" xfId="0" applyAlignment="1">
      <alignment horizontal="right" indent="1"/>
    </xf>
    <xf numFmtId="4" fontId="2" fillId="8" borderId="1" xfId="0" applyNumberFormat="1" applyFont="1" applyFill="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indent="1"/>
    </xf>
    <xf numFmtId="0" fontId="5" fillId="0" borderId="0" xfId="0" applyFont="1" applyAlignment="1">
      <alignment horizontal="right" vertical="center"/>
    </xf>
    <xf numFmtId="0" fontId="5" fillId="0" borderId="0" xfId="0" applyFont="1" applyAlignment="1">
      <alignment horizontal="right" vertical="center" indent="1"/>
    </xf>
    <xf numFmtId="0" fontId="19" fillId="0" borderId="0" xfId="0" applyFont="1" applyAlignment="1">
      <alignment vertical="center"/>
    </xf>
    <xf numFmtId="4" fontId="11" fillId="0" borderId="0" xfId="0" applyNumberFormat="1" applyFont="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wrapText="1" indent="1"/>
    </xf>
    <xf numFmtId="4" fontId="0" fillId="0" borderId="1" xfId="0" applyNumberFormat="1" applyBorder="1" applyAlignment="1">
      <alignment horizontal="right" vertical="center" indent="1"/>
    </xf>
    <xf numFmtId="0" fontId="19" fillId="0" borderId="0" xfId="0" applyFont="1" applyAlignment="1">
      <alignment horizontal="center" vertical="center"/>
    </xf>
    <xf numFmtId="0" fontId="19" fillId="0" borderId="0" xfId="0" applyFont="1"/>
    <xf numFmtId="49" fontId="4" fillId="0" borderId="0" xfId="0" quotePrefix="1" applyNumberFormat="1" applyFont="1" applyAlignment="1">
      <alignment vertical="center" wrapText="1"/>
    </xf>
    <xf numFmtId="49" fontId="4" fillId="0" borderId="0" xfId="0" applyNumberFormat="1" applyFont="1" applyAlignment="1">
      <alignment horizontal="left" vertical="center" wrapText="1"/>
    </xf>
    <xf numFmtId="10" fontId="12" fillId="6" borderId="13" xfId="0" applyNumberFormat="1" applyFont="1" applyFill="1" applyBorder="1" applyAlignment="1" applyProtection="1">
      <alignment horizontal="center" vertical="center"/>
      <protection locked="0"/>
    </xf>
    <xf numFmtId="10" fontId="12" fillId="6" borderId="31" xfId="0" applyNumberFormat="1" applyFont="1" applyFill="1" applyBorder="1" applyAlignment="1" applyProtection="1">
      <alignment horizontal="center" vertical="center"/>
      <protection locked="0"/>
    </xf>
    <xf numFmtId="0" fontId="23" fillId="8" borderId="104" xfId="2" applyFont="1" applyFill="1" applyBorder="1" applyAlignment="1">
      <alignment horizontal="center" vertical="center"/>
    </xf>
    <xf numFmtId="0" fontId="23" fillId="8" borderId="105" xfId="2" applyFont="1" applyFill="1" applyBorder="1" applyAlignment="1">
      <alignment horizontal="center" vertical="center"/>
    </xf>
    <xf numFmtId="0" fontId="23" fillId="8" borderId="106" xfId="2" applyFont="1" applyFill="1" applyBorder="1" applyAlignment="1">
      <alignment horizontal="center" vertical="center"/>
    </xf>
    <xf numFmtId="0" fontId="2" fillId="8" borderId="0" xfId="0" applyFont="1" applyFill="1" applyAlignment="1">
      <alignment horizontal="right" vertical="center" wrapText="1" indent="1"/>
    </xf>
    <xf numFmtId="10" fontId="10" fillId="0" borderId="107" xfId="2" applyNumberFormat="1" applyFont="1" applyBorder="1" applyAlignment="1">
      <alignment horizontal="center" vertical="center"/>
    </xf>
    <xf numFmtId="10" fontId="10" fillId="0" borderId="35" xfId="2" applyNumberFormat="1" applyFont="1" applyBorder="1" applyAlignment="1">
      <alignment horizontal="center" vertical="center"/>
    </xf>
    <xf numFmtId="10" fontId="10" fillId="0" borderId="67" xfId="2" applyNumberFormat="1" applyFont="1" applyBorder="1" applyAlignment="1">
      <alignment horizontal="center" vertical="center"/>
    </xf>
    <xf numFmtId="10" fontId="10" fillId="0" borderId="16" xfId="2" applyNumberFormat="1" applyFont="1" applyBorder="1" applyAlignment="1">
      <alignment horizontal="center" vertical="center"/>
    </xf>
    <xf numFmtId="10" fontId="10" fillId="0" borderId="25" xfId="2" applyNumberFormat="1" applyFont="1" applyBorder="1" applyAlignment="1">
      <alignment horizontal="center" vertical="center"/>
    </xf>
    <xf numFmtId="10" fontId="10" fillId="0" borderId="19" xfId="2" applyNumberFormat="1" applyFont="1" applyBorder="1" applyAlignment="1">
      <alignment horizontal="center" vertical="center"/>
    </xf>
    <xf numFmtId="10" fontId="10" fillId="0" borderId="20" xfId="2" applyNumberFormat="1" applyFont="1" applyBorder="1" applyAlignment="1">
      <alignment horizontal="center" vertical="center"/>
    </xf>
    <xf numFmtId="0" fontId="4" fillId="0" borderId="0" xfId="0" applyFont="1" applyAlignment="1">
      <alignment horizontal="left" vertical="center" wrapText="1"/>
    </xf>
    <xf numFmtId="0" fontId="2" fillId="12" borderId="66" xfId="0" applyFont="1" applyFill="1" applyBorder="1" applyAlignment="1">
      <alignment vertical="center"/>
    </xf>
    <xf numFmtId="0" fontId="0" fillId="12" borderId="65" xfId="0" applyFill="1" applyBorder="1" applyAlignment="1">
      <alignment vertical="center"/>
    </xf>
    <xf numFmtId="0" fontId="0" fillId="12" borderId="66" xfId="0" applyFill="1" applyBorder="1" applyAlignment="1">
      <alignment vertical="center"/>
    </xf>
    <xf numFmtId="0" fontId="0" fillId="12" borderId="92" xfId="0" applyFill="1" applyBorder="1" applyAlignment="1">
      <alignment vertical="center"/>
    </xf>
    <xf numFmtId="0" fontId="16" fillId="12" borderId="92" xfId="0" applyFont="1" applyFill="1" applyBorder="1" applyAlignment="1">
      <alignment vertical="center"/>
    </xf>
    <xf numFmtId="0" fontId="0" fillId="12" borderId="93" xfId="0" applyFill="1" applyBorder="1" applyAlignment="1">
      <alignment vertical="center"/>
    </xf>
    <xf numFmtId="0" fontId="2" fillId="12" borderId="91" xfId="0" applyFont="1" applyFill="1" applyBorder="1" applyAlignment="1">
      <alignment vertical="top"/>
    </xf>
    <xf numFmtId="166" fontId="25" fillId="0" borderId="0" xfId="0" applyNumberFormat="1" applyFont="1" applyAlignment="1">
      <alignment horizontal="center" vertical="center"/>
    </xf>
    <xf numFmtId="166" fontId="26" fillId="0" borderId="0" xfId="0" applyNumberFormat="1" applyFont="1" applyAlignment="1">
      <alignment vertical="center"/>
    </xf>
    <xf numFmtId="0" fontId="0" fillId="0" borderId="0" xfId="0" applyAlignment="1">
      <alignment horizontal="center"/>
    </xf>
    <xf numFmtId="14" fontId="4" fillId="6" borderId="106" xfId="0" applyNumberFormat="1" applyFont="1" applyFill="1" applyBorder="1" applyAlignment="1" applyProtection="1">
      <alignment horizontal="center" vertical="center"/>
      <protection locked="0"/>
    </xf>
    <xf numFmtId="0" fontId="2" fillId="8" borderId="104" xfId="0" applyFont="1" applyFill="1" applyBorder="1" applyAlignment="1">
      <alignment horizontal="left" vertical="center" indent="1"/>
    </xf>
    <xf numFmtId="0" fontId="2" fillId="12" borderId="64" xfId="0" applyFont="1" applyFill="1" applyBorder="1" applyAlignment="1">
      <alignment horizontal="left" vertical="center" indent="1"/>
    </xf>
    <xf numFmtId="0" fontId="2" fillId="12" borderId="91" xfId="0" applyFont="1" applyFill="1" applyBorder="1" applyAlignment="1">
      <alignment horizontal="left" vertical="center" indent="1"/>
    </xf>
    <xf numFmtId="0" fontId="2" fillId="8" borderId="108" xfId="0" applyFont="1" applyFill="1" applyBorder="1" applyAlignment="1">
      <alignment horizontal="center" vertical="center"/>
    </xf>
    <xf numFmtId="0" fontId="4" fillId="0" borderId="0" xfId="0" applyFont="1" applyAlignment="1">
      <alignment horizontal="left" vertical="center" wrapText="1" indent="1"/>
    </xf>
    <xf numFmtId="0" fontId="26" fillId="0" borderId="0" xfId="0" applyFont="1" applyAlignment="1">
      <alignment vertical="center"/>
    </xf>
    <xf numFmtId="4" fontId="26" fillId="0" borderId="0" xfId="0" applyNumberFormat="1" applyFont="1" applyAlignment="1">
      <alignment vertical="center"/>
    </xf>
    <xf numFmtId="4" fontId="26" fillId="0" borderId="0" xfId="0" applyNumberFormat="1" applyFont="1" applyAlignment="1">
      <alignment horizontal="right" vertical="center" indent="1"/>
    </xf>
    <xf numFmtId="10" fontId="26" fillId="0" borderId="0" xfId="1" applyNumberFormat="1" applyFont="1" applyAlignment="1">
      <alignment vertical="center"/>
    </xf>
    <xf numFmtId="0" fontId="26" fillId="0" borderId="0" xfId="0" applyFont="1" applyAlignment="1">
      <alignment horizontal="right" vertical="center"/>
    </xf>
    <xf numFmtId="166" fontId="6" fillId="5" borderId="1" xfId="0" applyNumberFormat="1" applyFont="1" applyFill="1" applyBorder="1" applyAlignment="1" applyProtection="1">
      <alignment horizontal="center" vertical="center"/>
      <protection locked="0"/>
    </xf>
    <xf numFmtId="49" fontId="4" fillId="0" borderId="0" xfId="0" applyNumberFormat="1" applyFont="1" applyAlignment="1">
      <alignment horizontal="left" vertical="center" wrapText="1" indent="2"/>
    </xf>
    <xf numFmtId="0" fontId="26" fillId="0" borderId="0" xfId="0" applyFont="1" applyAlignment="1">
      <alignment horizontal="right" vertical="center" indent="1"/>
    </xf>
    <xf numFmtId="0" fontId="4" fillId="0" borderId="0" xfId="0" quotePrefix="1" applyFont="1" applyAlignment="1">
      <alignment horizontal="left" vertical="center" wrapText="1" indent="2"/>
    </xf>
    <xf numFmtId="0" fontId="1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4" fontId="26" fillId="0" borderId="0" xfId="0" applyNumberFormat="1" applyFont="1" applyAlignment="1">
      <alignment horizontal="right" vertical="center"/>
    </xf>
    <xf numFmtId="4" fontId="22" fillId="0" borderId="0" xfId="0" applyNumberFormat="1" applyFont="1" applyAlignment="1">
      <alignment horizontal="right" vertical="center"/>
    </xf>
    <xf numFmtId="0" fontId="2" fillId="0" borderId="52" xfId="0" applyFont="1" applyBorder="1" applyAlignment="1">
      <alignment horizontal="left" vertical="center"/>
    </xf>
    <xf numFmtId="0" fontId="2" fillId="0" borderId="41" xfId="0" applyFont="1" applyBorder="1" applyAlignment="1">
      <alignment horizontal="left" vertical="center"/>
    </xf>
    <xf numFmtId="0" fontId="2" fillId="12" borderId="64" xfId="0" applyFont="1" applyFill="1" applyBorder="1" applyAlignment="1">
      <alignment vertical="top"/>
    </xf>
    <xf numFmtId="0" fontId="0" fillId="12" borderId="65" xfId="0" applyFill="1" applyBorder="1" applyAlignment="1">
      <alignment vertical="top"/>
    </xf>
    <xf numFmtId="0" fontId="0" fillId="12" borderId="66" xfId="0" applyFill="1" applyBorder="1" applyAlignment="1">
      <alignment vertical="top"/>
    </xf>
    <xf numFmtId="0" fontId="3" fillId="0" borderId="0" xfId="0" applyFont="1" applyAlignment="1">
      <alignment vertical="center"/>
    </xf>
    <xf numFmtId="0" fontId="6" fillId="8" borderId="1" xfId="2" applyFont="1" applyFill="1" applyBorder="1" applyAlignment="1">
      <alignment horizontal="center" vertical="center"/>
    </xf>
    <xf numFmtId="0" fontId="9" fillId="6" borderId="1" xfId="2" applyFont="1" applyFill="1" applyBorder="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center" vertical="center"/>
      <protection locked="0"/>
    </xf>
    <xf numFmtId="0" fontId="2" fillId="8" borderId="22" xfId="0" applyFont="1" applyFill="1" applyBorder="1" applyAlignment="1">
      <alignment horizontal="center" vertical="center"/>
    </xf>
    <xf numFmtId="10" fontId="19" fillId="0" borderId="0" xfId="0" applyNumberFormat="1" applyFont="1" applyAlignment="1">
      <alignment vertical="center"/>
    </xf>
    <xf numFmtId="0" fontId="3" fillId="0" borderId="2" xfId="0" applyFont="1" applyBorder="1" applyAlignment="1">
      <alignment horizontal="center" vertical="center"/>
    </xf>
    <xf numFmtId="0" fontId="13" fillId="8" borderId="22" xfId="0" applyFont="1" applyFill="1" applyBorder="1" applyAlignment="1">
      <alignment horizontal="center" vertical="center" wrapText="1"/>
    </xf>
    <xf numFmtId="17"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49" fontId="4" fillId="0" borderId="0" xfId="0" quotePrefix="1" applyNumberFormat="1" applyFont="1" applyAlignment="1">
      <alignment horizontal="left" vertical="center" wrapText="1" indent="1"/>
    </xf>
    <xf numFmtId="4" fontId="0" fillId="6" borderId="1" xfId="0" applyNumberFormat="1" applyFill="1" applyBorder="1" applyAlignment="1" applyProtection="1">
      <alignment horizontal="right" vertical="center"/>
      <protection locked="0"/>
    </xf>
    <xf numFmtId="0" fontId="2" fillId="0" borderId="1" xfId="0" applyFont="1" applyBorder="1" applyAlignment="1">
      <alignment horizontal="center" vertical="center" wrapText="1"/>
    </xf>
    <xf numFmtId="0" fontId="17" fillId="8" borderId="25" xfId="0" applyFont="1" applyFill="1" applyBorder="1" applyAlignment="1">
      <alignment horizontal="center" vertical="center" wrapText="1"/>
    </xf>
    <xf numFmtId="0" fontId="0" fillId="6" borderId="58" xfId="0" applyFill="1" applyBorder="1" applyAlignment="1" applyProtection="1">
      <alignment vertical="center" wrapText="1"/>
      <protection locked="0"/>
    </xf>
    <xf numFmtId="0" fontId="0" fillId="6" borderId="57" xfId="0" applyFill="1" applyBorder="1" applyAlignment="1" applyProtection="1">
      <alignment vertical="center" wrapText="1"/>
      <protection locked="0"/>
    </xf>
    <xf numFmtId="4" fontId="0" fillId="0" borderId="5" xfId="0" applyNumberFormat="1" applyBorder="1" applyAlignment="1">
      <alignment horizontal="center" vertical="center"/>
    </xf>
    <xf numFmtId="4" fontId="0" fillId="0" borderId="10" xfId="0" applyNumberFormat="1"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1" fontId="0" fillId="0" borderId="10" xfId="0" applyNumberFormat="1" applyBorder="1" applyAlignment="1">
      <alignment horizontal="center" vertical="center"/>
    </xf>
    <xf numFmtId="4" fontId="0" fillId="0" borderId="91" xfId="0" applyNumberFormat="1" applyBorder="1" applyAlignment="1">
      <alignment vertical="center"/>
    </xf>
    <xf numFmtId="0" fontId="0" fillId="0" borderId="91" xfId="0" applyBorder="1" applyAlignment="1">
      <alignment vertical="center"/>
    </xf>
    <xf numFmtId="0" fontId="28" fillId="0" borderId="0" xfId="0" applyFont="1" applyAlignment="1">
      <alignment horizontal="center" textRotation="255"/>
    </xf>
    <xf numFmtId="0" fontId="28" fillId="0" borderId="0" xfId="0" applyFont="1" applyAlignment="1">
      <alignment horizontal="center" textRotation="255" wrapText="1"/>
    </xf>
    <xf numFmtId="166" fontId="0" fillId="0" borderId="0" xfId="0" applyNumberFormat="1" applyAlignment="1">
      <alignment vertical="center"/>
    </xf>
    <xf numFmtId="0" fontId="0" fillId="0" borderId="2" xfId="0" applyBorder="1" applyAlignment="1">
      <alignment vertical="center"/>
    </xf>
    <xf numFmtId="0" fontId="26"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6" fontId="26" fillId="0" borderId="6" xfId="0" applyNumberFormat="1" applyFont="1" applyBorder="1" applyAlignment="1">
      <alignment horizontal="right" vertical="center"/>
    </xf>
    <xf numFmtId="166" fontId="28" fillId="0" borderId="6" xfId="0" applyNumberFormat="1" applyFont="1" applyBorder="1" applyAlignment="1">
      <alignment horizontal="center" vertical="center"/>
    </xf>
    <xf numFmtId="166" fontId="28" fillId="0" borderId="7" xfId="0" applyNumberFormat="1" applyFont="1" applyBorder="1" applyAlignment="1">
      <alignment horizontal="center" vertical="center"/>
    </xf>
    <xf numFmtId="166" fontId="26" fillId="0" borderId="3" xfId="0" applyNumberFormat="1" applyFont="1" applyBorder="1" applyAlignment="1">
      <alignment vertical="center"/>
    </xf>
    <xf numFmtId="166" fontId="0" fillId="0" borderId="0" xfId="0" applyNumberFormat="1" applyAlignment="1">
      <alignment horizontal="center" vertical="center"/>
    </xf>
    <xf numFmtId="166" fontId="0" fillId="0" borderId="0" xfId="0" applyNumberFormat="1" applyAlignment="1">
      <alignment horizontal="right" vertical="center"/>
    </xf>
    <xf numFmtId="0" fontId="0" fillId="6" borderId="80" xfId="0" applyFill="1" applyBorder="1" applyAlignment="1" applyProtection="1">
      <alignment vertical="center" wrapText="1"/>
      <protection locked="0"/>
    </xf>
    <xf numFmtId="0" fontId="0" fillId="6" borderId="81" xfId="0" applyFill="1" applyBorder="1" applyAlignment="1" applyProtection="1">
      <alignment vertical="center" wrapText="1"/>
      <protection locked="0"/>
    </xf>
    <xf numFmtId="4" fontId="2" fillId="6" borderId="72" xfId="0" applyNumberFormat="1" applyFont="1" applyFill="1" applyBorder="1" applyAlignment="1" applyProtection="1">
      <alignment vertical="center"/>
      <protection locked="0"/>
    </xf>
    <xf numFmtId="0" fontId="4" fillId="0" borderId="0" xfId="0" applyFont="1" applyAlignment="1">
      <alignment horizontal="center" vertical="center"/>
    </xf>
    <xf numFmtId="4" fontId="4" fillId="0" borderId="0" xfId="0" applyNumberFormat="1" applyFont="1" applyAlignment="1">
      <alignment horizontal="righ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vertical="center"/>
    </xf>
    <xf numFmtId="4" fontId="4" fillId="0" borderId="0" xfId="0" applyNumberFormat="1" applyFont="1" applyAlignment="1">
      <alignment vertical="center"/>
    </xf>
    <xf numFmtId="0" fontId="4" fillId="6" borderId="1" xfId="0" applyFont="1" applyFill="1" applyBorder="1" applyAlignment="1">
      <alignment horizontal="left" vertical="center"/>
    </xf>
    <xf numFmtId="0" fontId="6" fillId="0" borderId="0" xfId="0" applyFont="1" applyAlignment="1">
      <alignment horizontal="right" vertical="center"/>
    </xf>
    <xf numFmtId="0" fontId="4" fillId="0" borderId="0" xfId="0" applyFont="1" applyAlignment="1">
      <alignment horizontal="right" vertical="center"/>
    </xf>
    <xf numFmtId="164" fontId="4" fillId="6" borderId="1" xfId="0" applyNumberFormat="1" applyFont="1" applyFill="1" applyBorder="1" applyAlignment="1">
      <alignment horizontal="left" vertical="center"/>
    </xf>
    <xf numFmtId="0" fontId="4" fillId="6" borderId="1" xfId="0" applyFont="1" applyFill="1" applyBorder="1" applyAlignment="1">
      <alignment vertical="center"/>
    </xf>
    <xf numFmtId="0" fontId="4" fillId="4" borderId="1" xfId="0" applyFont="1" applyFill="1" applyBorder="1" applyAlignment="1">
      <alignment horizontal="center" vertical="center"/>
    </xf>
    <xf numFmtId="166" fontId="4" fillId="0" borderId="1" xfId="0" applyNumberFormat="1" applyFont="1" applyBorder="1" applyAlignment="1">
      <alignment vertical="center"/>
    </xf>
    <xf numFmtId="0" fontId="4" fillId="6" borderId="0" xfId="0" applyFont="1" applyFill="1" applyAlignment="1">
      <alignment vertical="center"/>
    </xf>
    <xf numFmtId="17" fontId="4" fillId="13" borderId="0" xfId="0" applyNumberFormat="1" applyFont="1" applyFill="1" applyAlignment="1">
      <alignment horizontal="center" vertical="center"/>
    </xf>
    <xf numFmtId="17" fontId="4" fillId="0" borderId="0" xfId="0" applyNumberFormat="1" applyFont="1" applyAlignment="1">
      <alignment horizontal="center" vertical="center"/>
    </xf>
    <xf numFmtId="0" fontId="4" fillId="0" borderId="1" xfId="0" applyFont="1" applyBorder="1" applyAlignment="1">
      <alignment horizontal="left" vertical="center"/>
    </xf>
    <xf numFmtId="4" fontId="4" fillId="0" borderId="1" xfId="0" applyNumberFormat="1" applyFont="1" applyBorder="1" applyAlignment="1">
      <alignment horizontal="right" vertical="center"/>
    </xf>
    <xf numFmtId="4" fontId="4" fillId="0" borderId="1" xfId="0" applyNumberFormat="1" applyFont="1" applyBorder="1" applyAlignment="1">
      <alignment horizontal="center" vertical="center"/>
    </xf>
    <xf numFmtId="0" fontId="4" fillId="13" borderId="1" xfId="0" applyFont="1" applyFill="1" applyBorder="1" applyAlignment="1">
      <alignment horizontal="center" vertical="center"/>
    </xf>
    <xf numFmtId="166" fontId="4" fillId="0" borderId="0" xfId="0" applyNumberFormat="1" applyFont="1" applyAlignment="1">
      <alignment vertical="center"/>
    </xf>
    <xf numFmtId="166"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1" fontId="4" fillId="0" borderId="0" xfId="0" applyNumberFormat="1" applyFont="1" applyAlignment="1">
      <alignment horizontal="center" vertical="center"/>
    </xf>
    <xf numFmtId="1" fontId="4"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4" fontId="6" fillId="0" borderId="0" xfId="0" applyNumberFormat="1" applyFont="1" applyAlignment="1">
      <alignment horizontal="right" vertical="center"/>
    </xf>
    <xf numFmtId="0" fontId="6" fillId="0" borderId="0" xfId="0" applyFont="1" applyAlignment="1">
      <alignment vertical="center"/>
    </xf>
    <xf numFmtId="4" fontId="6" fillId="0" borderId="1" xfId="0" applyNumberFormat="1" applyFont="1" applyBorder="1" applyAlignment="1">
      <alignment vertical="center"/>
    </xf>
    <xf numFmtId="10" fontId="6" fillId="0" borderId="1" xfId="1" applyNumberFormat="1" applyFont="1" applyBorder="1" applyAlignment="1">
      <alignment vertical="center"/>
    </xf>
    <xf numFmtId="0" fontId="28" fillId="0" borderId="0" xfId="0" applyFont="1" applyAlignment="1">
      <alignment textRotation="255" wrapText="1"/>
    </xf>
    <xf numFmtId="0" fontId="28" fillId="0" borderId="0" xfId="0" applyFont="1" applyAlignment="1">
      <alignment textRotation="255"/>
    </xf>
    <xf numFmtId="0" fontId="0" fillId="14" borderId="0" xfId="0" applyFill="1" applyAlignment="1">
      <alignment vertical="center"/>
    </xf>
    <xf numFmtId="166" fontId="4" fillId="0" borderId="1" xfId="0" quotePrefix="1" applyNumberFormat="1" applyFont="1" applyBorder="1" applyAlignment="1">
      <alignment vertical="center"/>
    </xf>
    <xf numFmtId="0" fontId="0" fillId="6" borderId="108" xfId="0" applyFill="1" applyBorder="1" applyAlignment="1" applyProtection="1">
      <alignment vertical="center"/>
      <protection locked="0"/>
    </xf>
    <xf numFmtId="0" fontId="4" fillId="0" borderId="0" xfId="0" quotePrefix="1" applyFont="1" applyAlignment="1">
      <alignment horizontal="left" vertical="center" wrapText="1" indent="1"/>
    </xf>
    <xf numFmtId="0" fontId="4" fillId="0" borderId="0" xfId="2" applyFont="1" applyAlignment="1">
      <alignment horizontal="left" vertical="center" wrapText="1"/>
    </xf>
    <xf numFmtId="0" fontId="6" fillId="0" borderId="0" xfId="2" applyFont="1" applyAlignment="1">
      <alignment horizontal="left" vertical="center"/>
    </xf>
    <xf numFmtId="0" fontId="4" fillId="4" borderId="2" xfId="2" applyFont="1" applyFill="1" applyBorder="1" applyAlignment="1" applyProtection="1">
      <alignment horizontal="left" vertical="center" wrapText="1" indent="1"/>
      <protection locked="0"/>
    </xf>
    <xf numFmtId="0" fontId="4" fillId="4" borderId="3" xfId="2" applyFont="1" applyFill="1" applyBorder="1" applyAlignment="1" applyProtection="1">
      <alignment horizontal="left" vertical="center" wrapText="1" indent="1"/>
      <protection locked="0"/>
    </xf>
    <xf numFmtId="0" fontId="4" fillId="4" borderId="4" xfId="2" applyFont="1" applyFill="1" applyBorder="1" applyAlignment="1" applyProtection="1">
      <alignment horizontal="left" vertical="center" wrapText="1" indent="1"/>
      <protection locked="0"/>
    </xf>
    <xf numFmtId="0" fontId="4" fillId="4" borderId="5" xfId="2" applyFont="1" applyFill="1" applyBorder="1" applyAlignment="1" applyProtection="1">
      <alignment horizontal="left" vertical="center" wrapText="1" indent="1"/>
      <protection locked="0"/>
    </xf>
    <xf numFmtId="0" fontId="4" fillId="4" borderId="6" xfId="2" applyFont="1" applyFill="1" applyBorder="1" applyAlignment="1" applyProtection="1">
      <alignment horizontal="left" vertical="center" wrapText="1" indent="1"/>
      <protection locked="0"/>
    </xf>
    <xf numFmtId="0" fontId="4" fillId="4" borderId="7" xfId="2" applyFont="1" applyFill="1" applyBorder="1" applyAlignment="1" applyProtection="1">
      <alignment horizontal="left" vertical="center" wrapText="1" indent="1"/>
      <protection locked="0"/>
    </xf>
    <xf numFmtId="0" fontId="6" fillId="0" borderId="8" xfId="2" applyFont="1" applyBorder="1" applyAlignment="1">
      <alignment horizontal="left" vertical="center"/>
    </xf>
    <xf numFmtId="0" fontId="6" fillId="5" borderId="2" xfId="2" applyFont="1" applyFill="1" applyBorder="1" applyAlignment="1">
      <alignment horizontal="left" vertical="center" wrapText="1" indent="1"/>
    </xf>
    <xf numFmtId="0" fontId="6" fillId="5" borderId="3" xfId="2" applyFont="1" applyFill="1" applyBorder="1" applyAlignment="1">
      <alignment horizontal="left" vertical="center" wrapText="1" indent="1"/>
    </xf>
    <xf numFmtId="0" fontId="6" fillId="5" borderId="4" xfId="2" applyFont="1" applyFill="1" applyBorder="1" applyAlignment="1">
      <alignment horizontal="left" vertical="center" wrapText="1" indent="1"/>
    </xf>
    <xf numFmtId="0" fontId="6" fillId="5" borderId="9" xfId="2" applyFont="1" applyFill="1" applyBorder="1" applyAlignment="1">
      <alignment horizontal="left" vertical="center" wrapText="1" indent="1"/>
    </xf>
    <xf numFmtId="0" fontId="6" fillId="5" borderId="0" xfId="2" applyFont="1" applyFill="1" applyAlignment="1">
      <alignment horizontal="left" vertical="center" wrapText="1" indent="1"/>
    </xf>
    <xf numFmtId="0" fontId="6" fillId="5" borderId="8" xfId="2" applyFont="1" applyFill="1" applyBorder="1" applyAlignment="1">
      <alignment horizontal="left" vertical="center" wrapText="1" indent="1"/>
    </xf>
    <xf numFmtId="0" fontId="6" fillId="5" borderId="5" xfId="2" applyFont="1" applyFill="1" applyBorder="1" applyAlignment="1">
      <alignment horizontal="left" vertical="center" wrapText="1" indent="1"/>
    </xf>
    <xf numFmtId="0" fontId="6" fillId="5" borderId="6" xfId="2" applyFont="1" applyFill="1" applyBorder="1" applyAlignment="1">
      <alignment horizontal="left" vertical="center" wrapText="1" indent="1"/>
    </xf>
    <xf numFmtId="0" fontId="6" fillId="5" borderId="7" xfId="2" applyFont="1" applyFill="1" applyBorder="1" applyAlignment="1">
      <alignment horizontal="left" vertical="center" wrapText="1" indent="1"/>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2" fillId="8" borderId="91" xfId="0" applyFont="1" applyFill="1" applyBorder="1" applyAlignment="1">
      <alignment horizontal="center" vertical="center"/>
    </xf>
    <xf numFmtId="0" fontId="2" fillId="8" borderId="92" xfId="0" applyFont="1" applyFill="1" applyBorder="1" applyAlignment="1">
      <alignment horizontal="center" vertical="center"/>
    </xf>
    <xf numFmtId="0" fontId="2" fillId="8" borderId="93" xfId="0" applyFont="1" applyFill="1" applyBorder="1" applyAlignment="1">
      <alignment horizontal="center" vertical="center"/>
    </xf>
    <xf numFmtId="0" fontId="2" fillId="8" borderId="22" xfId="0" applyFont="1" applyFill="1" applyBorder="1" applyAlignment="1">
      <alignment horizontal="center" vertical="center" wrapText="1"/>
    </xf>
    <xf numFmtId="0" fontId="2" fillId="8" borderId="22" xfId="0" applyFont="1" applyFill="1" applyBorder="1" applyAlignment="1">
      <alignment horizontal="center" vertical="center"/>
    </xf>
    <xf numFmtId="0" fontId="0" fillId="0" borderId="1" xfId="0" applyBorder="1" applyAlignment="1" applyProtection="1">
      <alignment horizontal="center"/>
      <protection locked="0"/>
    </xf>
    <xf numFmtId="0" fontId="2" fillId="0" borderId="22" xfId="0" applyFont="1" applyBorder="1" applyAlignment="1">
      <alignment horizontal="left" vertical="center" indent="1"/>
    </xf>
    <xf numFmtId="0" fontId="2" fillId="0" borderId="1" xfId="0" applyFont="1" applyBorder="1" applyAlignment="1">
      <alignment horizontal="left" vertical="center" indent="1"/>
    </xf>
    <xf numFmtId="0" fontId="0" fillId="6" borderId="22" xfId="0" applyFill="1" applyBorder="1" applyAlignment="1" applyProtection="1">
      <alignment horizontal="left" vertical="center" indent="1"/>
      <protection locked="0"/>
    </xf>
    <xf numFmtId="0" fontId="0" fillId="6" borderId="1" xfId="0" applyFill="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4" fillId="0" borderId="1" xfId="2" applyFont="1" applyBorder="1" applyAlignment="1">
      <alignment horizontal="center" vertical="center"/>
    </xf>
    <xf numFmtId="0" fontId="23" fillId="5" borderId="64" xfId="2" applyFont="1" applyFill="1" applyBorder="1" applyAlignment="1">
      <alignment horizontal="center" vertical="center" wrapText="1"/>
    </xf>
    <xf numFmtId="0" fontId="23" fillId="5" borderId="65" xfId="2" applyFont="1" applyFill="1" applyBorder="1" applyAlignment="1">
      <alignment horizontal="center" vertical="center" wrapText="1"/>
    </xf>
    <xf numFmtId="0" fontId="23" fillId="5" borderId="66" xfId="2" applyFont="1" applyFill="1" applyBorder="1" applyAlignment="1">
      <alignment horizontal="center" vertical="center" wrapText="1"/>
    </xf>
    <xf numFmtId="0" fontId="23" fillId="5" borderId="27" xfId="2" applyFont="1" applyFill="1" applyBorder="1" applyAlignment="1">
      <alignment horizontal="left" vertical="center" wrapText="1"/>
    </xf>
    <xf numFmtId="0" fontId="23" fillId="5" borderId="28" xfId="2" applyFont="1" applyFill="1" applyBorder="1" applyAlignment="1">
      <alignment horizontal="left" vertical="center" wrapText="1"/>
    </xf>
    <xf numFmtId="0" fontId="23" fillId="5" borderId="30" xfId="2" applyFont="1" applyFill="1" applyBorder="1" applyAlignment="1">
      <alignment horizontal="left" vertical="center" wrapText="1"/>
    </xf>
    <xf numFmtId="0" fontId="2" fillId="6" borderId="7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8" fillId="0" borderId="0" xfId="0" applyFont="1" applyAlignment="1">
      <alignment horizontal="center" vertical="center" wrapText="1"/>
    </xf>
    <xf numFmtId="0" fontId="28" fillId="0" borderId="0" xfId="0" applyFont="1" applyAlignment="1">
      <alignment horizontal="center" vertical="center"/>
    </xf>
    <xf numFmtId="0" fontId="24" fillId="8" borderId="91" xfId="2" applyFont="1" applyFill="1" applyBorder="1" applyAlignment="1">
      <alignment horizontal="center" vertical="center"/>
    </xf>
    <xf numFmtId="0" fontId="24" fillId="8" borderId="92" xfId="2" applyFont="1" applyFill="1" applyBorder="1" applyAlignment="1">
      <alignment horizontal="center" vertical="center"/>
    </xf>
    <xf numFmtId="0" fontId="24" fillId="8" borderId="93" xfId="2" applyFont="1" applyFill="1" applyBorder="1" applyAlignment="1">
      <alignment horizontal="center" vertical="center"/>
    </xf>
    <xf numFmtId="10" fontId="6" fillId="8" borderId="91" xfId="2" applyNumberFormat="1" applyFont="1" applyFill="1" applyBorder="1" applyAlignment="1">
      <alignment horizontal="center" vertical="center"/>
    </xf>
    <xf numFmtId="10" fontId="6" fillId="8" borderId="92" xfId="2" applyNumberFormat="1" applyFont="1" applyFill="1" applyBorder="1" applyAlignment="1">
      <alignment horizontal="center" vertical="center"/>
    </xf>
    <xf numFmtId="10" fontId="6" fillId="8" borderId="93" xfId="2" applyNumberFormat="1" applyFont="1" applyFill="1" applyBorder="1" applyAlignment="1">
      <alignment horizontal="center" vertical="center"/>
    </xf>
    <xf numFmtId="0" fontId="2" fillId="8" borderId="91" xfId="0" applyFont="1" applyFill="1" applyBorder="1" applyAlignment="1">
      <alignment horizontal="center" vertical="center" wrapText="1"/>
    </xf>
    <xf numFmtId="0" fontId="2" fillId="8" borderId="93"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0" xfId="0" applyFont="1" applyFill="1" applyAlignment="1">
      <alignment horizontal="center" vertical="center" wrapText="1"/>
    </xf>
    <xf numFmtId="0" fontId="27" fillId="0" borderId="0" xfId="0" applyFont="1" applyAlignment="1">
      <alignment horizontal="left" vertical="center" indent="1"/>
    </xf>
    <xf numFmtId="0" fontId="0" fillId="12" borderId="26" xfId="0" applyFill="1" applyBorder="1" applyAlignment="1">
      <alignment horizontal="left" vertical="center" wrapText="1"/>
    </xf>
    <xf numFmtId="0" fontId="0" fillId="12" borderId="27" xfId="0" applyFill="1" applyBorder="1" applyAlignment="1">
      <alignment horizontal="left" vertical="center" wrapText="1"/>
    </xf>
    <xf numFmtId="0" fontId="0" fillId="12" borderId="0" xfId="0" applyFill="1" applyAlignment="1">
      <alignment horizontal="left" vertical="center" wrapText="1"/>
    </xf>
    <xf numFmtId="0" fontId="0" fillId="12" borderId="28" xfId="0" applyFill="1" applyBorder="1" applyAlignment="1">
      <alignment horizontal="left" vertical="center" wrapText="1"/>
    </xf>
    <xf numFmtId="0" fontId="0" fillId="12" borderId="29" xfId="0" applyFill="1" applyBorder="1" applyAlignment="1">
      <alignment horizontal="left" vertical="center" wrapText="1"/>
    </xf>
    <xf numFmtId="0" fontId="0" fillId="12" borderId="30" xfId="0" applyFill="1" applyBorder="1" applyAlignment="1">
      <alignment horizontal="left" vertical="center" wrapText="1"/>
    </xf>
    <xf numFmtId="0" fontId="2" fillId="6" borderId="3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8" borderId="92" xfId="0" applyFont="1" applyFill="1" applyBorder="1" applyAlignment="1">
      <alignment horizontal="center" vertical="center" wrapText="1"/>
    </xf>
    <xf numFmtId="0" fontId="2" fillId="8" borderId="64"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0" fillId="7" borderId="91" xfId="0" applyFill="1" applyBorder="1" applyAlignment="1" applyProtection="1">
      <alignment horizontal="center" vertical="center"/>
      <protection locked="0"/>
    </xf>
    <xf numFmtId="0" fontId="0" fillId="7" borderId="92" xfId="0" applyFill="1" applyBorder="1" applyAlignment="1" applyProtection="1">
      <alignment horizontal="center" vertical="center"/>
      <protection locked="0"/>
    </xf>
    <xf numFmtId="0" fontId="0" fillId="7" borderId="93" xfId="0" applyFill="1" applyBorder="1" applyAlignment="1" applyProtection="1">
      <alignment horizontal="center" vertical="center"/>
      <protection locked="0"/>
    </xf>
    <xf numFmtId="0" fontId="0" fillId="12" borderId="29" xfId="0" applyFill="1" applyBorder="1" applyAlignment="1">
      <alignment horizontal="left" vertical="top" wrapText="1"/>
    </xf>
    <xf numFmtId="0" fontId="0" fillId="12" borderId="30" xfId="0" applyFill="1" applyBorder="1" applyAlignment="1">
      <alignment horizontal="left" vertical="top" wrapText="1"/>
    </xf>
    <xf numFmtId="0" fontId="14" fillId="11" borderId="52" xfId="0" applyFont="1" applyFill="1" applyBorder="1" applyAlignment="1">
      <alignment horizontal="center" vertical="center" textRotation="255"/>
    </xf>
    <xf numFmtId="0" fontId="14" fillId="11" borderId="54" xfId="0" applyFont="1" applyFill="1" applyBorder="1" applyAlignment="1">
      <alignment horizontal="center" vertical="center" textRotation="255"/>
    </xf>
    <xf numFmtId="0" fontId="14" fillId="11" borderId="43" xfId="0" applyFont="1" applyFill="1" applyBorder="1" applyAlignment="1">
      <alignment horizontal="center" vertical="center" textRotation="255"/>
    </xf>
    <xf numFmtId="0" fontId="0" fillId="0" borderId="1" xfId="0" applyBorder="1" applyAlignment="1">
      <alignment horizontal="center" vertical="center"/>
    </xf>
    <xf numFmtId="0" fontId="2" fillId="8" borderId="74" xfId="0" applyFont="1" applyFill="1" applyBorder="1" applyAlignment="1">
      <alignment horizontal="center" vertical="center"/>
    </xf>
    <xf numFmtId="0" fontId="2" fillId="8" borderId="55" xfId="0" applyFont="1" applyFill="1" applyBorder="1" applyAlignment="1">
      <alignment horizontal="center" vertical="center"/>
    </xf>
    <xf numFmtId="0" fontId="2" fillId="8" borderId="75" xfId="0" applyFont="1" applyFill="1" applyBorder="1" applyAlignment="1">
      <alignment horizontal="center" vertical="center"/>
    </xf>
    <xf numFmtId="0" fontId="13" fillId="9" borderId="22" xfId="0" applyFont="1" applyFill="1" applyBorder="1" applyAlignment="1">
      <alignment horizontal="center" vertical="center"/>
    </xf>
    <xf numFmtId="0" fontId="2" fillId="10" borderId="74" xfId="0" applyFont="1" applyFill="1" applyBorder="1" applyAlignment="1">
      <alignment horizontal="center" vertical="center"/>
    </xf>
    <xf numFmtId="0" fontId="2" fillId="10" borderId="38" xfId="0" applyFont="1" applyFill="1" applyBorder="1" applyAlignment="1">
      <alignment horizontal="center" vertical="center"/>
    </xf>
    <xf numFmtId="0" fontId="2" fillId="10" borderId="75" xfId="0" applyFont="1" applyFill="1" applyBorder="1" applyAlignment="1">
      <alignment horizontal="center" vertical="center"/>
    </xf>
    <xf numFmtId="0" fontId="11" fillId="11" borderId="59" xfId="0" applyFont="1" applyFill="1" applyBorder="1" applyAlignment="1">
      <alignment horizontal="center" vertical="center"/>
    </xf>
    <xf numFmtId="0" fontId="11" fillId="11" borderId="63" xfId="0" applyFont="1" applyFill="1" applyBorder="1" applyAlignment="1">
      <alignment horizontal="center" vertical="center"/>
    </xf>
    <xf numFmtId="0" fontId="13" fillId="9" borderId="100" xfId="0" applyFont="1" applyFill="1" applyBorder="1" applyAlignment="1">
      <alignment horizontal="center" vertical="center"/>
    </xf>
    <xf numFmtId="0" fontId="13" fillId="9" borderId="21" xfId="0" applyFont="1" applyFill="1" applyBorder="1" applyAlignment="1">
      <alignment horizontal="center" vertical="center"/>
    </xf>
    <xf numFmtId="0" fontId="13" fillId="8" borderId="77" xfId="0" applyFont="1" applyFill="1" applyBorder="1" applyAlignment="1">
      <alignment horizontal="center" vertical="center" wrapText="1"/>
    </xf>
    <xf numFmtId="0" fontId="13" fillId="8" borderId="69" xfId="0" applyFont="1" applyFill="1" applyBorder="1" applyAlignment="1">
      <alignment horizontal="center" vertical="center" wrapText="1"/>
    </xf>
    <xf numFmtId="0" fontId="13" fillId="8" borderId="70" xfId="0" applyFont="1" applyFill="1" applyBorder="1" applyAlignment="1">
      <alignment horizontal="center" vertical="center" wrapText="1"/>
    </xf>
    <xf numFmtId="0" fontId="13" fillId="8" borderId="78"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8" borderId="62" xfId="0" applyFont="1" applyFill="1" applyBorder="1" applyAlignment="1">
      <alignment horizontal="center" vertical="center" wrapText="1"/>
    </xf>
    <xf numFmtId="0" fontId="13" fillId="8" borderId="98" xfId="0" applyFont="1" applyFill="1" applyBorder="1" applyAlignment="1">
      <alignment horizontal="center" vertical="center" wrapText="1"/>
    </xf>
    <xf numFmtId="0" fontId="13" fillId="8" borderId="95" xfId="0" applyFont="1" applyFill="1" applyBorder="1" applyAlignment="1">
      <alignment horizontal="center" vertical="center" wrapText="1"/>
    </xf>
    <xf numFmtId="0" fontId="13" fillId="8" borderId="99" xfId="0" applyFont="1" applyFill="1" applyBorder="1" applyAlignment="1">
      <alignment horizontal="center" vertical="center" wrapText="1"/>
    </xf>
    <xf numFmtId="0" fontId="13" fillId="8" borderId="51"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0" fillId="12" borderId="92" xfId="0" applyFill="1" applyBorder="1" applyAlignment="1">
      <alignment horizontal="left" vertical="center" wrapText="1"/>
    </xf>
    <xf numFmtId="0" fontId="0" fillId="12" borderId="93" xfId="0" applyFill="1" applyBorder="1" applyAlignment="1">
      <alignment horizontal="left" vertical="center" wrapText="1"/>
    </xf>
    <xf numFmtId="0" fontId="13" fillId="9" borderId="46" xfId="0" applyFont="1" applyFill="1" applyBorder="1" applyAlignment="1">
      <alignment horizontal="center" vertical="center" wrapText="1"/>
    </xf>
    <xf numFmtId="0" fontId="13" fillId="9" borderId="47" xfId="0" applyFont="1" applyFill="1" applyBorder="1" applyAlignment="1">
      <alignment horizontal="center" vertical="center"/>
    </xf>
    <xf numFmtId="0" fontId="13" fillId="9" borderId="79" xfId="0" applyFont="1" applyFill="1" applyBorder="1" applyAlignment="1">
      <alignment horizontal="center" vertical="center" wrapText="1"/>
    </xf>
    <xf numFmtId="0" fontId="13" fillId="9" borderId="35"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0" fillId="0" borderId="0" xfId="0" applyAlignment="1">
      <alignment horizontal="center" vertical="center"/>
    </xf>
    <xf numFmtId="0" fontId="13" fillId="8" borderId="76"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9" borderId="23" xfId="0" applyFont="1" applyFill="1" applyBorder="1" applyAlignment="1">
      <alignment horizontal="center" vertical="center" wrapText="1"/>
    </xf>
    <xf numFmtId="0" fontId="13" fillId="9" borderId="20" xfId="0" applyFont="1" applyFill="1" applyBorder="1" applyAlignment="1">
      <alignment horizontal="center" vertical="center"/>
    </xf>
    <xf numFmtId="0" fontId="20" fillId="0" borderId="1" xfId="0" applyFont="1" applyBorder="1" applyAlignment="1">
      <alignment horizontal="center" vertical="center" wrapText="1"/>
    </xf>
    <xf numFmtId="0" fontId="2" fillId="0" borderId="0" xfId="0" applyFont="1" applyAlignment="1">
      <alignment horizontal="right" vertical="center"/>
    </xf>
    <xf numFmtId="0" fontId="11" fillId="11" borderId="55" xfId="0" applyFont="1" applyFill="1" applyBorder="1" applyAlignment="1">
      <alignment horizontal="center" vertical="center"/>
    </xf>
    <xf numFmtId="0" fontId="11" fillId="11" borderId="53" xfId="0" applyFont="1" applyFill="1" applyBorder="1" applyAlignment="1">
      <alignment horizontal="center" vertical="center"/>
    </xf>
    <xf numFmtId="0" fontId="13" fillId="9" borderId="67" xfId="0" applyFont="1" applyFill="1" applyBorder="1" applyAlignment="1">
      <alignment horizontal="center" vertical="center" wrapText="1"/>
    </xf>
    <xf numFmtId="0" fontId="13" fillId="9" borderId="7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97"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8" borderId="73" xfId="0" applyFont="1" applyFill="1" applyBorder="1" applyAlignment="1">
      <alignment horizontal="center" vertical="center" wrapText="1"/>
    </xf>
    <xf numFmtId="0" fontId="0" fillId="12" borderId="0" xfId="0" applyFill="1" applyAlignment="1">
      <alignment horizontal="left" vertical="center"/>
    </xf>
    <xf numFmtId="0" fontId="0" fillId="12" borderId="28" xfId="0" applyFill="1" applyBorder="1" applyAlignment="1">
      <alignment horizontal="left" vertical="center"/>
    </xf>
    <xf numFmtId="0" fontId="2" fillId="0" borderId="1" xfId="0" applyFont="1" applyBorder="1" applyAlignment="1">
      <alignment horizontal="center" vertical="center"/>
    </xf>
    <xf numFmtId="0" fontId="11" fillId="11" borderId="59" xfId="0" applyFont="1" applyFill="1" applyBorder="1" applyAlignment="1">
      <alignment horizontal="center" vertical="center" wrapText="1"/>
    </xf>
    <xf numFmtId="0" fontId="11" fillId="11" borderId="63" xfId="0" applyFont="1" applyFill="1" applyBorder="1" applyAlignment="1">
      <alignment horizontal="center" vertical="center" wrapText="1"/>
    </xf>
    <xf numFmtId="0" fontId="13" fillId="9" borderId="23" xfId="0" applyFont="1" applyFill="1" applyBorder="1" applyAlignment="1">
      <alignment horizontal="center" vertical="center"/>
    </xf>
    <xf numFmtId="0" fontId="0" fillId="12" borderId="29" xfId="0" applyFill="1" applyBorder="1" applyAlignment="1">
      <alignment horizontal="left" vertical="center"/>
    </xf>
    <xf numFmtId="0" fontId="0" fillId="12" borderId="30" xfId="0" applyFill="1" applyBorder="1" applyAlignment="1">
      <alignment horizontal="left" vertical="center"/>
    </xf>
    <xf numFmtId="0" fontId="2" fillId="8" borderId="15" xfId="0" applyFont="1" applyFill="1" applyBorder="1" applyAlignment="1">
      <alignment horizontal="center" vertical="center" wrapText="1"/>
    </xf>
    <xf numFmtId="0" fontId="2" fillId="8" borderId="94" xfId="0" applyFont="1" applyFill="1" applyBorder="1" applyAlignment="1">
      <alignment horizontal="center" vertical="center" wrapText="1"/>
    </xf>
    <xf numFmtId="0" fontId="2" fillId="8" borderId="21" xfId="0" applyFont="1" applyFill="1" applyBorder="1" applyAlignment="1">
      <alignment horizontal="center" vertical="center"/>
    </xf>
    <xf numFmtId="0" fontId="2" fillId="8" borderId="23"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97" xfId="0" applyFont="1" applyFill="1" applyBorder="1" applyAlignment="1">
      <alignment horizontal="center" vertical="center"/>
    </xf>
    <xf numFmtId="0" fontId="2" fillId="8" borderId="101" xfId="0" applyFont="1" applyFill="1" applyBorder="1" applyAlignment="1">
      <alignment horizontal="center" vertical="center" wrapText="1"/>
    </xf>
    <xf numFmtId="0" fontId="2" fillId="8" borderId="10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13" borderId="0" xfId="0" applyFont="1" applyFill="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6" fillId="0" borderId="0" xfId="0" applyFont="1" applyAlignment="1">
      <alignment horizontal="center" vertical="center"/>
    </xf>
    <xf numFmtId="1" fontId="6" fillId="13" borderId="0" xfId="0" applyNumberFormat="1" applyFont="1" applyFill="1" applyAlignment="1">
      <alignment horizontal="center" vertical="center"/>
    </xf>
    <xf numFmtId="0" fontId="6" fillId="0" borderId="8" xfId="0" applyFont="1" applyBorder="1" applyAlignment="1">
      <alignment horizontal="center" vertical="center"/>
    </xf>
    <xf numFmtId="0" fontId="4" fillId="6" borderId="33" xfId="0" applyFont="1" applyFill="1" applyBorder="1" applyAlignment="1">
      <alignment horizontal="center" vertical="center" wrapText="1"/>
    </xf>
    <xf numFmtId="0" fontId="4" fillId="6" borderId="13" xfId="0" applyFont="1" applyFill="1" applyBorder="1" applyAlignment="1">
      <alignment horizontal="center" vertical="center"/>
    </xf>
    <xf numFmtId="0" fontId="6" fillId="0" borderId="0" xfId="0" applyFont="1" applyAlignment="1">
      <alignment horizontal="right"/>
    </xf>
    <xf numFmtId="0" fontId="4" fillId="6" borderId="1" xfId="0" applyFont="1" applyFill="1" applyBorder="1" applyAlignment="1">
      <alignment horizontal="left"/>
    </xf>
    <xf numFmtId="0" fontId="6" fillId="5" borderId="33"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0" borderId="0" xfId="2" applyFont="1" applyAlignment="1">
      <alignment horizontal="left" vertical="center" indent="1"/>
    </xf>
    <xf numFmtId="0" fontId="6" fillId="0" borderId="8" xfId="2" applyFont="1" applyBorder="1" applyAlignment="1">
      <alignment horizontal="left" vertical="center" indent="1"/>
    </xf>
  </cellXfs>
  <cellStyles count="3">
    <cellStyle name="Normal" xfId="0" builtinId="0"/>
    <cellStyle name="Normal 2" xfId="2" xr:uid="{4757FDF3-F31D-4CF3-9F18-5701FBF4A42B}"/>
    <cellStyle name="Porcentaje" xfId="1" builtinId="5"/>
  </cellStyles>
  <dxfs count="9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rgb="FFFFC000"/>
        </patternFill>
      </fill>
    </dxf>
    <dxf>
      <font>
        <color theme="0"/>
      </font>
      <border>
        <left/>
        <right/>
        <top/>
        <bottom/>
        <vertical/>
        <horizontal/>
      </border>
    </dxf>
    <dxf>
      <font>
        <color theme="0"/>
      </font>
      <border>
        <left/>
        <right/>
        <top style="thin">
          <color auto="1"/>
        </top>
        <bottom/>
        <vertical/>
        <horizontal/>
      </border>
    </dxf>
    <dxf>
      <font>
        <color theme="0"/>
      </font>
      <border>
        <left/>
        <right/>
        <top/>
        <bottom/>
        <vertical/>
        <horizontal/>
      </border>
    </dxf>
    <dxf>
      <border>
        <bottom style="thin">
          <color auto="1"/>
        </bottom>
      </border>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border>
        <left style="thin">
          <color auto="1"/>
        </left>
        <right style="thin">
          <color auto="1"/>
        </right>
        <top style="thin">
          <color auto="1"/>
        </top>
        <bottom style="thin">
          <color auto="1"/>
        </bottom>
        <vertical/>
        <horizontal/>
      </border>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
      <font>
        <b/>
        <i val="0"/>
      </font>
      <fill>
        <patternFill>
          <bgColor rgb="FFFFC000"/>
        </patternFill>
      </fill>
      <border>
        <left style="thin">
          <color auto="1"/>
        </left>
        <right style="thin">
          <color auto="1"/>
        </right>
        <top style="thin">
          <color auto="1"/>
        </top>
        <bottom style="thin">
          <color auto="1"/>
        </bottom>
      </border>
    </dxf>
    <dxf>
      <font>
        <b/>
        <i val="0"/>
      </font>
      <fill>
        <patternFill>
          <bgColor rgb="FFFFC000"/>
        </patternFill>
      </fill>
      <border>
        <left style="thin">
          <color auto="1"/>
        </left>
        <right style="thin">
          <color auto="1"/>
        </right>
        <top style="thin">
          <color auto="1"/>
        </top>
        <bottom style="thin">
          <color auto="1"/>
        </bottom>
      </border>
    </dxf>
    <dxf>
      <fill>
        <patternFill>
          <bgColor rgb="FFFF7C80"/>
        </patternFill>
      </fill>
    </dxf>
    <dxf>
      <fill>
        <patternFill>
          <bgColor rgb="FFFF7C80"/>
        </patternFill>
      </fill>
    </dxf>
    <dxf>
      <fill>
        <patternFill>
          <bgColor rgb="FFFF7C80"/>
        </patternFill>
      </fill>
    </dxf>
    <dxf>
      <font>
        <b/>
        <i val="0"/>
      </font>
      <fill>
        <patternFill>
          <bgColor rgb="FFFFC000"/>
        </patternFill>
      </fill>
    </dxf>
    <dxf>
      <font>
        <color theme="0"/>
      </font>
      <fill>
        <patternFill>
          <bgColor theme="0"/>
        </patternFill>
      </fill>
      <border>
        <left/>
        <right/>
        <top/>
        <bottom/>
        <vertical/>
        <horizontal/>
      </border>
    </dxf>
    <dxf>
      <font>
        <b/>
        <i val="0"/>
      </font>
      <fill>
        <patternFill>
          <bgColor rgb="FFFFC000"/>
        </patternFill>
      </fill>
    </dxf>
    <dxf>
      <font>
        <color theme="0"/>
      </font>
      <fill>
        <patternFill>
          <bgColor theme="0"/>
        </patternFill>
      </fill>
      <border>
        <left/>
        <right/>
        <top/>
        <bottom/>
        <vertical/>
        <horizontal/>
      </border>
    </dxf>
    <dxf>
      <fill>
        <patternFill>
          <bgColor rgb="FFFFE575"/>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9999"/>
      <color rgb="FFFFE575"/>
      <color rgb="FFCCCCFF"/>
      <color rgb="FFFF7C80"/>
      <color rgb="FFC1D400"/>
      <color rgb="FF9999FF"/>
      <color rgb="FFCC99FF"/>
      <color rgb="FFFFFF00"/>
      <color rgb="FFFF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14284</xdr:colOff>
      <xdr:row>1</xdr:row>
      <xdr:rowOff>4765</xdr:rowOff>
    </xdr:from>
    <xdr:to>
      <xdr:col>2</xdr:col>
      <xdr:colOff>576260</xdr:colOff>
      <xdr:row>6</xdr:row>
      <xdr:rowOff>119985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85759" y="166690"/>
          <a:ext cx="1695451" cy="1067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816770</xdr:colOff>
      <xdr:row>5</xdr:row>
      <xdr:rowOff>56085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81000" y="180975"/>
          <a:ext cx="1693070" cy="1072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3</xdr:col>
      <xdr:colOff>92870</xdr:colOff>
      <xdr:row>7</xdr:row>
      <xdr:rowOff>43385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81000" y="180975"/>
          <a:ext cx="1693070" cy="1072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9523</xdr:colOff>
      <xdr:row>1</xdr:row>
      <xdr:rowOff>6350</xdr:rowOff>
    </xdr:from>
    <xdr:to>
      <xdr:col>2</xdr:col>
      <xdr:colOff>790574</xdr:colOff>
      <xdr:row>5</xdr:row>
      <xdr:rowOff>200945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84173" y="196850"/>
          <a:ext cx="1695451" cy="1055020"/>
        </a:xfrm>
        <a:prstGeom prst="rect">
          <a:avLst/>
        </a:prstGeom>
      </xdr:spPr>
    </xdr:pic>
    <xdr:clientData/>
  </xdr:twoCellAnchor>
  <xdr:oneCellAnchor>
    <xdr:from>
      <xdr:col>5</xdr:col>
      <xdr:colOff>9523</xdr:colOff>
      <xdr:row>1</xdr:row>
      <xdr:rowOff>6350</xdr:rowOff>
    </xdr:from>
    <xdr:ext cx="1695451" cy="1061370"/>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505573" y="196850"/>
          <a:ext cx="1695451" cy="1061370"/>
        </a:xfrm>
        <a:prstGeom prst="rect">
          <a:avLst/>
        </a:prstGeom>
      </xdr:spPr>
    </xdr:pic>
    <xdr:clientData/>
  </xdr:oneCellAnchor>
  <xdr:twoCellAnchor editAs="oneCell">
    <xdr:from>
      <xdr:col>9</xdr:col>
      <xdr:colOff>6350</xdr:colOff>
      <xdr:row>1</xdr:row>
      <xdr:rowOff>6350</xdr:rowOff>
    </xdr:from>
    <xdr:to>
      <xdr:col>10</xdr:col>
      <xdr:colOff>787401</xdr:colOff>
      <xdr:row>5</xdr:row>
      <xdr:rowOff>200945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2623800" y="196850"/>
          <a:ext cx="1695451" cy="1055020"/>
        </a:xfrm>
        <a:prstGeom prst="rect">
          <a:avLst/>
        </a:prstGeom>
      </xdr:spPr>
    </xdr:pic>
    <xdr:clientData/>
  </xdr:twoCellAnchor>
  <xdr:oneCellAnchor>
    <xdr:from>
      <xdr:col>13</xdr:col>
      <xdr:colOff>6350</xdr:colOff>
      <xdr:row>1</xdr:row>
      <xdr:rowOff>6350</xdr:rowOff>
    </xdr:from>
    <xdr:ext cx="1695451" cy="1061370"/>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8745200" y="196850"/>
          <a:ext cx="1695451" cy="106137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19050</xdr:rowOff>
    </xdr:from>
    <xdr:to>
      <xdr:col>9</xdr:col>
      <xdr:colOff>1714501</xdr:colOff>
      <xdr:row>6</xdr:row>
      <xdr:rowOff>19970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90525" y="209550"/>
          <a:ext cx="1695451" cy="1067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11905</xdr:colOff>
      <xdr:row>1</xdr:row>
      <xdr:rowOff>10319</xdr:rowOff>
    </xdr:from>
    <xdr:to>
      <xdr:col>3</xdr:col>
      <xdr:colOff>383054</xdr:colOff>
      <xdr:row>5</xdr:row>
      <xdr:rowOff>66715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84968" y="184944"/>
          <a:ext cx="1677195" cy="10911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79898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86554" y="182563"/>
          <a:ext cx="1677195" cy="10974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98948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98948</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5554</xdr:colOff>
      <xdr:row>1</xdr:row>
      <xdr:rowOff>7938</xdr:rowOff>
    </xdr:from>
    <xdr:to>
      <xdr:col>2</xdr:col>
      <xdr:colOff>833436</xdr:colOff>
      <xdr:row>5</xdr:row>
      <xdr:rowOff>105298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86554" y="179388"/>
          <a:ext cx="1675607" cy="10816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8786-E570-4C30-A49F-F043444089F0}">
  <dimension ref="A1:B78"/>
  <sheetViews>
    <sheetView showGridLines="0" tabSelected="1" workbookViewId="0">
      <selection activeCell="B3" sqref="B3"/>
    </sheetView>
  </sheetViews>
  <sheetFormatPr baseColWidth="10" defaultColWidth="9.140625" defaultRowHeight="13.5" x14ac:dyDescent="0.25"/>
  <cols>
    <col min="1" max="1" width="5.5703125" style="2" customWidth="1"/>
    <col min="2" max="2" width="85.5703125" style="2" customWidth="1"/>
    <col min="3" max="1001" width="10.5703125" style="2" customWidth="1"/>
    <col min="1002" max="16384" width="9.140625" style="2"/>
  </cols>
  <sheetData>
    <row r="1" spans="1:2" ht="15" customHeight="1" x14ac:dyDescent="0.25">
      <c r="A1" s="1" t="s">
        <v>293</v>
      </c>
    </row>
    <row r="3" spans="1:2" ht="39.950000000000003" customHeight="1" x14ac:dyDescent="0.25">
      <c r="B3" s="252" t="s">
        <v>260</v>
      </c>
    </row>
    <row r="5" spans="1:2" ht="27" x14ac:dyDescent="0.25">
      <c r="B5" s="3" t="s">
        <v>0</v>
      </c>
    </row>
    <row r="6" spans="1:2" x14ac:dyDescent="0.25">
      <c r="B6" s="3"/>
    </row>
    <row r="7" spans="1:2" ht="40.5" x14ac:dyDescent="0.25">
      <c r="B7" s="198" t="s">
        <v>133</v>
      </c>
    </row>
    <row r="8" spans="1:2" ht="9.9499999999999993" customHeight="1" x14ac:dyDescent="0.25">
      <c r="B8" s="198"/>
    </row>
    <row r="9" spans="1:2" ht="15" customHeight="1" x14ac:dyDescent="0.25">
      <c r="B9" s="165" t="s">
        <v>135</v>
      </c>
    </row>
    <row r="10" spans="1:2" ht="15" customHeight="1" x14ac:dyDescent="0.25">
      <c r="B10" s="6" t="s">
        <v>3</v>
      </c>
    </row>
    <row r="11" spans="1:2" ht="15" customHeight="1" x14ac:dyDescent="0.25">
      <c r="B11" s="6" t="s">
        <v>4</v>
      </c>
    </row>
    <row r="12" spans="1:2" ht="27" x14ac:dyDescent="0.25">
      <c r="B12" s="6" t="s">
        <v>5</v>
      </c>
    </row>
    <row r="13" spans="1:2" ht="30" customHeight="1" x14ac:dyDescent="0.25">
      <c r="B13" s="6" t="s">
        <v>6</v>
      </c>
    </row>
    <row r="14" spans="1:2" ht="40.5" x14ac:dyDescent="0.25">
      <c r="B14" s="6" t="s">
        <v>7</v>
      </c>
    </row>
    <row r="15" spans="1:2" ht="40.5" x14ac:dyDescent="0.25">
      <c r="B15" s="6" t="s">
        <v>8</v>
      </c>
    </row>
    <row r="16" spans="1:2" ht="27" x14ac:dyDescent="0.25">
      <c r="B16" s="6" t="s">
        <v>9</v>
      </c>
    </row>
    <row r="17" spans="2:2" ht="15" customHeight="1" x14ac:dyDescent="0.25">
      <c r="B17" s="164"/>
    </row>
    <row r="18" spans="2:2" ht="15" customHeight="1" x14ac:dyDescent="0.25">
      <c r="B18" s="253" t="s">
        <v>1</v>
      </c>
    </row>
    <row r="19" spans="2:2" ht="9.9499999999999993" customHeight="1" x14ac:dyDescent="0.25"/>
    <row r="20" spans="2:2" ht="15" customHeight="1" x14ac:dyDescent="0.25">
      <c r="B20" s="4" t="s">
        <v>2</v>
      </c>
    </row>
    <row r="21" spans="2:2" ht="15" customHeight="1" x14ac:dyDescent="0.25">
      <c r="B21" s="5" t="s">
        <v>261</v>
      </c>
    </row>
    <row r="22" spans="2:2" ht="15" customHeight="1" x14ac:dyDescent="0.25">
      <c r="B22" s="5" t="s">
        <v>262</v>
      </c>
    </row>
    <row r="23" spans="2:2" ht="40.5" x14ac:dyDescent="0.25">
      <c r="B23" s="6" t="s">
        <v>266</v>
      </c>
    </row>
    <row r="24" spans="2:2" ht="15" customHeight="1" x14ac:dyDescent="0.25">
      <c r="B24" s="3"/>
    </row>
    <row r="25" spans="2:2" ht="15" customHeight="1" x14ac:dyDescent="0.25">
      <c r="B25" s="253" t="s">
        <v>246</v>
      </c>
    </row>
    <row r="26" spans="2:2" ht="9.9499999999999993" customHeight="1" x14ac:dyDescent="0.25"/>
    <row r="27" spans="2:2" ht="27" x14ac:dyDescent="0.25">
      <c r="B27" s="3" t="s">
        <v>247</v>
      </c>
    </row>
    <row r="28" spans="2:2" ht="50.1" customHeight="1" x14ac:dyDescent="0.25">
      <c r="B28" s="198" t="s">
        <v>305</v>
      </c>
    </row>
    <row r="29" spans="2:2" ht="27" x14ac:dyDescent="0.25">
      <c r="B29" s="263" t="s">
        <v>302</v>
      </c>
    </row>
    <row r="30" spans="2:2" ht="27" x14ac:dyDescent="0.25">
      <c r="B30" s="263" t="s">
        <v>303</v>
      </c>
    </row>
    <row r="31" spans="2:2" ht="27" x14ac:dyDescent="0.25">
      <c r="B31" s="263" t="s">
        <v>304</v>
      </c>
    </row>
    <row r="32" spans="2:2" ht="15" customHeight="1" x14ac:dyDescent="0.25">
      <c r="B32" s="3"/>
    </row>
    <row r="33" spans="2:2" ht="15" customHeight="1" x14ac:dyDescent="0.25">
      <c r="B33" s="253" t="s">
        <v>248</v>
      </c>
    </row>
    <row r="34" spans="2:2" ht="9.9499999999999993" customHeight="1" x14ac:dyDescent="0.25"/>
    <row r="35" spans="2:2" ht="27" x14ac:dyDescent="0.25">
      <c r="B35" s="213" t="s">
        <v>249</v>
      </c>
    </row>
    <row r="36" spans="2:2" x14ac:dyDescent="0.25">
      <c r="B36" s="199"/>
    </row>
    <row r="37" spans="2:2" ht="15" customHeight="1" x14ac:dyDescent="0.25">
      <c r="B37" s="253" t="s">
        <v>134</v>
      </c>
    </row>
    <row r="38" spans="2:2" ht="9.9499999999999993" customHeight="1" x14ac:dyDescent="0.25"/>
    <row r="39" spans="2:2" ht="27" x14ac:dyDescent="0.25">
      <c r="B39" s="7" t="s">
        <v>271</v>
      </c>
    </row>
    <row r="40" spans="2:2" ht="50.1" customHeight="1" x14ac:dyDescent="0.25">
      <c r="B40" s="8" t="s">
        <v>267</v>
      </c>
    </row>
    <row r="41" spans="2:2" ht="40.5" x14ac:dyDescent="0.25">
      <c r="B41" s="165" t="s">
        <v>268</v>
      </c>
    </row>
    <row r="42" spans="2:2" ht="60" customHeight="1" x14ac:dyDescent="0.25">
      <c r="B42" s="229" t="s">
        <v>269</v>
      </c>
    </row>
    <row r="43" spans="2:2" ht="15" customHeight="1" x14ac:dyDescent="0.25">
      <c r="B43" s="168" t="s">
        <v>270</v>
      </c>
    </row>
    <row r="44" spans="2:2" ht="30" customHeight="1" x14ac:dyDescent="0.25">
      <c r="B44" s="165" t="s">
        <v>279</v>
      </c>
    </row>
    <row r="45" spans="2:2" ht="27" x14ac:dyDescent="0.25">
      <c r="B45" s="8" t="s">
        <v>280</v>
      </c>
    </row>
    <row r="46" spans="2:2" x14ac:dyDescent="0.25">
      <c r="B46" s="8" t="s">
        <v>281</v>
      </c>
    </row>
    <row r="47" spans="2:2" ht="27" x14ac:dyDescent="0.25">
      <c r="B47" s="7" t="s">
        <v>272</v>
      </c>
    </row>
    <row r="48" spans="2:2" ht="15" customHeight="1" x14ac:dyDescent="0.25"/>
    <row r="49" spans="2:2" ht="15" customHeight="1" x14ac:dyDescent="0.25">
      <c r="B49" s="253" t="s">
        <v>291</v>
      </c>
    </row>
    <row r="50" spans="2:2" ht="9.9499999999999993" customHeight="1" x14ac:dyDescent="0.25"/>
    <row r="51" spans="2:2" ht="15" customHeight="1" x14ac:dyDescent="0.25">
      <c r="B51" s="10" t="s">
        <v>292</v>
      </c>
    </row>
    <row r="52" spans="2:2" ht="15" customHeight="1" x14ac:dyDescent="0.25">
      <c r="B52" s="169" t="s">
        <v>136</v>
      </c>
    </row>
    <row r="53" spans="2:2" ht="15" customHeight="1" x14ac:dyDescent="0.25">
      <c r="B53" s="169" t="s">
        <v>137</v>
      </c>
    </row>
    <row r="54" spans="2:2" ht="15" customHeight="1" x14ac:dyDescent="0.25">
      <c r="B54" s="169" t="s">
        <v>138</v>
      </c>
    </row>
    <row r="55" spans="2:2" ht="15" customHeight="1" x14ac:dyDescent="0.25">
      <c r="B55" s="169" t="s">
        <v>139</v>
      </c>
    </row>
    <row r="56" spans="2:2" ht="9.9499999999999993" customHeight="1" x14ac:dyDescent="0.25"/>
    <row r="57" spans="2:2" ht="15" customHeight="1" x14ac:dyDescent="0.25">
      <c r="B57" s="9" t="s">
        <v>140</v>
      </c>
    </row>
    <row r="58" spans="2:2" ht="15" customHeight="1" x14ac:dyDescent="0.25">
      <c r="B58" s="332" t="s">
        <v>141</v>
      </c>
    </row>
    <row r="59" spans="2:2" ht="15" customHeight="1" x14ac:dyDescent="0.25">
      <c r="B59" s="332"/>
    </row>
    <row r="60" spans="2:2" ht="9.9499999999999993" customHeight="1" x14ac:dyDescent="0.25"/>
    <row r="61" spans="2:2" ht="15" customHeight="1" x14ac:dyDescent="0.25">
      <c r="B61" s="9" t="s">
        <v>142</v>
      </c>
    </row>
    <row r="62" spans="2:2" ht="30" customHeight="1" x14ac:dyDescent="0.25">
      <c r="B62" s="8" t="s">
        <v>273</v>
      </c>
    </row>
    <row r="63" spans="2:2" ht="30" customHeight="1" x14ac:dyDescent="0.25">
      <c r="B63" s="236" t="s">
        <v>274</v>
      </c>
    </row>
    <row r="64" spans="2:2" ht="50.1" customHeight="1" x14ac:dyDescent="0.25">
      <c r="B64" s="8" t="s">
        <v>275</v>
      </c>
    </row>
    <row r="65" spans="2:2" ht="60" customHeight="1" x14ac:dyDescent="0.25">
      <c r="B65" s="8" t="s">
        <v>289</v>
      </c>
    </row>
    <row r="66" spans="2:2" ht="30" customHeight="1" x14ac:dyDescent="0.25">
      <c r="B66" s="8" t="s">
        <v>282</v>
      </c>
    </row>
    <row r="67" spans="2:2" ht="30" customHeight="1" x14ac:dyDescent="0.25">
      <c r="B67" s="8" t="s">
        <v>287</v>
      </c>
    </row>
    <row r="68" spans="2:2" ht="9.9499999999999993" customHeight="1" x14ac:dyDescent="0.25"/>
    <row r="69" spans="2:2" ht="15" customHeight="1" x14ac:dyDescent="0.25">
      <c r="B69" s="9" t="s">
        <v>276</v>
      </c>
    </row>
    <row r="70" spans="2:2" ht="50.1" customHeight="1" x14ac:dyDescent="0.25">
      <c r="B70" s="8" t="s">
        <v>283</v>
      </c>
    </row>
    <row r="71" spans="2:2" ht="27" x14ac:dyDescent="0.25">
      <c r="B71" s="238" t="s">
        <v>126</v>
      </c>
    </row>
    <row r="72" spans="2:2" ht="27" x14ac:dyDescent="0.25">
      <c r="B72" s="238" t="s">
        <v>284</v>
      </c>
    </row>
    <row r="73" spans="2:2" ht="40.5" x14ac:dyDescent="0.25">
      <c r="B73" s="8" t="s">
        <v>285</v>
      </c>
    </row>
    <row r="74" spans="2:2" ht="9.9499999999999993" customHeight="1" x14ac:dyDescent="0.25"/>
    <row r="75" spans="2:2" ht="15" customHeight="1" x14ac:dyDescent="0.25">
      <c r="B75" s="9" t="s">
        <v>286</v>
      </c>
    </row>
    <row r="76" spans="2:2" ht="40.5" x14ac:dyDescent="0.25">
      <c r="B76" s="8" t="s">
        <v>288</v>
      </c>
    </row>
    <row r="77" spans="2:2" ht="27" x14ac:dyDescent="0.25">
      <c r="B77" s="8" t="s">
        <v>290</v>
      </c>
    </row>
    <row r="78" spans="2:2" ht="9.9499999999999993" customHeight="1" x14ac:dyDescent="0.25"/>
  </sheetData>
  <sheetProtection algorithmName="SHA-512" hashValue="Y9F2k0xicKedl74lJef6LSZB3j4sLJyVBqrB58qUm+7v+KBjQpsbR/qdfVqQtRO/ULh3Pu/7kkdD2KBSCqVkPg==" saltValue="CbWwGzaqSqU6MrPeU3v3cQ==" spinCount="100000" sheet="1" objects="1" scenarios="1" selectLockedCells="1"/>
  <mergeCells count="1">
    <mergeCell ref="B58:B59"/>
  </mergeCells>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7E1E-C87A-4FF3-9CE2-5961BCDC9A53}">
  <dimension ref="B1:AF40"/>
  <sheetViews>
    <sheetView showGridLines="0" zoomScaleNormal="100" workbookViewId="0"/>
  </sheetViews>
  <sheetFormatPr baseColWidth="10" defaultColWidth="11.42578125" defaultRowHeight="13.5" x14ac:dyDescent="0.2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20" width="5.5703125" style="26" hidden="1" customWidth="1"/>
    <col min="21" max="32" width="8.5703125" style="26" hidden="1" customWidth="1"/>
    <col min="33" max="16384" width="11.42578125" style="26"/>
  </cols>
  <sheetData>
    <row r="1" spans="2:31" ht="20.100000000000001" customHeight="1" x14ac:dyDescent="0.25"/>
    <row r="2" spans="2:31" ht="20.100000000000001" customHeight="1" x14ac:dyDescent="0.25"/>
    <row r="3" spans="2:31" ht="20.100000000000001" customHeight="1" x14ac:dyDescent="0.25">
      <c r="D3" s="239" t="str">
        <f>'IDENTIFICACIÓN TRABAJADOR'!G3</f>
        <v>Nº DE EXPEDIENTE: 2024.11.ACEE.0000</v>
      </c>
      <c r="E3" s="179"/>
      <c r="F3" s="239"/>
      <c r="S3" s="26" t="s">
        <v>340</v>
      </c>
    </row>
    <row r="4" spans="2:31" ht="20.100000000000001" customHeight="1" x14ac:dyDescent="0.25">
      <c r="E4" s="41"/>
      <c r="F4" s="187"/>
      <c r="S4" s="187">
        <f>COUNTIFS('% DEDICACIÓN TRABAJADOR'!$B$49:$B$108,4,'% DEDICACIÓN TRABAJADOR'!$E$49:$E$108,"&gt;0")</f>
        <v>0</v>
      </c>
    </row>
    <row r="5" spans="2:31" ht="20.100000000000001" customHeight="1" x14ac:dyDescent="0.25">
      <c r="D5" s="240" t="str">
        <f>'LINEAS CON DEDICACIÓN'!C6</f>
        <v xml:space="preserve">TRABAJADOR:   </v>
      </c>
      <c r="E5" s="241"/>
      <c r="F5" s="187"/>
      <c r="S5" s="26" t="s">
        <v>339</v>
      </c>
    </row>
    <row r="6" spans="2:31" ht="20.100000000000001" customHeight="1" x14ac:dyDescent="0.25">
      <c r="D6" s="240" t="str">
        <f>'LINEAS CON DEDICACIÓN'!C7</f>
        <v xml:space="preserve">ACRÓNIMO: </v>
      </c>
      <c r="E6" s="241"/>
      <c r="F6" s="187"/>
      <c r="S6" s="187">
        <f>COUNTIFS('% DEDICACIÓN TRABAJADOR'!$L$47:$W$47,"&gt;1")</f>
        <v>0</v>
      </c>
    </row>
    <row r="7" spans="2:31" ht="20.100000000000001" customHeight="1" thickBot="1" x14ac:dyDescent="0.3">
      <c r="D7" s="240"/>
      <c r="E7" s="241"/>
      <c r="F7" s="187"/>
      <c r="S7" s="26" t="s">
        <v>244</v>
      </c>
    </row>
    <row r="8" spans="2:31" s="45" customFormat="1" ht="25.5" customHeight="1" x14ac:dyDescent="0.25">
      <c r="B8" s="472">
        <f>EXPEDIENTE!C16</f>
        <v>2024</v>
      </c>
      <c r="C8" s="474" t="s">
        <v>229</v>
      </c>
      <c r="D8" s="467" t="s">
        <v>129</v>
      </c>
      <c r="E8" s="357"/>
      <c r="F8" s="468"/>
      <c r="G8" s="469" t="s">
        <v>306</v>
      </c>
      <c r="H8" s="470"/>
      <c r="I8" s="471"/>
      <c r="J8" s="146" t="s">
        <v>130</v>
      </c>
      <c r="K8" s="467" t="s">
        <v>309</v>
      </c>
      <c r="L8" s="357"/>
      <c r="M8" s="468"/>
      <c r="N8" s="474" t="s">
        <v>295</v>
      </c>
      <c r="O8" s="465" t="s">
        <v>94</v>
      </c>
      <c r="P8" s="26"/>
      <c r="S8" s="26" t="str">
        <f>IF(COUNTIF(T25:T39,"&gt;1")&gt;0,"SI","NO")</f>
        <v>NO</v>
      </c>
    </row>
    <row r="9" spans="2:31" s="29" customFormat="1" ht="65.099999999999994" customHeight="1" thickBot="1" x14ac:dyDescent="0.3">
      <c r="B9" s="473"/>
      <c r="C9" s="475"/>
      <c r="D9" s="266" t="s">
        <v>307</v>
      </c>
      <c r="E9" s="139" t="s">
        <v>74</v>
      </c>
      <c r="F9" s="149" t="s">
        <v>95</v>
      </c>
      <c r="G9" s="148" t="s">
        <v>88</v>
      </c>
      <c r="H9" s="139" t="s">
        <v>132</v>
      </c>
      <c r="I9" s="156" t="s">
        <v>89</v>
      </c>
      <c r="J9" s="147" t="s">
        <v>131</v>
      </c>
      <c r="K9" s="148" t="s">
        <v>308</v>
      </c>
      <c r="L9" s="139" t="s">
        <v>85</v>
      </c>
      <c r="M9" s="156" t="s">
        <v>91</v>
      </c>
      <c r="N9" s="475"/>
      <c r="O9" s="466"/>
      <c r="P9" s="26"/>
      <c r="Z9" s="33"/>
      <c r="AA9" s="33"/>
      <c r="AB9" s="33"/>
      <c r="AC9" s="33"/>
    </row>
    <row r="10" spans="2:31" ht="15" customHeight="1" x14ac:dyDescent="0.25">
      <c r="B10" s="140" t="s">
        <v>52</v>
      </c>
      <c r="C10" s="143">
        <f>ROUND('% DEDICACIÓN TRABAJADOR'!L47,4)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Z10" s="27"/>
      <c r="AA10" s="27"/>
      <c r="AB10" s="33"/>
      <c r="AC10" s="33"/>
      <c r="AD10" s="29"/>
      <c r="AE10" s="29"/>
    </row>
    <row r="11" spans="2:31" ht="15" customHeight="1" x14ac:dyDescent="0.25">
      <c r="B11" s="141" t="s">
        <v>53</v>
      </c>
      <c r="C11" s="144">
        <f>ROUND('% DEDICACIÓN TRABAJADOR'!M47,4)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Z11" s="27"/>
      <c r="AA11" s="27"/>
      <c r="AB11" s="33"/>
      <c r="AC11" s="33"/>
      <c r="AD11" s="29"/>
      <c r="AE11" s="29"/>
    </row>
    <row r="12" spans="2:31" ht="15" customHeight="1" x14ac:dyDescent="0.25">
      <c r="B12" s="141" t="s">
        <v>54</v>
      </c>
      <c r="C12" s="144">
        <f>ROUND('% DEDICACIÓN TRABAJADOR'!N47,4)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Z12" s="27"/>
      <c r="AA12" s="27"/>
      <c r="AB12" s="33"/>
      <c r="AC12" s="33"/>
      <c r="AD12" s="29"/>
      <c r="AE12" s="29"/>
    </row>
    <row r="13" spans="2:31" ht="15" customHeight="1" x14ac:dyDescent="0.25">
      <c r="B13" s="141" t="s">
        <v>55</v>
      </c>
      <c r="C13" s="144">
        <f>ROUND('% DEDICACIÓN TRABAJADOR'!O47,4)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Z13" s="27"/>
      <c r="AA13" s="27"/>
      <c r="AB13" s="33"/>
      <c r="AC13" s="33"/>
      <c r="AD13" s="29"/>
      <c r="AE13" s="29"/>
    </row>
    <row r="14" spans="2:31" ht="15" customHeight="1" x14ac:dyDescent="0.25">
      <c r="B14" s="141" t="s">
        <v>56</v>
      </c>
      <c r="C14" s="144">
        <f>ROUND('% DEDICACIÓN TRABAJADOR'!P47,4)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Z14" s="27"/>
      <c r="AA14" s="27"/>
      <c r="AB14" s="33"/>
      <c r="AC14" s="33"/>
      <c r="AD14" s="29"/>
      <c r="AE14" s="29"/>
    </row>
    <row r="15" spans="2:31" ht="15" customHeight="1" x14ac:dyDescent="0.25">
      <c r="B15" s="141" t="s">
        <v>57</v>
      </c>
      <c r="C15" s="144">
        <f>ROUND('% DEDICACIÓN TRABAJADOR'!Q47,4)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Z15" s="27"/>
      <c r="AA15" s="27"/>
      <c r="AC15" s="27"/>
    </row>
    <row r="16" spans="2:31" ht="15" customHeight="1" x14ac:dyDescent="0.25">
      <c r="B16" s="141" t="s">
        <v>58</v>
      </c>
      <c r="C16" s="144">
        <f>ROUND('% DEDICACIÓN TRABAJADOR'!R47,4)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Z16" s="27"/>
      <c r="AA16" s="27"/>
      <c r="AC16" s="27"/>
    </row>
    <row r="17" spans="2:32" ht="15" customHeight="1" x14ac:dyDescent="0.25">
      <c r="B17" s="141" t="s">
        <v>59</v>
      </c>
      <c r="C17" s="144">
        <f>ROUND('% DEDICACIÓN TRABAJADOR'!S47,4)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Z17" s="27"/>
      <c r="AA17" s="27"/>
      <c r="AC17" s="27"/>
    </row>
    <row r="18" spans="2:32" ht="15" customHeight="1" x14ac:dyDescent="0.25">
      <c r="B18" s="141" t="s">
        <v>60</v>
      </c>
      <c r="C18" s="144">
        <f>ROUND('% DEDICACIÓN TRABAJADOR'!T47,4)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Z18" s="27"/>
      <c r="AA18" s="27"/>
      <c r="AC18" s="27"/>
    </row>
    <row r="19" spans="2:32" ht="15" customHeight="1" x14ac:dyDescent="0.25">
      <c r="B19" s="141" t="s">
        <v>61</v>
      </c>
      <c r="C19" s="144">
        <f>ROUND('% DEDICACIÓN TRABAJADOR'!U47,4)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Z19" s="27"/>
      <c r="AA19" s="27"/>
      <c r="AC19" s="27"/>
    </row>
    <row r="20" spans="2:32" ht="15" customHeight="1" x14ac:dyDescent="0.25">
      <c r="B20" s="141" t="s">
        <v>62</v>
      </c>
      <c r="C20" s="144">
        <f>ROUND('% DEDICACIÓN TRABAJADOR'!V47,4)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Z20" s="27"/>
      <c r="AA20" s="27"/>
      <c r="AC20" s="27"/>
    </row>
    <row r="21" spans="2:32" ht="15" customHeight="1" thickBot="1" x14ac:dyDescent="0.3">
      <c r="B21" s="142" t="s">
        <v>63</v>
      </c>
      <c r="C21" s="145">
        <f>ROUND('% DEDICACIÓN TRABAJADOR'!W47,4)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Z21" s="27"/>
      <c r="AA21" s="27"/>
      <c r="AC21" s="27"/>
    </row>
    <row r="22" spans="2:32" ht="14.25" thickBot="1" x14ac:dyDescent="0.3">
      <c r="M22" s="167"/>
      <c r="N22" s="167"/>
      <c r="O22" s="167"/>
      <c r="Z22" s="27"/>
      <c r="AA22" s="27"/>
      <c r="AC22" s="27"/>
    </row>
    <row r="23" spans="2:32" ht="20.100000000000001" customHeight="1" thickBot="1" x14ac:dyDescent="0.3">
      <c r="G23" s="28"/>
      <c r="M23" s="278"/>
      <c r="N23" s="180" t="s">
        <v>230</v>
      </c>
      <c r="O23" s="163">
        <f>SUM(O25:O39)</f>
        <v>0</v>
      </c>
      <c r="P23" s="243"/>
      <c r="Q23" s="26" t="str">
        <f>IF($S$4&gt;0,"ERROR: ALGUNA LÍNEA DE ESTA ACTUACIÓN TIENE UN % DE DEDICACIÓN SUPERIOR AL 100%",IF($S$6&gt;0,"ERROR: EL % DE DEDICACIÓN ACUMULADO PARA ALGÚN MES ES SUPERIOR AL 100%",IF(S8="SI","EXISTEN LÍNEAS REPETIDAS EN ESTA ACTUACIÓN","")))</f>
        <v/>
      </c>
      <c r="S23" s="44" t="s">
        <v>216</v>
      </c>
      <c r="T23" s="44" t="s">
        <v>243</v>
      </c>
      <c r="U23" s="26">
        <v>9</v>
      </c>
      <c r="V23" s="26">
        <v>10</v>
      </c>
      <c r="W23" s="26">
        <v>11</v>
      </c>
      <c r="X23" s="26">
        <v>12</v>
      </c>
      <c r="Y23" s="26">
        <v>13</v>
      </c>
      <c r="Z23" s="26">
        <v>14</v>
      </c>
      <c r="AA23" s="26">
        <v>15</v>
      </c>
      <c r="AB23" s="26">
        <v>16</v>
      </c>
      <c r="AC23" s="26">
        <v>17</v>
      </c>
      <c r="AD23" s="26">
        <v>18</v>
      </c>
      <c r="AE23" s="26">
        <v>19</v>
      </c>
      <c r="AF23" s="26">
        <v>20</v>
      </c>
    </row>
    <row r="24" spans="2:32" x14ac:dyDescent="0.25">
      <c r="M24" s="167"/>
      <c r="N24" s="167"/>
      <c r="O24" s="167"/>
      <c r="Z24" s="27"/>
      <c r="AA24" s="27"/>
    </row>
    <row r="25" spans="2:32" s="230" customFormat="1" ht="15" customHeight="1" x14ac:dyDescent="0.25">
      <c r="N25" s="230" t="str">
        <f>IF(AUXILIAR!AM49="x","",CONCATENATE("SUBTOTAL ",AUXILIAR!AM49))</f>
        <v/>
      </c>
      <c r="O25" s="232" t="str">
        <f>IF(N25="","",IF($S$4&gt;0,0,IF($S$6&gt;0,0,IF($S$8="SI",0,IFERROR(ROUND(U25*$N$10+V25*$N$11+W25*$N$12+X25*$N$13+Y25*$N$14+Z25*$N$15+AA25*$N$16+AB25*$N$17+AC25*$N$18+AD25*$N$19+AE25*$N$20+AF25*$N$21,2),"")))))</f>
        <v/>
      </c>
      <c r="P25" s="242"/>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x14ac:dyDescent="0.25">
      <c r="N26" s="230" t="str">
        <f>IF(AUXILIAR!AM50="x","",CONCATENATE("SUBTOTAL ",AUXILIAR!AM50))</f>
        <v/>
      </c>
      <c r="O26" s="232" t="str">
        <f t="shared" ref="O26:O39" si="4">IF(N26="","",IF($S$4&gt;0,0,IF($S$6&gt;0,0,IF($S$8="SI",0,IFERROR(ROUND(U26*$N$10+V26*$N$11+W26*$N$12+X26*$N$13+Y26*$N$14+Z26*$N$15+AA26*$N$16+AB26*$N$17+AC26*$N$18+AD26*$N$19+AE26*$N$20+AF26*$N$21,2),"")))))</f>
        <v/>
      </c>
      <c r="P26" s="242"/>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x14ac:dyDescent="0.25">
      <c r="N27" s="230" t="str">
        <f>IF(AUXILIAR!AM51="x","",CONCATENATE("SUBTOTAL ",AUXILIAR!AM51))</f>
        <v/>
      </c>
      <c r="O27" s="232" t="str">
        <f t="shared" si="4"/>
        <v/>
      </c>
      <c r="P27" s="242"/>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x14ac:dyDescent="0.25">
      <c r="N28" s="230" t="str">
        <f>IF(AUXILIAR!AM52="x","",CONCATENATE("SUBTOTAL ",AUXILIAR!AM52))</f>
        <v/>
      </c>
      <c r="O28" s="232" t="str">
        <f t="shared" si="4"/>
        <v/>
      </c>
      <c r="P28" s="242"/>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x14ac:dyDescent="0.25">
      <c r="N29" s="230" t="str">
        <f>IF(AUXILIAR!AM53="x","",CONCATENATE("SUBTOTAL ",AUXILIAR!AM53))</f>
        <v/>
      </c>
      <c r="O29" s="232" t="str">
        <f t="shared" si="4"/>
        <v/>
      </c>
      <c r="P29" s="242"/>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x14ac:dyDescent="0.25">
      <c r="N30" s="230" t="str">
        <f>IF(AUXILIAR!AM54="x","",CONCATENATE("SUBTOTAL ",AUXILIAR!AM54))</f>
        <v/>
      </c>
      <c r="O30" s="232" t="str">
        <f t="shared" si="4"/>
        <v/>
      </c>
      <c r="P30" s="242"/>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x14ac:dyDescent="0.25">
      <c r="N31" s="230" t="str">
        <f>IF(AUXILIAR!AM55="x","",CONCATENATE("SUBTOTAL ",AUXILIAR!AM55))</f>
        <v/>
      </c>
      <c r="O31" s="232" t="str">
        <f t="shared" si="4"/>
        <v/>
      </c>
      <c r="P31" s="242"/>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x14ac:dyDescent="0.25">
      <c r="N32" s="230" t="str">
        <f>IF(AUXILIAR!AM56="x","",CONCATENATE("SUBTOTAL ",AUXILIAR!AM56))</f>
        <v/>
      </c>
      <c r="O32" s="232" t="str">
        <f t="shared" si="4"/>
        <v/>
      </c>
      <c r="P32" s="242"/>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x14ac:dyDescent="0.25">
      <c r="N33" s="230" t="str">
        <f>IF(AUXILIAR!AM57="x","",CONCATENATE("SUBTOTAL ",AUXILIAR!AM57))</f>
        <v/>
      </c>
      <c r="O33" s="232" t="str">
        <f t="shared" si="4"/>
        <v/>
      </c>
      <c r="P33" s="242"/>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x14ac:dyDescent="0.25">
      <c r="N34" s="230" t="str">
        <f>IF(AUXILIAR!AM58="x","",CONCATENATE("SUBTOTAL ",AUXILIAR!AM58))</f>
        <v/>
      </c>
      <c r="O34" s="232" t="str">
        <f t="shared" si="4"/>
        <v/>
      </c>
      <c r="P34" s="242"/>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x14ac:dyDescent="0.25">
      <c r="N35" s="230" t="str">
        <f>IF(AUXILIAR!AM59="x","",CONCATENATE("SUBTOTAL ",AUXILIAR!AM59))</f>
        <v/>
      </c>
      <c r="O35" s="232" t="str">
        <f t="shared" si="4"/>
        <v/>
      </c>
      <c r="P35" s="242"/>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x14ac:dyDescent="0.25">
      <c r="N36" s="230" t="str">
        <f>IF(AUXILIAR!AM60="x","",CONCATENATE("SUBTOTAL ",AUXILIAR!AM60))</f>
        <v/>
      </c>
      <c r="O36" s="232" t="str">
        <f t="shared" si="4"/>
        <v/>
      </c>
      <c r="P36" s="242"/>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x14ac:dyDescent="0.25">
      <c r="N37" s="230" t="str">
        <f>IF(AUXILIAR!AM61="x","",CONCATENATE("SUBTOTAL ",AUXILIAR!AM61))</f>
        <v/>
      </c>
      <c r="O37" s="232" t="str">
        <f t="shared" si="4"/>
        <v/>
      </c>
      <c r="P37" s="242"/>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x14ac:dyDescent="0.25">
      <c r="N38" s="230" t="str">
        <f>IF(AUXILIAR!AM62="x","",CONCATENATE("SUBTOTAL ",AUXILIAR!AM62))</f>
        <v/>
      </c>
      <c r="O38" s="232" t="str">
        <f t="shared" si="4"/>
        <v/>
      </c>
      <c r="P38" s="242"/>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x14ac:dyDescent="0.25">
      <c r="N39" s="230" t="str">
        <f>IF(AUXILIAR!AM63="x","",CONCATENATE("SUBTOTAL ",AUXILIAR!AM63))</f>
        <v/>
      </c>
      <c r="O39" s="232" t="str">
        <f t="shared" si="4"/>
        <v/>
      </c>
      <c r="P39" s="242"/>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row r="40" spans="14:32" ht="14.25" x14ac:dyDescent="0.25">
      <c r="P40" s="242"/>
    </row>
  </sheetData>
  <sheetProtection algorithmName="SHA-512" hashValue="auWXCzAnhABioQ4aoQhTtampezHdwlS1jnenRQjA9EgW7F/BbonTBEqo6PpabW5O+Clf2Mi9mhf+bdrdjE6mIw==" saltValue="PMwv/lEcnIbOLHDPsEG7U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10" priority="172">
      <formula>OR($S$4&gt;0,$S$6&gt;0,$S$8="SI")</formula>
    </cfRule>
  </conditionalFormatting>
  <conditionalFormatting sqref="Q23">
    <cfRule type="cellIs" dxfId="9" priority="3" operator="notEqual">
      <formula>""</formula>
    </cfRule>
  </conditionalFormatting>
  <conditionalFormatting sqref="Q25:Q39">
    <cfRule type="cellIs" dxfId="8" priority="2"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8" id="{0D08FE06-C1C1-4AB6-A037-F8D1A9633D30}">
            <xm:f>'% DEDICACIÓN TRABAJADOR'!$L$47=0</xm:f>
            <x14:dxf>
              <font>
                <color theme="0"/>
              </font>
            </x14:dxf>
          </x14:cfRule>
          <xm:sqref>D10:N10</xm:sqref>
        </x14:conditionalFormatting>
        <x14:conditionalFormatting xmlns:xm="http://schemas.microsoft.com/office/excel/2006/main">
          <x14:cfRule type="expression" priority="9" id="{38D99ECE-1182-476C-B9F4-99E4E1A0DC1C}">
            <xm:f>'% DEDICACIÓN TRABAJADOR'!$M$47=0</xm:f>
            <x14:dxf>
              <font>
                <color theme="0"/>
              </font>
            </x14:dxf>
          </x14:cfRule>
          <xm:sqref>D11:N11</xm:sqref>
        </x14:conditionalFormatting>
        <x14:conditionalFormatting xmlns:xm="http://schemas.microsoft.com/office/excel/2006/main">
          <x14:cfRule type="expression" priority="10" id="{36FD0A64-A44D-4CBC-96AF-63EB5B495479}">
            <xm:f>'% DEDICACIÓN TRABAJADOR'!$N$47=0</xm:f>
            <x14:dxf>
              <font>
                <color theme="0"/>
              </font>
            </x14:dxf>
          </x14:cfRule>
          <xm:sqref>D12:N12</xm:sqref>
        </x14:conditionalFormatting>
        <x14:conditionalFormatting xmlns:xm="http://schemas.microsoft.com/office/excel/2006/main">
          <x14:cfRule type="expression" priority="11" id="{CAAB4262-33FC-4159-919E-AC18C66FE6CF}">
            <xm:f>'% DEDICACIÓN TRABAJADOR'!$O$47=0</xm:f>
            <x14:dxf>
              <font>
                <color theme="0"/>
              </font>
            </x14:dxf>
          </x14:cfRule>
          <xm:sqref>D13:N13</xm:sqref>
        </x14:conditionalFormatting>
        <x14:conditionalFormatting xmlns:xm="http://schemas.microsoft.com/office/excel/2006/main">
          <x14:cfRule type="expression" priority="12" id="{3225A2F2-4A3F-4045-9812-C586D390E351}">
            <xm:f>'% DEDICACIÓN TRABAJADOR'!$P$47=0</xm:f>
            <x14:dxf>
              <font>
                <color theme="0"/>
              </font>
            </x14:dxf>
          </x14:cfRule>
          <xm:sqref>D14:N14</xm:sqref>
        </x14:conditionalFormatting>
        <x14:conditionalFormatting xmlns:xm="http://schemas.microsoft.com/office/excel/2006/main">
          <x14:cfRule type="expression" priority="13" id="{E0FD7153-F38F-4E21-A7FA-C16DCAE7B4F8}">
            <xm:f>'% DEDICACIÓN TRABAJADOR'!$Q$47=0</xm:f>
            <x14:dxf>
              <font>
                <color theme="0"/>
              </font>
            </x14:dxf>
          </x14:cfRule>
          <xm:sqref>D15:N15</xm:sqref>
        </x14:conditionalFormatting>
        <x14:conditionalFormatting xmlns:xm="http://schemas.microsoft.com/office/excel/2006/main">
          <x14:cfRule type="expression" priority="14" id="{EAAA175F-4390-442C-917A-28D1BF9F0216}">
            <xm:f>'% DEDICACIÓN TRABAJADOR'!$R$47=0</xm:f>
            <x14:dxf>
              <font>
                <color theme="0"/>
              </font>
            </x14:dxf>
          </x14:cfRule>
          <xm:sqref>D16:N16</xm:sqref>
        </x14:conditionalFormatting>
        <x14:conditionalFormatting xmlns:xm="http://schemas.microsoft.com/office/excel/2006/main">
          <x14:cfRule type="expression" priority="15" id="{447958F3-C4C2-4232-9924-37BD4D8E9676}">
            <xm:f>'% DEDICACIÓN TRABAJADOR'!$S$47=0</xm:f>
            <x14:dxf>
              <font>
                <color theme="0"/>
              </font>
            </x14:dxf>
          </x14:cfRule>
          <xm:sqref>D17:N17</xm:sqref>
        </x14:conditionalFormatting>
        <x14:conditionalFormatting xmlns:xm="http://schemas.microsoft.com/office/excel/2006/main">
          <x14:cfRule type="expression" priority="16" id="{7F169AFD-0ED0-4F8A-8929-AE30635E7339}">
            <xm:f>'% DEDICACIÓN TRABAJADOR'!$T$47=0</xm:f>
            <x14:dxf>
              <font>
                <color theme="0"/>
              </font>
            </x14:dxf>
          </x14:cfRule>
          <xm:sqref>D18:N18</xm:sqref>
        </x14:conditionalFormatting>
        <x14:conditionalFormatting xmlns:xm="http://schemas.microsoft.com/office/excel/2006/main">
          <x14:cfRule type="expression" priority="17" id="{998281A1-707B-4A8D-A4CE-147D1B22912F}">
            <xm:f>'% DEDICACIÓN TRABAJADOR'!$U$47=0</xm:f>
            <x14:dxf>
              <font>
                <color theme="0"/>
              </font>
            </x14:dxf>
          </x14:cfRule>
          <xm:sqref>D19:N19</xm:sqref>
        </x14:conditionalFormatting>
        <x14:conditionalFormatting xmlns:xm="http://schemas.microsoft.com/office/excel/2006/main">
          <x14:cfRule type="expression" priority="18" id="{093D0E8A-5084-4294-9F42-569940691203}">
            <xm:f>'% DEDICACIÓN TRABAJADOR'!$V$47=0</xm:f>
            <x14:dxf>
              <font>
                <color theme="0"/>
              </font>
            </x14:dxf>
          </x14:cfRule>
          <xm:sqref>D20:N20</xm:sqref>
        </x14:conditionalFormatting>
        <x14:conditionalFormatting xmlns:xm="http://schemas.microsoft.com/office/excel/2006/main">
          <x14:cfRule type="expression" priority="19" id="{503A9217-2FB9-4A2C-9AA6-6A256F3DBF35}">
            <xm:f>'% DEDICACIÓN TRABAJADOR'!$W$47=0</xm:f>
            <x14:dxf>
              <font>
                <color theme="0"/>
              </font>
            </x14:dxf>
          </x14:cfRule>
          <xm:sqref>D21:N21</xm:sqref>
        </x14:conditionalFormatting>
        <x14:conditionalFormatting xmlns:xm="http://schemas.microsoft.com/office/excel/2006/main">
          <x14:cfRule type="expression" priority="1" id="{46684C62-0FBA-4D1A-86FA-6985F5A57A7E}">
            <xm:f>EXPEDIENTE!$A$1&lt;&gt;1</xm:f>
            <x14:dxf>
              <font>
                <color theme="0"/>
              </font>
            </x14:dxf>
          </x14:cfRule>
          <xm:sqref>S3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F8BD-40F6-4404-93F2-6167CB5230DB}">
  <dimension ref="B2:Q74"/>
  <sheetViews>
    <sheetView showGridLines="0" zoomScaleNormal="100" workbookViewId="0"/>
  </sheetViews>
  <sheetFormatPr baseColWidth="10" defaultRowHeight="13.5" x14ac:dyDescent="0.25"/>
  <cols>
    <col min="1" max="1" width="5.5703125" customWidth="1"/>
    <col min="2" max="2" width="13.42578125" bestFit="1" customWidth="1"/>
    <col min="3" max="3" width="12.42578125" bestFit="1" customWidth="1"/>
    <col min="4" max="4" width="65.5703125" customWidth="1"/>
    <col min="5" max="5" width="13.5703125" style="182" customWidth="1"/>
    <col min="6" max="6" width="5.5703125" customWidth="1"/>
    <col min="7" max="7" width="59" bestFit="1" customWidth="1"/>
    <col min="8" max="10" width="0" hidden="1" customWidth="1"/>
    <col min="11" max="16" width="0" style="223" hidden="1" customWidth="1"/>
    <col min="17" max="17" width="0" hidden="1" customWidth="1"/>
  </cols>
  <sheetData>
    <row r="2" spans="2:17" ht="20.100000000000001" customHeight="1" x14ac:dyDescent="0.25">
      <c r="B2" s="177"/>
      <c r="C2" s="177"/>
      <c r="E2" s="181"/>
      <c r="F2" s="178"/>
      <c r="G2" s="26"/>
    </row>
    <row r="3" spans="2:17" ht="20.100000000000001" customHeight="1" x14ac:dyDescent="0.25">
      <c r="B3" s="167"/>
      <c r="C3" s="167"/>
      <c r="D3" s="167"/>
      <c r="E3" s="192" t="str">
        <f>'LINEAS CON DEDICACIÓN'!C4</f>
        <v>Nº DE EXPEDIENTE: 2024.11.ACEE.0000</v>
      </c>
      <c r="F3" s="26"/>
      <c r="H3" s="26" t="s">
        <v>251</v>
      </c>
      <c r="K3" s="223">
        <f>SUM(L3:Q3)</f>
        <v>0</v>
      </c>
      <c r="L3" s="223">
        <f>'% DEDICACIÓN TRABAJADOR'!E43</f>
        <v>0</v>
      </c>
      <c r="M3" s="223">
        <f>SUM('% DEDICACIÓN TRABAJADOR'!E44:E47)</f>
        <v>0</v>
      </c>
      <c r="N3" s="223">
        <f>'RESUMEN TRABAJADOR ACTUACIÓN 1'!S4</f>
        <v>0</v>
      </c>
      <c r="O3" s="223">
        <f>'RESUMEN TRABAJADOR ACTUACIÓN 2'!S4</f>
        <v>0</v>
      </c>
      <c r="P3" s="223">
        <f>'RESUMEN TRABAJADOR ACTUACIÓN 3'!S4</f>
        <v>0</v>
      </c>
      <c r="Q3" s="223">
        <f>'RESUMEN TRABAJADOR ACTUACIÓN 4'!S4</f>
        <v>0</v>
      </c>
    </row>
    <row r="4" spans="2:17" ht="20.100000000000001" customHeight="1" x14ac:dyDescent="0.25">
      <c r="F4" s="166"/>
      <c r="H4" s="26" t="s">
        <v>252</v>
      </c>
      <c r="K4" s="223">
        <f>IF(OR(N4="SI",O4="SI",P4="SI",Q4="SI"),1,0)</f>
        <v>0</v>
      </c>
      <c r="N4" s="223" t="str">
        <f>'RESUMEN TRABAJADOR ACTUACIÓN 1'!S8</f>
        <v>NO</v>
      </c>
      <c r="O4" s="223" t="str">
        <f>'RESUMEN TRABAJADOR ACTUACIÓN 2'!S8</f>
        <v>NO</v>
      </c>
      <c r="P4" s="223" t="str">
        <f>'RESUMEN TRABAJADOR ACTUACIÓN 3'!S8</f>
        <v>NO</v>
      </c>
      <c r="Q4" s="223" t="str">
        <f>'RESUMEN TRABAJADOR ACTUACIÓN 4'!S8</f>
        <v>NO</v>
      </c>
    </row>
    <row r="5" spans="2:17" ht="20.100000000000001" customHeight="1" x14ac:dyDescent="0.25">
      <c r="E5" s="36" t="str">
        <f>'LINEAS CON DEDICACIÓN'!C6</f>
        <v xml:space="preserve">TRABAJADOR:   </v>
      </c>
      <c r="F5" s="166"/>
      <c r="G5" s="26"/>
    </row>
    <row r="6" spans="2:17" ht="20.100000000000001" customHeight="1" x14ac:dyDescent="0.25">
      <c r="E6" s="36" t="str">
        <f>'LINEAS CON DEDICACIÓN'!C7</f>
        <v xml:space="preserve">ACRÓNIMO: </v>
      </c>
    </row>
    <row r="7" spans="2:17" ht="20.100000000000001" customHeight="1" x14ac:dyDescent="0.25"/>
    <row r="8" spans="2:17" ht="20.100000000000001" customHeight="1" x14ac:dyDescent="0.25">
      <c r="D8" s="184" t="s">
        <v>93</v>
      </c>
      <c r="E8" s="183">
        <f>IF(OR($K$3&gt;0,$K$4&gt;0),0,SUM(E15:E74))</f>
        <v>0</v>
      </c>
      <c r="G8" t="str">
        <f>IF(K3&gt;0,"EXISTE ALGÚN PORCENTAJE DE DEDICACIÓN SUPERIOR AL 100%",IF(K4&gt;0,"EXISTEN LÍNEAS SELECCIONADAS EN MÁS DE UNA OCASIÓN",""))</f>
        <v/>
      </c>
    </row>
    <row r="9" spans="2:17" ht="20.100000000000001" customHeight="1" x14ac:dyDescent="0.25">
      <c r="D9" s="185" t="s">
        <v>237</v>
      </c>
      <c r="E9" s="182">
        <f>IF(OR($K$3&gt;0,$K$4&gt;0),0,'RESUMEN TRABAJADOR ACTUACIÓN 1'!O23)</f>
        <v>0</v>
      </c>
    </row>
    <row r="10" spans="2:17" ht="20.100000000000001" customHeight="1" x14ac:dyDescent="0.25">
      <c r="D10" s="185" t="s">
        <v>238</v>
      </c>
      <c r="E10" s="182">
        <f>IF(OR($K$3&gt;0,$K$4&gt;0),0,'RESUMEN TRABAJADOR ACTUACIÓN 2'!O23)</f>
        <v>0</v>
      </c>
    </row>
    <row r="11" spans="2:17" ht="20.100000000000001" customHeight="1" x14ac:dyDescent="0.25">
      <c r="D11" s="185" t="s">
        <v>239</v>
      </c>
      <c r="E11" s="182">
        <f>IF(OR($K$3&gt;0,$K$4&gt;0),0,'RESUMEN TRABAJADOR ACTUACIÓN 3'!O23)</f>
        <v>0</v>
      </c>
    </row>
    <row r="12" spans="2:17" ht="20.100000000000001" customHeight="1" x14ac:dyDescent="0.25">
      <c r="D12" s="185" t="s">
        <v>240</v>
      </c>
      <c r="E12" s="182">
        <f>IF(OR($K$3&gt;0,$K$4&gt;0),0,'RESUMEN TRABAJADOR ACTUACIÓN 4'!O23)</f>
        <v>0</v>
      </c>
    </row>
    <row r="13" spans="2:17" ht="20.100000000000001" customHeight="1" x14ac:dyDescent="0.25"/>
    <row r="14" spans="2:17" s="34" customFormat="1" ht="20.100000000000001" customHeight="1" x14ac:dyDescent="0.25">
      <c r="B14" s="35" t="s">
        <v>245</v>
      </c>
      <c r="C14" s="35" t="s">
        <v>241</v>
      </c>
      <c r="D14" s="35" t="s">
        <v>231</v>
      </c>
      <c r="E14" s="186" t="s">
        <v>232</v>
      </c>
      <c r="F14"/>
    </row>
    <row r="15" spans="2:17" ht="35.1" customHeight="1" x14ac:dyDescent="0.25">
      <c r="B15" s="193" t="str">
        <f>IF(C15="","",'IDENTIFICACIÓN TRABAJADOR'!$D$14)</f>
        <v/>
      </c>
      <c r="C15" s="188" t="str">
        <f>IF(AUXILIAR!Z4="X","",AUXILIAR!Z4)</f>
        <v/>
      </c>
      <c r="D15" s="194" t="str">
        <f>IF(AUXILIAR!AA4="X","",AUXILIAR!AA4)</f>
        <v/>
      </c>
      <c r="E15" s="195" t="str">
        <f>IF(AUXILIAR!AB4="X","",AUXILIAR!AB4)</f>
        <v/>
      </c>
    </row>
    <row r="16" spans="2:17" ht="35.1" customHeight="1" x14ac:dyDescent="0.25">
      <c r="B16" s="193" t="str">
        <f>IF(C16="","",'IDENTIFICACIÓN TRABAJADOR'!$D$14)</f>
        <v/>
      </c>
      <c r="C16" s="188" t="str">
        <f>IF(AUXILIAR!Z5="X","",AUXILIAR!Z5)</f>
        <v/>
      </c>
      <c r="D16" s="194" t="str">
        <f>IF(AUXILIAR!AA5="X","",AUXILIAR!AA5)</f>
        <v/>
      </c>
      <c r="E16" s="195" t="str">
        <f>IF(AUXILIAR!AB5="X","",AUXILIAR!AB5)</f>
        <v/>
      </c>
    </row>
    <row r="17" spans="2:5" ht="35.1" customHeight="1" x14ac:dyDescent="0.25">
      <c r="B17" s="193" t="str">
        <f>IF(C17="","",'IDENTIFICACIÓN TRABAJADOR'!$D$14)</f>
        <v/>
      </c>
      <c r="C17" s="188" t="str">
        <f>IF(AUXILIAR!Z6="X","",AUXILIAR!Z6)</f>
        <v/>
      </c>
      <c r="D17" s="194" t="str">
        <f>IF(AUXILIAR!AA6="X","",AUXILIAR!AA6)</f>
        <v/>
      </c>
      <c r="E17" s="195" t="str">
        <f>IF(AUXILIAR!AB6="X","",AUXILIAR!AB6)</f>
        <v/>
      </c>
    </row>
    <row r="18" spans="2:5" ht="35.1" customHeight="1" x14ac:dyDescent="0.25">
      <c r="B18" s="193" t="str">
        <f>IF(C18="","",'IDENTIFICACIÓN TRABAJADOR'!$D$14)</f>
        <v/>
      </c>
      <c r="C18" s="188" t="str">
        <f>IF(AUXILIAR!Z7="X","",AUXILIAR!Z7)</f>
        <v/>
      </c>
      <c r="D18" s="194" t="str">
        <f>IF(AUXILIAR!AA7="X","",AUXILIAR!AA7)</f>
        <v/>
      </c>
      <c r="E18" s="195" t="str">
        <f>IF(AUXILIAR!AB7="X","",AUXILIAR!AB7)</f>
        <v/>
      </c>
    </row>
    <row r="19" spans="2:5" ht="35.1" customHeight="1" x14ac:dyDescent="0.25">
      <c r="B19" s="193" t="str">
        <f>IF(C19="","",'IDENTIFICACIÓN TRABAJADOR'!$D$14)</f>
        <v/>
      </c>
      <c r="C19" s="188" t="str">
        <f>IF(AUXILIAR!Z8="X","",AUXILIAR!Z8)</f>
        <v/>
      </c>
      <c r="D19" s="194" t="str">
        <f>IF(AUXILIAR!AA8="X","",AUXILIAR!AA8)</f>
        <v/>
      </c>
      <c r="E19" s="195" t="str">
        <f>IF(AUXILIAR!AB8="X","",AUXILIAR!AB8)</f>
        <v/>
      </c>
    </row>
    <row r="20" spans="2:5" ht="35.1" customHeight="1" x14ac:dyDescent="0.25">
      <c r="B20" s="193" t="str">
        <f>IF(C20="","",'IDENTIFICACIÓN TRABAJADOR'!$D$14)</f>
        <v/>
      </c>
      <c r="C20" s="188" t="str">
        <f>IF(AUXILIAR!Z9="X","",AUXILIAR!Z9)</f>
        <v/>
      </c>
      <c r="D20" s="194" t="str">
        <f>IF(AUXILIAR!AA9="X","",AUXILIAR!AA9)</f>
        <v/>
      </c>
      <c r="E20" s="195" t="str">
        <f>IF(AUXILIAR!AB9="X","",AUXILIAR!AB9)</f>
        <v/>
      </c>
    </row>
    <row r="21" spans="2:5" ht="35.1" customHeight="1" x14ac:dyDescent="0.25">
      <c r="B21" s="193" t="str">
        <f>IF(C21="","",'IDENTIFICACIÓN TRABAJADOR'!$D$14)</f>
        <v/>
      </c>
      <c r="C21" s="188" t="str">
        <f>IF(AUXILIAR!Z10="X","",AUXILIAR!Z10)</f>
        <v/>
      </c>
      <c r="D21" s="194" t="str">
        <f>IF(AUXILIAR!AA10="X","",AUXILIAR!AA10)</f>
        <v/>
      </c>
      <c r="E21" s="195" t="str">
        <f>IF(AUXILIAR!AB10="X","",AUXILIAR!AB10)</f>
        <v/>
      </c>
    </row>
    <row r="22" spans="2:5" ht="35.1" customHeight="1" x14ac:dyDescent="0.25">
      <c r="B22" s="193" t="str">
        <f>IF(C22="","",'IDENTIFICACIÓN TRABAJADOR'!$D$14)</f>
        <v/>
      </c>
      <c r="C22" s="188" t="str">
        <f>IF(AUXILIAR!Z11="X","",AUXILIAR!Z11)</f>
        <v/>
      </c>
      <c r="D22" s="194" t="str">
        <f>IF(AUXILIAR!AA11="X","",AUXILIAR!AA11)</f>
        <v/>
      </c>
      <c r="E22" s="195" t="str">
        <f>IF(AUXILIAR!AB11="X","",AUXILIAR!AB11)</f>
        <v/>
      </c>
    </row>
    <row r="23" spans="2:5" ht="35.1" customHeight="1" x14ac:dyDescent="0.25">
      <c r="B23" s="193" t="str">
        <f>IF(C23="","",'IDENTIFICACIÓN TRABAJADOR'!$D$14)</f>
        <v/>
      </c>
      <c r="C23" s="188" t="str">
        <f>IF(AUXILIAR!Z12="X","",AUXILIAR!Z12)</f>
        <v/>
      </c>
      <c r="D23" s="194" t="str">
        <f>IF(AUXILIAR!AA12="X","",AUXILIAR!AA12)</f>
        <v/>
      </c>
      <c r="E23" s="195" t="str">
        <f>IF(AUXILIAR!AB12="X","",AUXILIAR!AB12)</f>
        <v/>
      </c>
    </row>
    <row r="24" spans="2:5" ht="35.1" customHeight="1" x14ac:dyDescent="0.25">
      <c r="B24" s="193" t="str">
        <f>IF(C24="","",'IDENTIFICACIÓN TRABAJADOR'!$D$14)</f>
        <v/>
      </c>
      <c r="C24" s="188" t="str">
        <f>IF(AUXILIAR!Z13="X","",AUXILIAR!Z13)</f>
        <v/>
      </c>
      <c r="D24" s="194" t="str">
        <f>IF(AUXILIAR!AA13="X","",AUXILIAR!AA13)</f>
        <v/>
      </c>
      <c r="E24" s="195" t="str">
        <f>IF(AUXILIAR!AB13="X","",AUXILIAR!AB13)</f>
        <v/>
      </c>
    </row>
    <row r="25" spans="2:5" ht="35.1" customHeight="1" x14ac:dyDescent="0.25">
      <c r="B25" s="193" t="str">
        <f>IF(C25="","",'IDENTIFICACIÓN TRABAJADOR'!$D$14)</f>
        <v/>
      </c>
      <c r="C25" s="188" t="str">
        <f>IF(AUXILIAR!Z14="X","",AUXILIAR!Z14)</f>
        <v/>
      </c>
      <c r="D25" s="194" t="str">
        <f>IF(AUXILIAR!AA14="X","",AUXILIAR!AA14)</f>
        <v/>
      </c>
      <c r="E25" s="195" t="str">
        <f>IF(AUXILIAR!AB14="X","",AUXILIAR!AB14)</f>
        <v/>
      </c>
    </row>
    <row r="26" spans="2:5" ht="35.1" customHeight="1" x14ac:dyDescent="0.25">
      <c r="B26" s="193" t="str">
        <f>IF(C26="","",'IDENTIFICACIÓN TRABAJADOR'!$D$14)</f>
        <v/>
      </c>
      <c r="C26" s="188" t="str">
        <f>IF(AUXILIAR!Z15="X","",AUXILIAR!Z15)</f>
        <v/>
      </c>
      <c r="D26" s="194" t="str">
        <f>IF(AUXILIAR!AA15="X","",AUXILIAR!AA15)</f>
        <v/>
      </c>
      <c r="E26" s="195" t="str">
        <f>IF(AUXILIAR!AB15="X","",AUXILIAR!AB15)</f>
        <v/>
      </c>
    </row>
    <row r="27" spans="2:5" ht="35.1" customHeight="1" x14ac:dyDescent="0.25">
      <c r="B27" s="193" t="str">
        <f>IF(C27="","",'IDENTIFICACIÓN TRABAJADOR'!$D$14)</f>
        <v/>
      </c>
      <c r="C27" s="188" t="str">
        <f>IF(AUXILIAR!Z16="X","",AUXILIAR!Z16)</f>
        <v/>
      </c>
      <c r="D27" s="194" t="str">
        <f>IF(AUXILIAR!AA16="X","",AUXILIAR!AA16)</f>
        <v/>
      </c>
      <c r="E27" s="195" t="str">
        <f>IF(AUXILIAR!AB16="X","",AUXILIAR!AB16)</f>
        <v/>
      </c>
    </row>
    <row r="28" spans="2:5" ht="35.1" customHeight="1" x14ac:dyDescent="0.25">
      <c r="B28" s="193" t="str">
        <f>IF(C28="","",'IDENTIFICACIÓN TRABAJADOR'!$D$14)</f>
        <v/>
      </c>
      <c r="C28" s="188" t="str">
        <f>IF(AUXILIAR!Z17="X","",AUXILIAR!Z17)</f>
        <v/>
      </c>
      <c r="D28" s="194" t="str">
        <f>IF(AUXILIAR!AA17="X","",AUXILIAR!AA17)</f>
        <v/>
      </c>
      <c r="E28" s="195" t="str">
        <f>IF(AUXILIAR!AB17="X","",AUXILIAR!AB17)</f>
        <v/>
      </c>
    </row>
    <row r="29" spans="2:5" ht="35.1" customHeight="1" x14ac:dyDescent="0.25">
      <c r="B29" s="193" t="str">
        <f>IF(C29="","",'IDENTIFICACIÓN TRABAJADOR'!$D$14)</f>
        <v/>
      </c>
      <c r="C29" s="188" t="str">
        <f>IF(AUXILIAR!Z18="X","",AUXILIAR!Z18)</f>
        <v/>
      </c>
      <c r="D29" s="194" t="str">
        <f>IF(AUXILIAR!AA18="X","",AUXILIAR!AA18)</f>
        <v/>
      </c>
      <c r="E29" s="195" t="str">
        <f>IF(AUXILIAR!AB18="X","",AUXILIAR!AB18)</f>
        <v/>
      </c>
    </row>
    <row r="30" spans="2:5" ht="35.1" customHeight="1" x14ac:dyDescent="0.25">
      <c r="B30" s="193" t="str">
        <f>IF(C30="","",'IDENTIFICACIÓN TRABAJADOR'!$D$14)</f>
        <v/>
      </c>
      <c r="C30" s="188" t="str">
        <f>IF(AUXILIAR!Z19="X","",AUXILIAR!Z19)</f>
        <v/>
      </c>
      <c r="D30" s="194" t="str">
        <f>IF(AUXILIAR!AA19="X","",AUXILIAR!AA19)</f>
        <v/>
      </c>
      <c r="E30" s="195" t="str">
        <f>IF(AUXILIAR!AB19="X","",AUXILIAR!AB19)</f>
        <v/>
      </c>
    </row>
    <row r="31" spans="2:5" ht="35.1" customHeight="1" x14ac:dyDescent="0.25">
      <c r="B31" s="193" t="str">
        <f>IF(C31="","",'IDENTIFICACIÓN TRABAJADOR'!$D$14)</f>
        <v/>
      </c>
      <c r="C31" s="188" t="str">
        <f>IF(AUXILIAR!Z20="X","",AUXILIAR!Z20)</f>
        <v/>
      </c>
      <c r="D31" s="194" t="str">
        <f>IF(AUXILIAR!AA20="X","",AUXILIAR!AA20)</f>
        <v/>
      </c>
      <c r="E31" s="195" t="str">
        <f>IF(AUXILIAR!AB20="X","",AUXILIAR!AB20)</f>
        <v/>
      </c>
    </row>
    <row r="32" spans="2:5" ht="35.1" customHeight="1" x14ac:dyDescent="0.25">
      <c r="B32" s="193" t="str">
        <f>IF(C32="","",'IDENTIFICACIÓN TRABAJADOR'!$D$14)</f>
        <v/>
      </c>
      <c r="C32" s="188" t="str">
        <f>IF(AUXILIAR!Z21="X","",AUXILIAR!Z21)</f>
        <v/>
      </c>
      <c r="D32" s="194" t="str">
        <f>IF(AUXILIAR!AA21="X","",AUXILIAR!AA21)</f>
        <v/>
      </c>
      <c r="E32" s="195" t="str">
        <f>IF(AUXILIAR!AB21="X","",AUXILIAR!AB21)</f>
        <v/>
      </c>
    </row>
    <row r="33" spans="2:5" ht="35.1" customHeight="1" x14ac:dyDescent="0.25">
      <c r="B33" s="193" t="str">
        <f>IF(C33="","",'IDENTIFICACIÓN TRABAJADOR'!$D$14)</f>
        <v/>
      </c>
      <c r="C33" s="188" t="str">
        <f>IF(AUXILIAR!Z22="X","",AUXILIAR!Z22)</f>
        <v/>
      </c>
      <c r="D33" s="194" t="str">
        <f>IF(AUXILIAR!AA22="X","",AUXILIAR!AA22)</f>
        <v/>
      </c>
      <c r="E33" s="195" t="str">
        <f>IF(AUXILIAR!AB22="X","",AUXILIAR!AB22)</f>
        <v/>
      </c>
    </row>
    <row r="34" spans="2:5" ht="35.1" customHeight="1" x14ac:dyDescent="0.25">
      <c r="B34" s="193" t="str">
        <f>IF(C34="","",'IDENTIFICACIÓN TRABAJADOR'!$D$14)</f>
        <v/>
      </c>
      <c r="C34" s="188" t="str">
        <f>IF(AUXILIAR!Z23="X","",AUXILIAR!Z23)</f>
        <v/>
      </c>
      <c r="D34" s="194" t="str">
        <f>IF(AUXILIAR!AA23="X","",AUXILIAR!AA23)</f>
        <v/>
      </c>
      <c r="E34" s="195" t="str">
        <f>IF(AUXILIAR!AB23="X","",AUXILIAR!AB23)</f>
        <v/>
      </c>
    </row>
    <row r="35" spans="2:5" ht="35.1" customHeight="1" x14ac:dyDescent="0.25">
      <c r="B35" s="193" t="str">
        <f>IF(C35="","",'IDENTIFICACIÓN TRABAJADOR'!$D$14)</f>
        <v/>
      </c>
      <c r="C35" s="188" t="str">
        <f>IF(AUXILIAR!Z24="X","",AUXILIAR!Z24)</f>
        <v/>
      </c>
      <c r="D35" s="194" t="str">
        <f>IF(AUXILIAR!AA24="X","",AUXILIAR!AA24)</f>
        <v/>
      </c>
      <c r="E35" s="195" t="str">
        <f>IF(AUXILIAR!AB24="X","",AUXILIAR!AB24)</f>
        <v/>
      </c>
    </row>
    <row r="36" spans="2:5" ht="35.1" customHeight="1" x14ac:dyDescent="0.25">
      <c r="B36" s="193" t="str">
        <f>IF(C36="","",'IDENTIFICACIÓN TRABAJADOR'!$D$14)</f>
        <v/>
      </c>
      <c r="C36" s="188" t="str">
        <f>IF(AUXILIAR!Z25="X","",AUXILIAR!Z25)</f>
        <v/>
      </c>
      <c r="D36" s="194" t="str">
        <f>IF(AUXILIAR!AA25="X","",AUXILIAR!AA25)</f>
        <v/>
      </c>
      <c r="E36" s="195" t="str">
        <f>IF(AUXILIAR!AB25="X","",AUXILIAR!AB25)</f>
        <v/>
      </c>
    </row>
    <row r="37" spans="2:5" ht="35.1" customHeight="1" x14ac:dyDescent="0.25">
      <c r="B37" s="193" t="str">
        <f>IF(C37="","",'IDENTIFICACIÓN TRABAJADOR'!$D$14)</f>
        <v/>
      </c>
      <c r="C37" s="188" t="str">
        <f>IF(AUXILIAR!Z26="X","",AUXILIAR!Z26)</f>
        <v/>
      </c>
      <c r="D37" s="194" t="str">
        <f>IF(AUXILIAR!AA26="X","",AUXILIAR!AA26)</f>
        <v/>
      </c>
      <c r="E37" s="195" t="str">
        <f>IF(AUXILIAR!AB26="X","",AUXILIAR!AB26)</f>
        <v/>
      </c>
    </row>
    <row r="38" spans="2:5" ht="35.1" customHeight="1" x14ac:dyDescent="0.25">
      <c r="B38" s="193" t="str">
        <f>IF(C38="","",'IDENTIFICACIÓN TRABAJADOR'!$D$14)</f>
        <v/>
      </c>
      <c r="C38" s="188" t="str">
        <f>IF(AUXILIAR!Z27="X","",AUXILIAR!Z27)</f>
        <v/>
      </c>
      <c r="D38" s="194" t="str">
        <f>IF(AUXILIAR!AA27="X","",AUXILIAR!AA27)</f>
        <v/>
      </c>
      <c r="E38" s="195" t="str">
        <f>IF(AUXILIAR!AB27="X","",AUXILIAR!AB27)</f>
        <v/>
      </c>
    </row>
    <row r="39" spans="2:5" ht="35.1" customHeight="1" x14ac:dyDescent="0.25">
      <c r="B39" s="193" t="str">
        <f>IF(C39="","",'IDENTIFICACIÓN TRABAJADOR'!$D$14)</f>
        <v/>
      </c>
      <c r="C39" s="188" t="str">
        <f>IF(AUXILIAR!Z28="X","",AUXILIAR!Z28)</f>
        <v/>
      </c>
      <c r="D39" s="194" t="str">
        <f>IF(AUXILIAR!AA28="X","",AUXILIAR!AA28)</f>
        <v/>
      </c>
      <c r="E39" s="195" t="str">
        <f>IF(AUXILIAR!AB28="X","",AUXILIAR!AB28)</f>
        <v/>
      </c>
    </row>
    <row r="40" spans="2:5" ht="35.1" customHeight="1" x14ac:dyDescent="0.25">
      <c r="B40" s="193" t="str">
        <f>IF(C40="","",'IDENTIFICACIÓN TRABAJADOR'!$D$14)</f>
        <v/>
      </c>
      <c r="C40" s="188" t="str">
        <f>IF(AUXILIAR!Z29="X","",AUXILIAR!Z29)</f>
        <v/>
      </c>
      <c r="D40" s="194" t="str">
        <f>IF(AUXILIAR!AA29="X","",AUXILIAR!AA29)</f>
        <v/>
      </c>
      <c r="E40" s="195" t="str">
        <f>IF(AUXILIAR!AB29="X","",AUXILIAR!AB29)</f>
        <v/>
      </c>
    </row>
    <row r="41" spans="2:5" ht="35.1" customHeight="1" x14ac:dyDescent="0.25">
      <c r="B41" s="193" t="str">
        <f>IF(C41="","",'IDENTIFICACIÓN TRABAJADOR'!$D$14)</f>
        <v/>
      </c>
      <c r="C41" s="188" t="str">
        <f>IF(AUXILIAR!Z30="X","",AUXILIAR!Z30)</f>
        <v/>
      </c>
      <c r="D41" s="194" t="str">
        <f>IF(AUXILIAR!AA30="X","",AUXILIAR!AA30)</f>
        <v/>
      </c>
      <c r="E41" s="195" t="str">
        <f>IF(AUXILIAR!AB30="X","",AUXILIAR!AB30)</f>
        <v/>
      </c>
    </row>
    <row r="42" spans="2:5" ht="35.1" customHeight="1" x14ac:dyDescent="0.25">
      <c r="B42" s="193" t="str">
        <f>IF(C42="","",'IDENTIFICACIÓN TRABAJADOR'!$D$14)</f>
        <v/>
      </c>
      <c r="C42" s="188" t="str">
        <f>IF(AUXILIAR!Z31="X","",AUXILIAR!Z31)</f>
        <v/>
      </c>
      <c r="D42" s="194" t="str">
        <f>IF(AUXILIAR!AA31="X","",AUXILIAR!AA31)</f>
        <v/>
      </c>
      <c r="E42" s="195" t="str">
        <f>IF(AUXILIAR!AB31="X","",AUXILIAR!AB31)</f>
        <v/>
      </c>
    </row>
    <row r="43" spans="2:5" ht="35.1" customHeight="1" x14ac:dyDescent="0.25">
      <c r="B43" s="193" t="str">
        <f>IF(C43="","",'IDENTIFICACIÓN TRABAJADOR'!$D$14)</f>
        <v/>
      </c>
      <c r="C43" s="188" t="str">
        <f>IF(AUXILIAR!Z32="X","",AUXILIAR!Z32)</f>
        <v/>
      </c>
      <c r="D43" s="194" t="str">
        <f>IF(AUXILIAR!AA32="X","",AUXILIAR!AA32)</f>
        <v/>
      </c>
      <c r="E43" s="195" t="str">
        <f>IF(AUXILIAR!AB32="X","",AUXILIAR!AB32)</f>
        <v/>
      </c>
    </row>
    <row r="44" spans="2:5" ht="35.1" customHeight="1" x14ac:dyDescent="0.25">
      <c r="B44" s="193" t="str">
        <f>IF(C44="","",'IDENTIFICACIÓN TRABAJADOR'!$D$14)</f>
        <v/>
      </c>
      <c r="C44" s="188" t="str">
        <f>IF(AUXILIAR!Z33="X","",AUXILIAR!Z33)</f>
        <v/>
      </c>
      <c r="D44" s="194" t="str">
        <f>IF(AUXILIAR!AA33="X","",AUXILIAR!AA33)</f>
        <v/>
      </c>
      <c r="E44" s="195" t="str">
        <f>IF(AUXILIAR!AB33="X","",AUXILIAR!AB33)</f>
        <v/>
      </c>
    </row>
    <row r="45" spans="2:5" ht="35.1" customHeight="1" x14ac:dyDescent="0.25">
      <c r="B45" s="193" t="str">
        <f>IF(C45="","",'IDENTIFICACIÓN TRABAJADOR'!$D$14)</f>
        <v/>
      </c>
      <c r="C45" s="188" t="str">
        <f>IF(AUXILIAR!Z34="X","",AUXILIAR!Z34)</f>
        <v/>
      </c>
      <c r="D45" s="194" t="str">
        <f>IF(AUXILIAR!AA34="X","",AUXILIAR!AA34)</f>
        <v/>
      </c>
      <c r="E45" s="195" t="str">
        <f>IF(AUXILIAR!AB34="X","",AUXILIAR!AB34)</f>
        <v/>
      </c>
    </row>
    <row r="46" spans="2:5" ht="35.1" customHeight="1" x14ac:dyDescent="0.25">
      <c r="B46" s="193" t="str">
        <f>IF(C46="","",'IDENTIFICACIÓN TRABAJADOR'!$D$14)</f>
        <v/>
      </c>
      <c r="C46" s="188" t="str">
        <f>IF(AUXILIAR!Z35="X","",AUXILIAR!Z35)</f>
        <v/>
      </c>
      <c r="D46" s="194" t="str">
        <f>IF(AUXILIAR!AA35="X","",AUXILIAR!AA35)</f>
        <v/>
      </c>
      <c r="E46" s="195" t="str">
        <f>IF(AUXILIAR!AB35="X","",AUXILIAR!AB35)</f>
        <v/>
      </c>
    </row>
    <row r="47" spans="2:5" ht="35.1" customHeight="1" x14ac:dyDescent="0.25">
      <c r="B47" s="193" t="str">
        <f>IF(C47="","",'IDENTIFICACIÓN TRABAJADOR'!$D$14)</f>
        <v/>
      </c>
      <c r="C47" s="188" t="str">
        <f>IF(AUXILIAR!Z36="X","",AUXILIAR!Z36)</f>
        <v/>
      </c>
      <c r="D47" s="194" t="str">
        <f>IF(AUXILIAR!AA36="X","",AUXILIAR!AA36)</f>
        <v/>
      </c>
      <c r="E47" s="195" t="str">
        <f>IF(AUXILIAR!AB36="X","",AUXILIAR!AB36)</f>
        <v/>
      </c>
    </row>
    <row r="48" spans="2:5" ht="35.1" customHeight="1" x14ac:dyDescent="0.25">
      <c r="B48" s="193" t="str">
        <f>IF(C48="","",'IDENTIFICACIÓN TRABAJADOR'!$D$14)</f>
        <v/>
      </c>
      <c r="C48" s="188" t="str">
        <f>IF(AUXILIAR!Z37="X","",AUXILIAR!Z37)</f>
        <v/>
      </c>
      <c r="D48" s="194" t="str">
        <f>IF(AUXILIAR!AA37="X","",AUXILIAR!AA37)</f>
        <v/>
      </c>
      <c r="E48" s="195" t="str">
        <f>IF(AUXILIAR!AB37="X","",AUXILIAR!AB37)</f>
        <v/>
      </c>
    </row>
    <row r="49" spans="2:5" ht="35.1" customHeight="1" x14ac:dyDescent="0.25">
      <c r="B49" s="193" t="str">
        <f>IF(C49="","",'IDENTIFICACIÓN TRABAJADOR'!$D$14)</f>
        <v/>
      </c>
      <c r="C49" s="188" t="str">
        <f>IF(AUXILIAR!Z38="X","",AUXILIAR!Z38)</f>
        <v/>
      </c>
      <c r="D49" s="194" t="str">
        <f>IF(AUXILIAR!AA38="X","",AUXILIAR!AA38)</f>
        <v/>
      </c>
      <c r="E49" s="195" t="str">
        <f>IF(AUXILIAR!AB38="X","",AUXILIAR!AB38)</f>
        <v/>
      </c>
    </row>
    <row r="50" spans="2:5" ht="35.1" customHeight="1" x14ac:dyDescent="0.25">
      <c r="B50" s="193" t="str">
        <f>IF(C50="","",'IDENTIFICACIÓN TRABAJADOR'!$D$14)</f>
        <v/>
      </c>
      <c r="C50" s="188" t="str">
        <f>IF(AUXILIAR!Z39="X","",AUXILIAR!Z39)</f>
        <v/>
      </c>
      <c r="D50" s="194" t="str">
        <f>IF(AUXILIAR!AA39="X","",AUXILIAR!AA39)</f>
        <v/>
      </c>
      <c r="E50" s="195" t="str">
        <f>IF(AUXILIAR!AB39="X","",AUXILIAR!AB39)</f>
        <v/>
      </c>
    </row>
    <row r="51" spans="2:5" ht="35.1" customHeight="1" x14ac:dyDescent="0.25">
      <c r="B51" s="193" t="str">
        <f>IF(C51="","",'IDENTIFICACIÓN TRABAJADOR'!$D$14)</f>
        <v/>
      </c>
      <c r="C51" s="188" t="str">
        <f>IF(AUXILIAR!Z40="X","",AUXILIAR!Z40)</f>
        <v/>
      </c>
      <c r="D51" s="194" t="str">
        <f>IF(AUXILIAR!AA40="X","",AUXILIAR!AA40)</f>
        <v/>
      </c>
      <c r="E51" s="195" t="str">
        <f>IF(AUXILIAR!AB40="X","",AUXILIAR!AB40)</f>
        <v/>
      </c>
    </row>
    <row r="52" spans="2:5" ht="35.1" customHeight="1" x14ac:dyDescent="0.25">
      <c r="B52" s="193" t="str">
        <f>IF(C52="","",'IDENTIFICACIÓN TRABAJADOR'!$D$14)</f>
        <v/>
      </c>
      <c r="C52" s="188" t="str">
        <f>IF(AUXILIAR!Z41="X","",AUXILIAR!Z41)</f>
        <v/>
      </c>
      <c r="D52" s="194" t="str">
        <f>IF(AUXILIAR!AA41="X","",AUXILIAR!AA41)</f>
        <v/>
      </c>
      <c r="E52" s="195" t="str">
        <f>IF(AUXILIAR!AB41="X","",AUXILIAR!AB41)</f>
        <v/>
      </c>
    </row>
    <row r="53" spans="2:5" ht="35.1" customHeight="1" x14ac:dyDescent="0.25">
      <c r="B53" s="193" t="str">
        <f>IF(C53="","",'IDENTIFICACIÓN TRABAJADOR'!$D$14)</f>
        <v/>
      </c>
      <c r="C53" s="188" t="str">
        <f>IF(AUXILIAR!Z42="X","",AUXILIAR!Z42)</f>
        <v/>
      </c>
      <c r="D53" s="194" t="str">
        <f>IF(AUXILIAR!AA42="X","",AUXILIAR!AA42)</f>
        <v/>
      </c>
      <c r="E53" s="195" t="str">
        <f>IF(AUXILIAR!AB42="X","",AUXILIAR!AB42)</f>
        <v/>
      </c>
    </row>
    <row r="54" spans="2:5" ht="35.1" customHeight="1" x14ac:dyDescent="0.25">
      <c r="B54" s="193" t="str">
        <f>IF(C54="","",'IDENTIFICACIÓN TRABAJADOR'!$D$14)</f>
        <v/>
      </c>
      <c r="C54" s="188" t="str">
        <f>IF(AUXILIAR!Z43="X","",AUXILIAR!Z43)</f>
        <v/>
      </c>
      <c r="D54" s="194" t="str">
        <f>IF(AUXILIAR!AA43="X","",AUXILIAR!AA43)</f>
        <v/>
      </c>
      <c r="E54" s="195" t="str">
        <f>IF(AUXILIAR!AB43="X","",AUXILIAR!AB43)</f>
        <v/>
      </c>
    </row>
    <row r="55" spans="2:5" ht="35.1" customHeight="1" x14ac:dyDescent="0.25">
      <c r="B55" s="193" t="str">
        <f>IF(C55="","",'IDENTIFICACIÓN TRABAJADOR'!$D$14)</f>
        <v/>
      </c>
      <c r="C55" s="188" t="str">
        <f>IF(AUXILIAR!Z44="X","",AUXILIAR!Z44)</f>
        <v/>
      </c>
      <c r="D55" s="194" t="str">
        <f>IF(AUXILIAR!AA44="X","",AUXILIAR!AA44)</f>
        <v/>
      </c>
      <c r="E55" s="195" t="str">
        <f>IF(AUXILIAR!AB44="X","",AUXILIAR!AB44)</f>
        <v/>
      </c>
    </row>
    <row r="56" spans="2:5" ht="35.1" customHeight="1" x14ac:dyDescent="0.25">
      <c r="B56" s="193" t="str">
        <f>IF(C56="","",'IDENTIFICACIÓN TRABAJADOR'!$D$14)</f>
        <v/>
      </c>
      <c r="C56" s="188" t="str">
        <f>IF(AUXILIAR!Z45="X","",AUXILIAR!Z45)</f>
        <v/>
      </c>
      <c r="D56" s="194" t="str">
        <f>IF(AUXILIAR!AA45="X","",AUXILIAR!AA45)</f>
        <v/>
      </c>
      <c r="E56" s="195" t="str">
        <f>IF(AUXILIAR!AB45="X","",AUXILIAR!AB45)</f>
        <v/>
      </c>
    </row>
    <row r="57" spans="2:5" ht="35.1" customHeight="1" x14ac:dyDescent="0.25">
      <c r="B57" s="193" t="str">
        <f>IF(C57="","",'IDENTIFICACIÓN TRABAJADOR'!$D$14)</f>
        <v/>
      </c>
      <c r="C57" s="188" t="str">
        <f>IF(AUXILIAR!Z46="X","",AUXILIAR!Z46)</f>
        <v/>
      </c>
      <c r="D57" s="194" t="str">
        <f>IF(AUXILIAR!AA46="X","",AUXILIAR!AA46)</f>
        <v/>
      </c>
      <c r="E57" s="195" t="str">
        <f>IF(AUXILIAR!AB46="X","",AUXILIAR!AB46)</f>
        <v/>
      </c>
    </row>
    <row r="58" spans="2:5" ht="35.1" customHeight="1" x14ac:dyDescent="0.25">
      <c r="B58" s="193" t="str">
        <f>IF(C58="","",'IDENTIFICACIÓN TRABAJADOR'!$D$14)</f>
        <v/>
      </c>
      <c r="C58" s="188" t="str">
        <f>IF(AUXILIAR!Z47="X","",AUXILIAR!Z47)</f>
        <v/>
      </c>
      <c r="D58" s="194" t="str">
        <f>IF(AUXILIAR!AA47="X","",AUXILIAR!AA47)</f>
        <v/>
      </c>
      <c r="E58" s="195" t="str">
        <f>IF(AUXILIAR!AB47="X","",AUXILIAR!AB47)</f>
        <v/>
      </c>
    </row>
    <row r="59" spans="2:5" ht="35.1" customHeight="1" x14ac:dyDescent="0.25">
      <c r="B59" s="193" t="str">
        <f>IF(C59="","",'IDENTIFICACIÓN TRABAJADOR'!$D$14)</f>
        <v/>
      </c>
      <c r="C59" s="188" t="str">
        <f>IF(AUXILIAR!Z48="X","",AUXILIAR!Z48)</f>
        <v/>
      </c>
      <c r="D59" s="194" t="str">
        <f>IF(AUXILIAR!AA48="X","",AUXILIAR!AA48)</f>
        <v/>
      </c>
      <c r="E59" s="195" t="str">
        <f>IF(AUXILIAR!AB48="X","",AUXILIAR!AB48)</f>
        <v/>
      </c>
    </row>
    <row r="60" spans="2:5" ht="35.1" customHeight="1" x14ac:dyDescent="0.25">
      <c r="B60" s="193" t="str">
        <f>IF(C60="","",'IDENTIFICACIÓN TRABAJADOR'!$D$14)</f>
        <v/>
      </c>
      <c r="C60" s="188" t="str">
        <f>IF(AUXILIAR!Z49="X","",AUXILIAR!Z49)</f>
        <v/>
      </c>
      <c r="D60" s="194" t="str">
        <f>IF(AUXILIAR!AA49="X","",AUXILIAR!AA49)</f>
        <v/>
      </c>
      <c r="E60" s="195" t="str">
        <f>IF(AUXILIAR!AB49="X","",AUXILIAR!AB49)</f>
        <v/>
      </c>
    </row>
    <row r="61" spans="2:5" ht="35.1" customHeight="1" x14ac:dyDescent="0.25">
      <c r="B61" s="193" t="str">
        <f>IF(C61="","",'IDENTIFICACIÓN TRABAJADOR'!$D$14)</f>
        <v/>
      </c>
      <c r="C61" s="188" t="str">
        <f>IF(AUXILIAR!Z50="X","",AUXILIAR!Z50)</f>
        <v/>
      </c>
      <c r="D61" s="194" t="str">
        <f>IF(AUXILIAR!AA50="X","",AUXILIAR!AA50)</f>
        <v/>
      </c>
      <c r="E61" s="195" t="str">
        <f>IF(AUXILIAR!AB50="X","",AUXILIAR!AB50)</f>
        <v/>
      </c>
    </row>
    <row r="62" spans="2:5" ht="35.1" customHeight="1" x14ac:dyDescent="0.25">
      <c r="B62" s="193" t="str">
        <f>IF(C62="","",'IDENTIFICACIÓN TRABAJADOR'!$D$14)</f>
        <v/>
      </c>
      <c r="C62" s="188" t="str">
        <f>IF(AUXILIAR!Z51="X","",AUXILIAR!Z51)</f>
        <v/>
      </c>
      <c r="D62" s="194" t="str">
        <f>IF(AUXILIAR!AA51="X","",AUXILIAR!AA51)</f>
        <v/>
      </c>
      <c r="E62" s="195" t="str">
        <f>IF(AUXILIAR!AB51="X","",AUXILIAR!AB51)</f>
        <v/>
      </c>
    </row>
    <row r="63" spans="2:5" ht="35.1" customHeight="1" x14ac:dyDescent="0.25">
      <c r="B63" s="193" t="str">
        <f>IF(C63="","",'IDENTIFICACIÓN TRABAJADOR'!$D$14)</f>
        <v/>
      </c>
      <c r="C63" s="188" t="str">
        <f>IF(AUXILIAR!Z52="X","",AUXILIAR!Z52)</f>
        <v/>
      </c>
      <c r="D63" s="194" t="str">
        <f>IF(AUXILIAR!AA52="X","",AUXILIAR!AA52)</f>
        <v/>
      </c>
      <c r="E63" s="195" t="str">
        <f>IF(AUXILIAR!AB52="X","",AUXILIAR!AB52)</f>
        <v/>
      </c>
    </row>
    <row r="64" spans="2:5" ht="35.1" customHeight="1" x14ac:dyDescent="0.25">
      <c r="B64" s="193" t="str">
        <f>IF(C64="","",'IDENTIFICACIÓN TRABAJADOR'!$D$14)</f>
        <v/>
      </c>
      <c r="C64" s="188" t="str">
        <f>IF(AUXILIAR!Z53="X","",AUXILIAR!Z53)</f>
        <v/>
      </c>
      <c r="D64" s="194" t="str">
        <f>IF(AUXILIAR!AA53="X","",AUXILIAR!AA53)</f>
        <v/>
      </c>
      <c r="E64" s="195" t="str">
        <f>IF(AUXILIAR!AB53="X","",AUXILIAR!AB53)</f>
        <v/>
      </c>
    </row>
    <row r="65" spans="2:5" ht="35.1" customHeight="1" x14ac:dyDescent="0.25">
      <c r="B65" s="193" t="str">
        <f>IF(C65="","",'IDENTIFICACIÓN TRABAJADOR'!$D$14)</f>
        <v/>
      </c>
      <c r="C65" s="188" t="str">
        <f>IF(AUXILIAR!Z54="X","",AUXILIAR!Z54)</f>
        <v/>
      </c>
      <c r="D65" s="194" t="str">
        <f>IF(AUXILIAR!AA54="X","",AUXILIAR!AA54)</f>
        <v/>
      </c>
      <c r="E65" s="195" t="str">
        <f>IF(AUXILIAR!AB54="X","",AUXILIAR!AB54)</f>
        <v/>
      </c>
    </row>
    <row r="66" spans="2:5" ht="35.1" customHeight="1" x14ac:dyDescent="0.25">
      <c r="B66" s="193" t="str">
        <f>IF(C66="","",'IDENTIFICACIÓN TRABAJADOR'!$D$14)</f>
        <v/>
      </c>
      <c r="C66" s="188" t="str">
        <f>IF(AUXILIAR!Z55="X","",AUXILIAR!Z55)</f>
        <v/>
      </c>
      <c r="D66" s="194" t="str">
        <f>IF(AUXILIAR!AA55="X","",AUXILIAR!AA55)</f>
        <v/>
      </c>
      <c r="E66" s="195" t="str">
        <f>IF(AUXILIAR!AB55="X","",AUXILIAR!AB55)</f>
        <v/>
      </c>
    </row>
    <row r="67" spans="2:5" ht="35.1" customHeight="1" x14ac:dyDescent="0.25">
      <c r="B67" s="193" t="str">
        <f>IF(C67="","",'IDENTIFICACIÓN TRABAJADOR'!$D$14)</f>
        <v/>
      </c>
      <c r="C67" s="188" t="str">
        <f>IF(AUXILIAR!Z56="X","",AUXILIAR!Z56)</f>
        <v/>
      </c>
      <c r="D67" s="194" t="str">
        <f>IF(AUXILIAR!AA56="X","",AUXILIAR!AA56)</f>
        <v/>
      </c>
      <c r="E67" s="195" t="str">
        <f>IF(AUXILIAR!AB56="X","",AUXILIAR!AB56)</f>
        <v/>
      </c>
    </row>
    <row r="68" spans="2:5" ht="35.1" customHeight="1" x14ac:dyDescent="0.25">
      <c r="B68" s="193" t="str">
        <f>IF(C68="","",'IDENTIFICACIÓN TRABAJADOR'!$D$14)</f>
        <v/>
      </c>
      <c r="C68" s="188" t="str">
        <f>IF(AUXILIAR!Z57="X","",AUXILIAR!Z57)</f>
        <v/>
      </c>
      <c r="D68" s="194" t="str">
        <f>IF(AUXILIAR!AA57="X","",AUXILIAR!AA57)</f>
        <v/>
      </c>
      <c r="E68" s="195" t="str">
        <f>IF(AUXILIAR!AB57="X","",AUXILIAR!AB57)</f>
        <v/>
      </c>
    </row>
    <row r="69" spans="2:5" ht="35.1" customHeight="1" x14ac:dyDescent="0.25">
      <c r="B69" s="193" t="str">
        <f>IF(C69="","",'IDENTIFICACIÓN TRABAJADOR'!$D$14)</f>
        <v/>
      </c>
      <c r="C69" s="188" t="str">
        <f>IF(AUXILIAR!Z58="X","",AUXILIAR!Z58)</f>
        <v/>
      </c>
      <c r="D69" s="194" t="str">
        <f>IF(AUXILIAR!AA58="X","",AUXILIAR!AA58)</f>
        <v/>
      </c>
      <c r="E69" s="195" t="str">
        <f>IF(AUXILIAR!AB58="X","",AUXILIAR!AB58)</f>
        <v/>
      </c>
    </row>
    <row r="70" spans="2:5" ht="35.1" customHeight="1" x14ac:dyDescent="0.25">
      <c r="B70" s="193" t="str">
        <f>IF(C70="","",'IDENTIFICACIÓN TRABAJADOR'!$D$14)</f>
        <v/>
      </c>
      <c r="C70" s="188" t="str">
        <f>IF(AUXILIAR!Z59="X","",AUXILIAR!Z59)</f>
        <v/>
      </c>
      <c r="D70" s="194" t="str">
        <f>IF(AUXILIAR!AA59="X","",AUXILIAR!AA59)</f>
        <v/>
      </c>
      <c r="E70" s="195" t="str">
        <f>IF(AUXILIAR!AB59="X","",AUXILIAR!AB59)</f>
        <v/>
      </c>
    </row>
    <row r="71" spans="2:5" ht="35.1" customHeight="1" x14ac:dyDescent="0.25">
      <c r="B71" s="193" t="str">
        <f>IF(C71="","",'IDENTIFICACIÓN TRABAJADOR'!$D$14)</f>
        <v/>
      </c>
      <c r="C71" s="188" t="str">
        <f>IF(AUXILIAR!Z60="X","",AUXILIAR!Z60)</f>
        <v/>
      </c>
      <c r="D71" s="194" t="str">
        <f>IF(AUXILIAR!AA60="X","",AUXILIAR!AA60)</f>
        <v/>
      </c>
      <c r="E71" s="195" t="str">
        <f>IF(AUXILIAR!AB60="X","",AUXILIAR!AB60)</f>
        <v/>
      </c>
    </row>
    <row r="72" spans="2:5" ht="35.1" customHeight="1" x14ac:dyDescent="0.25">
      <c r="B72" s="193" t="str">
        <f>IF(C72="","",'IDENTIFICACIÓN TRABAJADOR'!$D$14)</f>
        <v/>
      </c>
      <c r="C72" s="188" t="str">
        <f>IF(AUXILIAR!Z61="X","",AUXILIAR!Z61)</f>
        <v/>
      </c>
      <c r="D72" s="194" t="str">
        <f>IF(AUXILIAR!AA61="X","",AUXILIAR!AA61)</f>
        <v/>
      </c>
      <c r="E72" s="195" t="str">
        <f>IF(AUXILIAR!AB61="X","",AUXILIAR!AB61)</f>
        <v/>
      </c>
    </row>
    <row r="73" spans="2:5" ht="35.1" customHeight="1" x14ac:dyDescent="0.25">
      <c r="B73" s="193" t="str">
        <f>IF(C73="","",'IDENTIFICACIÓN TRABAJADOR'!$D$14)</f>
        <v/>
      </c>
      <c r="C73" s="188" t="str">
        <f>IF(AUXILIAR!Z62="X","",AUXILIAR!Z62)</f>
        <v/>
      </c>
      <c r="D73" s="194" t="str">
        <f>IF(AUXILIAR!AA62="X","",AUXILIAR!AA62)</f>
        <v/>
      </c>
      <c r="E73" s="195" t="str">
        <f>IF(AUXILIAR!AB62="X","",AUXILIAR!AB62)</f>
        <v/>
      </c>
    </row>
    <row r="74" spans="2:5" ht="35.1" customHeight="1" x14ac:dyDescent="0.25">
      <c r="B74" s="193" t="str">
        <f>IF(C74="","",'IDENTIFICACIÓN TRABAJADOR'!$D$14)</f>
        <v/>
      </c>
      <c r="C74" s="188" t="str">
        <f>IF(AUXILIAR!Z63="X","",AUXILIAR!Z63)</f>
        <v/>
      </c>
      <c r="D74" s="194" t="str">
        <f>IF(AUXILIAR!AA63="X","",AUXILIAR!AA63)</f>
        <v/>
      </c>
      <c r="E74" s="195" t="str">
        <f>IF(AUXILIAR!AB63="X","",AUXILIAR!AB63)</f>
        <v/>
      </c>
    </row>
  </sheetData>
  <sheetProtection algorithmName="SHA-512" hashValue="EpJpSt/iQ1j5jmPwK5SYncuNhEuIUiduy7SfQmpuPddJq9S+gfOfp/cvCw6Sj3UPqBmd40DC8P8sJGmDMcEjLQ==" saltValue="zrTk9oVaIAZjU+b9YWpRAA==" spinCount="100000" sheet="1" objects="1" scenarios="1"/>
  <phoneticPr fontId="10" type="noConversion"/>
  <conditionalFormatting sqref="B15:E74">
    <cfRule type="expression" dxfId="6" priority="2">
      <formula>AND($C15&lt;&gt;"",$C16="")</formula>
    </cfRule>
    <cfRule type="expression" dxfId="5" priority="29">
      <formula>$C15=""</formula>
    </cfRule>
  </conditionalFormatting>
  <conditionalFormatting sqref="D74:E74">
    <cfRule type="expression" dxfId="4" priority="24" stopIfTrue="1">
      <formula>AND($C74&lt;&gt;"",$B75="")</formula>
    </cfRule>
    <cfRule type="expression" dxfId="3" priority="25">
      <formula>$C74=""</formula>
    </cfRule>
  </conditionalFormatting>
  <conditionalFormatting sqref="G8">
    <cfRule type="cellIs" dxfId="2" priority="1" operator="notEqual">
      <formula>""</formula>
    </cfRule>
  </conditionalFormatting>
  <printOptions horizontalCentered="1"/>
  <pageMargins left="0.59055118110236227" right="0.59055118110236227" top="0.59055118110236227" bottom="0.39370078740157483" header="0.19685039370078741" footer="0.19685039370078741"/>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91A1-9D42-46A6-8A0E-54069675B253}">
  <dimension ref="B1:CJ167"/>
  <sheetViews>
    <sheetView showGridLines="0" zoomScaleNormal="100" workbookViewId="0"/>
  </sheetViews>
  <sheetFormatPr baseColWidth="10" defaultColWidth="11.42578125" defaultRowHeight="13.5" x14ac:dyDescent="0.25"/>
  <cols>
    <col min="1" max="1" width="5.5703125" style="2" customWidth="1"/>
    <col min="2" max="2" width="5.42578125" style="2" hidden="1" customWidth="1"/>
    <col min="3" max="3" width="25.5703125" style="295" hidden="1" customWidth="1"/>
    <col min="4" max="5" width="30.5703125" style="2" hidden="1" customWidth="1"/>
    <col min="6" max="6" width="5.5703125" style="2" hidden="1" customWidth="1"/>
    <col min="7" max="7" width="30.5703125" style="2" hidden="1" customWidth="1"/>
    <col min="8" max="8" width="5.5703125" style="2" hidden="1" customWidth="1"/>
    <col min="9" max="9" width="5.5703125" style="295" hidden="1" customWidth="1"/>
    <col min="10" max="10" width="27.42578125" style="2" hidden="1" customWidth="1"/>
    <col min="11" max="11" width="9.140625" style="2" hidden="1" customWidth="1"/>
    <col min="12" max="12" width="5.7109375" style="2" hidden="1" customWidth="1"/>
    <col min="13" max="13" width="10.7109375" style="2" hidden="1" customWidth="1"/>
    <col min="14" max="15" width="30.7109375" style="2" hidden="1" customWidth="1"/>
    <col min="16" max="16" width="10.7109375" style="2" hidden="1" customWidth="1"/>
    <col min="17" max="18" width="5.7109375" style="2" hidden="1" customWidth="1"/>
    <col min="19" max="19" width="5.7109375" style="319" hidden="1" customWidth="1"/>
    <col min="20" max="20" width="39.28515625" style="2" hidden="1" customWidth="1"/>
    <col min="21" max="21" width="5.7109375" style="2" hidden="1" customWidth="1"/>
    <col min="22" max="22" width="50.7109375" style="2" hidden="1" customWidth="1"/>
    <col min="23" max="23" width="10.7109375" style="2" hidden="1" customWidth="1"/>
    <col min="24" max="24" width="5.7109375" style="2" hidden="1" customWidth="1"/>
    <col min="25" max="25" width="5.5703125" style="2" hidden="1" customWidth="1"/>
    <col min="26" max="26" width="10.7109375" style="2" hidden="1" customWidth="1"/>
    <col min="27" max="27" width="30.7109375" style="2" hidden="1" customWidth="1"/>
    <col min="28" max="28" width="10.7109375" style="296" hidden="1" customWidth="1"/>
    <col min="29" max="29" width="50.7109375" style="2" hidden="1" customWidth="1"/>
    <col min="30" max="30" width="5.7109375" style="2" hidden="1" customWidth="1"/>
    <col min="31" max="32" width="10.7109375" style="295" hidden="1" customWidth="1"/>
    <col min="33" max="34" width="10.7109375" style="2" hidden="1" customWidth="1"/>
    <col min="35" max="35" width="5.7109375" style="2" hidden="1" customWidth="1"/>
    <col min="36" max="36" width="5.5703125" style="2" hidden="1" customWidth="1"/>
    <col min="37" max="37" width="9.5703125" style="2" hidden="1" customWidth="1"/>
    <col min="38" max="39" width="11.42578125" style="2" hidden="1" customWidth="1"/>
    <col min="40" max="40" width="5.7109375" style="2" hidden="1" customWidth="1"/>
    <col min="41" max="41" width="11.42578125" style="295" hidden="1" customWidth="1"/>
    <col min="42" max="44" width="11.42578125" style="2" hidden="1" customWidth="1"/>
    <col min="45" max="46" width="5.7109375" style="2" hidden="1" customWidth="1"/>
    <col min="47" max="49" width="15.7109375" style="2" hidden="1" customWidth="1"/>
    <col min="50" max="50" width="5.7109375" style="2" hidden="1" customWidth="1"/>
    <col min="51" max="62" width="11.42578125" style="2" hidden="1" customWidth="1"/>
    <col min="63" max="64" width="5.7109375" style="2" hidden="1" customWidth="1"/>
    <col min="65" max="65" width="11.42578125" style="2" hidden="1" customWidth="1"/>
    <col min="66" max="66" width="5.7109375" style="2" hidden="1" customWidth="1"/>
    <col min="67" max="75" width="11.42578125" style="2" hidden="1" customWidth="1"/>
    <col min="76" max="76" width="5.7109375" style="2" hidden="1" customWidth="1"/>
    <col min="77" max="77" width="20.7109375" style="2" hidden="1" customWidth="1"/>
    <col min="78" max="81" width="11.42578125" style="2" hidden="1" customWidth="1"/>
    <col min="82" max="82" width="5.7109375" style="2" hidden="1" customWidth="1"/>
    <col min="83" max="84" width="11.42578125" style="2" hidden="1" customWidth="1"/>
    <col min="85" max="88" width="15.7109375" style="2" hidden="1" customWidth="1"/>
    <col min="89" max="16384" width="11.42578125" style="2"/>
  </cols>
  <sheetData>
    <row r="1" spans="2:88" x14ac:dyDescent="0.25">
      <c r="B1" s="2">
        <f>EXPEDIENTE!A1</f>
        <v>0</v>
      </c>
    </row>
    <row r="2" spans="2:88" ht="13.5" customHeight="1" x14ac:dyDescent="0.25">
      <c r="L2" s="477" t="s">
        <v>349</v>
      </c>
      <c r="M2" s="477"/>
      <c r="N2" s="477"/>
      <c r="O2" s="477"/>
      <c r="P2" s="477"/>
      <c r="R2" s="491" t="s">
        <v>371</v>
      </c>
      <c r="S2" s="491"/>
      <c r="T2" s="491"/>
      <c r="V2" s="477" t="s">
        <v>350</v>
      </c>
      <c r="W2" s="477"/>
      <c r="Y2" s="477" t="s">
        <v>351</v>
      </c>
      <c r="Z2" s="477"/>
      <c r="AA2" s="477"/>
      <c r="AB2" s="477"/>
      <c r="AC2" s="477"/>
      <c r="AE2" s="477" t="s">
        <v>352</v>
      </c>
      <c r="AF2" s="477"/>
      <c r="AG2" s="477"/>
      <c r="AH2" s="477"/>
      <c r="AJ2" s="477" t="s">
        <v>353</v>
      </c>
      <c r="AK2" s="477"/>
      <c r="AL2" s="477"/>
      <c r="AM2" s="477"/>
      <c r="AP2" s="304" t="s">
        <v>299</v>
      </c>
      <c r="AQ2" s="309" t="str">
        <f>IF(YEAR(EXPEDIENTE!F27)=YEAR(EXPEDIENTE!F25),MONTH(EXPEDIENTE!F27)+1-MONTH(EXPEDIENTE!F25),IF(YEAR(EXPEDIENTE!F27)=YEAR(EXPEDIENTE!F25)+1,MONTH(EXPEDIENTE!F27)-MONTH(EXPEDIENTE!F25)+13,""))</f>
        <v/>
      </c>
      <c r="AR2" s="2" t="s">
        <v>354</v>
      </c>
      <c r="AT2" s="477" t="s">
        <v>365</v>
      </c>
      <c r="AU2" s="477"/>
      <c r="AV2" s="477"/>
      <c r="AW2" s="477"/>
      <c r="AX2" s="477"/>
      <c r="AY2" s="477"/>
      <c r="AZ2" s="477"/>
      <c r="BA2" s="477"/>
      <c r="BB2" s="477"/>
      <c r="BC2" s="477"/>
      <c r="BD2" s="477"/>
      <c r="BE2" s="477"/>
      <c r="BF2" s="477"/>
      <c r="BG2" s="477"/>
      <c r="BH2" s="477"/>
      <c r="BI2" s="477"/>
      <c r="BJ2" s="477"/>
      <c r="BK2" s="477"/>
      <c r="BL2" s="477"/>
      <c r="BM2" s="477"/>
      <c r="BN2" s="477"/>
      <c r="BO2" s="477"/>
      <c r="BP2" s="477"/>
      <c r="BQ2" s="477"/>
      <c r="BR2" s="477"/>
      <c r="BS2" s="477"/>
      <c r="BT2" s="477"/>
      <c r="BU2" s="477"/>
      <c r="BV2" s="477"/>
      <c r="BW2" s="477"/>
      <c r="BY2" s="477" t="s">
        <v>359</v>
      </c>
      <c r="BZ2" s="477"/>
      <c r="CA2" s="477"/>
      <c r="CB2" s="477"/>
      <c r="CC2" s="477"/>
      <c r="CE2" s="477" t="s">
        <v>366</v>
      </c>
      <c r="CF2" s="477"/>
      <c r="CG2" s="477"/>
      <c r="CH2" s="477"/>
      <c r="CI2" s="477"/>
      <c r="CJ2" s="477"/>
    </row>
    <row r="3" spans="2:88" ht="13.5" customHeight="1" x14ac:dyDescent="0.25">
      <c r="C3" s="297" t="s">
        <v>11</v>
      </c>
      <c r="D3" s="487" t="s">
        <v>105</v>
      </c>
      <c r="E3" s="488"/>
      <c r="F3" s="488"/>
      <c r="G3" s="488"/>
      <c r="H3" s="488"/>
      <c r="I3" s="488"/>
      <c r="J3" s="489"/>
      <c r="AP3" s="310">
        <f>EXPEDIENTE!F25</f>
        <v>45292</v>
      </c>
    </row>
    <row r="4" spans="2:88" ht="13.5" customHeight="1" x14ac:dyDescent="0.25">
      <c r="L4" s="2">
        <v>1</v>
      </c>
      <c r="M4" s="298" t="str">
        <f>'LINEAS CON DEDICACIÓN'!B17</f>
        <v>Línea 1.1:</v>
      </c>
      <c r="N4" s="299">
        <f>'LINEAS CON DEDICACIÓN'!C17</f>
        <v>0</v>
      </c>
      <c r="O4" s="299" t="str">
        <f t="shared" ref="O4:O63" si="0">IF(N4=0,"X",CONCATENATE(M4," ",N4))</f>
        <v>X</v>
      </c>
      <c r="P4" s="300" t="str">
        <f>'RESUMEN TRABAJADOR ACTUACIÓN 1'!O25</f>
        <v/>
      </c>
      <c r="Q4" s="301"/>
      <c r="R4" s="299">
        <v>1</v>
      </c>
      <c r="S4" s="320">
        <f>IF(O4="X",61,L4)</f>
        <v>61</v>
      </c>
      <c r="T4" s="300" t="str">
        <f>IFERROR(VLOOKUP(SMALL($S$4:$S$63,L4),$L$4:$P$63,4,FALSE),"X")</f>
        <v>X</v>
      </c>
      <c r="U4" s="301"/>
      <c r="V4" s="299">
        <f>IF(OR(N4=0,P4="",P4=0),61,O4)</f>
        <v>61</v>
      </c>
      <c r="W4" s="299">
        <f t="shared" ref="W4:W35" si="1">IF(P4="",0,P4)</f>
        <v>0</v>
      </c>
      <c r="Y4" s="312">
        <f t="shared" ref="Y4:Y35" si="2">IF(V4&lt;&gt;61,L4,61)</f>
        <v>61</v>
      </c>
      <c r="Z4" s="312" t="str">
        <f t="shared" ref="Z4:Z35" si="3">IFERROR(VLOOKUP(SMALL($Y$4:$Y$63,L4),$L$4:$P$63,2,FALSE),"X")</f>
        <v>X</v>
      </c>
      <c r="AA4" s="312" t="str">
        <f t="shared" ref="AA4:AA35" si="4">IFERROR(VLOOKUP(SMALL($Y$4:$Y$63,L4),$L$4:$P$63,3,FALSE),"X")</f>
        <v>X</v>
      </c>
      <c r="AB4" s="313" t="str">
        <f t="shared" ref="AB4:AB35" si="5">IFERROR(VLOOKUP(SMALL($Y$4:$Y$63,L4),$L$4:$P$63,5,FALSE),"X")</f>
        <v>X</v>
      </c>
      <c r="AC4" s="299" t="str">
        <f>IFERROR(VLOOKUP(SMALL($Y$4:$Y$63,L4),$L$4:$P$63,4,FALSE),"X")</f>
        <v>X</v>
      </c>
      <c r="AE4" s="298" t="str">
        <f>MID(Z4,7,1)</f>
        <v/>
      </c>
      <c r="AF4" s="314" t="str">
        <f>AB4</f>
        <v>X</v>
      </c>
      <c r="AG4" s="299" t="s">
        <v>233</v>
      </c>
      <c r="AH4" s="300">
        <f>ROUND(SUMIF($AE$4:$AE$63,1,$AF$4:$AF$63),2)</f>
        <v>0</v>
      </c>
      <c r="AI4" s="301"/>
      <c r="AJ4" s="2">
        <v>1</v>
      </c>
      <c r="AK4" s="2" t="str">
        <f t="shared" ref="AK4:AK35" si="6">IF(N4&lt;&gt;0,M4,"")</f>
        <v/>
      </c>
      <c r="AL4" s="2">
        <f>IF(AK4="",16,AJ4)</f>
        <v>16</v>
      </c>
      <c r="AM4" s="2" t="str">
        <f t="shared" ref="AM4:AM18" si="7">IFERROR(VLOOKUP(SMALL($AL$4:$AL$18,AJ4),$AJ$4:$AK$18,2,FALSE),"X")</f>
        <v>X</v>
      </c>
      <c r="AN4" s="301"/>
      <c r="AO4" s="315">
        <v>1</v>
      </c>
      <c r="AP4" s="311" t="str">
        <f>IF(AO4="","",IF(EDATE($AP$3,AO4)&gt;EXPEDIENTE!$F$27,"",EDATE($AP$3,AO4)))</f>
        <v/>
      </c>
      <c r="AR4" s="310" t="str">
        <f>IF(L92="","",IF(EDATE($AP$3,L92)&gt;EXPEDIENTE!$F$27,"",EDATE($AP$3,L92)))</f>
        <v/>
      </c>
      <c r="BO4" s="476">
        <f>'GASTOS TRABAJADOR'!C37</f>
        <v>0</v>
      </c>
      <c r="BP4" s="476">
        <f>'GASTOS TRABAJADOR'!C38</f>
        <v>0</v>
      </c>
      <c r="BQ4" s="476">
        <f>'GASTOS TRABAJADOR'!C39</f>
        <v>0</v>
      </c>
      <c r="BR4" s="476">
        <f>'GASTOS TRABAJADOR'!C40</f>
        <v>0</v>
      </c>
      <c r="BS4" s="476">
        <f>'GASTOS TRABAJADOR'!C41</f>
        <v>0</v>
      </c>
      <c r="BT4" s="476">
        <f>'GASTOS TRABAJADOR'!C42</f>
        <v>0</v>
      </c>
      <c r="BU4" s="476">
        <f>'GASTOS TRABAJADOR'!C43</f>
        <v>0</v>
      </c>
      <c r="BV4" s="476">
        <f>'GASTOS TRABAJADOR'!C44</f>
        <v>0</v>
      </c>
      <c r="BW4" s="476" t="s">
        <v>65</v>
      </c>
      <c r="BY4" s="476" t="s">
        <v>314</v>
      </c>
      <c r="BZ4" s="476" t="s">
        <v>232</v>
      </c>
      <c r="CA4" s="476" t="s">
        <v>360</v>
      </c>
      <c r="CB4" s="478" t="s">
        <v>361</v>
      </c>
      <c r="CC4" s="478" t="s">
        <v>331</v>
      </c>
    </row>
    <row r="5" spans="2:88" x14ac:dyDescent="0.25">
      <c r="C5" s="297" t="s">
        <v>12</v>
      </c>
      <c r="D5" s="302">
        <v>2024</v>
      </c>
      <c r="E5" s="25"/>
      <c r="F5" s="492" t="s">
        <v>21</v>
      </c>
      <c r="G5" s="493" t="s">
        <v>373</v>
      </c>
      <c r="L5" s="2">
        <v>2</v>
      </c>
      <c r="M5" s="298" t="str">
        <f>'LINEAS CON DEDICACIÓN'!B18</f>
        <v>Línea 1.2:</v>
      </c>
      <c r="N5" s="299">
        <f>'LINEAS CON DEDICACIÓN'!C18</f>
        <v>0</v>
      </c>
      <c r="O5" s="299" t="str">
        <f t="shared" si="0"/>
        <v>X</v>
      </c>
      <c r="P5" s="300" t="str">
        <f>'RESUMEN TRABAJADOR ACTUACIÓN 1'!O26</f>
        <v/>
      </c>
      <c r="R5" s="299">
        <v>2</v>
      </c>
      <c r="S5" s="320">
        <f t="shared" ref="S5:S63" si="8">IF(O5="X",61,L5)</f>
        <v>61</v>
      </c>
      <c r="T5" s="300" t="str">
        <f t="shared" ref="T5:T63" si="9">IFERROR(VLOOKUP(SMALL($S$4:$S$63,L5),$L$4:$P$63,4,FALSE),"X")</f>
        <v>X</v>
      </c>
      <c r="V5" s="299">
        <f t="shared" ref="V5:V63" si="10">IF(OR(N5=0,P5="",P5=0),61,O5)</f>
        <v>61</v>
      </c>
      <c r="W5" s="299">
        <f t="shared" si="1"/>
        <v>0</v>
      </c>
      <c r="Y5" s="312">
        <f t="shared" si="2"/>
        <v>61</v>
      </c>
      <c r="Z5" s="312" t="str">
        <f t="shared" si="3"/>
        <v>X</v>
      </c>
      <c r="AA5" s="312" t="str">
        <f t="shared" si="4"/>
        <v>X</v>
      </c>
      <c r="AB5" s="313" t="str">
        <f t="shared" si="5"/>
        <v>X</v>
      </c>
      <c r="AC5" s="299" t="str">
        <f t="shared" ref="AC5:AC36" si="11">IFERROR(VLOOKUP(SMALL($Y$4:$Y$63,L5),$L$4:$O$63,4,FALSE),"X")</f>
        <v>X</v>
      </c>
      <c r="AE5" s="298" t="str">
        <f t="shared" ref="AE5:AE63" si="12">MID(Z5,7,1)</f>
        <v/>
      </c>
      <c r="AF5" s="314" t="str">
        <f t="shared" ref="AF5:AF63" si="13">AB5</f>
        <v>X</v>
      </c>
      <c r="AG5" s="299" t="s">
        <v>234</v>
      </c>
      <c r="AH5" s="300">
        <f>ROUND(SUMIF($AE$4:$AE$63,2,$AF$4:$AF$63),2)</f>
        <v>0</v>
      </c>
      <c r="AI5" s="301"/>
      <c r="AJ5" s="2">
        <v>2</v>
      </c>
      <c r="AK5" s="2" t="str">
        <f t="shared" si="6"/>
        <v/>
      </c>
      <c r="AL5" s="2">
        <f t="shared" ref="AL5:AL18" si="14">IF(AK5="",16,AJ5)</f>
        <v>16</v>
      </c>
      <c r="AM5" s="2" t="str">
        <f t="shared" si="7"/>
        <v>X</v>
      </c>
      <c r="AN5" s="301"/>
      <c r="AO5" s="298">
        <f t="shared" ref="AO5:AO26" si="15">IF(AO4="","",IF(AO4+1&lt;$AQ$2,AO4+1,""))</f>
        <v>2</v>
      </c>
      <c r="AP5" s="311" t="str">
        <f>IF(AO5="","",IF(EDATE($AP$3,AO5)&gt;EXPEDIENTE!$F$27,"",EDATE($AP$3,AO5)))</f>
        <v/>
      </c>
      <c r="AY5" s="26"/>
      <c r="AZ5" s="26"/>
      <c r="BA5" s="26"/>
      <c r="BB5" s="26"/>
      <c r="BC5" s="479" t="s">
        <v>122</v>
      </c>
      <c r="BD5" s="479"/>
      <c r="BE5" s="479"/>
      <c r="BF5" s="479" t="s">
        <v>356</v>
      </c>
      <c r="BG5" s="479"/>
      <c r="BH5" s="479"/>
      <c r="BI5" s="322">
        <f>YEAR(EXPEDIENTE!F25)</f>
        <v>2024</v>
      </c>
      <c r="BM5" s="321">
        <f>BI5-1</f>
        <v>2023</v>
      </c>
      <c r="BO5" s="476"/>
      <c r="BP5" s="476"/>
      <c r="BQ5" s="476"/>
      <c r="BR5" s="476"/>
      <c r="BS5" s="476"/>
      <c r="BT5" s="476"/>
      <c r="BU5" s="476"/>
      <c r="BV5" s="476"/>
      <c r="BW5" s="476"/>
      <c r="BY5" s="476"/>
      <c r="BZ5" s="476"/>
      <c r="CA5" s="476"/>
      <c r="CB5" s="478"/>
      <c r="CC5" s="478"/>
    </row>
    <row r="6" spans="2:88" x14ac:dyDescent="0.25">
      <c r="E6" s="25"/>
      <c r="F6" s="492"/>
      <c r="G6" s="494"/>
      <c r="L6" s="2">
        <v>3</v>
      </c>
      <c r="M6" s="298" t="str">
        <f>'LINEAS CON DEDICACIÓN'!B19</f>
        <v>Línea 1.3:</v>
      </c>
      <c r="N6" s="299">
        <f>'LINEAS CON DEDICACIÓN'!C19</f>
        <v>0</v>
      </c>
      <c r="O6" s="299" t="str">
        <f t="shared" si="0"/>
        <v>X</v>
      </c>
      <c r="P6" s="300" t="str">
        <f>'RESUMEN TRABAJADOR ACTUACIÓN 1'!O27</f>
        <v/>
      </c>
      <c r="R6" s="299">
        <v>3</v>
      </c>
      <c r="S6" s="320">
        <f t="shared" si="8"/>
        <v>61</v>
      </c>
      <c r="T6" s="300" t="str">
        <f t="shared" si="9"/>
        <v>X</v>
      </c>
      <c r="V6" s="299">
        <f t="shared" si="10"/>
        <v>61</v>
      </c>
      <c r="W6" s="299">
        <f t="shared" si="1"/>
        <v>0</v>
      </c>
      <c r="Y6" s="312">
        <f t="shared" si="2"/>
        <v>61</v>
      </c>
      <c r="Z6" s="312" t="str">
        <f t="shared" si="3"/>
        <v>X</v>
      </c>
      <c r="AA6" s="312" t="str">
        <f t="shared" si="4"/>
        <v>X</v>
      </c>
      <c r="AB6" s="313" t="str">
        <f t="shared" si="5"/>
        <v>X</v>
      </c>
      <c r="AC6" s="299" t="str">
        <f t="shared" si="11"/>
        <v>X</v>
      </c>
      <c r="AE6" s="298" t="str">
        <f t="shared" si="12"/>
        <v/>
      </c>
      <c r="AF6" s="314" t="str">
        <f t="shared" si="13"/>
        <v>X</v>
      </c>
      <c r="AG6" s="299" t="s">
        <v>235</v>
      </c>
      <c r="AH6" s="300">
        <f>ROUND(SUMIF($AE$4:$AE$63,3,$AF$4:$AF$63),2)</f>
        <v>0</v>
      </c>
      <c r="AI6" s="301"/>
      <c r="AJ6" s="2">
        <v>3</v>
      </c>
      <c r="AK6" s="2" t="str">
        <f t="shared" si="6"/>
        <v/>
      </c>
      <c r="AL6" s="2">
        <f t="shared" si="14"/>
        <v>16</v>
      </c>
      <c r="AM6" s="2" t="str">
        <f t="shared" si="7"/>
        <v>X</v>
      </c>
      <c r="AN6" s="301"/>
      <c r="AO6" s="298">
        <f t="shared" si="15"/>
        <v>3</v>
      </c>
      <c r="AP6" s="311" t="str">
        <f>IF(AO6="","",IF(EDATE($AP$3,AO6)&gt;EXPEDIENTE!$F$27,"",EDATE($AP$3,AO6)))</f>
        <v/>
      </c>
      <c r="AU6" s="482" t="s">
        <v>334</v>
      </c>
      <c r="AV6" s="482" t="s">
        <v>333</v>
      </c>
      <c r="AW6" s="482" t="s">
        <v>335</v>
      </c>
      <c r="AY6" s="480" t="s">
        <v>336</v>
      </c>
      <c r="AZ6" s="484" t="s">
        <v>74</v>
      </c>
      <c r="BA6" s="481" t="s">
        <v>81</v>
      </c>
      <c r="BB6" s="484" t="s">
        <v>355</v>
      </c>
      <c r="BC6" s="480" t="s">
        <v>337</v>
      </c>
      <c r="BD6" s="480" t="s">
        <v>123</v>
      </c>
      <c r="BE6" s="481" t="s">
        <v>92</v>
      </c>
      <c r="BF6" s="481" t="s">
        <v>78</v>
      </c>
      <c r="BG6" s="481" t="s">
        <v>79</v>
      </c>
      <c r="BH6" s="481" t="s">
        <v>124</v>
      </c>
      <c r="BI6" s="481" t="s">
        <v>358</v>
      </c>
      <c r="BJ6" s="480" t="s">
        <v>357</v>
      </c>
      <c r="BL6" s="299">
        <v>1</v>
      </c>
      <c r="BM6" s="318">
        <f>DATE($BM$5,BL6,1)</f>
        <v>44927</v>
      </c>
      <c r="BO6" s="299">
        <f t="shared" ref="BO6:BO17" si="16">IF($AU$9=0,0,IF($BO$4=0,0,IF(AND(BM6&gt;=$BF$9,BM6&lt;=$BG$9),$BJ$9,0)))</f>
        <v>0</v>
      </c>
      <c r="BP6" s="299">
        <f>IF($AU$10=0,0,IF($BP$4=0,0,IF(AND(BM6&gt;=$BF$10,BM6&lt;=$BG$10),$BJ$10,0)))</f>
        <v>0</v>
      </c>
      <c r="BQ6" s="299">
        <f t="shared" ref="BQ6:BQ17" si="17">IF($AU$11=0,0,IF($BQ$4=0,0,IF(AND(BM6&gt;=$BF$11,BM6&lt;=$BG$11),$BJ$11,0)))</f>
        <v>0</v>
      </c>
      <c r="BR6" s="299">
        <f t="shared" ref="BR6:BR17" si="18">IF($AU$12=0,0,IF($BR$4=0,0,IF(AND(BM6&gt;=$BF$12,BM6&lt;=$BG$12),$BJ$12,0)))</f>
        <v>0</v>
      </c>
      <c r="BS6" s="299">
        <f t="shared" ref="BS6:BS17" si="19">IF($AU$13=0,0,IF($BS$4=0,0,IF(AND(BM6&gt;=$BF$13,BM6&lt;=$BG$13),$BJ$13,0)))</f>
        <v>0</v>
      </c>
      <c r="BT6" s="299">
        <f t="shared" ref="BT6:BT17" si="20">IF($AU$14=0,0,IF($BT$4=0,0,IF(AND(BM6&gt;=$BF$14,BM6&lt;=$BG$14),$BJ$14,0)))</f>
        <v>0</v>
      </c>
      <c r="BU6" s="299">
        <f t="shared" ref="BU6:BU17" si="21">IF($AU$15=0,0,IF($BU$4=0,0,IF(AND(BM6&gt;=$BF$15,BM6&lt;=$BG$15),$BJ$15,0)))</f>
        <v>0</v>
      </c>
      <c r="BV6" s="299">
        <f t="shared" ref="BV6:BV17" si="22">IF($AU$16=0,0,IF($BV$4=0,0,IF(AND(BM6&gt;=$BF$16,BM6&lt;=$BG$16),$BJ$16,0)))</f>
        <v>0</v>
      </c>
      <c r="BW6" s="299">
        <f>SUM(BO6:BV6)</f>
        <v>0</v>
      </c>
      <c r="BY6" s="312">
        <f>BO4</f>
        <v>0</v>
      </c>
      <c r="BZ6" s="300">
        <f>'GASTOS TRABAJADOR'!X37</f>
        <v>0</v>
      </c>
      <c r="CA6" s="330" t="str">
        <f>IF(BZ6=0,"",'GASTOS TRABAJADOR'!AA37)</f>
        <v/>
      </c>
      <c r="CB6" s="330" t="str">
        <f>IF(BZ6=0,"",EDATE(CA6,1))</f>
        <v/>
      </c>
      <c r="CC6" s="299" t="str">
        <f>IF(CB6="","",MONTH(CB6)-1)</f>
        <v/>
      </c>
    </row>
    <row r="7" spans="2:88" x14ac:dyDescent="0.25">
      <c r="C7" s="297" t="s">
        <v>14</v>
      </c>
      <c r="D7" s="305">
        <v>11</v>
      </c>
      <c r="E7" s="25"/>
      <c r="F7" s="25"/>
      <c r="G7" s="25"/>
      <c r="L7" s="2">
        <v>4</v>
      </c>
      <c r="M7" s="298" t="str">
        <f>'LINEAS CON DEDICACIÓN'!B20</f>
        <v>Línea 1.4:</v>
      </c>
      <c r="N7" s="299">
        <f>'LINEAS CON DEDICACIÓN'!C20</f>
        <v>0</v>
      </c>
      <c r="O7" s="299" t="str">
        <f t="shared" si="0"/>
        <v>X</v>
      </c>
      <c r="P7" s="300" t="str">
        <f>'RESUMEN TRABAJADOR ACTUACIÓN 1'!O28</f>
        <v/>
      </c>
      <c r="R7" s="299">
        <v>4</v>
      </c>
      <c r="S7" s="320">
        <f t="shared" si="8"/>
        <v>61</v>
      </c>
      <c r="T7" s="300" t="str">
        <f t="shared" si="9"/>
        <v>X</v>
      </c>
      <c r="V7" s="299">
        <f t="shared" si="10"/>
        <v>61</v>
      </c>
      <c r="W7" s="299">
        <f t="shared" si="1"/>
        <v>0</v>
      </c>
      <c r="Y7" s="312">
        <f t="shared" si="2"/>
        <v>61</v>
      </c>
      <c r="Z7" s="312" t="str">
        <f t="shared" si="3"/>
        <v>X</v>
      </c>
      <c r="AA7" s="312" t="str">
        <f t="shared" si="4"/>
        <v>X</v>
      </c>
      <c r="AB7" s="313" t="str">
        <f t="shared" si="5"/>
        <v>X</v>
      </c>
      <c r="AC7" s="299" t="str">
        <f t="shared" si="11"/>
        <v>X</v>
      </c>
      <c r="AE7" s="298" t="str">
        <f t="shared" si="12"/>
        <v/>
      </c>
      <c r="AF7" s="314" t="str">
        <f t="shared" si="13"/>
        <v>X</v>
      </c>
      <c r="AG7" s="299" t="s">
        <v>236</v>
      </c>
      <c r="AH7" s="300">
        <f>ROUND(SUMIF($AE$4:$AE$63,4,$AF$4:$AF$63),2)</f>
        <v>0</v>
      </c>
      <c r="AI7" s="301"/>
      <c r="AJ7" s="2">
        <v>4</v>
      </c>
      <c r="AK7" s="2" t="str">
        <f t="shared" si="6"/>
        <v/>
      </c>
      <c r="AL7" s="2">
        <f t="shared" si="14"/>
        <v>16</v>
      </c>
      <c r="AM7" s="2" t="str">
        <f t="shared" si="7"/>
        <v>X</v>
      </c>
      <c r="AN7" s="301"/>
      <c r="AO7" s="298">
        <f t="shared" si="15"/>
        <v>4</v>
      </c>
      <c r="AP7" s="311" t="str">
        <f>IF(AO7="","",IF(EDATE($AP$3,AO7)&gt;EXPEDIENTE!$F$27,"",EDATE($AP$3,AO7)))</f>
        <v/>
      </c>
      <c r="AU7" s="482"/>
      <c r="AV7" s="482"/>
      <c r="AW7" s="482"/>
      <c r="AY7" s="480"/>
      <c r="AZ7" s="485"/>
      <c r="BA7" s="481"/>
      <c r="BB7" s="485"/>
      <c r="BC7" s="480"/>
      <c r="BD7" s="480"/>
      <c r="BE7" s="481"/>
      <c r="BF7" s="481"/>
      <c r="BG7" s="481"/>
      <c r="BH7" s="481"/>
      <c r="BI7" s="481"/>
      <c r="BJ7" s="480"/>
      <c r="BL7" s="299">
        <v>2</v>
      </c>
      <c r="BM7" s="318">
        <f t="shared" ref="BM7:BM17" si="23">DATE($BM$5,BL7,1)</f>
        <v>44958</v>
      </c>
      <c r="BO7" s="299">
        <f t="shared" si="16"/>
        <v>0</v>
      </c>
      <c r="BP7" s="299">
        <f t="shared" ref="BP7:BP17" si="24">IF($AU$10=0,0,IF($BO$4=0,0,IF(AND(BM7&gt;=$BF$10,BM7&lt;=$BG$10),$BJ$10,0)))</f>
        <v>0</v>
      </c>
      <c r="BQ7" s="299">
        <f t="shared" si="17"/>
        <v>0</v>
      </c>
      <c r="BR7" s="299">
        <f t="shared" si="18"/>
        <v>0</v>
      </c>
      <c r="BS7" s="299">
        <f t="shared" si="19"/>
        <v>0</v>
      </c>
      <c r="BT7" s="299">
        <f t="shared" si="20"/>
        <v>0</v>
      </c>
      <c r="BU7" s="299">
        <f t="shared" si="21"/>
        <v>0</v>
      </c>
      <c r="BV7" s="299">
        <f t="shared" si="22"/>
        <v>0</v>
      </c>
      <c r="BW7" s="299">
        <f t="shared" ref="BW7:BW30" si="25">SUM(BO7:BV7)</f>
        <v>0</v>
      </c>
      <c r="BY7" s="312">
        <f>BP4</f>
        <v>0</v>
      </c>
      <c r="BZ7" s="300">
        <f>'GASTOS TRABAJADOR'!X38</f>
        <v>0</v>
      </c>
      <c r="CA7" s="330" t="str">
        <f>IF(BZ7=0,"",'GASTOS TRABAJADOR'!AA38)</f>
        <v/>
      </c>
      <c r="CB7" s="330" t="str">
        <f t="shared" ref="CB7:CB13" si="26">IF(BZ7=0,"",EDATE(CA7,1))</f>
        <v/>
      </c>
      <c r="CC7" s="299" t="str">
        <f t="shared" ref="CC7:CC13" si="27">IF(CB7="","",MONTH(CB7)-1)</f>
        <v/>
      </c>
    </row>
    <row r="8" spans="2:88" x14ac:dyDescent="0.25">
      <c r="E8" s="25"/>
      <c r="F8" s="25"/>
      <c r="G8" s="25"/>
      <c r="L8" s="2">
        <v>5</v>
      </c>
      <c r="M8" s="298" t="str">
        <f>'LINEAS CON DEDICACIÓN'!B21</f>
        <v>Línea 1.5:</v>
      </c>
      <c r="N8" s="299">
        <f>'LINEAS CON DEDICACIÓN'!C21</f>
        <v>0</v>
      </c>
      <c r="O8" s="299" t="str">
        <f t="shared" si="0"/>
        <v>X</v>
      </c>
      <c r="P8" s="300" t="str">
        <f>'RESUMEN TRABAJADOR ACTUACIÓN 1'!O29</f>
        <v/>
      </c>
      <c r="R8" s="299">
        <v>5</v>
      </c>
      <c r="S8" s="320">
        <f t="shared" si="8"/>
        <v>61</v>
      </c>
      <c r="T8" s="300" t="str">
        <f t="shared" si="9"/>
        <v>X</v>
      </c>
      <c r="V8" s="299">
        <f t="shared" si="10"/>
        <v>61</v>
      </c>
      <c r="W8" s="299">
        <f t="shared" si="1"/>
        <v>0</v>
      </c>
      <c r="Y8" s="312">
        <f t="shared" si="2"/>
        <v>61</v>
      </c>
      <c r="Z8" s="312" t="str">
        <f t="shared" si="3"/>
        <v>X</v>
      </c>
      <c r="AA8" s="312" t="str">
        <f t="shared" si="4"/>
        <v>X</v>
      </c>
      <c r="AB8" s="313" t="str">
        <f t="shared" si="5"/>
        <v>X</v>
      </c>
      <c r="AC8" s="299" t="str">
        <f t="shared" si="11"/>
        <v>X</v>
      </c>
      <c r="AE8" s="298" t="str">
        <f t="shared" si="12"/>
        <v/>
      </c>
      <c r="AF8" s="314" t="str">
        <f t="shared" si="13"/>
        <v>X</v>
      </c>
      <c r="AG8" s="299"/>
      <c r="AH8" s="299"/>
      <c r="AJ8" s="2">
        <v>5</v>
      </c>
      <c r="AK8" s="2" t="str">
        <f t="shared" si="6"/>
        <v/>
      </c>
      <c r="AL8" s="2">
        <f t="shared" si="14"/>
        <v>16</v>
      </c>
      <c r="AM8" s="2" t="str">
        <f t="shared" si="7"/>
        <v>X</v>
      </c>
      <c r="AO8" s="298">
        <f t="shared" si="15"/>
        <v>5</v>
      </c>
      <c r="AP8" s="311" t="str">
        <f>IF(AO8="","",IF(EDATE($AP$3,AO8)&gt;EXPEDIENTE!$F$27,"",EDATE($AP$3,AO8)))</f>
        <v/>
      </c>
      <c r="AU8" s="483"/>
      <c r="AV8" s="483"/>
      <c r="AW8" s="483"/>
      <c r="AY8" s="480"/>
      <c r="AZ8" s="486"/>
      <c r="BA8" s="481"/>
      <c r="BB8" s="486"/>
      <c r="BC8" s="480"/>
      <c r="BD8" s="480"/>
      <c r="BE8" s="481"/>
      <c r="BF8" s="481"/>
      <c r="BG8" s="481"/>
      <c r="BH8" s="481"/>
      <c r="BI8" s="481"/>
      <c r="BJ8" s="480"/>
      <c r="BL8" s="299">
        <v>3</v>
      </c>
      <c r="BM8" s="318">
        <f t="shared" si="23"/>
        <v>44986</v>
      </c>
      <c r="BO8" s="299">
        <f t="shared" si="16"/>
        <v>0</v>
      </c>
      <c r="BP8" s="299">
        <f t="shared" si="24"/>
        <v>0</v>
      </c>
      <c r="BQ8" s="299">
        <f t="shared" si="17"/>
        <v>0</v>
      </c>
      <c r="BR8" s="299">
        <f t="shared" si="18"/>
        <v>0</v>
      </c>
      <c r="BS8" s="299">
        <f t="shared" si="19"/>
        <v>0</v>
      </c>
      <c r="BT8" s="299">
        <f t="shared" si="20"/>
        <v>0</v>
      </c>
      <c r="BU8" s="299">
        <f t="shared" si="21"/>
        <v>0</v>
      </c>
      <c r="BV8" s="299">
        <f t="shared" si="22"/>
        <v>0</v>
      </c>
      <c r="BW8" s="299">
        <f t="shared" si="25"/>
        <v>0</v>
      </c>
      <c r="BY8" s="312">
        <f>BQ4</f>
        <v>0</v>
      </c>
      <c r="BZ8" s="300">
        <f>'GASTOS TRABAJADOR'!X39</f>
        <v>0</v>
      </c>
      <c r="CA8" s="330" t="str">
        <f>IF(BZ8=0,"",'GASTOS TRABAJADOR'!AA39)</f>
        <v/>
      </c>
      <c r="CB8" s="330" t="str">
        <f t="shared" si="26"/>
        <v/>
      </c>
      <c r="CC8" s="299" t="str">
        <f t="shared" si="27"/>
        <v/>
      </c>
    </row>
    <row r="9" spans="2:88" x14ac:dyDescent="0.25">
      <c r="C9" s="297" t="s">
        <v>16</v>
      </c>
      <c r="D9" s="306" t="s">
        <v>96</v>
      </c>
      <c r="E9" s="25"/>
      <c r="F9" s="495" t="s">
        <v>22</v>
      </c>
      <c r="G9" s="496" t="s">
        <v>374</v>
      </c>
      <c r="L9" s="2">
        <v>6</v>
      </c>
      <c r="M9" s="298" t="str">
        <f>'LINEAS CON DEDICACIÓN'!B22</f>
        <v>Línea 1.6:</v>
      </c>
      <c r="N9" s="299">
        <f>'LINEAS CON DEDICACIÓN'!C22</f>
        <v>0</v>
      </c>
      <c r="O9" s="299" t="str">
        <f t="shared" si="0"/>
        <v>X</v>
      </c>
      <c r="P9" s="300" t="str">
        <f>'RESUMEN TRABAJADOR ACTUACIÓN 1'!O30</f>
        <v/>
      </c>
      <c r="R9" s="299">
        <v>6</v>
      </c>
      <c r="S9" s="320">
        <f t="shared" si="8"/>
        <v>61</v>
      </c>
      <c r="T9" s="300" t="str">
        <f t="shared" si="9"/>
        <v>X</v>
      </c>
      <c r="V9" s="299">
        <f t="shared" si="10"/>
        <v>61</v>
      </c>
      <c r="W9" s="299">
        <f t="shared" si="1"/>
        <v>0</v>
      </c>
      <c r="Y9" s="312">
        <f t="shared" si="2"/>
        <v>61</v>
      </c>
      <c r="Z9" s="312" t="str">
        <f t="shared" si="3"/>
        <v>X</v>
      </c>
      <c r="AA9" s="312" t="str">
        <f t="shared" si="4"/>
        <v>X</v>
      </c>
      <c r="AB9" s="313" t="str">
        <f t="shared" si="5"/>
        <v>X</v>
      </c>
      <c r="AC9" s="299" t="str">
        <f t="shared" si="11"/>
        <v>X</v>
      </c>
      <c r="AE9" s="298" t="str">
        <f t="shared" si="12"/>
        <v/>
      </c>
      <c r="AF9" s="314" t="str">
        <f t="shared" si="13"/>
        <v>X</v>
      </c>
      <c r="AG9" s="299"/>
      <c r="AH9" s="299"/>
      <c r="AJ9" s="2">
        <v>6</v>
      </c>
      <c r="AK9" s="2" t="str">
        <f t="shared" si="6"/>
        <v/>
      </c>
      <c r="AL9" s="2">
        <f t="shared" si="14"/>
        <v>16</v>
      </c>
      <c r="AM9" s="2" t="str">
        <f t="shared" si="7"/>
        <v>X</v>
      </c>
      <c r="AO9" s="298">
        <f t="shared" si="15"/>
        <v>6</v>
      </c>
      <c r="AP9" s="311" t="str">
        <f>IF(AO9="","",IF(EDATE($AP$3,AO9)&gt;EXPEDIENTE!$F$27,"",EDATE($AP$3,AO9)))</f>
        <v/>
      </c>
      <c r="AT9" s="299">
        <v>1</v>
      </c>
      <c r="AU9" s="300">
        <f>'GASTOS TRABAJADOR'!M37</f>
        <v>0</v>
      </c>
      <c r="AV9" s="300">
        <f>'GASTOS TRABAJADOR'!X37</f>
        <v>0</v>
      </c>
      <c r="AW9" s="300">
        <f>AU9-AV9</f>
        <v>0</v>
      </c>
      <c r="AY9" s="300">
        <f>'GASTOS TRABAJADOR'!F37+'GASTOS TRABAJADOR'!L37-'GASTOS TRABAJADOR'!X37-'GASTOS TRABAJADOR'!Y37</f>
        <v>0</v>
      </c>
      <c r="AZ9" s="308">
        <f>'GASTOS TRABAJADOR'!AA37</f>
        <v>0</v>
      </c>
      <c r="BA9" s="300">
        <f>'GASTOS TRABAJADOR'!Y37</f>
        <v>0</v>
      </c>
      <c r="BB9" s="308">
        <f>'GASTOS TRABAJADOR'!AB37</f>
        <v>0</v>
      </c>
      <c r="BC9" s="300">
        <f>IF(AZ9&lt;=EXPEDIENTE!$H$29,AY9,0)</f>
        <v>0</v>
      </c>
      <c r="BD9" s="299">
        <f>IF(BB9&lt;=EXPEDIENTE!$H$29,BA9,0)</f>
        <v>0</v>
      </c>
      <c r="BE9" s="300">
        <f>BC9+BD9</f>
        <v>0</v>
      </c>
      <c r="BF9" s="317" t="str">
        <f>IF('GASTOS TRABAJADOR'!D37="","",'GASTOS TRABAJADOR'!D37)</f>
        <v/>
      </c>
      <c r="BG9" s="317" t="str">
        <f>IF('GASTOS TRABAJADOR'!E37="","",'GASTOS TRABAJADOR'!E37)</f>
        <v/>
      </c>
      <c r="BH9" s="298">
        <f>IF(OR(BF9="",BG9=""),0,DATEDIF(BF9,BG9,"M")+1)</f>
        <v>0</v>
      </c>
      <c r="BI9" s="298">
        <f>IF(OR(BF9="",BG9=""),0,IF(YEAR(BF9)&lt;$BI$5,DATEDIF(DATE($BI$5,1,1),BG9,"M")+1,BH9))</f>
        <v>0</v>
      </c>
      <c r="BJ9" s="299">
        <f>IF(OR(BF9="",BG9=""),0,ROUND(BE9/BH9,2))</f>
        <v>0</v>
      </c>
      <c r="BL9" s="299">
        <v>4</v>
      </c>
      <c r="BM9" s="318">
        <f t="shared" si="23"/>
        <v>45017</v>
      </c>
      <c r="BO9" s="299">
        <f t="shared" si="16"/>
        <v>0</v>
      </c>
      <c r="BP9" s="299">
        <f t="shared" si="24"/>
        <v>0</v>
      </c>
      <c r="BQ9" s="299">
        <f t="shared" si="17"/>
        <v>0</v>
      </c>
      <c r="BR9" s="299">
        <f t="shared" si="18"/>
        <v>0</v>
      </c>
      <c r="BS9" s="299">
        <f t="shared" si="19"/>
        <v>0</v>
      </c>
      <c r="BT9" s="299">
        <f t="shared" si="20"/>
        <v>0</v>
      </c>
      <c r="BU9" s="299">
        <f t="shared" si="21"/>
        <v>0</v>
      </c>
      <c r="BV9" s="299">
        <f t="shared" si="22"/>
        <v>0</v>
      </c>
      <c r="BW9" s="299">
        <f t="shared" si="25"/>
        <v>0</v>
      </c>
      <c r="BY9" s="312">
        <f>BR4</f>
        <v>0</v>
      </c>
      <c r="BZ9" s="300">
        <f>'GASTOS TRABAJADOR'!X40</f>
        <v>0</v>
      </c>
      <c r="CA9" s="330" t="str">
        <f>IF(BZ9=0,"",'GASTOS TRABAJADOR'!AA40)</f>
        <v/>
      </c>
      <c r="CB9" s="330" t="str">
        <f t="shared" si="26"/>
        <v/>
      </c>
      <c r="CC9" s="299" t="str">
        <f t="shared" si="27"/>
        <v/>
      </c>
    </row>
    <row r="10" spans="2:88" x14ac:dyDescent="0.25">
      <c r="L10" s="2">
        <v>7</v>
      </c>
      <c r="M10" s="298" t="str">
        <f>'LINEAS CON DEDICACIÓN'!B23</f>
        <v>Línea 1.7:</v>
      </c>
      <c r="N10" s="299">
        <f>'LINEAS CON DEDICACIÓN'!C23</f>
        <v>0</v>
      </c>
      <c r="O10" s="299" t="str">
        <f t="shared" si="0"/>
        <v>X</v>
      </c>
      <c r="P10" s="300" t="str">
        <f>'RESUMEN TRABAJADOR ACTUACIÓN 1'!O31</f>
        <v/>
      </c>
      <c r="R10" s="299">
        <v>7</v>
      </c>
      <c r="S10" s="320">
        <f t="shared" si="8"/>
        <v>61</v>
      </c>
      <c r="T10" s="300" t="str">
        <f t="shared" si="9"/>
        <v>X</v>
      </c>
      <c r="V10" s="299">
        <f t="shared" si="10"/>
        <v>61</v>
      </c>
      <c r="W10" s="299">
        <f t="shared" si="1"/>
        <v>0</v>
      </c>
      <c r="Y10" s="312">
        <f t="shared" si="2"/>
        <v>61</v>
      </c>
      <c r="Z10" s="312" t="str">
        <f t="shared" si="3"/>
        <v>X</v>
      </c>
      <c r="AA10" s="312" t="str">
        <f t="shared" si="4"/>
        <v>X</v>
      </c>
      <c r="AB10" s="313" t="str">
        <f t="shared" si="5"/>
        <v>X</v>
      </c>
      <c r="AC10" s="299" t="str">
        <f t="shared" si="11"/>
        <v>X</v>
      </c>
      <c r="AE10" s="298" t="str">
        <f t="shared" si="12"/>
        <v/>
      </c>
      <c r="AF10" s="314" t="str">
        <f t="shared" si="13"/>
        <v>X</v>
      </c>
      <c r="AG10" s="299"/>
      <c r="AH10" s="299"/>
      <c r="AJ10" s="2">
        <v>7</v>
      </c>
      <c r="AK10" s="2" t="str">
        <f t="shared" si="6"/>
        <v/>
      </c>
      <c r="AL10" s="2">
        <f t="shared" si="14"/>
        <v>16</v>
      </c>
      <c r="AM10" s="2" t="str">
        <f t="shared" si="7"/>
        <v>X</v>
      </c>
      <c r="AO10" s="298">
        <f t="shared" si="15"/>
        <v>7</v>
      </c>
      <c r="AP10" s="311" t="str">
        <f>IF(AO10="","",IF(EDATE($AP$3,AO10)&gt;EXPEDIENTE!$F$27,"",EDATE($AP$3,AO10)))</f>
        <v/>
      </c>
      <c r="AT10" s="299">
        <v>2</v>
      </c>
      <c r="AU10" s="300">
        <f>'GASTOS TRABAJADOR'!M38</f>
        <v>0</v>
      </c>
      <c r="AV10" s="300">
        <f>'GASTOS TRABAJADOR'!X38</f>
        <v>0</v>
      </c>
      <c r="AW10" s="300">
        <f t="shared" ref="AW10:AW16" si="28">AU10-AV10</f>
        <v>0</v>
      </c>
      <c r="AY10" s="300">
        <f>'GASTOS TRABAJADOR'!F38+'GASTOS TRABAJADOR'!L38-'GASTOS TRABAJADOR'!X38-'GASTOS TRABAJADOR'!Y38</f>
        <v>0</v>
      </c>
      <c r="AZ10" s="308">
        <f>'GASTOS TRABAJADOR'!AA38</f>
        <v>0</v>
      </c>
      <c r="BA10" s="300">
        <f>'GASTOS TRABAJADOR'!Y38</f>
        <v>0</v>
      </c>
      <c r="BB10" s="308">
        <f>'GASTOS TRABAJADOR'!AB38</f>
        <v>0</v>
      </c>
      <c r="BC10" s="300">
        <f>IF(AZ10&lt;=EXPEDIENTE!$H$29,AY10,0)</f>
        <v>0</v>
      </c>
      <c r="BD10" s="299">
        <f>IF(BB10&lt;=EXPEDIENTE!$H$29,BA10,0)</f>
        <v>0</v>
      </c>
      <c r="BE10" s="300">
        <f t="shared" ref="BE10:BE16" si="29">BC10+BD10</f>
        <v>0</v>
      </c>
      <c r="BF10" s="317" t="str">
        <f>IF('GASTOS TRABAJADOR'!D38="","",'GASTOS TRABAJADOR'!D38)</f>
        <v/>
      </c>
      <c r="BG10" s="317" t="str">
        <f>IF('GASTOS TRABAJADOR'!E38="","",'GASTOS TRABAJADOR'!E38)</f>
        <v/>
      </c>
      <c r="BH10" s="298">
        <f t="shared" ref="BH10:BH16" si="30">IF(OR(BF10="",BG10=""),0,DATEDIF(BF10,BG10,"M")+1)</f>
        <v>0</v>
      </c>
      <c r="BI10" s="298">
        <f t="shared" ref="BI10:BI16" si="31">IF(OR(BF10="",BG10=""),0,IF(YEAR(BF10)&lt;$BI$5,DATEDIF(DATE($BI$5,1,1),BG10,"M")+1,BH10))</f>
        <v>0</v>
      </c>
      <c r="BJ10" s="299">
        <f t="shared" ref="BJ10:BJ16" si="32">IF(OR(BF10="",BG10=""),0,ROUND(BE10/BH10,2))</f>
        <v>0</v>
      </c>
      <c r="BL10" s="299">
        <v>5</v>
      </c>
      <c r="BM10" s="318">
        <f t="shared" si="23"/>
        <v>45047</v>
      </c>
      <c r="BO10" s="299">
        <f t="shared" si="16"/>
        <v>0</v>
      </c>
      <c r="BP10" s="299">
        <f t="shared" si="24"/>
        <v>0</v>
      </c>
      <c r="BQ10" s="299">
        <f t="shared" si="17"/>
        <v>0</v>
      </c>
      <c r="BR10" s="299">
        <f t="shared" si="18"/>
        <v>0</v>
      </c>
      <c r="BS10" s="299">
        <f t="shared" si="19"/>
        <v>0</v>
      </c>
      <c r="BT10" s="299">
        <f t="shared" si="20"/>
        <v>0</v>
      </c>
      <c r="BU10" s="299">
        <f t="shared" si="21"/>
        <v>0</v>
      </c>
      <c r="BV10" s="299">
        <f t="shared" si="22"/>
        <v>0</v>
      </c>
      <c r="BW10" s="299">
        <f t="shared" si="25"/>
        <v>0</v>
      </c>
      <c r="BY10" s="312">
        <f>BS4</f>
        <v>0</v>
      </c>
      <c r="BZ10" s="300">
        <f>'GASTOS TRABAJADOR'!X41</f>
        <v>0</v>
      </c>
      <c r="CA10" s="330" t="str">
        <f>IF(BZ10=0,"",'GASTOS TRABAJADOR'!AA41)</f>
        <v/>
      </c>
      <c r="CB10" s="330" t="str">
        <f t="shared" si="26"/>
        <v/>
      </c>
      <c r="CC10" s="299" t="str">
        <f t="shared" si="27"/>
        <v/>
      </c>
    </row>
    <row r="11" spans="2:88" x14ac:dyDescent="0.25">
      <c r="I11" s="2"/>
      <c r="L11" s="2">
        <v>8</v>
      </c>
      <c r="M11" s="298" t="str">
        <f>'LINEAS CON DEDICACIÓN'!B24</f>
        <v>Línea 1.8:</v>
      </c>
      <c r="N11" s="299">
        <f>'LINEAS CON DEDICACIÓN'!C24</f>
        <v>0</v>
      </c>
      <c r="O11" s="299" t="str">
        <f t="shared" si="0"/>
        <v>X</v>
      </c>
      <c r="P11" s="300" t="str">
        <f>'RESUMEN TRABAJADOR ACTUACIÓN 1'!O32</f>
        <v/>
      </c>
      <c r="R11" s="299">
        <v>8</v>
      </c>
      <c r="S11" s="320">
        <f t="shared" si="8"/>
        <v>61</v>
      </c>
      <c r="T11" s="300" t="str">
        <f t="shared" si="9"/>
        <v>X</v>
      </c>
      <c r="V11" s="299">
        <f t="shared" si="10"/>
        <v>61</v>
      </c>
      <c r="W11" s="299">
        <f t="shared" si="1"/>
        <v>0</v>
      </c>
      <c r="Y11" s="312">
        <f t="shared" si="2"/>
        <v>61</v>
      </c>
      <c r="Z11" s="312" t="str">
        <f t="shared" si="3"/>
        <v>X</v>
      </c>
      <c r="AA11" s="312" t="str">
        <f t="shared" si="4"/>
        <v>X</v>
      </c>
      <c r="AB11" s="313" t="str">
        <f t="shared" si="5"/>
        <v>X</v>
      </c>
      <c r="AC11" s="299" t="str">
        <f t="shared" si="11"/>
        <v>X</v>
      </c>
      <c r="AE11" s="298" t="str">
        <f t="shared" si="12"/>
        <v/>
      </c>
      <c r="AF11" s="314" t="str">
        <f t="shared" si="13"/>
        <v>X</v>
      </c>
      <c r="AG11" s="299"/>
      <c r="AH11" s="299"/>
      <c r="AJ11" s="2">
        <v>8</v>
      </c>
      <c r="AK11" s="2" t="str">
        <f t="shared" si="6"/>
        <v/>
      </c>
      <c r="AL11" s="2">
        <f t="shared" si="14"/>
        <v>16</v>
      </c>
      <c r="AM11" s="2" t="str">
        <f t="shared" si="7"/>
        <v>X</v>
      </c>
      <c r="AO11" s="298">
        <f t="shared" si="15"/>
        <v>8</v>
      </c>
      <c r="AP11" s="311" t="str">
        <f>IF(AO11="","",IF(EDATE($AP$3,AO11)&gt;EXPEDIENTE!$F$27,"",EDATE($AP$3,AO11)))</f>
        <v/>
      </c>
      <c r="AT11" s="299">
        <v>3</v>
      </c>
      <c r="AU11" s="300">
        <f>'GASTOS TRABAJADOR'!M39</f>
        <v>0</v>
      </c>
      <c r="AV11" s="300">
        <f>'GASTOS TRABAJADOR'!X39</f>
        <v>0</v>
      </c>
      <c r="AW11" s="300">
        <f t="shared" si="28"/>
        <v>0</v>
      </c>
      <c r="AY11" s="300">
        <f>'GASTOS TRABAJADOR'!F39+'GASTOS TRABAJADOR'!L39-'GASTOS TRABAJADOR'!X39-'GASTOS TRABAJADOR'!Y39</f>
        <v>0</v>
      </c>
      <c r="AZ11" s="308">
        <f>'GASTOS TRABAJADOR'!AA39</f>
        <v>0</v>
      </c>
      <c r="BA11" s="300">
        <f>'GASTOS TRABAJADOR'!Y39</f>
        <v>0</v>
      </c>
      <c r="BB11" s="308">
        <f>'GASTOS TRABAJADOR'!AB39</f>
        <v>0</v>
      </c>
      <c r="BC11" s="300">
        <f>IF(AZ11&lt;=EXPEDIENTE!$H$29,AY11,0)</f>
        <v>0</v>
      </c>
      <c r="BD11" s="299">
        <f>IF(BB11&lt;=EXPEDIENTE!$H$29,BA11,0)</f>
        <v>0</v>
      </c>
      <c r="BE11" s="300">
        <f t="shared" si="29"/>
        <v>0</v>
      </c>
      <c r="BF11" s="317" t="str">
        <f>IF('GASTOS TRABAJADOR'!D39="","",'GASTOS TRABAJADOR'!D39)</f>
        <v/>
      </c>
      <c r="BG11" s="317" t="str">
        <f>IF('GASTOS TRABAJADOR'!E39="","",'GASTOS TRABAJADOR'!E39)</f>
        <v/>
      </c>
      <c r="BH11" s="298">
        <f t="shared" si="30"/>
        <v>0</v>
      </c>
      <c r="BI11" s="298">
        <f t="shared" si="31"/>
        <v>0</v>
      </c>
      <c r="BJ11" s="299">
        <f t="shared" si="32"/>
        <v>0</v>
      </c>
      <c r="BL11" s="299">
        <v>6</v>
      </c>
      <c r="BM11" s="318">
        <f t="shared" si="23"/>
        <v>45078</v>
      </c>
      <c r="BO11" s="299">
        <f t="shared" si="16"/>
        <v>0</v>
      </c>
      <c r="BP11" s="299">
        <f t="shared" si="24"/>
        <v>0</v>
      </c>
      <c r="BQ11" s="299">
        <f t="shared" si="17"/>
        <v>0</v>
      </c>
      <c r="BR11" s="299">
        <f t="shared" si="18"/>
        <v>0</v>
      </c>
      <c r="BS11" s="299">
        <f t="shared" si="19"/>
        <v>0</v>
      </c>
      <c r="BT11" s="299">
        <f t="shared" si="20"/>
        <v>0</v>
      </c>
      <c r="BU11" s="299">
        <f t="shared" si="21"/>
        <v>0</v>
      </c>
      <c r="BV11" s="299">
        <f t="shared" si="22"/>
        <v>0</v>
      </c>
      <c r="BW11" s="299">
        <f t="shared" si="25"/>
        <v>0</v>
      </c>
      <c r="BY11" s="312">
        <f>BT4</f>
        <v>0</v>
      </c>
      <c r="BZ11" s="300">
        <f>'GASTOS TRABAJADOR'!X42</f>
        <v>0</v>
      </c>
      <c r="CA11" s="330" t="str">
        <f>IF(BZ11=0,"",'GASTOS TRABAJADOR'!AA42)</f>
        <v/>
      </c>
      <c r="CB11" s="330" t="str">
        <f t="shared" si="26"/>
        <v/>
      </c>
      <c r="CC11" s="299" t="str">
        <f t="shared" si="27"/>
        <v/>
      </c>
    </row>
    <row r="12" spans="2:88" x14ac:dyDescent="0.25">
      <c r="C12" s="490" t="s">
        <v>23</v>
      </c>
      <c r="D12" s="490"/>
      <c r="E12" s="490"/>
      <c r="I12" s="2"/>
      <c r="L12" s="2">
        <v>9</v>
      </c>
      <c r="M12" s="298" t="str">
        <f>'LINEAS CON DEDICACIÓN'!B25</f>
        <v>Línea 1.9:</v>
      </c>
      <c r="N12" s="299">
        <f>'LINEAS CON DEDICACIÓN'!C25</f>
        <v>0</v>
      </c>
      <c r="O12" s="299" t="str">
        <f t="shared" si="0"/>
        <v>X</v>
      </c>
      <c r="P12" s="300" t="str">
        <f>'RESUMEN TRABAJADOR ACTUACIÓN 1'!O33</f>
        <v/>
      </c>
      <c r="R12" s="299">
        <v>9</v>
      </c>
      <c r="S12" s="320">
        <f t="shared" si="8"/>
        <v>61</v>
      </c>
      <c r="T12" s="300" t="str">
        <f t="shared" si="9"/>
        <v>X</v>
      </c>
      <c r="V12" s="299">
        <f t="shared" si="10"/>
        <v>61</v>
      </c>
      <c r="W12" s="299">
        <f t="shared" si="1"/>
        <v>0</v>
      </c>
      <c r="Y12" s="312">
        <f t="shared" si="2"/>
        <v>61</v>
      </c>
      <c r="Z12" s="312" t="str">
        <f t="shared" si="3"/>
        <v>X</v>
      </c>
      <c r="AA12" s="312" t="str">
        <f t="shared" si="4"/>
        <v>X</v>
      </c>
      <c r="AB12" s="313" t="str">
        <f t="shared" si="5"/>
        <v>X</v>
      </c>
      <c r="AC12" s="299" t="str">
        <f t="shared" si="11"/>
        <v>X</v>
      </c>
      <c r="AE12" s="298" t="str">
        <f t="shared" si="12"/>
        <v/>
      </c>
      <c r="AF12" s="314" t="str">
        <f t="shared" si="13"/>
        <v>X</v>
      </c>
      <c r="AG12" s="299"/>
      <c r="AH12" s="299"/>
      <c r="AJ12" s="2">
        <v>9</v>
      </c>
      <c r="AK12" s="2" t="str">
        <f t="shared" si="6"/>
        <v/>
      </c>
      <c r="AL12" s="2">
        <f t="shared" si="14"/>
        <v>16</v>
      </c>
      <c r="AM12" s="2" t="str">
        <f t="shared" si="7"/>
        <v>X</v>
      </c>
      <c r="AO12" s="298">
        <f t="shared" si="15"/>
        <v>9</v>
      </c>
      <c r="AP12" s="311" t="str">
        <f>IF(AO12="","",IF(EDATE($AP$3,AO12)&gt;EXPEDIENTE!$F$27,"",EDATE($AP$3,AO12)))</f>
        <v/>
      </c>
      <c r="AT12" s="299">
        <v>4</v>
      </c>
      <c r="AU12" s="300">
        <f>'GASTOS TRABAJADOR'!M40</f>
        <v>0</v>
      </c>
      <c r="AV12" s="300">
        <f>'GASTOS TRABAJADOR'!X40</f>
        <v>0</v>
      </c>
      <c r="AW12" s="300">
        <f t="shared" si="28"/>
        <v>0</v>
      </c>
      <c r="AY12" s="300">
        <f>'GASTOS TRABAJADOR'!F40+'GASTOS TRABAJADOR'!L40-'GASTOS TRABAJADOR'!X40-'GASTOS TRABAJADOR'!Y40</f>
        <v>0</v>
      </c>
      <c r="AZ12" s="308">
        <f>'GASTOS TRABAJADOR'!AA40</f>
        <v>0</v>
      </c>
      <c r="BA12" s="300">
        <f>'GASTOS TRABAJADOR'!Y40</f>
        <v>0</v>
      </c>
      <c r="BB12" s="308">
        <f>'GASTOS TRABAJADOR'!AB40</f>
        <v>0</v>
      </c>
      <c r="BC12" s="300">
        <f>IF(AZ12&lt;=EXPEDIENTE!$H$29,AY12,0)</f>
        <v>0</v>
      </c>
      <c r="BD12" s="299">
        <f>IF(BB12&lt;=EXPEDIENTE!$H$29,BA12,0)</f>
        <v>0</v>
      </c>
      <c r="BE12" s="300">
        <f t="shared" si="29"/>
        <v>0</v>
      </c>
      <c r="BF12" s="317" t="str">
        <f>IF('GASTOS TRABAJADOR'!D40="","",'GASTOS TRABAJADOR'!D40)</f>
        <v/>
      </c>
      <c r="BG12" s="317" t="str">
        <f>IF('GASTOS TRABAJADOR'!E40="","",'GASTOS TRABAJADOR'!E40)</f>
        <v/>
      </c>
      <c r="BH12" s="298">
        <f t="shared" si="30"/>
        <v>0</v>
      </c>
      <c r="BI12" s="298">
        <f t="shared" si="31"/>
        <v>0</v>
      </c>
      <c r="BJ12" s="299">
        <f t="shared" si="32"/>
        <v>0</v>
      </c>
      <c r="BL12" s="299">
        <v>7</v>
      </c>
      <c r="BM12" s="318">
        <f t="shared" si="23"/>
        <v>45108</v>
      </c>
      <c r="BO12" s="299">
        <f t="shared" si="16"/>
        <v>0</v>
      </c>
      <c r="BP12" s="299">
        <f t="shared" si="24"/>
        <v>0</v>
      </c>
      <c r="BQ12" s="299">
        <f t="shared" si="17"/>
        <v>0</v>
      </c>
      <c r="BR12" s="299">
        <f t="shared" si="18"/>
        <v>0</v>
      </c>
      <c r="BS12" s="299">
        <f t="shared" si="19"/>
        <v>0</v>
      </c>
      <c r="BT12" s="299">
        <f t="shared" si="20"/>
        <v>0</v>
      </c>
      <c r="BU12" s="299">
        <f t="shared" si="21"/>
        <v>0</v>
      </c>
      <c r="BV12" s="299">
        <f t="shared" si="22"/>
        <v>0</v>
      </c>
      <c r="BW12" s="299">
        <f t="shared" si="25"/>
        <v>0</v>
      </c>
      <c r="BY12" s="312">
        <f>BU4</f>
        <v>0</v>
      </c>
      <c r="BZ12" s="300">
        <f>'GASTOS TRABAJADOR'!X43</f>
        <v>0</v>
      </c>
      <c r="CA12" s="330" t="str">
        <f>IF(BZ12=0,"",'GASTOS TRABAJADOR'!AA43)</f>
        <v/>
      </c>
      <c r="CB12" s="330" t="str">
        <f t="shared" si="26"/>
        <v/>
      </c>
      <c r="CC12" s="299" t="str">
        <f t="shared" si="27"/>
        <v/>
      </c>
    </row>
    <row r="13" spans="2:88" x14ac:dyDescent="0.25">
      <c r="I13" s="2"/>
      <c r="L13" s="2">
        <v>10</v>
      </c>
      <c r="M13" s="298" t="str">
        <f>'LINEAS CON DEDICACIÓN'!B26</f>
        <v>Línea 1.10:</v>
      </c>
      <c r="N13" s="299">
        <f>'LINEAS CON DEDICACIÓN'!C26</f>
        <v>0</v>
      </c>
      <c r="O13" s="299" t="str">
        <f t="shared" si="0"/>
        <v>X</v>
      </c>
      <c r="P13" s="300" t="str">
        <f>'RESUMEN TRABAJADOR ACTUACIÓN 1'!O34</f>
        <v/>
      </c>
      <c r="R13" s="299">
        <v>10</v>
      </c>
      <c r="S13" s="320">
        <f t="shared" si="8"/>
        <v>61</v>
      </c>
      <c r="T13" s="300" t="str">
        <f t="shared" si="9"/>
        <v>X</v>
      </c>
      <c r="V13" s="299">
        <f t="shared" si="10"/>
        <v>61</v>
      </c>
      <c r="W13" s="299">
        <f t="shared" si="1"/>
        <v>0</v>
      </c>
      <c r="Y13" s="312">
        <f t="shared" si="2"/>
        <v>61</v>
      </c>
      <c r="Z13" s="312" t="str">
        <f t="shared" si="3"/>
        <v>X</v>
      </c>
      <c r="AA13" s="312" t="str">
        <f t="shared" si="4"/>
        <v>X</v>
      </c>
      <c r="AB13" s="313" t="str">
        <f t="shared" si="5"/>
        <v>X</v>
      </c>
      <c r="AC13" s="299" t="str">
        <f t="shared" si="11"/>
        <v>X</v>
      </c>
      <c r="AE13" s="298" t="str">
        <f t="shared" si="12"/>
        <v/>
      </c>
      <c r="AF13" s="314" t="str">
        <f t="shared" si="13"/>
        <v>X</v>
      </c>
      <c r="AG13" s="299"/>
      <c r="AH13" s="299"/>
      <c r="AJ13" s="2">
        <v>10</v>
      </c>
      <c r="AK13" s="2" t="str">
        <f t="shared" si="6"/>
        <v/>
      </c>
      <c r="AL13" s="2">
        <f t="shared" si="14"/>
        <v>16</v>
      </c>
      <c r="AM13" s="2" t="str">
        <f t="shared" si="7"/>
        <v>X</v>
      </c>
      <c r="AO13" s="298">
        <f t="shared" si="15"/>
        <v>10</v>
      </c>
      <c r="AP13" s="311" t="str">
        <f>IF(AO13="","",IF(EDATE($AP$3,AO13)&gt;EXPEDIENTE!$F$27,"",EDATE($AP$3,AO13)))</f>
        <v/>
      </c>
      <c r="AT13" s="299">
        <v>5</v>
      </c>
      <c r="AU13" s="300">
        <f>'GASTOS TRABAJADOR'!M41</f>
        <v>0</v>
      </c>
      <c r="AV13" s="300">
        <f>'GASTOS TRABAJADOR'!X41</f>
        <v>0</v>
      </c>
      <c r="AW13" s="300">
        <f t="shared" si="28"/>
        <v>0</v>
      </c>
      <c r="AY13" s="300">
        <f>'GASTOS TRABAJADOR'!F41+'GASTOS TRABAJADOR'!L41-'GASTOS TRABAJADOR'!X41-'GASTOS TRABAJADOR'!Y41</f>
        <v>0</v>
      </c>
      <c r="AZ13" s="308">
        <f>'GASTOS TRABAJADOR'!AA41</f>
        <v>0</v>
      </c>
      <c r="BA13" s="300">
        <f>'GASTOS TRABAJADOR'!Y41</f>
        <v>0</v>
      </c>
      <c r="BB13" s="308">
        <f>'GASTOS TRABAJADOR'!AB41</f>
        <v>0</v>
      </c>
      <c r="BC13" s="300">
        <f>IF(AZ13&lt;=EXPEDIENTE!$H$29,AY13,0)</f>
        <v>0</v>
      </c>
      <c r="BD13" s="299">
        <f>IF(BB13&lt;=EXPEDIENTE!$H$29,BA13,0)</f>
        <v>0</v>
      </c>
      <c r="BE13" s="300">
        <f t="shared" si="29"/>
        <v>0</v>
      </c>
      <c r="BF13" s="317" t="str">
        <f>IF('GASTOS TRABAJADOR'!D41="","",'GASTOS TRABAJADOR'!D41)</f>
        <v/>
      </c>
      <c r="BG13" s="317" t="str">
        <f>IF('GASTOS TRABAJADOR'!E41="","",'GASTOS TRABAJADOR'!E41)</f>
        <v/>
      </c>
      <c r="BH13" s="298">
        <f t="shared" si="30"/>
        <v>0</v>
      </c>
      <c r="BI13" s="298">
        <f t="shared" si="31"/>
        <v>0</v>
      </c>
      <c r="BJ13" s="299">
        <f t="shared" si="32"/>
        <v>0</v>
      </c>
      <c r="BL13" s="299">
        <v>8</v>
      </c>
      <c r="BM13" s="318">
        <f t="shared" si="23"/>
        <v>45139</v>
      </c>
      <c r="BO13" s="299">
        <f t="shared" si="16"/>
        <v>0</v>
      </c>
      <c r="BP13" s="299">
        <f t="shared" si="24"/>
        <v>0</v>
      </c>
      <c r="BQ13" s="299">
        <f t="shared" si="17"/>
        <v>0</v>
      </c>
      <c r="BR13" s="299">
        <f t="shared" si="18"/>
        <v>0</v>
      </c>
      <c r="BS13" s="299">
        <f t="shared" si="19"/>
        <v>0</v>
      </c>
      <c r="BT13" s="299">
        <f t="shared" si="20"/>
        <v>0</v>
      </c>
      <c r="BU13" s="299">
        <f t="shared" si="21"/>
        <v>0</v>
      </c>
      <c r="BV13" s="299">
        <f t="shared" si="22"/>
        <v>0</v>
      </c>
      <c r="BW13" s="299">
        <f t="shared" si="25"/>
        <v>0</v>
      </c>
      <c r="BY13" s="312">
        <f>BV4</f>
        <v>0</v>
      </c>
      <c r="BZ13" s="300">
        <f>'GASTOS TRABAJADOR'!X44</f>
        <v>0</v>
      </c>
      <c r="CA13" s="330" t="str">
        <f>IF(BZ13=0,"",'GASTOS TRABAJADOR'!AA44)</f>
        <v/>
      </c>
      <c r="CB13" s="330" t="str">
        <f t="shared" si="26"/>
        <v/>
      </c>
      <c r="CC13" s="299" t="str">
        <f t="shared" si="27"/>
        <v/>
      </c>
    </row>
    <row r="14" spans="2:88" x14ac:dyDescent="0.25">
      <c r="C14" s="307">
        <v>2</v>
      </c>
      <c r="D14" s="2" t="s">
        <v>24</v>
      </c>
      <c r="I14" s="2"/>
      <c r="L14" s="2">
        <v>11</v>
      </c>
      <c r="M14" s="298" t="str">
        <f>'LINEAS CON DEDICACIÓN'!B27</f>
        <v>Línea 1.11:</v>
      </c>
      <c r="N14" s="299">
        <f>'LINEAS CON DEDICACIÓN'!C27</f>
        <v>0</v>
      </c>
      <c r="O14" s="299" t="str">
        <f t="shared" si="0"/>
        <v>X</v>
      </c>
      <c r="P14" s="300" t="str">
        <f>'RESUMEN TRABAJADOR ACTUACIÓN 1'!O35</f>
        <v/>
      </c>
      <c r="R14" s="299">
        <v>11</v>
      </c>
      <c r="S14" s="320">
        <f t="shared" si="8"/>
        <v>61</v>
      </c>
      <c r="T14" s="300" t="str">
        <f t="shared" si="9"/>
        <v>X</v>
      </c>
      <c r="V14" s="299">
        <f t="shared" si="10"/>
        <v>61</v>
      </c>
      <c r="W14" s="299">
        <f t="shared" si="1"/>
        <v>0</v>
      </c>
      <c r="Y14" s="312">
        <f t="shared" si="2"/>
        <v>61</v>
      </c>
      <c r="Z14" s="312" t="str">
        <f t="shared" si="3"/>
        <v>X</v>
      </c>
      <c r="AA14" s="312" t="str">
        <f t="shared" si="4"/>
        <v>X</v>
      </c>
      <c r="AB14" s="313" t="str">
        <f t="shared" si="5"/>
        <v>X</v>
      </c>
      <c r="AC14" s="299" t="str">
        <f t="shared" si="11"/>
        <v>X</v>
      </c>
      <c r="AE14" s="298" t="str">
        <f t="shared" si="12"/>
        <v/>
      </c>
      <c r="AF14" s="314" t="str">
        <f t="shared" si="13"/>
        <v>X</v>
      </c>
      <c r="AG14" s="299"/>
      <c r="AH14" s="299"/>
      <c r="AJ14" s="2">
        <v>11</v>
      </c>
      <c r="AK14" s="2" t="str">
        <f t="shared" si="6"/>
        <v/>
      </c>
      <c r="AL14" s="2">
        <f t="shared" si="14"/>
        <v>16</v>
      </c>
      <c r="AM14" s="2" t="str">
        <f t="shared" si="7"/>
        <v>X</v>
      </c>
      <c r="AO14" s="298">
        <f t="shared" si="15"/>
        <v>11</v>
      </c>
      <c r="AP14" s="311" t="str">
        <f>IF(AO14="","",IF(EDATE($AP$3,AO14)&gt;EXPEDIENTE!$F$27,"",EDATE($AP$3,AO14)))</f>
        <v/>
      </c>
      <c r="AT14" s="299">
        <v>6</v>
      </c>
      <c r="AU14" s="300">
        <f>'GASTOS TRABAJADOR'!M42</f>
        <v>0</v>
      </c>
      <c r="AV14" s="300">
        <f>'GASTOS TRABAJADOR'!X42</f>
        <v>0</v>
      </c>
      <c r="AW14" s="300">
        <f t="shared" si="28"/>
        <v>0</v>
      </c>
      <c r="AY14" s="300">
        <f>'GASTOS TRABAJADOR'!F42+'GASTOS TRABAJADOR'!L42-'GASTOS TRABAJADOR'!X42-'GASTOS TRABAJADOR'!Y42</f>
        <v>0</v>
      </c>
      <c r="AZ14" s="308">
        <f>'GASTOS TRABAJADOR'!AA42</f>
        <v>0</v>
      </c>
      <c r="BA14" s="300">
        <f>'GASTOS TRABAJADOR'!Y42</f>
        <v>0</v>
      </c>
      <c r="BB14" s="308">
        <f>'GASTOS TRABAJADOR'!AB42</f>
        <v>0</v>
      </c>
      <c r="BC14" s="300">
        <f>IF(AZ14&lt;=EXPEDIENTE!$H$29,AY14,0)</f>
        <v>0</v>
      </c>
      <c r="BD14" s="299">
        <f>IF(BB14&lt;=EXPEDIENTE!$H$29,BA14,0)</f>
        <v>0</v>
      </c>
      <c r="BE14" s="300">
        <f t="shared" si="29"/>
        <v>0</v>
      </c>
      <c r="BF14" s="317" t="str">
        <f>IF('GASTOS TRABAJADOR'!D42="","",'GASTOS TRABAJADOR'!D42)</f>
        <v/>
      </c>
      <c r="BG14" s="317" t="str">
        <f>IF('GASTOS TRABAJADOR'!E42="","",'GASTOS TRABAJADOR'!E42)</f>
        <v/>
      </c>
      <c r="BH14" s="298">
        <f t="shared" si="30"/>
        <v>0</v>
      </c>
      <c r="BI14" s="298">
        <f t="shared" si="31"/>
        <v>0</v>
      </c>
      <c r="BJ14" s="299">
        <f t="shared" si="32"/>
        <v>0</v>
      </c>
      <c r="BL14" s="299">
        <v>9</v>
      </c>
      <c r="BM14" s="318">
        <f t="shared" si="23"/>
        <v>45170</v>
      </c>
      <c r="BO14" s="299">
        <f t="shared" si="16"/>
        <v>0</v>
      </c>
      <c r="BP14" s="299">
        <f t="shared" si="24"/>
        <v>0</v>
      </c>
      <c r="BQ14" s="299">
        <f t="shared" si="17"/>
        <v>0</v>
      </c>
      <c r="BR14" s="299">
        <f t="shared" si="18"/>
        <v>0</v>
      </c>
      <c r="BS14" s="299">
        <f t="shared" si="19"/>
        <v>0</v>
      </c>
      <c r="BT14" s="299">
        <f t="shared" si="20"/>
        <v>0</v>
      </c>
      <c r="BU14" s="299">
        <f t="shared" si="21"/>
        <v>0</v>
      </c>
      <c r="BV14" s="299">
        <f t="shared" si="22"/>
        <v>0</v>
      </c>
      <c r="BW14" s="299">
        <f t="shared" si="25"/>
        <v>0</v>
      </c>
    </row>
    <row r="15" spans="2:88" x14ac:dyDescent="0.25">
      <c r="I15" s="2"/>
      <c r="L15" s="2">
        <v>12</v>
      </c>
      <c r="M15" s="298" t="str">
        <f>'LINEAS CON DEDICACIÓN'!B28</f>
        <v>Línea 1.12:</v>
      </c>
      <c r="N15" s="299">
        <f>'LINEAS CON DEDICACIÓN'!C28</f>
        <v>0</v>
      </c>
      <c r="O15" s="299" t="str">
        <f t="shared" si="0"/>
        <v>X</v>
      </c>
      <c r="P15" s="300" t="str">
        <f>'RESUMEN TRABAJADOR ACTUACIÓN 1'!O36</f>
        <v/>
      </c>
      <c r="R15" s="299">
        <v>12</v>
      </c>
      <c r="S15" s="320">
        <f t="shared" si="8"/>
        <v>61</v>
      </c>
      <c r="T15" s="300" t="str">
        <f t="shared" si="9"/>
        <v>X</v>
      </c>
      <c r="V15" s="299">
        <f t="shared" si="10"/>
        <v>61</v>
      </c>
      <c r="W15" s="299">
        <f t="shared" si="1"/>
        <v>0</v>
      </c>
      <c r="Y15" s="312">
        <f t="shared" si="2"/>
        <v>61</v>
      </c>
      <c r="Z15" s="312" t="str">
        <f t="shared" si="3"/>
        <v>X</v>
      </c>
      <c r="AA15" s="312" t="str">
        <f t="shared" si="4"/>
        <v>X</v>
      </c>
      <c r="AB15" s="313" t="str">
        <f t="shared" si="5"/>
        <v>X</v>
      </c>
      <c r="AC15" s="299" t="str">
        <f t="shared" si="11"/>
        <v>X</v>
      </c>
      <c r="AE15" s="298" t="str">
        <f t="shared" si="12"/>
        <v/>
      </c>
      <c r="AF15" s="314" t="str">
        <f t="shared" si="13"/>
        <v>X</v>
      </c>
      <c r="AG15" s="299"/>
      <c r="AH15" s="299"/>
      <c r="AJ15" s="2">
        <v>12</v>
      </c>
      <c r="AK15" s="2" t="str">
        <f t="shared" si="6"/>
        <v/>
      </c>
      <c r="AL15" s="2">
        <f t="shared" si="14"/>
        <v>16</v>
      </c>
      <c r="AM15" s="2" t="str">
        <f t="shared" si="7"/>
        <v>X</v>
      </c>
      <c r="AO15" s="298">
        <f t="shared" si="15"/>
        <v>12</v>
      </c>
      <c r="AP15" s="311" t="str">
        <f>IF(AO15="","",IF(EDATE($AP$3,AO15)&gt;EXPEDIENTE!$F$27,"",EDATE($AP$3,AO15)))</f>
        <v/>
      </c>
      <c r="AT15" s="299">
        <v>7</v>
      </c>
      <c r="AU15" s="300">
        <f>'GASTOS TRABAJADOR'!M43</f>
        <v>0</v>
      </c>
      <c r="AV15" s="300">
        <f>'GASTOS TRABAJADOR'!X43</f>
        <v>0</v>
      </c>
      <c r="AW15" s="300">
        <f t="shared" si="28"/>
        <v>0</v>
      </c>
      <c r="AY15" s="300">
        <f>'GASTOS TRABAJADOR'!F43+'GASTOS TRABAJADOR'!L43-'GASTOS TRABAJADOR'!X43-'GASTOS TRABAJADOR'!Y43</f>
        <v>0</v>
      </c>
      <c r="AZ15" s="308">
        <f>'GASTOS TRABAJADOR'!AA43</f>
        <v>0</v>
      </c>
      <c r="BA15" s="300">
        <f>'GASTOS TRABAJADOR'!Y43</f>
        <v>0</v>
      </c>
      <c r="BB15" s="308">
        <f>'GASTOS TRABAJADOR'!AB43</f>
        <v>0</v>
      </c>
      <c r="BC15" s="300">
        <f>IF(AZ15&lt;=EXPEDIENTE!$H$29,AY15,0)</f>
        <v>0</v>
      </c>
      <c r="BD15" s="299">
        <f>IF(BB15&lt;=EXPEDIENTE!$H$29,BA15,0)</f>
        <v>0</v>
      </c>
      <c r="BE15" s="300">
        <f t="shared" si="29"/>
        <v>0</v>
      </c>
      <c r="BF15" s="317" t="str">
        <f>IF('GASTOS TRABAJADOR'!D43="","",'GASTOS TRABAJADOR'!D43)</f>
        <v/>
      </c>
      <c r="BG15" s="317" t="str">
        <f>IF('GASTOS TRABAJADOR'!E43="","",'GASTOS TRABAJADOR'!E43)</f>
        <v/>
      </c>
      <c r="BH15" s="298">
        <f t="shared" si="30"/>
        <v>0</v>
      </c>
      <c r="BI15" s="298">
        <f t="shared" si="31"/>
        <v>0</v>
      </c>
      <c r="BJ15" s="299">
        <f t="shared" si="32"/>
        <v>0</v>
      </c>
      <c r="BL15" s="299">
        <v>10</v>
      </c>
      <c r="BM15" s="318">
        <f t="shared" si="23"/>
        <v>45200</v>
      </c>
      <c r="BO15" s="299">
        <f t="shared" si="16"/>
        <v>0</v>
      </c>
      <c r="BP15" s="299">
        <f t="shared" si="24"/>
        <v>0</v>
      </c>
      <c r="BQ15" s="299">
        <f t="shared" si="17"/>
        <v>0</v>
      </c>
      <c r="BR15" s="299">
        <f t="shared" si="18"/>
        <v>0</v>
      </c>
      <c r="BS15" s="299">
        <f t="shared" si="19"/>
        <v>0</v>
      </c>
      <c r="BT15" s="299">
        <f t="shared" si="20"/>
        <v>0</v>
      </c>
      <c r="BU15" s="299">
        <f t="shared" si="21"/>
        <v>0</v>
      </c>
      <c r="BV15" s="299">
        <f t="shared" si="22"/>
        <v>0</v>
      </c>
      <c r="BW15" s="299">
        <f t="shared" si="25"/>
        <v>0</v>
      </c>
    </row>
    <row r="16" spans="2:88" x14ac:dyDescent="0.25">
      <c r="C16" s="295" t="s">
        <v>25</v>
      </c>
      <c r="E16" s="308">
        <f>EXPEDIENTE!F27</f>
        <v>0</v>
      </c>
      <c r="I16" s="2"/>
      <c r="L16" s="2">
        <v>13</v>
      </c>
      <c r="M16" s="298" t="str">
        <f>'LINEAS CON DEDICACIÓN'!B29</f>
        <v>Línea 1.13:</v>
      </c>
      <c r="N16" s="299">
        <f>'LINEAS CON DEDICACIÓN'!C29</f>
        <v>0</v>
      </c>
      <c r="O16" s="299" t="str">
        <f t="shared" si="0"/>
        <v>X</v>
      </c>
      <c r="P16" s="300" t="str">
        <f>'RESUMEN TRABAJADOR ACTUACIÓN 1'!O37</f>
        <v/>
      </c>
      <c r="R16" s="299">
        <v>13</v>
      </c>
      <c r="S16" s="320">
        <f t="shared" si="8"/>
        <v>61</v>
      </c>
      <c r="T16" s="300" t="str">
        <f t="shared" si="9"/>
        <v>X</v>
      </c>
      <c r="V16" s="299">
        <f t="shared" si="10"/>
        <v>61</v>
      </c>
      <c r="W16" s="299">
        <f t="shared" si="1"/>
        <v>0</v>
      </c>
      <c r="Y16" s="312">
        <f t="shared" si="2"/>
        <v>61</v>
      </c>
      <c r="Z16" s="312" t="str">
        <f t="shared" si="3"/>
        <v>X</v>
      </c>
      <c r="AA16" s="312" t="str">
        <f t="shared" si="4"/>
        <v>X</v>
      </c>
      <c r="AB16" s="313" t="str">
        <f t="shared" si="5"/>
        <v>X</v>
      </c>
      <c r="AC16" s="299" t="str">
        <f t="shared" si="11"/>
        <v>X</v>
      </c>
      <c r="AE16" s="298" t="str">
        <f t="shared" si="12"/>
        <v/>
      </c>
      <c r="AF16" s="314" t="str">
        <f t="shared" si="13"/>
        <v>X</v>
      </c>
      <c r="AG16" s="299"/>
      <c r="AH16" s="299"/>
      <c r="AJ16" s="2">
        <v>13</v>
      </c>
      <c r="AK16" s="2" t="str">
        <f t="shared" si="6"/>
        <v/>
      </c>
      <c r="AL16" s="2">
        <f t="shared" si="14"/>
        <v>16</v>
      </c>
      <c r="AM16" s="2" t="str">
        <f t="shared" si="7"/>
        <v>X</v>
      </c>
      <c r="AO16" s="298">
        <f t="shared" si="15"/>
        <v>13</v>
      </c>
      <c r="AP16" s="311" t="str">
        <f>IF(AO16="","",IF(EDATE($AP$3,AO16)&gt;EXPEDIENTE!$F$27,"",EDATE($AP$3,AO16)))</f>
        <v/>
      </c>
      <c r="AT16" s="299">
        <v>8</v>
      </c>
      <c r="AU16" s="300">
        <f>'GASTOS TRABAJADOR'!M44</f>
        <v>0</v>
      </c>
      <c r="AV16" s="300">
        <f>'GASTOS TRABAJADOR'!X44</f>
        <v>0</v>
      </c>
      <c r="AW16" s="300">
        <f t="shared" si="28"/>
        <v>0</v>
      </c>
      <c r="AY16" s="300">
        <f>'GASTOS TRABAJADOR'!F44+'GASTOS TRABAJADOR'!L44-'GASTOS TRABAJADOR'!X44-'GASTOS TRABAJADOR'!Y44</f>
        <v>0</v>
      </c>
      <c r="AZ16" s="308">
        <f>'GASTOS TRABAJADOR'!AA44</f>
        <v>0</v>
      </c>
      <c r="BA16" s="300">
        <f>'GASTOS TRABAJADOR'!Y44</f>
        <v>0</v>
      </c>
      <c r="BB16" s="308">
        <f>'GASTOS TRABAJADOR'!AB44</f>
        <v>0</v>
      </c>
      <c r="BC16" s="300">
        <f>IF(AZ16&lt;=EXPEDIENTE!$H$29,AY16,0)</f>
        <v>0</v>
      </c>
      <c r="BD16" s="299">
        <f>IF(BB16&lt;=EXPEDIENTE!$H$29,BA16,0)</f>
        <v>0</v>
      </c>
      <c r="BE16" s="300">
        <f t="shared" si="29"/>
        <v>0</v>
      </c>
      <c r="BF16" s="317" t="str">
        <f>IF('GASTOS TRABAJADOR'!D44="","",'GASTOS TRABAJADOR'!D44)</f>
        <v/>
      </c>
      <c r="BG16" s="317" t="str">
        <f>IF('GASTOS TRABAJADOR'!E44="","",'GASTOS TRABAJADOR'!E44)</f>
        <v/>
      </c>
      <c r="BH16" s="298">
        <f t="shared" si="30"/>
        <v>0</v>
      </c>
      <c r="BI16" s="298">
        <f t="shared" si="31"/>
        <v>0</v>
      </c>
      <c r="BJ16" s="299">
        <f t="shared" si="32"/>
        <v>0</v>
      </c>
      <c r="BL16" s="299">
        <v>11</v>
      </c>
      <c r="BM16" s="318">
        <f t="shared" si="23"/>
        <v>45231</v>
      </c>
      <c r="BO16" s="299">
        <f t="shared" si="16"/>
        <v>0</v>
      </c>
      <c r="BP16" s="299">
        <f t="shared" si="24"/>
        <v>0</v>
      </c>
      <c r="BQ16" s="299">
        <f t="shared" si="17"/>
        <v>0</v>
      </c>
      <c r="BR16" s="299">
        <f t="shared" si="18"/>
        <v>0</v>
      </c>
      <c r="BS16" s="299">
        <f t="shared" si="19"/>
        <v>0</v>
      </c>
      <c r="BT16" s="299">
        <f t="shared" si="20"/>
        <v>0</v>
      </c>
      <c r="BU16" s="299">
        <f t="shared" si="21"/>
        <v>0</v>
      </c>
      <c r="BV16" s="299">
        <f t="shared" si="22"/>
        <v>0</v>
      </c>
      <c r="BW16" s="299">
        <f t="shared" si="25"/>
        <v>0</v>
      </c>
    </row>
    <row r="17" spans="3:88" x14ac:dyDescent="0.25">
      <c r="C17" s="295" t="s">
        <v>26</v>
      </c>
      <c r="E17" s="2">
        <f>DAY(E16)</f>
        <v>0</v>
      </c>
      <c r="I17" s="2"/>
      <c r="L17" s="2">
        <v>14</v>
      </c>
      <c r="M17" s="298" t="str">
        <f>'LINEAS CON DEDICACIÓN'!B30</f>
        <v>Línea 1.14:</v>
      </c>
      <c r="N17" s="299">
        <f>'LINEAS CON DEDICACIÓN'!C30</f>
        <v>0</v>
      </c>
      <c r="O17" s="299" t="str">
        <f t="shared" si="0"/>
        <v>X</v>
      </c>
      <c r="P17" s="300" t="str">
        <f>'RESUMEN TRABAJADOR ACTUACIÓN 1'!O38</f>
        <v/>
      </c>
      <c r="R17" s="299">
        <v>14</v>
      </c>
      <c r="S17" s="320">
        <f t="shared" si="8"/>
        <v>61</v>
      </c>
      <c r="T17" s="300" t="str">
        <f t="shared" si="9"/>
        <v>X</v>
      </c>
      <c r="V17" s="299">
        <f t="shared" si="10"/>
        <v>61</v>
      </c>
      <c r="W17" s="299">
        <f t="shared" si="1"/>
        <v>0</v>
      </c>
      <c r="Y17" s="312">
        <f t="shared" si="2"/>
        <v>61</v>
      </c>
      <c r="Z17" s="312" t="str">
        <f t="shared" si="3"/>
        <v>X</v>
      </c>
      <c r="AA17" s="312" t="str">
        <f t="shared" si="4"/>
        <v>X</v>
      </c>
      <c r="AB17" s="313" t="str">
        <f t="shared" si="5"/>
        <v>X</v>
      </c>
      <c r="AC17" s="299" t="str">
        <f t="shared" si="11"/>
        <v>X</v>
      </c>
      <c r="AE17" s="298" t="str">
        <f t="shared" si="12"/>
        <v/>
      </c>
      <c r="AF17" s="314" t="str">
        <f t="shared" si="13"/>
        <v>X</v>
      </c>
      <c r="AG17" s="299"/>
      <c r="AH17" s="299"/>
      <c r="AJ17" s="2">
        <v>14</v>
      </c>
      <c r="AK17" s="2" t="str">
        <f t="shared" si="6"/>
        <v/>
      </c>
      <c r="AL17" s="2">
        <f t="shared" si="14"/>
        <v>16</v>
      </c>
      <c r="AM17" s="2" t="str">
        <f t="shared" si="7"/>
        <v>X</v>
      </c>
      <c r="AO17" s="298">
        <f t="shared" si="15"/>
        <v>14</v>
      </c>
      <c r="AP17" s="311" t="str">
        <f>IF(AO17="","",IF(EDATE($AP$3,AO17)&gt;EXPEDIENTE!$F$27,"",EDATE($AP$3,AO17)))</f>
        <v/>
      </c>
      <c r="BL17" s="299">
        <v>12</v>
      </c>
      <c r="BM17" s="318">
        <f t="shared" si="23"/>
        <v>45261</v>
      </c>
      <c r="BO17" s="299">
        <f t="shared" si="16"/>
        <v>0</v>
      </c>
      <c r="BP17" s="299">
        <f t="shared" si="24"/>
        <v>0</v>
      </c>
      <c r="BQ17" s="299">
        <f t="shared" si="17"/>
        <v>0</v>
      </c>
      <c r="BR17" s="299">
        <f t="shared" si="18"/>
        <v>0</v>
      </c>
      <c r="BS17" s="299">
        <f t="shared" si="19"/>
        <v>0</v>
      </c>
      <c r="BT17" s="299">
        <f t="shared" si="20"/>
        <v>0</v>
      </c>
      <c r="BU17" s="299">
        <f t="shared" si="21"/>
        <v>0</v>
      </c>
      <c r="BV17" s="299">
        <f t="shared" si="22"/>
        <v>0</v>
      </c>
      <c r="BW17" s="299">
        <f t="shared" si="25"/>
        <v>0</v>
      </c>
    </row>
    <row r="18" spans="3:88" x14ac:dyDescent="0.25">
      <c r="C18" s="295" t="s">
        <v>27</v>
      </c>
      <c r="E18" s="2">
        <f>MONTH(E16)</f>
        <v>1</v>
      </c>
      <c r="I18" s="2"/>
      <c r="L18" s="2">
        <v>15</v>
      </c>
      <c r="M18" s="298" t="str">
        <f>'LINEAS CON DEDICACIÓN'!B31</f>
        <v>Línea 1.15:</v>
      </c>
      <c r="N18" s="299">
        <f>'LINEAS CON DEDICACIÓN'!C31</f>
        <v>0</v>
      </c>
      <c r="O18" s="299" t="str">
        <f t="shared" si="0"/>
        <v>X</v>
      </c>
      <c r="P18" s="300" t="str">
        <f>'RESUMEN TRABAJADOR ACTUACIÓN 1'!O39</f>
        <v/>
      </c>
      <c r="R18" s="299">
        <v>15</v>
      </c>
      <c r="S18" s="320">
        <f t="shared" si="8"/>
        <v>61</v>
      </c>
      <c r="T18" s="300" t="str">
        <f t="shared" si="9"/>
        <v>X</v>
      </c>
      <c r="V18" s="299">
        <f t="shared" si="10"/>
        <v>61</v>
      </c>
      <c r="W18" s="299">
        <f t="shared" si="1"/>
        <v>0</v>
      </c>
      <c r="Y18" s="312">
        <f t="shared" si="2"/>
        <v>61</v>
      </c>
      <c r="Z18" s="312" t="str">
        <f t="shared" si="3"/>
        <v>X</v>
      </c>
      <c r="AA18" s="312" t="str">
        <f t="shared" si="4"/>
        <v>X</v>
      </c>
      <c r="AB18" s="313" t="str">
        <f t="shared" si="5"/>
        <v>X</v>
      </c>
      <c r="AC18" s="299" t="str">
        <f t="shared" si="11"/>
        <v>X</v>
      </c>
      <c r="AE18" s="298" t="str">
        <f t="shared" si="12"/>
        <v/>
      </c>
      <c r="AF18" s="314" t="str">
        <f t="shared" si="13"/>
        <v>X</v>
      </c>
      <c r="AG18" s="299"/>
      <c r="AH18" s="299"/>
      <c r="AJ18" s="2">
        <v>15</v>
      </c>
      <c r="AK18" s="2" t="str">
        <f t="shared" si="6"/>
        <v/>
      </c>
      <c r="AL18" s="2">
        <f t="shared" si="14"/>
        <v>16</v>
      </c>
      <c r="AM18" s="2" t="str">
        <f t="shared" si="7"/>
        <v>X</v>
      </c>
      <c r="AO18" s="298">
        <f t="shared" si="15"/>
        <v>15</v>
      </c>
      <c r="AP18" s="311" t="str">
        <f>IF(AO18="","",IF(EDATE($AP$3,AO18)&gt;EXPEDIENTE!$F$27,"",EDATE($AP$3,AO18)))</f>
        <v/>
      </c>
      <c r="AV18" s="303" t="s">
        <v>65</v>
      </c>
      <c r="AW18" s="323">
        <f>SUM(AW9:AW16)</f>
        <v>0</v>
      </c>
      <c r="BM18" s="321">
        <f>BI5</f>
        <v>2024</v>
      </c>
      <c r="CF18" s="321">
        <f>BM18</f>
        <v>2024</v>
      </c>
      <c r="CG18" s="321" t="s">
        <v>245</v>
      </c>
      <c r="CH18" s="321" t="s">
        <v>318</v>
      </c>
      <c r="CI18" s="321" t="s">
        <v>362</v>
      </c>
      <c r="CJ18" s="321" t="s">
        <v>65</v>
      </c>
    </row>
    <row r="19" spans="3:88" x14ac:dyDescent="0.25">
      <c r="C19" s="295" t="s">
        <v>28</v>
      </c>
      <c r="E19" s="2">
        <f>YEAR(E16)</f>
        <v>1900</v>
      </c>
      <c r="I19" s="2"/>
      <c r="L19" s="2">
        <v>16</v>
      </c>
      <c r="M19" s="298" t="str">
        <f>'LINEAS CON DEDICACIÓN'!F17</f>
        <v>Línea 2.1:</v>
      </c>
      <c r="N19" s="299">
        <f>'LINEAS CON DEDICACIÓN'!G17</f>
        <v>0</v>
      </c>
      <c r="O19" s="299" t="str">
        <f t="shared" si="0"/>
        <v>X</v>
      </c>
      <c r="P19" s="300" t="str">
        <f>'RESUMEN TRABAJADOR ACTUACIÓN 2'!O25</f>
        <v/>
      </c>
      <c r="R19" s="299">
        <v>16</v>
      </c>
      <c r="S19" s="320">
        <f t="shared" si="8"/>
        <v>61</v>
      </c>
      <c r="T19" s="300" t="str">
        <f t="shared" si="9"/>
        <v>X</v>
      </c>
      <c r="V19" s="299">
        <f t="shared" si="10"/>
        <v>61</v>
      </c>
      <c r="W19" s="299">
        <f t="shared" si="1"/>
        <v>0</v>
      </c>
      <c r="Y19" s="312">
        <f t="shared" si="2"/>
        <v>61</v>
      </c>
      <c r="Z19" s="312" t="str">
        <f t="shared" si="3"/>
        <v>X</v>
      </c>
      <c r="AA19" s="312" t="str">
        <f t="shared" si="4"/>
        <v>X</v>
      </c>
      <c r="AB19" s="313" t="str">
        <f t="shared" si="5"/>
        <v>X</v>
      </c>
      <c r="AC19" s="299" t="str">
        <f t="shared" si="11"/>
        <v>X</v>
      </c>
      <c r="AE19" s="298" t="str">
        <f t="shared" si="12"/>
        <v/>
      </c>
      <c r="AF19" s="314" t="str">
        <f t="shared" si="13"/>
        <v>X</v>
      </c>
      <c r="AG19" s="299"/>
      <c r="AH19" s="299"/>
      <c r="AJ19" s="2">
        <v>1</v>
      </c>
      <c r="AK19" s="2" t="str">
        <f t="shared" si="6"/>
        <v/>
      </c>
      <c r="AL19" s="2">
        <f>IF(AK19="",16,AJ19)</f>
        <v>16</v>
      </c>
      <c r="AM19" s="2" t="str">
        <f t="shared" ref="AM19:AM33" si="33">IFERROR(VLOOKUP(SMALL($AL$19:$AL$33,AJ19),$AJ$19:$AK$33,2,FALSE),"X")</f>
        <v>X</v>
      </c>
      <c r="AO19" s="298">
        <f t="shared" si="15"/>
        <v>16</v>
      </c>
      <c r="AP19" s="311" t="str">
        <f>IF(AO19="","",IF(EDATE($AP$3,AO19)&gt;EXPEDIENTE!$F$27,"",EDATE($AP$3,AO19)))</f>
        <v/>
      </c>
      <c r="BG19" s="316"/>
      <c r="BL19" s="299">
        <v>1</v>
      </c>
      <c r="BM19" s="318">
        <f>DATE($BM$18,BL19,1)</f>
        <v>45292</v>
      </c>
      <c r="BO19" s="299">
        <f t="shared" ref="BO19:BO30" si="34">IF($AU$9=0,0,IF($BO$4=0,0,IF(AND(BM19&gt;=$BF$9,BM19&lt;=$BG$9),$BJ$9,0)))</f>
        <v>0</v>
      </c>
      <c r="BP19" s="299">
        <f t="shared" ref="BP19:BP30" si="35">IF($AU$10=0,0,IF($BO$4=0,0,IF(AND(BM19&gt;=$BF$10,BM19&lt;=$BG$10),$BJ$10,0)))</f>
        <v>0</v>
      </c>
      <c r="BQ19" s="299">
        <f t="shared" ref="BQ19:BQ30" si="36">IF($AU$11=0,0,IF($BQ$4=0,0,IF(AND(BM19&gt;=$BF$11,BM19&lt;=$BG$11),$BJ$11,0)))</f>
        <v>0</v>
      </c>
      <c r="BR19" s="299">
        <f t="shared" ref="BR19:BR30" si="37">IF($AU$12=0,0,IF($BR$4=0,0,IF(AND(BM19&gt;=$BF$12,BM19&lt;=$BG$12),$BJ$12,0)))</f>
        <v>0</v>
      </c>
      <c r="BS19" s="299">
        <f t="shared" ref="BS19:BS30" si="38">IF($AU$13=0,0,IF($BS$4=0,0,IF(AND(BM19&gt;=$BF$13,BM19&lt;=$BG$13),$BJ$13,0)))</f>
        <v>0</v>
      </c>
      <c r="BT19" s="299">
        <f t="shared" ref="BT19:BT30" si="39">IF($AU$14=0,0,IF($BT$4=0,0,IF(AND(BM19&gt;=$BF$14,BM19&lt;=$BG$14),$BJ$14,0)))</f>
        <v>0</v>
      </c>
      <c r="BU19" s="299">
        <f t="shared" ref="BU19:BU30" si="40">IF($AU$15=0,0,IF($BU$4=0,0,IF(AND(BM19&gt;=$BF$15,BM19&lt;=$BG$15),$BJ$15,0)))</f>
        <v>0</v>
      </c>
      <c r="BV19" s="299">
        <f t="shared" ref="BV19:BV30" si="41">IF($AU$16=0,0,IF($BV$4=0,0,IF(AND(BM19&gt;=$BF$16,BM19&lt;=$BG$16),$BJ$16,0)))</f>
        <v>0</v>
      </c>
      <c r="BW19" s="299">
        <f t="shared" si="25"/>
        <v>0</v>
      </c>
      <c r="CE19" s="193" t="s">
        <v>319</v>
      </c>
      <c r="CF19" s="193">
        <v>1</v>
      </c>
      <c r="CG19" s="300">
        <f>'GASTOS TRABAJADOR'!X20</f>
        <v>0</v>
      </c>
      <c r="CH19" s="300">
        <f>'GASTOS TRABAJADOR'!H48</f>
        <v>0</v>
      </c>
      <c r="CI19" s="299">
        <f>SUMIFS($BZ$6:$BZ$13,$CC$6:$CC$13,"="&amp;CF19)</f>
        <v>0</v>
      </c>
      <c r="CJ19" s="300">
        <f>SUM(CG19:CI19)</f>
        <v>0</v>
      </c>
    </row>
    <row r="20" spans="3:88" x14ac:dyDescent="0.25">
      <c r="I20" s="2"/>
      <c r="L20" s="2">
        <v>17</v>
      </c>
      <c r="M20" s="298" t="str">
        <f>'LINEAS CON DEDICACIÓN'!F18</f>
        <v>Línea 2.2:</v>
      </c>
      <c r="N20" s="299">
        <f>'LINEAS CON DEDICACIÓN'!G18</f>
        <v>0</v>
      </c>
      <c r="O20" s="299" t="str">
        <f t="shared" si="0"/>
        <v>X</v>
      </c>
      <c r="P20" s="300" t="str">
        <f>'RESUMEN TRABAJADOR ACTUACIÓN 2'!O26</f>
        <v/>
      </c>
      <c r="R20" s="299">
        <v>17</v>
      </c>
      <c r="S20" s="320">
        <f t="shared" si="8"/>
        <v>61</v>
      </c>
      <c r="T20" s="300" t="str">
        <f t="shared" si="9"/>
        <v>X</v>
      </c>
      <c r="V20" s="299">
        <f t="shared" si="10"/>
        <v>61</v>
      </c>
      <c r="W20" s="299">
        <f t="shared" si="1"/>
        <v>0</v>
      </c>
      <c r="Y20" s="312">
        <f t="shared" si="2"/>
        <v>61</v>
      </c>
      <c r="Z20" s="312" t="str">
        <f t="shared" si="3"/>
        <v>X</v>
      </c>
      <c r="AA20" s="312" t="str">
        <f t="shared" si="4"/>
        <v>X</v>
      </c>
      <c r="AB20" s="313" t="str">
        <f t="shared" si="5"/>
        <v>X</v>
      </c>
      <c r="AC20" s="299" t="str">
        <f t="shared" si="11"/>
        <v>X</v>
      </c>
      <c r="AE20" s="298" t="str">
        <f t="shared" si="12"/>
        <v/>
      </c>
      <c r="AF20" s="314" t="str">
        <f t="shared" si="13"/>
        <v>X</v>
      </c>
      <c r="AG20" s="299"/>
      <c r="AH20" s="299"/>
      <c r="AJ20" s="2">
        <v>2</v>
      </c>
      <c r="AK20" s="2" t="str">
        <f t="shared" si="6"/>
        <v/>
      </c>
      <c r="AL20" s="2">
        <f t="shared" ref="AL20:AL33" si="42">IF(AK20="",16,AJ20)</f>
        <v>16</v>
      </c>
      <c r="AM20" s="2" t="str">
        <f t="shared" si="33"/>
        <v>X</v>
      </c>
      <c r="AO20" s="298">
        <f t="shared" si="15"/>
        <v>17</v>
      </c>
      <c r="AP20" s="311" t="str">
        <f>IF(AO20="","",IF(EDATE($AP$3,AO20)&gt;EXPEDIENTE!$F$27,"",EDATE($AP$3,AO20)))</f>
        <v/>
      </c>
      <c r="BL20" s="299">
        <v>2</v>
      </c>
      <c r="BM20" s="318">
        <f t="shared" ref="BM20:BM30" si="43">DATE($BM$18,BL20,1)</f>
        <v>45323</v>
      </c>
      <c r="BO20" s="299">
        <f t="shared" si="34"/>
        <v>0</v>
      </c>
      <c r="BP20" s="299">
        <f t="shared" si="35"/>
        <v>0</v>
      </c>
      <c r="BQ20" s="299">
        <f t="shared" si="36"/>
        <v>0</v>
      </c>
      <c r="BR20" s="299">
        <f t="shared" si="37"/>
        <v>0</v>
      </c>
      <c r="BS20" s="299">
        <f t="shared" si="38"/>
        <v>0</v>
      </c>
      <c r="BT20" s="299">
        <f t="shared" si="39"/>
        <v>0</v>
      </c>
      <c r="BU20" s="299">
        <f t="shared" si="40"/>
        <v>0</v>
      </c>
      <c r="BV20" s="299">
        <f t="shared" si="41"/>
        <v>0</v>
      </c>
      <c r="BW20" s="299">
        <f t="shared" si="25"/>
        <v>0</v>
      </c>
      <c r="CE20" s="193" t="s">
        <v>320</v>
      </c>
      <c r="CF20" s="193">
        <v>2</v>
      </c>
      <c r="CG20" s="300">
        <f>'GASTOS TRABAJADOR'!X21</f>
        <v>0</v>
      </c>
      <c r="CH20" s="300">
        <f>'GASTOS TRABAJADOR'!H49</f>
        <v>0</v>
      </c>
      <c r="CI20" s="299">
        <f t="shared" ref="CI20:CI30" si="44">SUMIFS($BZ$6:$BZ$13,$CC$6:$CC$13,"="&amp;CF20)</f>
        <v>0</v>
      </c>
      <c r="CJ20" s="300">
        <f t="shared" ref="CJ20:CJ30" si="45">SUM(CG20:CI20)</f>
        <v>0</v>
      </c>
    </row>
    <row r="21" spans="3:88" x14ac:dyDescent="0.25">
      <c r="C21" s="295" t="s">
        <v>29</v>
      </c>
      <c r="E21" s="308">
        <f>DATE(YEAR(E16),MONTH(E16)+C14,DAY(E16))</f>
        <v>60</v>
      </c>
      <c r="I21" s="2"/>
      <c r="L21" s="2">
        <v>18</v>
      </c>
      <c r="M21" s="298" t="str">
        <f>'LINEAS CON DEDICACIÓN'!F19</f>
        <v>Línea 2.3:</v>
      </c>
      <c r="N21" s="299">
        <f>'LINEAS CON DEDICACIÓN'!G19</f>
        <v>0</v>
      </c>
      <c r="O21" s="299" t="str">
        <f t="shared" si="0"/>
        <v>X</v>
      </c>
      <c r="P21" s="300" t="str">
        <f>'RESUMEN TRABAJADOR ACTUACIÓN 2'!O27</f>
        <v/>
      </c>
      <c r="R21" s="299">
        <v>18</v>
      </c>
      <c r="S21" s="320">
        <f t="shared" si="8"/>
        <v>61</v>
      </c>
      <c r="T21" s="300" t="str">
        <f t="shared" si="9"/>
        <v>X</v>
      </c>
      <c r="V21" s="299">
        <f t="shared" si="10"/>
        <v>61</v>
      </c>
      <c r="W21" s="299">
        <f t="shared" si="1"/>
        <v>0</v>
      </c>
      <c r="Y21" s="312">
        <f t="shared" si="2"/>
        <v>61</v>
      </c>
      <c r="Z21" s="312" t="str">
        <f t="shared" si="3"/>
        <v>X</v>
      </c>
      <c r="AA21" s="312" t="str">
        <f t="shared" si="4"/>
        <v>X</v>
      </c>
      <c r="AB21" s="313" t="str">
        <f t="shared" si="5"/>
        <v>X</v>
      </c>
      <c r="AC21" s="299" t="str">
        <f t="shared" si="11"/>
        <v>X</v>
      </c>
      <c r="AE21" s="298" t="str">
        <f t="shared" si="12"/>
        <v/>
      </c>
      <c r="AF21" s="314" t="str">
        <f t="shared" si="13"/>
        <v>X</v>
      </c>
      <c r="AG21" s="299"/>
      <c r="AH21" s="299"/>
      <c r="AJ21" s="2">
        <v>3</v>
      </c>
      <c r="AK21" s="2" t="str">
        <f t="shared" si="6"/>
        <v/>
      </c>
      <c r="AL21" s="2">
        <f t="shared" si="42"/>
        <v>16</v>
      </c>
      <c r="AM21" s="2" t="str">
        <f t="shared" si="33"/>
        <v>X</v>
      </c>
      <c r="AO21" s="298">
        <f t="shared" si="15"/>
        <v>18</v>
      </c>
      <c r="AP21" s="311" t="str">
        <f>IF(AO21="","",IF(EDATE($AP$3,AO21)&gt;EXPEDIENTE!$F$27,"",EDATE($AP$3,AO21)))</f>
        <v/>
      </c>
      <c r="BL21" s="299">
        <v>3</v>
      </c>
      <c r="BM21" s="318">
        <f t="shared" si="43"/>
        <v>45352</v>
      </c>
      <c r="BO21" s="299">
        <f t="shared" si="34"/>
        <v>0</v>
      </c>
      <c r="BP21" s="299">
        <f t="shared" si="35"/>
        <v>0</v>
      </c>
      <c r="BQ21" s="299">
        <f t="shared" si="36"/>
        <v>0</v>
      </c>
      <c r="BR21" s="299">
        <f t="shared" si="37"/>
        <v>0</v>
      </c>
      <c r="BS21" s="299">
        <f t="shared" si="38"/>
        <v>0</v>
      </c>
      <c r="BT21" s="299">
        <f t="shared" si="39"/>
        <v>0</v>
      </c>
      <c r="BU21" s="299">
        <f t="shared" si="40"/>
        <v>0</v>
      </c>
      <c r="BV21" s="299">
        <f t="shared" si="41"/>
        <v>0</v>
      </c>
      <c r="BW21" s="299">
        <f t="shared" si="25"/>
        <v>0</v>
      </c>
      <c r="CE21" s="193" t="s">
        <v>321</v>
      </c>
      <c r="CF21" s="193">
        <v>3</v>
      </c>
      <c r="CG21" s="300">
        <f>'GASTOS TRABAJADOR'!X22</f>
        <v>0</v>
      </c>
      <c r="CH21" s="300">
        <f>'GASTOS TRABAJADOR'!H50</f>
        <v>0</v>
      </c>
      <c r="CI21" s="299">
        <f t="shared" si="44"/>
        <v>0</v>
      </c>
      <c r="CJ21" s="300">
        <f t="shared" si="45"/>
        <v>0</v>
      </c>
    </row>
    <row r="22" spans="3:88" x14ac:dyDescent="0.25">
      <c r="C22" s="295" t="s">
        <v>30</v>
      </c>
      <c r="E22" s="308">
        <f>IF(DAY(E16)=DAY(E21),E21,DATE(YEAR(E21),MONTH(E21),1)-1)</f>
        <v>31</v>
      </c>
      <c r="I22" s="2"/>
      <c r="L22" s="2">
        <v>19</v>
      </c>
      <c r="M22" s="298" t="str">
        <f>'LINEAS CON DEDICACIÓN'!F20</f>
        <v>Línea 2.4:</v>
      </c>
      <c r="N22" s="299">
        <f>'LINEAS CON DEDICACIÓN'!G20</f>
        <v>0</v>
      </c>
      <c r="O22" s="299" t="str">
        <f t="shared" si="0"/>
        <v>X</v>
      </c>
      <c r="P22" s="300" t="str">
        <f>'RESUMEN TRABAJADOR ACTUACIÓN 2'!O28</f>
        <v/>
      </c>
      <c r="R22" s="299">
        <v>19</v>
      </c>
      <c r="S22" s="320">
        <f t="shared" si="8"/>
        <v>61</v>
      </c>
      <c r="T22" s="300" t="str">
        <f t="shared" si="9"/>
        <v>X</v>
      </c>
      <c r="V22" s="299">
        <f t="shared" si="10"/>
        <v>61</v>
      </c>
      <c r="W22" s="299">
        <f t="shared" si="1"/>
        <v>0</v>
      </c>
      <c r="Y22" s="312">
        <f t="shared" si="2"/>
        <v>61</v>
      </c>
      <c r="Z22" s="312" t="str">
        <f t="shared" si="3"/>
        <v>X</v>
      </c>
      <c r="AA22" s="312" t="str">
        <f t="shared" si="4"/>
        <v>X</v>
      </c>
      <c r="AB22" s="313" t="str">
        <f t="shared" si="5"/>
        <v>X</v>
      </c>
      <c r="AC22" s="299" t="str">
        <f t="shared" si="11"/>
        <v>X</v>
      </c>
      <c r="AE22" s="298" t="str">
        <f t="shared" si="12"/>
        <v/>
      </c>
      <c r="AF22" s="314" t="str">
        <f t="shared" si="13"/>
        <v>X</v>
      </c>
      <c r="AG22" s="299"/>
      <c r="AH22" s="299"/>
      <c r="AJ22" s="2">
        <v>4</v>
      </c>
      <c r="AK22" s="2" t="str">
        <f t="shared" si="6"/>
        <v/>
      </c>
      <c r="AL22" s="2">
        <f t="shared" si="42"/>
        <v>16</v>
      </c>
      <c r="AM22" s="2" t="str">
        <f t="shared" si="33"/>
        <v>X</v>
      </c>
      <c r="AO22" s="298">
        <f t="shared" si="15"/>
        <v>19</v>
      </c>
      <c r="AP22" s="311" t="str">
        <f>IF(AO22="","",IF(EDATE($AP$3,AO22)&gt;EXPEDIENTE!$F$27,"",EDATE($AP$3,AO22)))</f>
        <v/>
      </c>
      <c r="BL22" s="299">
        <v>4</v>
      </c>
      <c r="BM22" s="318">
        <f t="shared" si="43"/>
        <v>45383</v>
      </c>
      <c r="BO22" s="299">
        <f t="shared" si="34"/>
        <v>0</v>
      </c>
      <c r="BP22" s="299">
        <f t="shared" si="35"/>
        <v>0</v>
      </c>
      <c r="BQ22" s="299">
        <f t="shared" si="36"/>
        <v>0</v>
      </c>
      <c r="BR22" s="299">
        <f t="shared" si="37"/>
        <v>0</v>
      </c>
      <c r="BS22" s="299">
        <f t="shared" si="38"/>
        <v>0</v>
      </c>
      <c r="BT22" s="299">
        <f t="shared" si="39"/>
        <v>0</v>
      </c>
      <c r="BU22" s="299">
        <f t="shared" si="40"/>
        <v>0</v>
      </c>
      <c r="BV22" s="299">
        <f t="shared" si="41"/>
        <v>0</v>
      </c>
      <c r="BW22" s="299">
        <f t="shared" si="25"/>
        <v>0</v>
      </c>
      <c r="CE22" s="193" t="s">
        <v>322</v>
      </c>
      <c r="CF22" s="193">
        <v>4</v>
      </c>
      <c r="CG22" s="300">
        <f>'GASTOS TRABAJADOR'!X23</f>
        <v>0</v>
      </c>
      <c r="CH22" s="300">
        <f>'GASTOS TRABAJADOR'!H51</f>
        <v>0</v>
      </c>
      <c r="CI22" s="299">
        <f t="shared" si="44"/>
        <v>0</v>
      </c>
      <c r="CJ22" s="300">
        <f t="shared" si="45"/>
        <v>0</v>
      </c>
    </row>
    <row r="23" spans="3:88" x14ac:dyDescent="0.25">
      <c r="I23" s="2"/>
      <c r="L23" s="2">
        <v>20</v>
      </c>
      <c r="M23" s="298" t="str">
        <f>'LINEAS CON DEDICACIÓN'!F21</f>
        <v>Línea 2.5:</v>
      </c>
      <c r="N23" s="299">
        <f>'LINEAS CON DEDICACIÓN'!G21</f>
        <v>0</v>
      </c>
      <c r="O23" s="299" t="str">
        <f t="shared" si="0"/>
        <v>X</v>
      </c>
      <c r="P23" s="300" t="str">
        <f>'RESUMEN TRABAJADOR ACTUACIÓN 2'!O29</f>
        <v/>
      </c>
      <c r="R23" s="299">
        <v>20</v>
      </c>
      <c r="S23" s="320">
        <f t="shared" si="8"/>
        <v>61</v>
      </c>
      <c r="T23" s="300" t="str">
        <f t="shared" si="9"/>
        <v>X</v>
      </c>
      <c r="V23" s="299">
        <f t="shared" si="10"/>
        <v>61</v>
      </c>
      <c r="W23" s="299">
        <f t="shared" si="1"/>
        <v>0</v>
      </c>
      <c r="Y23" s="312">
        <f t="shared" si="2"/>
        <v>61</v>
      </c>
      <c r="Z23" s="312" t="str">
        <f t="shared" si="3"/>
        <v>X</v>
      </c>
      <c r="AA23" s="312" t="str">
        <f t="shared" si="4"/>
        <v>X</v>
      </c>
      <c r="AB23" s="313" t="str">
        <f t="shared" si="5"/>
        <v>X</v>
      </c>
      <c r="AC23" s="299" t="str">
        <f t="shared" si="11"/>
        <v>X</v>
      </c>
      <c r="AE23" s="298" t="str">
        <f t="shared" si="12"/>
        <v/>
      </c>
      <c r="AF23" s="314" t="str">
        <f t="shared" si="13"/>
        <v>X</v>
      </c>
      <c r="AG23" s="299"/>
      <c r="AH23" s="299"/>
      <c r="AJ23" s="2">
        <v>5</v>
      </c>
      <c r="AK23" s="2" t="str">
        <f t="shared" si="6"/>
        <v/>
      </c>
      <c r="AL23" s="2">
        <f t="shared" si="42"/>
        <v>16</v>
      </c>
      <c r="AM23" s="2" t="str">
        <f t="shared" si="33"/>
        <v>X</v>
      </c>
      <c r="AO23" s="298">
        <f t="shared" si="15"/>
        <v>20</v>
      </c>
      <c r="AP23" s="311" t="str">
        <f>IF(AO23="","",IF(EDATE($AP$3,AO23)&gt;EXPEDIENTE!$F$27,"",EDATE($AP$3,AO23)))</f>
        <v/>
      </c>
      <c r="BL23" s="299">
        <v>5</v>
      </c>
      <c r="BM23" s="318">
        <f t="shared" si="43"/>
        <v>45413</v>
      </c>
      <c r="BO23" s="299">
        <f t="shared" si="34"/>
        <v>0</v>
      </c>
      <c r="BP23" s="299">
        <f t="shared" si="35"/>
        <v>0</v>
      </c>
      <c r="BQ23" s="299">
        <f t="shared" si="36"/>
        <v>0</v>
      </c>
      <c r="BR23" s="299">
        <f t="shared" si="37"/>
        <v>0</v>
      </c>
      <c r="BS23" s="299">
        <f t="shared" si="38"/>
        <v>0</v>
      </c>
      <c r="BT23" s="299">
        <f t="shared" si="39"/>
        <v>0</v>
      </c>
      <c r="BU23" s="299">
        <f t="shared" si="40"/>
        <v>0</v>
      </c>
      <c r="BV23" s="299">
        <f t="shared" si="41"/>
        <v>0</v>
      </c>
      <c r="BW23" s="299">
        <f t="shared" si="25"/>
        <v>0</v>
      </c>
      <c r="CE23" s="193" t="s">
        <v>323</v>
      </c>
      <c r="CF23" s="193">
        <v>5</v>
      </c>
      <c r="CG23" s="300">
        <f>'GASTOS TRABAJADOR'!X24</f>
        <v>0</v>
      </c>
      <c r="CH23" s="300">
        <f>'GASTOS TRABAJADOR'!H52</f>
        <v>0</v>
      </c>
      <c r="CI23" s="299">
        <f t="shared" si="44"/>
        <v>0</v>
      </c>
      <c r="CJ23" s="300">
        <f t="shared" si="45"/>
        <v>0</v>
      </c>
    </row>
    <row r="24" spans="3:88" x14ac:dyDescent="0.25">
      <c r="I24" s="2"/>
      <c r="L24" s="2">
        <v>21</v>
      </c>
      <c r="M24" s="298" t="str">
        <f>'LINEAS CON DEDICACIÓN'!F22</f>
        <v>Línea 2.6:</v>
      </c>
      <c r="N24" s="299">
        <f>'LINEAS CON DEDICACIÓN'!G22</f>
        <v>0</v>
      </c>
      <c r="O24" s="299" t="str">
        <f t="shared" si="0"/>
        <v>X</v>
      </c>
      <c r="P24" s="300" t="str">
        <f>'RESUMEN TRABAJADOR ACTUACIÓN 2'!O30</f>
        <v/>
      </c>
      <c r="R24" s="299">
        <v>21</v>
      </c>
      <c r="S24" s="320">
        <f t="shared" si="8"/>
        <v>61</v>
      </c>
      <c r="T24" s="300" t="str">
        <f t="shared" si="9"/>
        <v>X</v>
      </c>
      <c r="V24" s="299">
        <f t="shared" si="10"/>
        <v>61</v>
      </c>
      <c r="W24" s="299">
        <f t="shared" si="1"/>
        <v>0</v>
      </c>
      <c r="Y24" s="312">
        <f t="shared" si="2"/>
        <v>61</v>
      </c>
      <c r="Z24" s="312" t="str">
        <f t="shared" si="3"/>
        <v>X</v>
      </c>
      <c r="AA24" s="312" t="str">
        <f t="shared" si="4"/>
        <v>X</v>
      </c>
      <c r="AB24" s="313" t="str">
        <f t="shared" si="5"/>
        <v>X</v>
      </c>
      <c r="AC24" s="299" t="str">
        <f t="shared" si="11"/>
        <v>X</v>
      </c>
      <c r="AE24" s="298" t="str">
        <f t="shared" si="12"/>
        <v/>
      </c>
      <c r="AF24" s="314" t="str">
        <f t="shared" si="13"/>
        <v>X</v>
      </c>
      <c r="AG24" s="299"/>
      <c r="AH24" s="299"/>
      <c r="AJ24" s="2">
        <v>6</v>
      </c>
      <c r="AK24" s="2" t="str">
        <f t="shared" si="6"/>
        <v/>
      </c>
      <c r="AL24" s="2">
        <f t="shared" si="42"/>
        <v>16</v>
      </c>
      <c r="AM24" s="2" t="str">
        <f t="shared" si="33"/>
        <v>X</v>
      </c>
      <c r="AO24" s="298">
        <f t="shared" si="15"/>
        <v>21</v>
      </c>
      <c r="AP24" s="311" t="str">
        <f>IF(AO24="","",IF(EDATE($AP$3,AO24)&gt;EXPEDIENTE!$F$27,"",EDATE($AP$3,AO24)))</f>
        <v/>
      </c>
      <c r="BL24" s="299">
        <v>6</v>
      </c>
      <c r="BM24" s="318">
        <f t="shared" si="43"/>
        <v>45444</v>
      </c>
      <c r="BO24" s="299">
        <f t="shared" si="34"/>
        <v>0</v>
      </c>
      <c r="BP24" s="299">
        <f t="shared" si="35"/>
        <v>0</v>
      </c>
      <c r="BQ24" s="299">
        <f t="shared" si="36"/>
        <v>0</v>
      </c>
      <c r="BR24" s="299">
        <f t="shared" si="37"/>
        <v>0</v>
      </c>
      <c r="BS24" s="299">
        <f t="shared" si="38"/>
        <v>0</v>
      </c>
      <c r="BT24" s="299">
        <f t="shared" si="39"/>
        <v>0</v>
      </c>
      <c r="BU24" s="299">
        <f t="shared" si="40"/>
        <v>0</v>
      </c>
      <c r="BV24" s="299">
        <f t="shared" si="41"/>
        <v>0</v>
      </c>
      <c r="BW24" s="299">
        <f t="shared" si="25"/>
        <v>0</v>
      </c>
      <c r="CE24" s="193" t="s">
        <v>324</v>
      </c>
      <c r="CF24" s="193">
        <v>6</v>
      </c>
      <c r="CG24" s="300">
        <f>'GASTOS TRABAJADOR'!X25</f>
        <v>0</v>
      </c>
      <c r="CH24" s="300">
        <f>'GASTOS TRABAJADOR'!H53</f>
        <v>0</v>
      </c>
      <c r="CI24" s="299">
        <f t="shared" si="44"/>
        <v>0</v>
      </c>
      <c r="CJ24" s="300">
        <f t="shared" si="45"/>
        <v>0</v>
      </c>
    </row>
    <row r="25" spans="3:88" x14ac:dyDescent="0.25">
      <c r="I25" s="2"/>
      <c r="L25" s="2">
        <v>22</v>
      </c>
      <c r="M25" s="298" t="str">
        <f>'LINEAS CON DEDICACIÓN'!F23</f>
        <v>Línea 2.7:</v>
      </c>
      <c r="N25" s="299">
        <f>'LINEAS CON DEDICACIÓN'!G23</f>
        <v>0</v>
      </c>
      <c r="O25" s="299" t="str">
        <f t="shared" si="0"/>
        <v>X</v>
      </c>
      <c r="P25" s="300" t="str">
        <f>'RESUMEN TRABAJADOR ACTUACIÓN 2'!O31</f>
        <v/>
      </c>
      <c r="R25" s="299">
        <v>22</v>
      </c>
      <c r="S25" s="320">
        <f t="shared" si="8"/>
        <v>61</v>
      </c>
      <c r="T25" s="300" t="str">
        <f t="shared" si="9"/>
        <v>X</v>
      </c>
      <c r="V25" s="299">
        <f t="shared" si="10"/>
        <v>61</v>
      </c>
      <c r="W25" s="299">
        <f t="shared" si="1"/>
        <v>0</v>
      </c>
      <c r="Y25" s="312">
        <f t="shared" si="2"/>
        <v>61</v>
      </c>
      <c r="Z25" s="312" t="str">
        <f t="shared" si="3"/>
        <v>X</v>
      </c>
      <c r="AA25" s="312" t="str">
        <f t="shared" si="4"/>
        <v>X</v>
      </c>
      <c r="AB25" s="313" t="str">
        <f t="shared" si="5"/>
        <v>X</v>
      </c>
      <c r="AC25" s="299" t="str">
        <f t="shared" si="11"/>
        <v>X</v>
      </c>
      <c r="AE25" s="298" t="str">
        <f t="shared" si="12"/>
        <v/>
      </c>
      <c r="AF25" s="314" t="str">
        <f t="shared" si="13"/>
        <v>X</v>
      </c>
      <c r="AG25" s="299"/>
      <c r="AH25" s="299"/>
      <c r="AJ25" s="2">
        <v>7</v>
      </c>
      <c r="AK25" s="2" t="str">
        <f t="shared" si="6"/>
        <v/>
      </c>
      <c r="AL25" s="2">
        <f t="shared" si="42"/>
        <v>16</v>
      </c>
      <c r="AM25" s="2" t="str">
        <f t="shared" si="33"/>
        <v>X</v>
      </c>
      <c r="AO25" s="298">
        <f t="shared" si="15"/>
        <v>22</v>
      </c>
      <c r="AP25" s="311" t="str">
        <f>IF(AO25="","",IF(EDATE($AP$3,AO25)&gt;EXPEDIENTE!$F$27,"",EDATE($AP$3,AO25)))</f>
        <v/>
      </c>
      <c r="BL25" s="299">
        <v>7</v>
      </c>
      <c r="BM25" s="318">
        <f t="shared" si="43"/>
        <v>45474</v>
      </c>
      <c r="BO25" s="299">
        <f t="shared" si="34"/>
        <v>0</v>
      </c>
      <c r="BP25" s="299">
        <f t="shared" si="35"/>
        <v>0</v>
      </c>
      <c r="BQ25" s="299">
        <f t="shared" si="36"/>
        <v>0</v>
      </c>
      <c r="BR25" s="299">
        <f t="shared" si="37"/>
        <v>0</v>
      </c>
      <c r="BS25" s="299">
        <f t="shared" si="38"/>
        <v>0</v>
      </c>
      <c r="BT25" s="299">
        <f t="shared" si="39"/>
        <v>0</v>
      </c>
      <c r="BU25" s="299">
        <f t="shared" si="40"/>
        <v>0</v>
      </c>
      <c r="BV25" s="299">
        <f t="shared" si="41"/>
        <v>0</v>
      </c>
      <c r="BW25" s="299">
        <f t="shared" si="25"/>
        <v>0</v>
      </c>
      <c r="CE25" s="193" t="s">
        <v>325</v>
      </c>
      <c r="CF25" s="193">
        <v>7</v>
      </c>
      <c r="CG25" s="300">
        <f>'GASTOS TRABAJADOR'!X26</f>
        <v>0</v>
      </c>
      <c r="CH25" s="300">
        <f>'GASTOS TRABAJADOR'!H54</f>
        <v>0</v>
      </c>
      <c r="CI25" s="299">
        <f t="shared" si="44"/>
        <v>0</v>
      </c>
      <c r="CJ25" s="300">
        <f t="shared" si="45"/>
        <v>0</v>
      </c>
    </row>
    <row r="26" spans="3:88" x14ac:dyDescent="0.25">
      <c r="L26" s="2">
        <v>23</v>
      </c>
      <c r="M26" s="298" t="str">
        <f>'LINEAS CON DEDICACIÓN'!F24</f>
        <v>Línea 2.8:</v>
      </c>
      <c r="N26" s="299">
        <f>'LINEAS CON DEDICACIÓN'!G24</f>
        <v>0</v>
      </c>
      <c r="O26" s="299" t="str">
        <f t="shared" si="0"/>
        <v>X</v>
      </c>
      <c r="P26" s="300" t="str">
        <f>'RESUMEN TRABAJADOR ACTUACIÓN 2'!O32</f>
        <v/>
      </c>
      <c r="R26" s="299">
        <v>23</v>
      </c>
      <c r="S26" s="320">
        <f t="shared" si="8"/>
        <v>61</v>
      </c>
      <c r="T26" s="300" t="str">
        <f t="shared" si="9"/>
        <v>X</v>
      </c>
      <c r="V26" s="299">
        <f t="shared" si="10"/>
        <v>61</v>
      </c>
      <c r="W26" s="299">
        <f t="shared" si="1"/>
        <v>0</v>
      </c>
      <c r="Y26" s="312">
        <f t="shared" si="2"/>
        <v>61</v>
      </c>
      <c r="Z26" s="312" t="str">
        <f t="shared" si="3"/>
        <v>X</v>
      </c>
      <c r="AA26" s="312" t="str">
        <f t="shared" si="4"/>
        <v>X</v>
      </c>
      <c r="AB26" s="313" t="str">
        <f t="shared" si="5"/>
        <v>X</v>
      </c>
      <c r="AC26" s="299" t="str">
        <f t="shared" si="11"/>
        <v>X</v>
      </c>
      <c r="AE26" s="298" t="str">
        <f t="shared" si="12"/>
        <v/>
      </c>
      <c r="AF26" s="314" t="str">
        <f t="shared" si="13"/>
        <v>X</v>
      </c>
      <c r="AG26" s="299"/>
      <c r="AH26" s="299"/>
      <c r="AJ26" s="2">
        <v>8</v>
      </c>
      <c r="AK26" s="2" t="str">
        <f t="shared" si="6"/>
        <v/>
      </c>
      <c r="AL26" s="2">
        <f t="shared" si="42"/>
        <v>16</v>
      </c>
      <c r="AM26" s="2" t="str">
        <f t="shared" si="33"/>
        <v>X</v>
      </c>
      <c r="AO26" s="298">
        <f t="shared" si="15"/>
        <v>23</v>
      </c>
      <c r="AP26" s="311" t="str">
        <f>IF(AO26="","",IF(EDATE($AP$3,AO26)&gt;EXPEDIENTE!$F$27,"",EDATE($AP$3,AO26)))</f>
        <v/>
      </c>
      <c r="BL26" s="299">
        <v>8</v>
      </c>
      <c r="BM26" s="318">
        <f t="shared" si="43"/>
        <v>45505</v>
      </c>
      <c r="BO26" s="299">
        <f t="shared" si="34"/>
        <v>0</v>
      </c>
      <c r="BP26" s="299">
        <f t="shared" si="35"/>
        <v>0</v>
      </c>
      <c r="BQ26" s="299">
        <f t="shared" si="36"/>
        <v>0</v>
      </c>
      <c r="BR26" s="299">
        <f t="shared" si="37"/>
        <v>0</v>
      </c>
      <c r="BS26" s="299">
        <f t="shared" si="38"/>
        <v>0</v>
      </c>
      <c r="BT26" s="299">
        <f t="shared" si="39"/>
        <v>0</v>
      </c>
      <c r="BU26" s="299">
        <f t="shared" si="40"/>
        <v>0</v>
      </c>
      <c r="BV26" s="299">
        <f t="shared" si="41"/>
        <v>0</v>
      </c>
      <c r="BW26" s="299">
        <f t="shared" si="25"/>
        <v>0</v>
      </c>
      <c r="CE26" s="193" t="s">
        <v>326</v>
      </c>
      <c r="CF26" s="193">
        <v>8</v>
      </c>
      <c r="CG26" s="300">
        <f>'GASTOS TRABAJADOR'!X27</f>
        <v>0</v>
      </c>
      <c r="CH26" s="300">
        <f>'GASTOS TRABAJADOR'!H55</f>
        <v>0</v>
      </c>
      <c r="CI26" s="299">
        <f t="shared" si="44"/>
        <v>0</v>
      </c>
      <c r="CJ26" s="300">
        <f t="shared" si="45"/>
        <v>0</v>
      </c>
    </row>
    <row r="27" spans="3:88" x14ac:dyDescent="0.25">
      <c r="L27" s="2">
        <v>24</v>
      </c>
      <c r="M27" s="298" t="str">
        <f>'LINEAS CON DEDICACIÓN'!F25</f>
        <v>Línea 2.9:</v>
      </c>
      <c r="N27" s="299">
        <f>'LINEAS CON DEDICACIÓN'!G25</f>
        <v>0</v>
      </c>
      <c r="O27" s="299" t="str">
        <f t="shared" si="0"/>
        <v>X</v>
      </c>
      <c r="P27" s="300" t="str">
        <f>'RESUMEN TRABAJADOR ACTUACIÓN 2'!O33</f>
        <v/>
      </c>
      <c r="R27" s="299">
        <v>24</v>
      </c>
      <c r="S27" s="320">
        <f t="shared" si="8"/>
        <v>61</v>
      </c>
      <c r="T27" s="300" t="str">
        <f t="shared" si="9"/>
        <v>X</v>
      </c>
      <c r="V27" s="299">
        <f t="shared" si="10"/>
        <v>61</v>
      </c>
      <c r="W27" s="299">
        <f t="shared" si="1"/>
        <v>0</v>
      </c>
      <c r="Y27" s="312">
        <f t="shared" si="2"/>
        <v>61</v>
      </c>
      <c r="Z27" s="312" t="str">
        <f t="shared" si="3"/>
        <v>X</v>
      </c>
      <c r="AA27" s="312" t="str">
        <f t="shared" si="4"/>
        <v>X</v>
      </c>
      <c r="AB27" s="313" t="str">
        <f t="shared" si="5"/>
        <v>X</v>
      </c>
      <c r="AC27" s="299" t="str">
        <f t="shared" si="11"/>
        <v>X</v>
      </c>
      <c r="AE27" s="298" t="str">
        <f t="shared" si="12"/>
        <v/>
      </c>
      <c r="AF27" s="314" t="str">
        <f t="shared" si="13"/>
        <v>X</v>
      </c>
      <c r="AG27" s="299"/>
      <c r="AH27" s="299"/>
      <c r="AJ27" s="2">
        <v>9</v>
      </c>
      <c r="AK27" s="2" t="str">
        <f t="shared" si="6"/>
        <v/>
      </c>
      <c r="AL27" s="2">
        <f t="shared" si="42"/>
        <v>16</v>
      </c>
      <c r="AM27" s="2" t="str">
        <f t="shared" si="33"/>
        <v>X</v>
      </c>
      <c r="BL27" s="299">
        <v>9</v>
      </c>
      <c r="BM27" s="318">
        <f t="shared" si="43"/>
        <v>45536</v>
      </c>
      <c r="BO27" s="299">
        <f t="shared" si="34"/>
        <v>0</v>
      </c>
      <c r="BP27" s="299">
        <f t="shared" si="35"/>
        <v>0</v>
      </c>
      <c r="BQ27" s="299">
        <f t="shared" si="36"/>
        <v>0</v>
      </c>
      <c r="BR27" s="299">
        <f t="shared" si="37"/>
        <v>0</v>
      </c>
      <c r="BS27" s="299">
        <f t="shared" si="38"/>
        <v>0</v>
      </c>
      <c r="BT27" s="299">
        <f t="shared" si="39"/>
        <v>0</v>
      </c>
      <c r="BU27" s="299">
        <f t="shared" si="40"/>
        <v>0</v>
      </c>
      <c r="BV27" s="299">
        <f t="shared" si="41"/>
        <v>0</v>
      </c>
      <c r="BW27" s="299">
        <f t="shared" si="25"/>
        <v>0</v>
      </c>
      <c r="CE27" s="193" t="s">
        <v>327</v>
      </c>
      <c r="CF27" s="193">
        <v>9</v>
      </c>
      <c r="CG27" s="300">
        <f>'GASTOS TRABAJADOR'!X28</f>
        <v>0</v>
      </c>
      <c r="CH27" s="300">
        <f>'GASTOS TRABAJADOR'!H56</f>
        <v>0</v>
      </c>
      <c r="CI27" s="299">
        <f t="shared" si="44"/>
        <v>0</v>
      </c>
      <c r="CJ27" s="300">
        <f t="shared" si="45"/>
        <v>0</v>
      </c>
    </row>
    <row r="28" spans="3:88" x14ac:dyDescent="0.25">
      <c r="L28" s="2">
        <v>25</v>
      </c>
      <c r="M28" s="298" t="str">
        <f>'LINEAS CON DEDICACIÓN'!F26</f>
        <v>Línea 2.10:</v>
      </c>
      <c r="N28" s="299">
        <f>'LINEAS CON DEDICACIÓN'!G26</f>
        <v>0</v>
      </c>
      <c r="O28" s="299" t="str">
        <f t="shared" si="0"/>
        <v>X</v>
      </c>
      <c r="P28" s="300" t="str">
        <f>'RESUMEN TRABAJADOR ACTUACIÓN 2'!O34</f>
        <v/>
      </c>
      <c r="R28" s="299">
        <v>25</v>
      </c>
      <c r="S28" s="320">
        <f t="shared" si="8"/>
        <v>61</v>
      </c>
      <c r="T28" s="300" t="str">
        <f t="shared" si="9"/>
        <v>X</v>
      </c>
      <c r="V28" s="299">
        <f t="shared" si="10"/>
        <v>61</v>
      </c>
      <c r="W28" s="299">
        <f t="shared" si="1"/>
        <v>0</v>
      </c>
      <c r="Y28" s="312">
        <f t="shared" si="2"/>
        <v>61</v>
      </c>
      <c r="Z28" s="312" t="str">
        <f t="shared" si="3"/>
        <v>X</v>
      </c>
      <c r="AA28" s="312" t="str">
        <f t="shared" si="4"/>
        <v>X</v>
      </c>
      <c r="AB28" s="313" t="str">
        <f t="shared" si="5"/>
        <v>X</v>
      </c>
      <c r="AC28" s="299" t="str">
        <f t="shared" si="11"/>
        <v>X</v>
      </c>
      <c r="AE28" s="298" t="str">
        <f t="shared" si="12"/>
        <v/>
      </c>
      <c r="AF28" s="314" t="str">
        <f t="shared" si="13"/>
        <v>X</v>
      </c>
      <c r="AG28" s="299"/>
      <c r="AH28" s="299"/>
      <c r="AJ28" s="2">
        <v>10</v>
      </c>
      <c r="AK28" s="2" t="str">
        <f t="shared" si="6"/>
        <v/>
      </c>
      <c r="AL28" s="2">
        <f t="shared" si="42"/>
        <v>16</v>
      </c>
      <c r="AM28" s="2" t="str">
        <f t="shared" si="33"/>
        <v>X</v>
      </c>
      <c r="BL28" s="299">
        <v>10</v>
      </c>
      <c r="BM28" s="318">
        <f t="shared" si="43"/>
        <v>45566</v>
      </c>
      <c r="BO28" s="299">
        <f t="shared" si="34"/>
        <v>0</v>
      </c>
      <c r="BP28" s="299">
        <f t="shared" si="35"/>
        <v>0</v>
      </c>
      <c r="BQ28" s="299">
        <f t="shared" si="36"/>
        <v>0</v>
      </c>
      <c r="BR28" s="299">
        <f t="shared" si="37"/>
        <v>0</v>
      </c>
      <c r="BS28" s="299">
        <f t="shared" si="38"/>
        <v>0</v>
      </c>
      <c r="BT28" s="299">
        <f t="shared" si="39"/>
        <v>0</v>
      </c>
      <c r="BU28" s="299">
        <f t="shared" si="40"/>
        <v>0</v>
      </c>
      <c r="BV28" s="299">
        <f t="shared" si="41"/>
        <v>0</v>
      </c>
      <c r="BW28" s="299">
        <f t="shared" si="25"/>
        <v>0</v>
      </c>
      <c r="CE28" s="193" t="s">
        <v>328</v>
      </c>
      <c r="CF28" s="193">
        <v>10</v>
      </c>
      <c r="CG28" s="300">
        <f>'GASTOS TRABAJADOR'!X29</f>
        <v>0</v>
      </c>
      <c r="CH28" s="300">
        <f>'GASTOS TRABAJADOR'!H57</f>
        <v>0</v>
      </c>
      <c r="CI28" s="299">
        <f t="shared" si="44"/>
        <v>0</v>
      </c>
      <c r="CJ28" s="300">
        <f t="shared" si="45"/>
        <v>0</v>
      </c>
    </row>
    <row r="29" spans="3:88" x14ac:dyDescent="0.25">
      <c r="L29" s="2">
        <v>26</v>
      </c>
      <c r="M29" s="298" t="str">
        <f>'LINEAS CON DEDICACIÓN'!F27</f>
        <v>Línea 2.11:</v>
      </c>
      <c r="N29" s="299">
        <f>'LINEAS CON DEDICACIÓN'!G27</f>
        <v>0</v>
      </c>
      <c r="O29" s="299" t="str">
        <f t="shared" si="0"/>
        <v>X</v>
      </c>
      <c r="P29" s="300" t="str">
        <f>'RESUMEN TRABAJADOR ACTUACIÓN 2'!O35</f>
        <v/>
      </c>
      <c r="R29" s="299">
        <v>26</v>
      </c>
      <c r="S29" s="320">
        <f t="shared" si="8"/>
        <v>61</v>
      </c>
      <c r="T29" s="300" t="str">
        <f t="shared" si="9"/>
        <v>X</v>
      </c>
      <c r="V29" s="299">
        <f t="shared" si="10"/>
        <v>61</v>
      </c>
      <c r="W29" s="299">
        <f t="shared" si="1"/>
        <v>0</v>
      </c>
      <c r="Y29" s="312">
        <f t="shared" si="2"/>
        <v>61</v>
      </c>
      <c r="Z29" s="312" t="str">
        <f t="shared" si="3"/>
        <v>X</v>
      </c>
      <c r="AA29" s="312" t="str">
        <f t="shared" si="4"/>
        <v>X</v>
      </c>
      <c r="AB29" s="313" t="str">
        <f t="shared" si="5"/>
        <v>X</v>
      </c>
      <c r="AC29" s="299" t="str">
        <f t="shared" si="11"/>
        <v>X</v>
      </c>
      <c r="AE29" s="298" t="str">
        <f t="shared" si="12"/>
        <v/>
      </c>
      <c r="AF29" s="314" t="str">
        <f t="shared" si="13"/>
        <v>X</v>
      </c>
      <c r="AG29" s="299"/>
      <c r="AH29" s="299"/>
      <c r="AJ29" s="2">
        <v>11</v>
      </c>
      <c r="AK29" s="2" t="str">
        <f t="shared" si="6"/>
        <v/>
      </c>
      <c r="AL29" s="2">
        <f t="shared" si="42"/>
        <v>16</v>
      </c>
      <c r="AM29" s="2" t="str">
        <f t="shared" si="33"/>
        <v>X</v>
      </c>
      <c r="BL29" s="299">
        <v>11</v>
      </c>
      <c r="BM29" s="318">
        <f t="shared" si="43"/>
        <v>45597</v>
      </c>
      <c r="BO29" s="299">
        <f t="shared" si="34"/>
        <v>0</v>
      </c>
      <c r="BP29" s="299">
        <f t="shared" si="35"/>
        <v>0</v>
      </c>
      <c r="BQ29" s="299">
        <f t="shared" si="36"/>
        <v>0</v>
      </c>
      <c r="BR29" s="299">
        <f t="shared" si="37"/>
        <v>0</v>
      </c>
      <c r="BS29" s="299">
        <f t="shared" si="38"/>
        <v>0</v>
      </c>
      <c r="BT29" s="299">
        <f t="shared" si="39"/>
        <v>0</v>
      </c>
      <c r="BU29" s="299">
        <f t="shared" si="40"/>
        <v>0</v>
      </c>
      <c r="BV29" s="299">
        <f t="shared" si="41"/>
        <v>0</v>
      </c>
      <c r="BW29" s="299">
        <f t="shared" si="25"/>
        <v>0</v>
      </c>
      <c r="CE29" s="193" t="s">
        <v>329</v>
      </c>
      <c r="CF29" s="193">
        <v>11</v>
      </c>
      <c r="CG29" s="300">
        <f>'GASTOS TRABAJADOR'!X30</f>
        <v>0</v>
      </c>
      <c r="CH29" s="300">
        <f>'GASTOS TRABAJADOR'!H58</f>
        <v>0</v>
      </c>
      <c r="CI29" s="299">
        <f t="shared" si="44"/>
        <v>0</v>
      </c>
      <c r="CJ29" s="300">
        <f t="shared" si="45"/>
        <v>0</v>
      </c>
    </row>
    <row r="30" spans="3:88" x14ac:dyDescent="0.25">
      <c r="L30" s="2">
        <v>27</v>
      </c>
      <c r="M30" s="298" t="str">
        <f>'LINEAS CON DEDICACIÓN'!F28</f>
        <v>Línea 2.12:</v>
      </c>
      <c r="N30" s="299">
        <f>'LINEAS CON DEDICACIÓN'!G28</f>
        <v>0</v>
      </c>
      <c r="O30" s="299" t="str">
        <f t="shared" si="0"/>
        <v>X</v>
      </c>
      <c r="P30" s="300" t="str">
        <f>'RESUMEN TRABAJADOR ACTUACIÓN 2'!O36</f>
        <v/>
      </c>
      <c r="R30" s="299">
        <v>27</v>
      </c>
      <c r="S30" s="320">
        <f t="shared" si="8"/>
        <v>61</v>
      </c>
      <c r="T30" s="300" t="str">
        <f t="shared" si="9"/>
        <v>X</v>
      </c>
      <c r="V30" s="299">
        <f t="shared" si="10"/>
        <v>61</v>
      </c>
      <c r="W30" s="299">
        <f t="shared" si="1"/>
        <v>0</v>
      </c>
      <c r="Y30" s="312">
        <f t="shared" si="2"/>
        <v>61</v>
      </c>
      <c r="Z30" s="312" t="str">
        <f t="shared" si="3"/>
        <v>X</v>
      </c>
      <c r="AA30" s="312" t="str">
        <f t="shared" si="4"/>
        <v>X</v>
      </c>
      <c r="AB30" s="313" t="str">
        <f t="shared" si="5"/>
        <v>X</v>
      </c>
      <c r="AC30" s="299" t="str">
        <f t="shared" si="11"/>
        <v>X</v>
      </c>
      <c r="AE30" s="298" t="str">
        <f t="shared" si="12"/>
        <v/>
      </c>
      <c r="AF30" s="314" t="str">
        <f t="shared" si="13"/>
        <v>X</v>
      </c>
      <c r="AG30" s="299"/>
      <c r="AH30" s="299"/>
      <c r="AJ30" s="2">
        <v>12</v>
      </c>
      <c r="AK30" s="2" t="str">
        <f t="shared" si="6"/>
        <v/>
      </c>
      <c r="AL30" s="2">
        <f t="shared" si="42"/>
        <v>16</v>
      </c>
      <c r="AM30" s="2" t="str">
        <f t="shared" si="33"/>
        <v>X</v>
      </c>
      <c r="BL30" s="299">
        <v>12</v>
      </c>
      <c r="BM30" s="318">
        <f t="shared" si="43"/>
        <v>45627</v>
      </c>
      <c r="BO30" s="299">
        <f t="shared" si="34"/>
        <v>0</v>
      </c>
      <c r="BP30" s="299">
        <f t="shared" si="35"/>
        <v>0</v>
      </c>
      <c r="BQ30" s="299">
        <f t="shared" si="36"/>
        <v>0</v>
      </c>
      <c r="BR30" s="299">
        <f t="shared" si="37"/>
        <v>0</v>
      </c>
      <c r="BS30" s="299">
        <f t="shared" si="38"/>
        <v>0</v>
      </c>
      <c r="BT30" s="299">
        <f t="shared" si="39"/>
        <v>0</v>
      </c>
      <c r="BU30" s="299">
        <f t="shared" si="40"/>
        <v>0</v>
      </c>
      <c r="BV30" s="299">
        <f t="shared" si="41"/>
        <v>0</v>
      </c>
      <c r="BW30" s="299">
        <f t="shared" si="25"/>
        <v>0</v>
      </c>
      <c r="CE30" s="193" t="s">
        <v>330</v>
      </c>
      <c r="CF30" s="193">
        <v>12</v>
      </c>
      <c r="CG30" s="300">
        <f>'GASTOS TRABAJADOR'!X31</f>
        <v>0</v>
      </c>
      <c r="CH30" s="300">
        <f>'GASTOS TRABAJADOR'!H59</f>
        <v>0</v>
      </c>
      <c r="CI30" s="299">
        <f t="shared" si="44"/>
        <v>0</v>
      </c>
      <c r="CJ30" s="300">
        <f t="shared" si="45"/>
        <v>0</v>
      </c>
    </row>
    <row r="31" spans="3:88" x14ac:dyDescent="0.25">
      <c r="L31" s="2">
        <v>28</v>
      </c>
      <c r="M31" s="298" t="str">
        <f>'LINEAS CON DEDICACIÓN'!F29</f>
        <v>Línea 2.13:</v>
      </c>
      <c r="N31" s="299">
        <f>'LINEAS CON DEDICACIÓN'!G29</f>
        <v>0</v>
      </c>
      <c r="O31" s="299" t="str">
        <f t="shared" si="0"/>
        <v>X</v>
      </c>
      <c r="P31" s="300" t="str">
        <f>'RESUMEN TRABAJADOR ACTUACIÓN 2'!O37</f>
        <v/>
      </c>
      <c r="R31" s="299">
        <v>28</v>
      </c>
      <c r="S31" s="320">
        <f t="shared" si="8"/>
        <v>61</v>
      </c>
      <c r="T31" s="300" t="str">
        <f t="shared" si="9"/>
        <v>X</v>
      </c>
      <c r="V31" s="299">
        <f t="shared" si="10"/>
        <v>61</v>
      </c>
      <c r="W31" s="299">
        <f t="shared" si="1"/>
        <v>0</v>
      </c>
      <c r="Y31" s="312">
        <f t="shared" si="2"/>
        <v>61</v>
      </c>
      <c r="Z31" s="312" t="str">
        <f t="shared" si="3"/>
        <v>X</v>
      </c>
      <c r="AA31" s="312" t="str">
        <f t="shared" si="4"/>
        <v>X</v>
      </c>
      <c r="AB31" s="313" t="str">
        <f t="shared" si="5"/>
        <v>X</v>
      </c>
      <c r="AC31" s="299" t="str">
        <f t="shared" si="11"/>
        <v>X</v>
      </c>
      <c r="AE31" s="298" t="str">
        <f t="shared" si="12"/>
        <v/>
      </c>
      <c r="AF31" s="314" t="str">
        <f t="shared" si="13"/>
        <v>X</v>
      </c>
      <c r="AG31" s="299"/>
      <c r="AH31" s="299"/>
      <c r="AJ31" s="2">
        <v>13</v>
      </c>
      <c r="AK31" s="2" t="str">
        <f t="shared" si="6"/>
        <v/>
      </c>
      <c r="AL31" s="2">
        <f t="shared" si="42"/>
        <v>16</v>
      </c>
      <c r="AM31" s="2" t="str">
        <f t="shared" si="33"/>
        <v>X</v>
      </c>
    </row>
    <row r="32" spans="3:88" x14ac:dyDescent="0.25">
      <c r="L32" s="2">
        <v>29</v>
      </c>
      <c r="M32" s="298" t="str">
        <f>'LINEAS CON DEDICACIÓN'!F30</f>
        <v>Línea 2.14:</v>
      </c>
      <c r="N32" s="299">
        <f>'LINEAS CON DEDICACIÓN'!G30</f>
        <v>0</v>
      </c>
      <c r="O32" s="299" t="str">
        <f t="shared" si="0"/>
        <v>X</v>
      </c>
      <c r="P32" s="300" t="str">
        <f>'RESUMEN TRABAJADOR ACTUACIÓN 2'!O38</f>
        <v/>
      </c>
      <c r="R32" s="299">
        <v>29</v>
      </c>
      <c r="S32" s="320">
        <f t="shared" si="8"/>
        <v>61</v>
      </c>
      <c r="T32" s="300" t="str">
        <f t="shared" si="9"/>
        <v>X</v>
      </c>
      <c r="V32" s="299">
        <f t="shared" si="10"/>
        <v>61</v>
      </c>
      <c r="W32" s="299">
        <f t="shared" si="1"/>
        <v>0</v>
      </c>
      <c r="Y32" s="312">
        <f t="shared" si="2"/>
        <v>61</v>
      </c>
      <c r="Z32" s="312" t="str">
        <f t="shared" si="3"/>
        <v>X</v>
      </c>
      <c r="AA32" s="312" t="str">
        <f t="shared" si="4"/>
        <v>X</v>
      </c>
      <c r="AB32" s="313" t="str">
        <f t="shared" si="5"/>
        <v>X</v>
      </c>
      <c r="AC32" s="299" t="str">
        <f t="shared" si="11"/>
        <v>X</v>
      </c>
      <c r="AE32" s="298" t="str">
        <f t="shared" si="12"/>
        <v/>
      </c>
      <c r="AF32" s="314" t="str">
        <f t="shared" si="13"/>
        <v>X</v>
      </c>
      <c r="AG32" s="299"/>
      <c r="AH32" s="299"/>
      <c r="AJ32" s="2">
        <v>14</v>
      </c>
      <c r="AK32" s="2" t="str">
        <f t="shared" si="6"/>
        <v/>
      </c>
      <c r="AL32" s="2">
        <f t="shared" si="42"/>
        <v>16</v>
      </c>
      <c r="AM32" s="2" t="str">
        <f t="shared" si="33"/>
        <v>X</v>
      </c>
      <c r="BM32" s="303" t="s">
        <v>65</v>
      </c>
      <c r="BN32" s="324"/>
      <c r="BO32" s="325">
        <f>SUM(BO6:BO30)</f>
        <v>0</v>
      </c>
      <c r="BP32" s="325">
        <f t="shared" ref="BP32:BW32" si="46">SUM(BP6:BP30)</f>
        <v>0</v>
      </c>
      <c r="BQ32" s="325">
        <f t="shared" si="46"/>
        <v>0</v>
      </c>
      <c r="BR32" s="325">
        <f t="shared" si="46"/>
        <v>0</v>
      </c>
      <c r="BS32" s="325">
        <f t="shared" si="46"/>
        <v>0</v>
      </c>
      <c r="BT32" s="325">
        <f t="shared" si="46"/>
        <v>0</v>
      </c>
      <c r="BU32" s="325">
        <f t="shared" si="46"/>
        <v>0</v>
      </c>
      <c r="BV32" s="325">
        <f t="shared" si="46"/>
        <v>0</v>
      </c>
      <c r="BW32" s="325">
        <f t="shared" si="46"/>
        <v>0</v>
      </c>
    </row>
    <row r="33" spans="12:75" x14ac:dyDescent="0.25">
      <c r="L33" s="2">
        <v>30</v>
      </c>
      <c r="M33" s="298" t="str">
        <f>'LINEAS CON DEDICACIÓN'!F31</f>
        <v>Línea 2.15:</v>
      </c>
      <c r="N33" s="299">
        <f>'LINEAS CON DEDICACIÓN'!G31</f>
        <v>0</v>
      </c>
      <c r="O33" s="299" t="str">
        <f t="shared" si="0"/>
        <v>X</v>
      </c>
      <c r="P33" s="300" t="str">
        <f>'RESUMEN TRABAJADOR ACTUACIÓN 2'!O39</f>
        <v/>
      </c>
      <c r="R33" s="299">
        <v>30</v>
      </c>
      <c r="S33" s="320">
        <f t="shared" si="8"/>
        <v>61</v>
      </c>
      <c r="T33" s="300" t="str">
        <f t="shared" si="9"/>
        <v>X</v>
      </c>
      <c r="V33" s="299">
        <f t="shared" si="10"/>
        <v>61</v>
      </c>
      <c r="W33" s="299">
        <f t="shared" si="1"/>
        <v>0</v>
      </c>
      <c r="Y33" s="312">
        <f t="shared" si="2"/>
        <v>61</v>
      </c>
      <c r="Z33" s="312" t="str">
        <f t="shared" si="3"/>
        <v>X</v>
      </c>
      <c r="AA33" s="312" t="str">
        <f t="shared" si="4"/>
        <v>X</v>
      </c>
      <c r="AB33" s="313" t="str">
        <f t="shared" si="5"/>
        <v>X</v>
      </c>
      <c r="AC33" s="299" t="str">
        <f t="shared" si="11"/>
        <v>X</v>
      </c>
      <c r="AE33" s="298" t="str">
        <f t="shared" si="12"/>
        <v/>
      </c>
      <c r="AF33" s="314" t="str">
        <f t="shared" si="13"/>
        <v>X</v>
      </c>
      <c r="AG33" s="299"/>
      <c r="AH33" s="299"/>
      <c r="AJ33" s="2">
        <v>15</v>
      </c>
      <c r="AK33" s="2" t="str">
        <f t="shared" si="6"/>
        <v/>
      </c>
      <c r="AL33" s="2">
        <f t="shared" si="42"/>
        <v>16</v>
      </c>
      <c r="AM33" s="2" t="str">
        <f t="shared" si="33"/>
        <v>X</v>
      </c>
    </row>
    <row r="34" spans="12:75" x14ac:dyDescent="0.25">
      <c r="L34" s="2">
        <v>31</v>
      </c>
      <c r="M34" s="298" t="str">
        <f>'LINEAS CON DEDICACIÓN'!J17</f>
        <v>Línea 3.1:</v>
      </c>
      <c r="N34" s="299">
        <f>'LINEAS CON DEDICACIÓN'!K17</f>
        <v>0</v>
      </c>
      <c r="O34" s="299" t="str">
        <f t="shared" si="0"/>
        <v>X</v>
      </c>
      <c r="P34" s="300" t="str">
        <f>'RESUMEN TRABAJADOR ACTUACIÓN 3'!O25</f>
        <v/>
      </c>
      <c r="R34" s="299">
        <v>31</v>
      </c>
      <c r="S34" s="320">
        <f t="shared" si="8"/>
        <v>61</v>
      </c>
      <c r="T34" s="300" t="str">
        <f t="shared" si="9"/>
        <v>X</v>
      </c>
      <c r="V34" s="299">
        <f t="shared" si="10"/>
        <v>61</v>
      </c>
      <c r="W34" s="299">
        <f t="shared" si="1"/>
        <v>0</v>
      </c>
      <c r="Y34" s="312">
        <f t="shared" si="2"/>
        <v>61</v>
      </c>
      <c r="Z34" s="312" t="str">
        <f t="shared" si="3"/>
        <v>X</v>
      </c>
      <c r="AA34" s="312" t="str">
        <f t="shared" si="4"/>
        <v>X</v>
      </c>
      <c r="AB34" s="313" t="str">
        <f t="shared" si="5"/>
        <v>X</v>
      </c>
      <c r="AC34" s="299" t="str">
        <f t="shared" si="11"/>
        <v>X</v>
      </c>
      <c r="AE34" s="298" t="str">
        <f t="shared" si="12"/>
        <v/>
      </c>
      <c r="AF34" s="314" t="str">
        <f t="shared" si="13"/>
        <v>X</v>
      </c>
      <c r="AG34" s="299"/>
      <c r="AH34" s="299"/>
      <c r="AJ34" s="2">
        <v>1</v>
      </c>
      <c r="AK34" s="2" t="str">
        <f t="shared" si="6"/>
        <v/>
      </c>
      <c r="AL34" s="2">
        <f>IF(AK34="",16,AJ34)</f>
        <v>16</v>
      </c>
      <c r="AM34" s="2" t="str">
        <f t="shared" ref="AM34:AM48" si="47">IFERROR(VLOOKUP(SMALL($AL$34:$AL$48,AJ34),$AJ$34:$AK$48,2,FALSE),"X")</f>
        <v>X</v>
      </c>
      <c r="BM34" s="303" t="s">
        <v>363</v>
      </c>
      <c r="BO34" s="325">
        <f>SUM(BO19:BO30)</f>
        <v>0</v>
      </c>
      <c r="BP34" s="325">
        <f t="shared" ref="BP34:BW34" si="48">SUM(BP19:BP30)</f>
        <v>0</v>
      </c>
      <c r="BQ34" s="325">
        <f t="shared" si="48"/>
        <v>0</v>
      </c>
      <c r="BR34" s="325">
        <f t="shared" si="48"/>
        <v>0</v>
      </c>
      <c r="BS34" s="325">
        <f t="shared" si="48"/>
        <v>0</v>
      </c>
      <c r="BT34" s="325">
        <f t="shared" si="48"/>
        <v>0</v>
      </c>
      <c r="BU34" s="325">
        <f t="shared" si="48"/>
        <v>0</v>
      </c>
      <c r="BV34" s="325">
        <f t="shared" si="48"/>
        <v>0</v>
      </c>
      <c r="BW34" s="325">
        <f t="shared" si="48"/>
        <v>0</v>
      </c>
    </row>
    <row r="35" spans="12:75" x14ac:dyDescent="0.25">
      <c r="L35" s="2">
        <v>32</v>
      </c>
      <c r="M35" s="298" t="str">
        <f>'LINEAS CON DEDICACIÓN'!J18</f>
        <v>Línea 3.2:</v>
      </c>
      <c r="N35" s="299">
        <f>'LINEAS CON DEDICACIÓN'!K18</f>
        <v>0</v>
      </c>
      <c r="O35" s="299" t="str">
        <f t="shared" si="0"/>
        <v>X</v>
      </c>
      <c r="P35" s="300" t="str">
        <f>'RESUMEN TRABAJADOR ACTUACIÓN 3'!O26</f>
        <v/>
      </c>
      <c r="R35" s="299">
        <v>32</v>
      </c>
      <c r="S35" s="320">
        <f t="shared" si="8"/>
        <v>61</v>
      </c>
      <c r="T35" s="300" t="str">
        <f t="shared" si="9"/>
        <v>X</v>
      </c>
      <c r="V35" s="299">
        <f t="shared" si="10"/>
        <v>61</v>
      </c>
      <c r="W35" s="299">
        <f t="shared" si="1"/>
        <v>0</v>
      </c>
      <c r="Y35" s="312">
        <f t="shared" si="2"/>
        <v>61</v>
      </c>
      <c r="Z35" s="312" t="str">
        <f t="shared" si="3"/>
        <v>X</v>
      </c>
      <c r="AA35" s="312" t="str">
        <f t="shared" si="4"/>
        <v>X</v>
      </c>
      <c r="AB35" s="313" t="str">
        <f t="shared" si="5"/>
        <v>X</v>
      </c>
      <c r="AC35" s="299" t="str">
        <f t="shared" si="11"/>
        <v>X</v>
      </c>
      <c r="AE35" s="298" t="str">
        <f t="shared" si="12"/>
        <v/>
      </c>
      <c r="AF35" s="314" t="str">
        <f t="shared" si="13"/>
        <v>X</v>
      </c>
      <c r="AG35" s="299"/>
      <c r="AH35" s="299"/>
      <c r="AJ35" s="2">
        <v>2</v>
      </c>
      <c r="AK35" s="2" t="str">
        <f t="shared" si="6"/>
        <v/>
      </c>
      <c r="AL35" s="2">
        <f t="shared" ref="AL35:AL48" si="49">IF(AK35="",16,AJ35)</f>
        <v>16</v>
      </c>
      <c r="AM35" s="2" t="str">
        <f t="shared" si="47"/>
        <v>X</v>
      </c>
    </row>
    <row r="36" spans="12:75" x14ac:dyDescent="0.25">
      <c r="L36" s="2">
        <v>33</v>
      </c>
      <c r="M36" s="298" t="str">
        <f>'LINEAS CON DEDICACIÓN'!J19</f>
        <v>Línea 3.3:</v>
      </c>
      <c r="N36" s="299">
        <f>'LINEAS CON DEDICACIÓN'!K19</f>
        <v>0</v>
      </c>
      <c r="O36" s="299" t="str">
        <f t="shared" si="0"/>
        <v>X</v>
      </c>
      <c r="P36" s="300" t="str">
        <f>'RESUMEN TRABAJADOR ACTUACIÓN 3'!O27</f>
        <v/>
      </c>
      <c r="R36" s="299">
        <v>33</v>
      </c>
      <c r="S36" s="320">
        <f t="shared" si="8"/>
        <v>61</v>
      </c>
      <c r="T36" s="300" t="str">
        <f t="shared" si="9"/>
        <v>X</v>
      </c>
      <c r="V36" s="299">
        <f t="shared" si="10"/>
        <v>61</v>
      </c>
      <c r="W36" s="299">
        <f t="shared" ref="W36:W63" si="50">IF(P36="",0,P36)</f>
        <v>0</v>
      </c>
      <c r="Y36" s="312">
        <f t="shared" ref="Y36:Y63" si="51">IF(V36&lt;&gt;61,L36,61)</f>
        <v>61</v>
      </c>
      <c r="Z36" s="312" t="str">
        <f t="shared" ref="Z36:Z63" si="52">IFERROR(VLOOKUP(SMALL($Y$4:$Y$63,L36),$L$4:$P$63,2,FALSE),"X")</f>
        <v>X</v>
      </c>
      <c r="AA36" s="312" t="str">
        <f t="shared" ref="AA36:AA63" si="53">IFERROR(VLOOKUP(SMALL($Y$4:$Y$63,L36),$L$4:$P$63,3,FALSE),"X")</f>
        <v>X</v>
      </c>
      <c r="AB36" s="313" t="str">
        <f t="shared" ref="AB36:AB63" si="54">IFERROR(VLOOKUP(SMALL($Y$4:$Y$63,L36),$L$4:$P$63,5,FALSE),"X")</f>
        <v>X</v>
      </c>
      <c r="AC36" s="299" t="str">
        <f t="shared" si="11"/>
        <v>X</v>
      </c>
      <c r="AE36" s="298" t="str">
        <f t="shared" si="12"/>
        <v/>
      </c>
      <c r="AF36" s="314" t="str">
        <f t="shared" si="13"/>
        <v>X</v>
      </c>
      <c r="AG36" s="299"/>
      <c r="AH36" s="299"/>
      <c r="AJ36" s="2">
        <v>3</v>
      </c>
      <c r="AK36" s="2" t="str">
        <f t="shared" ref="AK36:AK63" si="55">IF(N36&lt;&gt;0,M36,"")</f>
        <v/>
      </c>
      <c r="AL36" s="2">
        <f t="shared" si="49"/>
        <v>16</v>
      </c>
      <c r="AM36" s="2" t="str">
        <f t="shared" si="47"/>
        <v>X</v>
      </c>
      <c r="BM36" s="304" t="s">
        <v>364</v>
      </c>
      <c r="BO36" s="326">
        <f>IF(BO32=0,0,BO34/BO32)</f>
        <v>0</v>
      </c>
      <c r="BP36" s="326">
        <f t="shared" ref="BP36:BW36" si="56">IF(BP32=0,0,BP34/BP32)</f>
        <v>0</v>
      </c>
      <c r="BQ36" s="326">
        <f t="shared" si="56"/>
        <v>0</v>
      </c>
      <c r="BR36" s="326">
        <f t="shared" si="56"/>
        <v>0</v>
      </c>
      <c r="BS36" s="326">
        <f t="shared" si="56"/>
        <v>0</v>
      </c>
      <c r="BT36" s="326">
        <f t="shared" si="56"/>
        <v>0</v>
      </c>
      <c r="BU36" s="326">
        <f t="shared" si="56"/>
        <v>0</v>
      </c>
      <c r="BV36" s="326">
        <f t="shared" si="56"/>
        <v>0</v>
      </c>
      <c r="BW36" s="326">
        <f t="shared" si="56"/>
        <v>0</v>
      </c>
    </row>
    <row r="37" spans="12:75" x14ac:dyDescent="0.25">
      <c r="L37" s="2">
        <v>34</v>
      </c>
      <c r="M37" s="298" t="str">
        <f>'LINEAS CON DEDICACIÓN'!J20</f>
        <v>Línea 3.4:</v>
      </c>
      <c r="N37" s="299">
        <f>'LINEAS CON DEDICACIÓN'!K20</f>
        <v>0</v>
      </c>
      <c r="O37" s="299" t="str">
        <f t="shared" si="0"/>
        <v>X</v>
      </c>
      <c r="P37" s="300" t="str">
        <f>'RESUMEN TRABAJADOR ACTUACIÓN 3'!O28</f>
        <v/>
      </c>
      <c r="R37" s="299">
        <v>34</v>
      </c>
      <c r="S37" s="320">
        <f t="shared" si="8"/>
        <v>61</v>
      </c>
      <c r="T37" s="300" t="str">
        <f t="shared" si="9"/>
        <v>X</v>
      </c>
      <c r="V37" s="299">
        <f t="shared" si="10"/>
        <v>61</v>
      </c>
      <c r="W37" s="299">
        <f t="shared" si="50"/>
        <v>0</v>
      </c>
      <c r="Y37" s="312">
        <f t="shared" si="51"/>
        <v>61</v>
      </c>
      <c r="Z37" s="312" t="str">
        <f t="shared" si="52"/>
        <v>X</v>
      </c>
      <c r="AA37" s="312" t="str">
        <f t="shared" si="53"/>
        <v>X</v>
      </c>
      <c r="AB37" s="313" t="str">
        <f t="shared" si="54"/>
        <v>X</v>
      </c>
      <c r="AC37" s="299" t="str">
        <f t="shared" ref="AC37:AC63" si="57">IFERROR(VLOOKUP(SMALL($Y$4:$Y$63,L37),$L$4:$O$63,4,FALSE),"X")</f>
        <v>X</v>
      </c>
      <c r="AE37" s="298" t="str">
        <f t="shared" si="12"/>
        <v/>
      </c>
      <c r="AF37" s="314" t="str">
        <f t="shared" si="13"/>
        <v>X</v>
      </c>
      <c r="AG37" s="299"/>
      <c r="AH37" s="299"/>
      <c r="AJ37" s="2">
        <v>4</v>
      </c>
      <c r="AK37" s="2" t="str">
        <f t="shared" si="55"/>
        <v/>
      </c>
      <c r="AL37" s="2">
        <f t="shared" si="49"/>
        <v>16</v>
      </c>
      <c r="AM37" s="2" t="str">
        <f t="shared" si="47"/>
        <v>X</v>
      </c>
    </row>
    <row r="38" spans="12:75" x14ac:dyDescent="0.25">
      <c r="L38" s="2">
        <v>35</v>
      </c>
      <c r="M38" s="298" t="str">
        <f>'LINEAS CON DEDICACIÓN'!J21</f>
        <v>Línea 3.5:</v>
      </c>
      <c r="N38" s="299">
        <f>'LINEAS CON DEDICACIÓN'!K21</f>
        <v>0</v>
      </c>
      <c r="O38" s="299" t="str">
        <f t="shared" si="0"/>
        <v>X</v>
      </c>
      <c r="P38" s="300" t="str">
        <f>'RESUMEN TRABAJADOR ACTUACIÓN 3'!O29</f>
        <v/>
      </c>
      <c r="R38" s="299">
        <v>35</v>
      </c>
      <c r="S38" s="320">
        <f t="shared" si="8"/>
        <v>61</v>
      </c>
      <c r="T38" s="300" t="str">
        <f t="shared" si="9"/>
        <v>X</v>
      </c>
      <c r="V38" s="299">
        <f t="shared" si="10"/>
        <v>61</v>
      </c>
      <c r="W38" s="299">
        <f t="shared" si="50"/>
        <v>0</v>
      </c>
      <c r="Y38" s="312">
        <f t="shared" si="51"/>
        <v>61</v>
      </c>
      <c r="Z38" s="312" t="str">
        <f t="shared" si="52"/>
        <v>X</v>
      </c>
      <c r="AA38" s="312" t="str">
        <f t="shared" si="53"/>
        <v>X</v>
      </c>
      <c r="AB38" s="313" t="str">
        <f t="shared" si="54"/>
        <v>X</v>
      </c>
      <c r="AC38" s="299" t="str">
        <f t="shared" si="57"/>
        <v>X</v>
      </c>
      <c r="AE38" s="298" t="str">
        <f t="shared" si="12"/>
        <v/>
      </c>
      <c r="AF38" s="314" t="str">
        <f t="shared" si="13"/>
        <v>X</v>
      </c>
      <c r="AG38" s="299"/>
      <c r="AH38" s="299"/>
      <c r="AJ38" s="2">
        <v>5</v>
      </c>
      <c r="AK38" s="2" t="str">
        <f t="shared" si="55"/>
        <v/>
      </c>
      <c r="AL38" s="2">
        <f t="shared" si="49"/>
        <v>16</v>
      </c>
      <c r="AM38" s="2" t="str">
        <f t="shared" si="47"/>
        <v>X</v>
      </c>
      <c r="AT38" s="2" t="str">
        <f t="shared" ref="AT38:AT51" si="58">IF(X35&lt;&gt;0,V35,"")</f>
        <v/>
      </c>
    </row>
    <row r="39" spans="12:75" x14ac:dyDescent="0.25">
      <c r="L39" s="2">
        <v>36</v>
      </c>
      <c r="M39" s="298" t="str">
        <f>'LINEAS CON DEDICACIÓN'!J22</f>
        <v>Línea 3.6:</v>
      </c>
      <c r="N39" s="299">
        <f>'LINEAS CON DEDICACIÓN'!K22</f>
        <v>0</v>
      </c>
      <c r="O39" s="299" t="str">
        <f t="shared" si="0"/>
        <v>X</v>
      </c>
      <c r="P39" s="300" t="str">
        <f>'RESUMEN TRABAJADOR ACTUACIÓN 3'!O30</f>
        <v/>
      </c>
      <c r="R39" s="299">
        <v>36</v>
      </c>
      <c r="S39" s="320">
        <f t="shared" si="8"/>
        <v>61</v>
      </c>
      <c r="T39" s="300" t="str">
        <f t="shared" si="9"/>
        <v>X</v>
      </c>
      <c r="V39" s="299">
        <f t="shared" si="10"/>
        <v>61</v>
      </c>
      <c r="W39" s="299">
        <f t="shared" si="50"/>
        <v>0</v>
      </c>
      <c r="Y39" s="312">
        <f t="shared" si="51"/>
        <v>61</v>
      </c>
      <c r="Z39" s="312" t="str">
        <f t="shared" si="52"/>
        <v>X</v>
      </c>
      <c r="AA39" s="312" t="str">
        <f t="shared" si="53"/>
        <v>X</v>
      </c>
      <c r="AB39" s="313" t="str">
        <f t="shared" si="54"/>
        <v>X</v>
      </c>
      <c r="AC39" s="299" t="str">
        <f t="shared" si="57"/>
        <v>X</v>
      </c>
      <c r="AE39" s="298" t="str">
        <f t="shared" si="12"/>
        <v/>
      </c>
      <c r="AF39" s="314" t="str">
        <f t="shared" si="13"/>
        <v>X</v>
      </c>
      <c r="AG39" s="299"/>
      <c r="AH39" s="299"/>
      <c r="AJ39" s="2">
        <v>6</v>
      </c>
      <c r="AK39" s="2" t="str">
        <f t="shared" si="55"/>
        <v/>
      </c>
      <c r="AL39" s="2">
        <f t="shared" si="49"/>
        <v>16</v>
      </c>
      <c r="AM39" s="2" t="str">
        <f t="shared" si="47"/>
        <v>X</v>
      </c>
      <c r="AT39" s="2" t="str">
        <f t="shared" si="58"/>
        <v/>
      </c>
      <c r="BW39" s="301"/>
    </row>
    <row r="40" spans="12:75" x14ac:dyDescent="0.25">
      <c r="L40" s="2">
        <v>37</v>
      </c>
      <c r="M40" s="298" t="str">
        <f>'LINEAS CON DEDICACIÓN'!J23</f>
        <v>Línea 3.7:</v>
      </c>
      <c r="N40" s="299">
        <f>'LINEAS CON DEDICACIÓN'!K23</f>
        <v>0</v>
      </c>
      <c r="O40" s="299" t="str">
        <f t="shared" si="0"/>
        <v>X</v>
      </c>
      <c r="P40" s="300" t="str">
        <f>'RESUMEN TRABAJADOR ACTUACIÓN 3'!O31</f>
        <v/>
      </c>
      <c r="R40" s="299">
        <v>37</v>
      </c>
      <c r="S40" s="320">
        <f t="shared" si="8"/>
        <v>61</v>
      </c>
      <c r="T40" s="300" t="str">
        <f t="shared" si="9"/>
        <v>X</v>
      </c>
      <c r="V40" s="299">
        <f t="shared" si="10"/>
        <v>61</v>
      </c>
      <c r="W40" s="299">
        <f t="shared" si="50"/>
        <v>0</v>
      </c>
      <c r="Y40" s="312">
        <f t="shared" si="51"/>
        <v>61</v>
      </c>
      <c r="Z40" s="312" t="str">
        <f t="shared" si="52"/>
        <v>X</v>
      </c>
      <c r="AA40" s="312" t="str">
        <f t="shared" si="53"/>
        <v>X</v>
      </c>
      <c r="AB40" s="313" t="str">
        <f t="shared" si="54"/>
        <v>X</v>
      </c>
      <c r="AC40" s="299" t="str">
        <f t="shared" si="57"/>
        <v>X</v>
      </c>
      <c r="AE40" s="298" t="str">
        <f t="shared" si="12"/>
        <v/>
      </c>
      <c r="AF40" s="314" t="str">
        <f t="shared" si="13"/>
        <v>X</v>
      </c>
      <c r="AG40" s="299"/>
      <c r="AH40" s="299"/>
      <c r="AJ40" s="2">
        <v>7</v>
      </c>
      <c r="AK40" s="2" t="str">
        <f t="shared" si="55"/>
        <v/>
      </c>
      <c r="AL40" s="2">
        <f t="shared" si="49"/>
        <v>16</v>
      </c>
      <c r="AM40" s="2" t="str">
        <f t="shared" si="47"/>
        <v>X</v>
      </c>
      <c r="AT40" s="2" t="str">
        <f t="shared" si="58"/>
        <v/>
      </c>
    </row>
    <row r="41" spans="12:75" x14ac:dyDescent="0.25">
      <c r="L41" s="2">
        <v>38</v>
      </c>
      <c r="M41" s="298" t="str">
        <f>'LINEAS CON DEDICACIÓN'!J24</f>
        <v>Línea 3.8:</v>
      </c>
      <c r="N41" s="299">
        <f>'LINEAS CON DEDICACIÓN'!K24</f>
        <v>0</v>
      </c>
      <c r="O41" s="299" t="str">
        <f t="shared" si="0"/>
        <v>X</v>
      </c>
      <c r="P41" s="300" t="str">
        <f>'RESUMEN TRABAJADOR ACTUACIÓN 3'!O32</f>
        <v/>
      </c>
      <c r="R41" s="299">
        <v>38</v>
      </c>
      <c r="S41" s="320">
        <f t="shared" si="8"/>
        <v>61</v>
      </c>
      <c r="T41" s="300" t="str">
        <f t="shared" si="9"/>
        <v>X</v>
      </c>
      <c r="V41" s="299">
        <f t="shared" si="10"/>
        <v>61</v>
      </c>
      <c r="W41" s="299">
        <f t="shared" si="50"/>
        <v>0</v>
      </c>
      <c r="Y41" s="312">
        <f t="shared" si="51"/>
        <v>61</v>
      </c>
      <c r="Z41" s="312" t="str">
        <f t="shared" si="52"/>
        <v>X</v>
      </c>
      <c r="AA41" s="312" t="str">
        <f t="shared" si="53"/>
        <v>X</v>
      </c>
      <c r="AB41" s="313" t="str">
        <f t="shared" si="54"/>
        <v>X</v>
      </c>
      <c r="AC41" s="299" t="str">
        <f t="shared" si="57"/>
        <v>X</v>
      </c>
      <c r="AE41" s="298" t="str">
        <f t="shared" si="12"/>
        <v/>
      </c>
      <c r="AF41" s="314" t="str">
        <f t="shared" si="13"/>
        <v>X</v>
      </c>
      <c r="AG41" s="299"/>
      <c r="AH41" s="299"/>
      <c r="AJ41" s="2">
        <v>8</v>
      </c>
      <c r="AK41" s="2" t="str">
        <f t="shared" si="55"/>
        <v/>
      </c>
      <c r="AL41" s="2">
        <f t="shared" si="49"/>
        <v>16</v>
      </c>
      <c r="AM41" s="2" t="str">
        <f t="shared" si="47"/>
        <v>X</v>
      </c>
      <c r="AT41" s="2" t="str">
        <f t="shared" si="58"/>
        <v/>
      </c>
    </row>
    <row r="42" spans="12:75" x14ac:dyDescent="0.25">
      <c r="L42" s="2">
        <v>39</v>
      </c>
      <c r="M42" s="298" t="str">
        <f>'LINEAS CON DEDICACIÓN'!J25</f>
        <v>Línea 3.9:</v>
      </c>
      <c r="N42" s="299">
        <f>'LINEAS CON DEDICACIÓN'!K25</f>
        <v>0</v>
      </c>
      <c r="O42" s="299" t="str">
        <f t="shared" si="0"/>
        <v>X</v>
      </c>
      <c r="P42" s="300" t="str">
        <f>'RESUMEN TRABAJADOR ACTUACIÓN 3'!O33</f>
        <v/>
      </c>
      <c r="R42" s="299">
        <v>39</v>
      </c>
      <c r="S42" s="320">
        <f t="shared" si="8"/>
        <v>61</v>
      </c>
      <c r="T42" s="300" t="str">
        <f t="shared" si="9"/>
        <v>X</v>
      </c>
      <c r="V42" s="299">
        <f t="shared" si="10"/>
        <v>61</v>
      </c>
      <c r="W42" s="299">
        <f t="shared" si="50"/>
        <v>0</v>
      </c>
      <c r="Y42" s="312">
        <f t="shared" si="51"/>
        <v>61</v>
      </c>
      <c r="Z42" s="312" t="str">
        <f t="shared" si="52"/>
        <v>X</v>
      </c>
      <c r="AA42" s="312" t="str">
        <f t="shared" si="53"/>
        <v>X</v>
      </c>
      <c r="AB42" s="313" t="str">
        <f t="shared" si="54"/>
        <v>X</v>
      </c>
      <c r="AC42" s="299" t="str">
        <f t="shared" si="57"/>
        <v>X</v>
      </c>
      <c r="AE42" s="298" t="str">
        <f t="shared" si="12"/>
        <v/>
      </c>
      <c r="AF42" s="314" t="str">
        <f t="shared" si="13"/>
        <v>X</v>
      </c>
      <c r="AG42" s="299"/>
      <c r="AH42" s="299"/>
      <c r="AJ42" s="2">
        <v>9</v>
      </c>
      <c r="AK42" s="2" t="str">
        <f t="shared" si="55"/>
        <v/>
      </c>
      <c r="AL42" s="2">
        <f t="shared" si="49"/>
        <v>16</v>
      </c>
      <c r="AM42" s="2" t="str">
        <f t="shared" si="47"/>
        <v>X</v>
      </c>
      <c r="AT42" s="2" t="str">
        <f t="shared" si="58"/>
        <v/>
      </c>
    </row>
    <row r="43" spans="12:75" x14ac:dyDescent="0.25">
      <c r="L43" s="2">
        <v>40</v>
      </c>
      <c r="M43" s="298" t="str">
        <f>'LINEAS CON DEDICACIÓN'!J26</f>
        <v>Línea 3.10:</v>
      </c>
      <c r="N43" s="299">
        <f>'LINEAS CON DEDICACIÓN'!K26</f>
        <v>0</v>
      </c>
      <c r="O43" s="299" t="str">
        <f t="shared" si="0"/>
        <v>X</v>
      </c>
      <c r="P43" s="300" t="str">
        <f>'RESUMEN TRABAJADOR ACTUACIÓN 3'!O34</f>
        <v/>
      </c>
      <c r="R43" s="299">
        <v>40</v>
      </c>
      <c r="S43" s="320">
        <f t="shared" si="8"/>
        <v>61</v>
      </c>
      <c r="T43" s="300" t="str">
        <f t="shared" si="9"/>
        <v>X</v>
      </c>
      <c r="V43" s="299">
        <f t="shared" si="10"/>
        <v>61</v>
      </c>
      <c r="W43" s="299">
        <f t="shared" si="50"/>
        <v>0</v>
      </c>
      <c r="Y43" s="312">
        <f t="shared" si="51"/>
        <v>61</v>
      </c>
      <c r="Z43" s="312" t="str">
        <f t="shared" si="52"/>
        <v>X</v>
      </c>
      <c r="AA43" s="312" t="str">
        <f t="shared" si="53"/>
        <v>X</v>
      </c>
      <c r="AB43" s="313" t="str">
        <f t="shared" si="54"/>
        <v>X</v>
      </c>
      <c r="AC43" s="299" t="str">
        <f t="shared" si="57"/>
        <v>X</v>
      </c>
      <c r="AE43" s="298" t="str">
        <f t="shared" si="12"/>
        <v/>
      </c>
      <c r="AF43" s="314" t="str">
        <f t="shared" si="13"/>
        <v>X</v>
      </c>
      <c r="AG43" s="299"/>
      <c r="AH43" s="299"/>
      <c r="AJ43" s="2">
        <v>10</v>
      </c>
      <c r="AK43" s="2" t="str">
        <f t="shared" si="55"/>
        <v/>
      </c>
      <c r="AL43" s="2">
        <f t="shared" si="49"/>
        <v>16</v>
      </c>
      <c r="AM43" s="2" t="str">
        <f t="shared" si="47"/>
        <v>X</v>
      </c>
      <c r="AT43" s="2" t="str">
        <f t="shared" si="58"/>
        <v/>
      </c>
    </row>
    <row r="44" spans="12:75" x14ac:dyDescent="0.25">
      <c r="L44" s="2">
        <v>41</v>
      </c>
      <c r="M44" s="298" t="str">
        <f>'LINEAS CON DEDICACIÓN'!J27</f>
        <v>Línea 3.11:</v>
      </c>
      <c r="N44" s="299">
        <f>'LINEAS CON DEDICACIÓN'!K27</f>
        <v>0</v>
      </c>
      <c r="O44" s="299" t="str">
        <f t="shared" si="0"/>
        <v>X</v>
      </c>
      <c r="P44" s="300" t="str">
        <f>'RESUMEN TRABAJADOR ACTUACIÓN 3'!O35</f>
        <v/>
      </c>
      <c r="R44" s="299">
        <v>41</v>
      </c>
      <c r="S44" s="320">
        <f t="shared" si="8"/>
        <v>61</v>
      </c>
      <c r="T44" s="300" t="str">
        <f t="shared" si="9"/>
        <v>X</v>
      </c>
      <c r="V44" s="299">
        <f t="shared" si="10"/>
        <v>61</v>
      </c>
      <c r="W44" s="299">
        <f t="shared" si="50"/>
        <v>0</v>
      </c>
      <c r="Y44" s="312">
        <f t="shared" si="51"/>
        <v>61</v>
      </c>
      <c r="Z44" s="312" t="str">
        <f t="shared" si="52"/>
        <v>X</v>
      </c>
      <c r="AA44" s="312" t="str">
        <f t="shared" si="53"/>
        <v>X</v>
      </c>
      <c r="AB44" s="313" t="str">
        <f t="shared" si="54"/>
        <v>X</v>
      </c>
      <c r="AC44" s="299" t="str">
        <f t="shared" si="57"/>
        <v>X</v>
      </c>
      <c r="AE44" s="298" t="str">
        <f t="shared" si="12"/>
        <v/>
      </c>
      <c r="AF44" s="314" t="str">
        <f t="shared" si="13"/>
        <v>X</v>
      </c>
      <c r="AG44" s="299"/>
      <c r="AH44" s="299"/>
      <c r="AJ44" s="2">
        <v>11</v>
      </c>
      <c r="AK44" s="2" t="str">
        <f t="shared" si="55"/>
        <v/>
      </c>
      <c r="AL44" s="2">
        <f t="shared" si="49"/>
        <v>16</v>
      </c>
      <c r="AM44" s="2" t="str">
        <f t="shared" si="47"/>
        <v>X</v>
      </c>
      <c r="AT44" s="2" t="str">
        <f t="shared" si="58"/>
        <v/>
      </c>
    </row>
    <row r="45" spans="12:75" x14ac:dyDescent="0.25">
      <c r="L45" s="2">
        <v>42</v>
      </c>
      <c r="M45" s="298" t="str">
        <f>'LINEAS CON DEDICACIÓN'!J28</f>
        <v>Línea 3.12:</v>
      </c>
      <c r="N45" s="299">
        <f>'LINEAS CON DEDICACIÓN'!K28</f>
        <v>0</v>
      </c>
      <c r="O45" s="299" t="str">
        <f t="shared" si="0"/>
        <v>X</v>
      </c>
      <c r="P45" s="300" t="str">
        <f>'RESUMEN TRABAJADOR ACTUACIÓN 3'!O36</f>
        <v/>
      </c>
      <c r="R45" s="299">
        <v>42</v>
      </c>
      <c r="S45" s="320">
        <f t="shared" si="8"/>
        <v>61</v>
      </c>
      <c r="T45" s="300" t="str">
        <f t="shared" si="9"/>
        <v>X</v>
      </c>
      <c r="V45" s="299">
        <f t="shared" si="10"/>
        <v>61</v>
      </c>
      <c r="W45" s="299">
        <f t="shared" si="50"/>
        <v>0</v>
      </c>
      <c r="Y45" s="312">
        <f t="shared" si="51"/>
        <v>61</v>
      </c>
      <c r="Z45" s="312" t="str">
        <f t="shared" si="52"/>
        <v>X</v>
      </c>
      <c r="AA45" s="312" t="str">
        <f t="shared" si="53"/>
        <v>X</v>
      </c>
      <c r="AB45" s="313" t="str">
        <f t="shared" si="54"/>
        <v>X</v>
      </c>
      <c r="AC45" s="299" t="str">
        <f t="shared" si="57"/>
        <v>X</v>
      </c>
      <c r="AE45" s="298" t="str">
        <f t="shared" si="12"/>
        <v/>
      </c>
      <c r="AF45" s="314" t="str">
        <f t="shared" si="13"/>
        <v>X</v>
      </c>
      <c r="AG45" s="299"/>
      <c r="AH45" s="299"/>
      <c r="AJ45" s="2">
        <v>12</v>
      </c>
      <c r="AK45" s="2" t="str">
        <f t="shared" si="55"/>
        <v/>
      </c>
      <c r="AL45" s="2">
        <f t="shared" si="49"/>
        <v>16</v>
      </c>
      <c r="AM45" s="2" t="str">
        <f t="shared" si="47"/>
        <v>X</v>
      </c>
      <c r="AT45" s="2" t="str">
        <f t="shared" si="58"/>
        <v/>
      </c>
    </row>
    <row r="46" spans="12:75" x14ac:dyDescent="0.25">
      <c r="L46" s="2">
        <v>43</v>
      </c>
      <c r="M46" s="298" t="str">
        <f>'LINEAS CON DEDICACIÓN'!J29</f>
        <v>Línea 3.13:</v>
      </c>
      <c r="N46" s="299">
        <f>'LINEAS CON DEDICACIÓN'!K29</f>
        <v>0</v>
      </c>
      <c r="O46" s="299" t="str">
        <f t="shared" si="0"/>
        <v>X</v>
      </c>
      <c r="P46" s="300" t="str">
        <f>'RESUMEN TRABAJADOR ACTUACIÓN 3'!O37</f>
        <v/>
      </c>
      <c r="R46" s="299">
        <v>43</v>
      </c>
      <c r="S46" s="320">
        <f t="shared" si="8"/>
        <v>61</v>
      </c>
      <c r="T46" s="300" t="str">
        <f t="shared" si="9"/>
        <v>X</v>
      </c>
      <c r="V46" s="299">
        <f t="shared" si="10"/>
        <v>61</v>
      </c>
      <c r="W46" s="299">
        <f t="shared" si="50"/>
        <v>0</v>
      </c>
      <c r="Y46" s="312">
        <f t="shared" si="51"/>
        <v>61</v>
      </c>
      <c r="Z46" s="312" t="str">
        <f t="shared" si="52"/>
        <v>X</v>
      </c>
      <c r="AA46" s="312" t="str">
        <f t="shared" si="53"/>
        <v>X</v>
      </c>
      <c r="AB46" s="313" t="str">
        <f t="shared" si="54"/>
        <v>X</v>
      </c>
      <c r="AC46" s="299" t="str">
        <f t="shared" si="57"/>
        <v>X</v>
      </c>
      <c r="AE46" s="298" t="str">
        <f t="shared" si="12"/>
        <v/>
      </c>
      <c r="AF46" s="314" t="str">
        <f t="shared" si="13"/>
        <v>X</v>
      </c>
      <c r="AG46" s="299"/>
      <c r="AH46" s="299"/>
      <c r="AJ46" s="2">
        <v>13</v>
      </c>
      <c r="AK46" s="2" t="str">
        <f t="shared" si="55"/>
        <v/>
      </c>
      <c r="AL46" s="2">
        <f t="shared" si="49"/>
        <v>16</v>
      </c>
      <c r="AM46" s="2" t="str">
        <f t="shared" si="47"/>
        <v>X</v>
      </c>
      <c r="AT46" s="2" t="str">
        <f t="shared" si="58"/>
        <v/>
      </c>
    </row>
    <row r="47" spans="12:75" x14ac:dyDescent="0.25">
      <c r="L47" s="2">
        <v>44</v>
      </c>
      <c r="M47" s="298" t="str">
        <f>'LINEAS CON DEDICACIÓN'!J30</f>
        <v>Línea 3.14:</v>
      </c>
      <c r="N47" s="299">
        <f>'LINEAS CON DEDICACIÓN'!K30</f>
        <v>0</v>
      </c>
      <c r="O47" s="299" t="str">
        <f t="shared" si="0"/>
        <v>X</v>
      </c>
      <c r="P47" s="300" t="str">
        <f>'RESUMEN TRABAJADOR ACTUACIÓN 3'!O38</f>
        <v/>
      </c>
      <c r="R47" s="299">
        <v>44</v>
      </c>
      <c r="S47" s="320">
        <f t="shared" si="8"/>
        <v>61</v>
      </c>
      <c r="T47" s="300" t="str">
        <f t="shared" si="9"/>
        <v>X</v>
      </c>
      <c r="V47" s="299">
        <f t="shared" si="10"/>
        <v>61</v>
      </c>
      <c r="W47" s="299">
        <f t="shared" si="50"/>
        <v>0</v>
      </c>
      <c r="Y47" s="312">
        <f t="shared" si="51"/>
        <v>61</v>
      </c>
      <c r="Z47" s="312" t="str">
        <f t="shared" si="52"/>
        <v>X</v>
      </c>
      <c r="AA47" s="312" t="str">
        <f t="shared" si="53"/>
        <v>X</v>
      </c>
      <c r="AB47" s="313" t="str">
        <f t="shared" si="54"/>
        <v>X</v>
      </c>
      <c r="AC47" s="299" t="str">
        <f t="shared" si="57"/>
        <v>X</v>
      </c>
      <c r="AE47" s="298" t="str">
        <f t="shared" si="12"/>
        <v/>
      </c>
      <c r="AF47" s="314" t="str">
        <f t="shared" si="13"/>
        <v>X</v>
      </c>
      <c r="AG47" s="299"/>
      <c r="AH47" s="299"/>
      <c r="AJ47" s="2">
        <v>14</v>
      </c>
      <c r="AK47" s="2" t="str">
        <f t="shared" si="55"/>
        <v/>
      </c>
      <c r="AL47" s="2">
        <f t="shared" si="49"/>
        <v>16</v>
      </c>
      <c r="AM47" s="2" t="str">
        <f t="shared" si="47"/>
        <v>X</v>
      </c>
      <c r="AT47" s="2" t="str">
        <f t="shared" si="58"/>
        <v/>
      </c>
    </row>
    <row r="48" spans="12:75" x14ac:dyDescent="0.25">
      <c r="L48" s="2">
        <v>45</v>
      </c>
      <c r="M48" s="298" t="str">
        <f>'LINEAS CON DEDICACIÓN'!J31</f>
        <v>Línea 3.15:</v>
      </c>
      <c r="N48" s="299">
        <f>'LINEAS CON DEDICACIÓN'!K31</f>
        <v>0</v>
      </c>
      <c r="O48" s="299" t="str">
        <f t="shared" si="0"/>
        <v>X</v>
      </c>
      <c r="P48" s="300" t="str">
        <f>'RESUMEN TRABAJADOR ACTUACIÓN 3'!O39</f>
        <v/>
      </c>
      <c r="R48" s="299">
        <v>45</v>
      </c>
      <c r="S48" s="320">
        <f t="shared" si="8"/>
        <v>61</v>
      </c>
      <c r="T48" s="300" t="str">
        <f t="shared" si="9"/>
        <v>X</v>
      </c>
      <c r="V48" s="299">
        <f t="shared" si="10"/>
        <v>61</v>
      </c>
      <c r="W48" s="299">
        <f t="shared" si="50"/>
        <v>0</v>
      </c>
      <c r="Y48" s="312">
        <f t="shared" si="51"/>
        <v>61</v>
      </c>
      <c r="Z48" s="312" t="str">
        <f t="shared" si="52"/>
        <v>X</v>
      </c>
      <c r="AA48" s="312" t="str">
        <f t="shared" si="53"/>
        <v>X</v>
      </c>
      <c r="AB48" s="313" t="str">
        <f t="shared" si="54"/>
        <v>X</v>
      </c>
      <c r="AC48" s="299" t="str">
        <f t="shared" si="57"/>
        <v>X</v>
      </c>
      <c r="AE48" s="298" t="str">
        <f t="shared" si="12"/>
        <v/>
      </c>
      <c r="AF48" s="314" t="str">
        <f t="shared" si="13"/>
        <v>X</v>
      </c>
      <c r="AG48" s="299"/>
      <c r="AH48" s="299"/>
      <c r="AJ48" s="2">
        <v>15</v>
      </c>
      <c r="AK48" s="2" t="str">
        <f t="shared" si="55"/>
        <v/>
      </c>
      <c r="AL48" s="2">
        <f t="shared" si="49"/>
        <v>16</v>
      </c>
      <c r="AM48" s="2" t="str">
        <f t="shared" si="47"/>
        <v>X</v>
      </c>
      <c r="AT48" s="2" t="str">
        <f t="shared" si="58"/>
        <v/>
      </c>
    </row>
    <row r="49" spans="12:46" x14ac:dyDescent="0.25">
      <c r="L49" s="2">
        <v>46</v>
      </c>
      <c r="M49" s="298" t="str">
        <f>'LINEAS CON DEDICACIÓN'!N17</f>
        <v>Línea 4.1:</v>
      </c>
      <c r="N49" s="299">
        <f>'LINEAS CON DEDICACIÓN'!O17</f>
        <v>0</v>
      </c>
      <c r="O49" s="299" t="str">
        <f t="shared" si="0"/>
        <v>X</v>
      </c>
      <c r="P49" s="300" t="str">
        <f>'RESUMEN TRABAJADOR ACTUACIÓN 4'!O25</f>
        <v/>
      </c>
      <c r="R49" s="299">
        <v>46</v>
      </c>
      <c r="S49" s="320">
        <f t="shared" si="8"/>
        <v>61</v>
      </c>
      <c r="T49" s="300" t="str">
        <f t="shared" si="9"/>
        <v>X</v>
      </c>
      <c r="V49" s="299">
        <f t="shared" si="10"/>
        <v>61</v>
      </c>
      <c r="W49" s="299">
        <f t="shared" si="50"/>
        <v>0</v>
      </c>
      <c r="Y49" s="312">
        <f t="shared" si="51"/>
        <v>61</v>
      </c>
      <c r="Z49" s="312" t="str">
        <f t="shared" si="52"/>
        <v>X</v>
      </c>
      <c r="AA49" s="312" t="str">
        <f t="shared" si="53"/>
        <v>X</v>
      </c>
      <c r="AB49" s="313" t="str">
        <f t="shared" si="54"/>
        <v>X</v>
      </c>
      <c r="AC49" s="299" t="str">
        <f t="shared" si="57"/>
        <v>X</v>
      </c>
      <c r="AE49" s="298" t="str">
        <f t="shared" si="12"/>
        <v/>
      </c>
      <c r="AF49" s="314" t="str">
        <f t="shared" si="13"/>
        <v>X</v>
      </c>
      <c r="AG49" s="299"/>
      <c r="AH49" s="299"/>
      <c r="AJ49" s="2">
        <v>1</v>
      </c>
      <c r="AK49" s="2" t="str">
        <f t="shared" si="55"/>
        <v/>
      </c>
      <c r="AL49" s="2">
        <f>IF(AK49="",16,AJ49)</f>
        <v>16</v>
      </c>
      <c r="AM49" s="2" t="str">
        <f t="shared" ref="AM49:AM63" si="59">IFERROR(VLOOKUP(SMALL($AL$49:$AL$63,AJ49),$AJ$49:$AK$63,2,FALSE),"X")</f>
        <v>X</v>
      </c>
      <c r="AT49" s="2" t="str">
        <f t="shared" si="58"/>
        <v/>
      </c>
    </row>
    <row r="50" spans="12:46" x14ac:dyDescent="0.25">
      <c r="L50" s="2">
        <v>47</v>
      </c>
      <c r="M50" s="298" t="str">
        <f>'LINEAS CON DEDICACIÓN'!N18</f>
        <v>Línea 4.2:</v>
      </c>
      <c r="N50" s="299">
        <f>'LINEAS CON DEDICACIÓN'!O18</f>
        <v>0</v>
      </c>
      <c r="O50" s="299" t="str">
        <f t="shared" si="0"/>
        <v>X</v>
      </c>
      <c r="P50" s="300" t="str">
        <f>'RESUMEN TRABAJADOR ACTUACIÓN 4'!O26</f>
        <v/>
      </c>
      <c r="R50" s="299">
        <v>47</v>
      </c>
      <c r="S50" s="320">
        <f t="shared" si="8"/>
        <v>61</v>
      </c>
      <c r="T50" s="300" t="str">
        <f t="shared" si="9"/>
        <v>X</v>
      </c>
      <c r="V50" s="299">
        <f t="shared" si="10"/>
        <v>61</v>
      </c>
      <c r="W50" s="299">
        <f t="shared" si="50"/>
        <v>0</v>
      </c>
      <c r="Y50" s="312">
        <f t="shared" si="51"/>
        <v>61</v>
      </c>
      <c r="Z50" s="312" t="str">
        <f t="shared" si="52"/>
        <v>X</v>
      </c>
      <c r="AA50" s="312" t="str">
        <f t="shared" si="53"/>
        <v>X</v>
      </c>
      <c r="AB50" s="313" t="str">
        <f t="shared" si="54"/>
        <v>X</v>
      </c>
      <c r="AC50" s="299" t="str">
        <f t="shared" si="57"/>
        <v>X</v>
      </c>
      <c r="AE50" s="298" t="str">
        <f t="shared" si="12"/>
        <v/>
      </c>
      <c r="AF50" s="314" t="str">
        <f t="shared" si="13"/>
        <v>X</v>
      </c>
      <c r="AG50" s="299"/>
      <c r="AH50" s="299"/>
      <c r="AJ50" s="2">
        <v>2</v>
      </c>
      <c r="AK50" s="2" t="str">
        <f t="shared" si="55"/>
        <v/>
      </c>
      <c r="AL50" s="2">
        <f t="shared" ref="AL50:AL63" si="60">IF(AK50="",16,AJ50)</f>
        <v>16</v>
      </c>
      <c r="AM50" s="2" t="str">
        <f t="shared" si="59"/>
        <v>X</v>
      </c>
      <c r="AT50" s="2" t="str">
        <f t="shared" si="58"/>
        <v/>
      </c>
    </row>
    <row r="51" spans="12:46" x14ac:dyDescent="0.25">
      <c r="L51" s="2">
        <v>48</v>
      </c>
      <c r="M51" s="298" t="str">
        <f>'LINEAS CON DEDICACIÓN'!N19</f>
        <v>Línea 4.3:</v>
      </c>
      <c r="N51" s="299">
        <f>'LINEAS CON DEDICACIÓN'!O19</f>
        <v>0</v>
      </c>
      <c r="O51" s="299" t="str">
        <f t="shared" si="0"/>
        <v>X</v>
      </c>
      <c r="P51" s="300" t="str">
        <f>'RESUMEN TRABAJADOR ACTUACIÓN 4'!O27</f>
        <v/>
      </c>
      <c r="R51" s="299">
        <v>48</v>
      </c>
      <c r="S51" s="320">
        <f t="shared" si="8"/>
        <v>61</v>
      </c>
      <c r="T51" s="300" t="str">
        <f t="shared" si="9"/>
        <v>X</v>
      </c>
      <c r="V51" s="299">
        <f t="shared" si="10"/>
        <v>61</v>
      </c>
      <c r="W51" s="299">
        <f t="shared" si="50"/>
        <v>0</v>
      </c>
      <c r="Y51" s="312">
        <f t="shared" si="51"/>
        <v>61</v>
      </c>
      <c r="Z51" s="312" t="str">
        <f t="shared" si="52"/>
        <v>X</v>
      </c>
      <c r="AA51" s="312" t="str">
        <f t="shared" si="53"/>
        <v>X</v>
      </c>
      <c r="AB51" s="313" t="str">
        <f t="shared" si="54"/>
        <v>X</v>
      </c>
      <c r="AC51" s="299" t="str">
        <f t="shared" si="57"/>
        <v>X</v>
      </c>
      <c r="AE51" s="298" t="str">
        <f t="shared" si="12"/>
        <v/>
      </c>
      <c r="AF51" s="314" t="str">
        <f t="shared" si="13"/>
        <v>X</v>
      </c>
      <c r="AG51" s="299"/>
      <c r="AH51" s="299"/>
      <c r="AJ51" s="2">
        <v>3</v>
      </c>
      <c r="AK51" s="2" t="str">
        <f t="shared" si="55"/>
        <v/>
      </c>
      <c r="AL51" s="2">
        <f t="shared" si="60"/>
        <v>16</v>
      </c>
      <c r="AM51" s="2" t="str">
        <f t="shared" si="59"/>
        <v>X</v>
      </c>
      <c r="AT51" s="2" t="str">
        <f t="shared" si="58"/>
        <v/>
      </c>
    </row>
    <row r="52" spans="12:46" x14ac:dyDescent="0.25">
      <c r="L52" s="2">
        <v>49</v>
      </c>
      <c r="M52" s="298" t="str">
        <f>'LINEAS CON DEDICACIÓN'!N20</f>
        <v>Línea 4.4:</v>
      </c>
      <c r="N52" s="299">
        <f>'LINEAS CON DEDICACIÓN'!O20</f>
        <v>0</v>
      </c>
      <c r="O52" s="299" t="str">
        <f t="shared" si="0"/>
        <v>X</v>
      </c>
      <c r="P52" s="300" t="str">
        <f>'RESUMEN TRABAJADOR ACTUACIÓN 4'!O28</f>
        <v/>
      </c>
      <c r="R52" s="299">
        <v>49</v>
      </c>
      <c r="S52" s="320">
        <f t="shared" si="8"/>
        <v>61</v>
      </c>
      <c r="T52" s="300" t="str">
        <f t="shared" si="9"/>
        <v>X</v>
      </c>
      <c r="V52" s="299">
        <f t="shared" si="10"/>
        <v>61</v>
      </c>
      <c r="W52" s="299">
        <f t="shared" si="50"/>
        <v>0</v>
      </c>
      <c r="Y52" s="312">
        <f t="shared" si="51"/>
        <v>61</v>
      </c>
      <c r="Z52" s="312" t="str">
        <f t="shared" si="52"/>
        <v>X</v>
      </c>
      <c r="AA52" s="312" t="str">
        <f t="shared" si="53"/>
        <v>X</v>
      </c>
      <c r="AB52" s="313" t="str">
        <f t="shared" si="54"/>
        <v>X</v>
      </c>
      <c r="AC52" s="299" t="str">
        <f t="shared" si="57"/>
        <v>X</v>
      </c>
      <c r="AE52" s="298" t="str">
        <f t="shared" si="12"/>
        <v/>
      </c>
      <c r="AF52" s="314" t="str">
        <f t="shared" si="13"/>
        <v>X</v>
      </c>
      <c r="AG52" s="299"/>
      <c r="AH52" s="299"/>
      <c r="AJ52" s="2">
        <v>4</v>
      </c>
      <c r="AK52" s="2" t="str">
        <f t="shared" si="55"/>
        <v/>
      </c>
      <c r="AL52" s="2">
        <f t="shared" si="60"/>
        <v>16</v>
      </c>
      <c r="AM52" s="2" t="str">
        <f t="shared" si="59"/>
        <v>X</v>
      </c>
    </row>
    <row r="53" spans="12:46" x14ac:dyDescent="0.25">
      <c r="L53" s="2">
        <v>50</v>
      </c>
      <c r="M53" s="298" t="str">
        <f>'LINEAS CON DEDICACIÓN'!N21</f>
        <v>Línea 4.5:</v>
      </c>
      <c r="N53" s="299">
        <f>'LINEAS CON DEDICACIÓN'!O21</f>
        <v>0</v>
      </c>
      <c r="O53" s="299" t="str">
        <f t="shared" si="0"/>
        <v>X</v>
      </c>
      <c r="P53" s="300" t="str">
        <f>'RESUMEN TRABAJADOR ACTUACIÓN 4'!O29</f>
        <v/>
      </c>
      <c r="R53" s="299">
        <v>50</v>
      </c>
      <c r="S53" s="320">
        <f t="shared" si="8"/>
        <v>61</v>
      </c>
      <c r="T53" s="300" t="str">
        <f t="shared" si="9"/>
        <v>X</v>
      </c>
      <c r="V53" s="299">
        <f t="shared" si="10"/>
        <v>61</v>
      </c>
      <c r="W53" s="299">
        <f t="shared" si="50"/>
        <v>0</v>
      </c>
      <c r="Y53" s="312">
        <f t="shared" si="51"/>
        <v>61</v>
      </c>
      <c r="Z53" s="312" t="str">
        <f t="shared" si="52"/>
        <v>X</v>
      </c>
      <c r="AA53" s="312" t="str">
        <f t="shared" si="53"/>
        <v>X</v>
      </c>
      <c r="AB53" s="313" t="str">
        <f t="shared" si="54"/>
        <v>X</v>
      </c>
      <c r="AC53" s="299" t="str">
        <f t="shared" si="57"/>
        <v>X</v>
      </c>
      <c r="AE53" s="298" t="str">
        <f t="shared" si="12"/>
        <v/>
      </c>
      <c r="AF53" s="314" t="str">
        <f t="shared" si="13"/>
        <v>X</v>
      </c>
      <c r="AG53" s="299"/>
      <c r="AH53" s="299"/>
      <c r="AJ53" s="2">
        <v>5</v>
      </c>
      <c r="AK53" s="2" t="str">
        <f t="shared" si="55"/>
        <v/>
      </c>
      <c r="AL53" s="2">
        <f t="shared" si="60"/>
        <v>16</v>
      </c>
      <c r="AM53" s="2" t="str">
        <f t="shared" si="59"/>
        <v>X</v>
      </c>
    </row>
    <row r="54" spans="12:46" x14ac:dyDescent="0.25">
      <c r="L54" s="2">
        <v>51</v>
      </c>
      <c r="M54" s="298" t="str">
        <f>'LINEAS CON DEDICACIÓN'!N22</f>
        <v>Línea 4.6:</v>
      </c>
      <c r="N54" s="299">
        <f>'LINEAS CON DEDICACIÓN'!O22</f>
        <v>0</v>
      </c>
      <c r="O54" s="299" t="str">
        <f t="shared" si="0"/>
        <v>X</v>
      </c>
      <c r="P54" s="300" t="str">
        <f>'RESUMEN TRABAJADOR ACTUACIÓN 4'!O30</f>
        <v/>
      </c>
      <c r="R54" s="299">
        <v>51</v>
      </c>
      <c r="S54" s="320">
        <f t="shared" si="8"/>
        <v>61</v>
      </c>
      <c r="T54" s="300" t="str">
        <f t="shared" si="9"/>
        <v>X</v>
      </c>
      <c r="V54" s="299">
        <f t="shared" si="10"/>
        <v>61</v>
      </c>
      <c r="W54" s="299">
        <f t="shared" si="50"/>
        <v>0</v>
      </c>
      <c r="Y54" s="312">
        <f t="shared" si="51"/>
        <v>61</v>
      </c>
      <c r="Z54" s="312" t="str">
        <f t="shared" si="52"/>
        <v>X</v>
      </c>
      <c r="AA54" s="312" t="str">
        <f t="shared" si="53"/>
        <v>X</v>
      </c>
      <c r="AB54" s="313" t="str">
        <f t="shared" si="54"/>
        <v>X</v>
      </c>
      <c r="AC54" s="299" t="str">
        <f t="shared" si="57"/>
        <v>X</v>
      </c>
      <c r="AE54" s="298" t="str">
        <f t="shared" si="12"/>
        <v/>
      </c>
      <c r="AF54" s="314" t="str">
        <f t="shared" si="13"/>
        <v>X</v>
      </c>
      <c r="AG54" s="299"/>
      <c r="AH54" s="299"/>
      <c r="AJ54" s="2">
        <v>6</v>
      </c>
      <c r="AK54" s="2" t="str">
        <f t="shared" si="55"/>
        <v/>
      </c>
      <c r="AL54" s="2">
        <f t="shared" si="60"/>
        <v>16</v>
      </c>
      <c r="AM54" s="2" t="str">
        <f t="shared" si="59"/>
        <v>X</v>
      </c>
    </row>
    <row r="55" spans="12:46" x14ac:dyDescent="0.25">
      <c r="L55" s="2">
        <v>52</v>
      </c>
      <c r="M55" s="298" t="str">
        <f>'LINEAS CON DEDICACIÓN'!N23</f>
        <v>Línea 4.7:</v>
      </c>
      <c r="N55" s="299">
        <f>'LINEAS CON DEDICACIÓN'!O23</f>
        <v>0</v>
      </c>
      <c r="O55" s="299" t="str">
        <f t="shared" si="0"/>
        <v>X</v>
      </c>
      <c r="P55" s="300" t="str">
        <f>'RESUMEN TRABAJADOR ACTUACIÓN 4'!O31</f>
        <v/>
      </c>
      <c r="R55" s="299">
        <v>52</v>
      </c>
      <c r="S55" s="320">
        <f t="shared" si="8"/>
        <v>61</v>
      </c>
      <c r="T55" s="300" t="str">
        <f t="shared" si="9"/>
        <v>X</v>
      </c>
      <c r="V55" s="299">
        <f t="shared" si="10"/>
        <v>61</v>
      </c>
      <c r="W55" s="299">
        <f t="shared" si="50"/>
        <v>0</v>
      </c>
      <c r="Y55" s="312">
        <f t="shared" si="51"/>
        <v>61</v>
      </c>
      <c r="Z55" s="312" t="str">
        <f t="shared" si="52"/>
        <v>X</v>
      </c>
      <c r="AA55" s="312" t="str">
        <f t="shared" si="53"/>
        <v>X</v>
      </c>
      <c r="AB55" s="313" t="str">
        <f t="shared" si="54"/>
        <v>X</v>
      </c>
      <c r="AC55" s="299" t="str">
        <f t="shared" si="57"/>
        <v>X</v>
      </c>
      <c r="AE55" s="298" t="str">
        <f t="shared" si="12"/>
        <v/>
      </c>
      <c r="AF55" s="314" t="str">
        <f t="shared" si="13"/>
        <v>X</v>
      </c>
      <c r="AG55" s="299"/>
      <c r="AH55" s="299"/>
      <c r="AJ55" s="2">
        <v>7</v>
      </c>
      <c r="AK55" s="2" t="str">
        <f t="shared" si="55"/>
        <v/>
      </c>
      <c r="AL55" s="2">
        <f t="shared" si="60"/>
        <v>16</v>
      </c>
      <c r="AM55" s="2" t="str">
        <f t="shared" si="59"/>
        <v>X</v>
      </c>
    </row>
    <row r="56" spans="12:46" x14ac:dyDescent="0.25">
      <c r="L56" s="2">
        <v>53</v>
      </c>
      <c r="M56" s="298" t="str">
        <f>'LINEAS CON DEDICACIÓN'!N24</f>
        <v>Línea 4.8:</v>
      </c>
      <c r="N56" s="299">
        <f>'LINEAS CON DEDICACIÓN'!O24</f>
        <v>0</v>
      </c>
      <c r="O56" s="299" t="str">
        <f t="shared" si="0"/>
        <v>X</v>
      </c>
      <c r="P56" s="300" t="str">
        <f>'RESUMEN TRABAJADOR ACTUACIÓN 4'!O32</f>
        <v/>
      </c>
      <c r="R56" s="299">
        <v>53</v>
      </c>
      <c r="S56" s="320">
        <f t="shared" si="8"/>
        <v>61</v>
      </c>
      <c r="T56" s="300" t="str">
        <f t="shared" si="9"/>
        <v>X</v>
      </c>
      <c r="V56" s="299">
        <f t="shared" si="10"/>
        <v>61</v>
      </c>
      <c r="W56" s="299">
        <f t="shared" si="50"/>
        <v>0</v>
      </c>
      <c r="Y56" s="312">
        <f t="shared" si="51"/>
        <v>61</v>
      </c>
      <c r="Z56" s="312" t="str">
        <f t="shared" si="52"/>
        <v>X</v>
      </c>
      <c r="AA56" s="312" t="str">
        <f t="shared" si="53"/>
        <v>X</v>
      </c>
      <c r="AB56" s="313" t="str">
        <f t="shared" si="54"/>
        <v>X</v>
      </c>
      <c r="AC56" s="299" t="str">
        <f t="shared" si="57"/>
        <v>X</v>
      </c>
      <c r="AE56" s="298" t="str">
        <f t="shared" si="12"/>
        <v/>
      </c>
      <c r="AF56" s="314" t="str">
        <f t="shared" si="13"/>
        <v>X</v>
      </c>
      <c r="AG56" s="299"/>
      <c r="AH56" s="299"/>
      <c r="AJ56" s="2">
        <v>8</v>
      </c>
      <c r="AK56" s="2" t="str">
        <f t="shared" si="55"/>
        <v/>
      </c>
      <c r="AL56" s="2">
        <f t="shared" si="60"/>
        <v>16</v>
      </c>
      <c r="AM56" s="2" t="str">
        <f t="shared" si="59"/>
        <v>X</v>
      </c>
    </row>
    <row r="57" spans="12:46" x14ac:dyDescent="0.25">
      <c r="L57" s="2">
        <v>54</v>
      </c>
      <c r="M57" s="298" t="str">
        <f>'LINEAS CON DEDICACIÓN'!N25</f>
        <v>Línea 4.9:</v>
      </c>
      <c r="N57" s="299">
        <f>'LINEAS CON DEDICACIÓN'!O25</f>
        <v>0</v>
      </c>
      <c r="O57" s="299" t="str">
        <f t="shared" si="0"/>
        <v>X</v>
      </c>
      <c r="P57" s="300" t="str">
        <f>'RESUMEN TRABAJADOR ACTUACIÓN 4'!O33</f>
        <v/>
      </c>
      <c r="R57" s="299">
        <v>54</v>
      </c>
      <c r="S57" s="320">
        <f t="shared" si="8"/>
        <v>61</v>
      </c>
      <c r="T57" s="300" t="str">
        <f t="shared" si="9"/>
        <v>X</v>
      </c>
      <c r="V57" s="299">
        <f t="shared" si="10"/>
        <v>61</v>
      </c>
      <c r="W57" s="299">
        <f t="shared" si="50"/>
        <v>0</v>
      </c>
      <c r="Y57" s="312">
        <f t="shared" si="51"/>
        <v>61</v>
      </c>
      <c r="Z57" s="312" t="str">
        <f t="shared" si="52"/>
        <v>X</v>
      </c>
      <c r="AA57" s="312" t="str">
        <f t="shared" si="53"/>
        <v>X</v>
      </c>
      <c r="AB57" s="313" t="str">
        <f t="shared" si="54"/>
        <v>X</v>
      </c>
      <c r="AC57" s="299" t="str">
        <f t="shared" si="57"/>
        <v>X</v>
      </c>
      <c r="AE57" s="298" t="str">
        <f t="shared" si="12"/>
        <v/>
      </c>
      <c r="AF57" s="314" t="str">
        <f t="shared" si="13"/>
        <v>X</v>
      </c>
      <c r="AG57" s="299"/>
      <c r="AH57" s="299"/>
      <c r="AJ57" s="2">
        <v>9</v>
      </c>
      <c r="AK57" s="2" t="str">
        <f t="shared" si="55"/>
        <v/>
      </c>
      <c r="AL57" s="2">
        <f t="shared" si="60"/>
        <v>16</v>
      </c>
      <c r="AM57" s="2" t="str">
        <f t="shared" si="59"/>
        <v>X</v>
      </c>
    </row>
    <row r="58" spans="12:46" x14ac:dyDescent="0.25">
      <c r="L58" s="2">
        <v>55</v>
      </c>
      <c r="M58" s="298" t="str">
        <f>'LINEAS CON DEDICACIÓN'!N26</f>
        <v>Línea 4.10:</v>
      </c>
      <c r="N58" s="299">
        <f>'LINEAS CON DEDICACIÓN'!O26</f>
        <v>0</v>
      </c>
      <c r="O58" s="299" t="str">
        <f t="shared" si="0"/>
        <v>X</v>
      </c>
      <c r="P58" s="300" t="str">
        <f>'RESUMEN TRABAJADOR ACTUACIÓN 4'!O34</f>
        <v/>
      </c>
      <c r="R58" s="299">
        <v>55</v>
      </c>
      <c r="S58" s="320">
        <f t="shared" si="8"/>
        <v>61</v>
      </c>
      <c r="T58" s="300" t="str">
        <f t="shared" si="9"/>
        <v>X</v>
      </c>
      <c r="V58" s="299">
        <f t="shared" si="10"/>
        <v>61</v>
      </c>
      <c r="W58" s="299">
        <f t="shared" si="50"/>
        <v>0</v>
      </c>
      <c r="Y58" s="312">
        <f t="shared" si="51"/>
        <v>61</v>
      </c>
      <c r="Z58" s="312" t="str">
        <f t="shared" si="52"/>
        <v>X</v>
      </c>
      <c r="AA58" s="312" t="str">
        <f t="shared" si="53"/>
        <v>X</v>
      </c>
      <c r="AB58" s="313" t="str">
        <f t="shared" si="54"/>
        <v>X</v>
      </c>
      <c r="AC58" s="299" t="str">
        <f t="shared" si="57"/>
        <v>X</v>
      </c>
      <c r="AE58" s="298" t="str">
        <f t="shared" si="12"/>
        <v/>
      </c>
      <c r="AF58" s="314" t="str">
        <f t="shared" si="13"/>
        <v>X</v>
      </c>
      <c r="AG58" s="299"/>
      <c r="AH58" s="299"/>
      <c r="AJ58" s="2">
        <v>10</v>
      </c>
      <c r="AK58" s="2" t="str">
        <f t="shared" si="55"/>
        <v/>
      </c>
      <c r="AL58" s="2">
        <f t="shared" si="60"/>
        <v>16</v>
      </c>
      <c r="AM58" s="2" t="str">
        <f t="shared" si="59"/>
        <v>X</v>
      </c>
    </row>
    <row r="59" spans="12:46" x14ac:dyDescent="0.25">
      <c r="L59" s="2">
        <v>56</v>
      </c>
      <c r="M59" s="298" t="str">
        <f>'LINEAS CON DEDICACIÓN'!N27</f>
        <v>Línea 4.11:</v>
      </c>
      <c r="N59" s="299">
        <f>'LINEAS CON DEDICACIÓN'!O27</f>
        <v>0</v>
      </c>
      <c r="O59" s="299" t="str">
        <f t="shared" si="0"/>
        <v>X</v>
      </c>
      <c r="P59" s="300" t="str">
        <f>'RESUMEN TRABAJADOR ACTUACIÓN 4'!O35</f>
        <v/>
      </c>
      <c r="R59" s="299">
        <v>56</v>
      </c>
      <c r="S59" s="320">
        <f t="shared" si="8"/>
        <v>61</v>
      </c>
      <c r="T59" s="300" t="str">
        <f t="shared" si="9"/>
        <v>X</v>
      </c>
      <c r="V59" s="299">
        <f t="shared" si="10"/>
        <v>61</v>
      </c>
      <c r="W59" s="299">
        <f t="shared" si="50"/>
        <v>0</v>
      </c>
      <c r="Y59" s="312">
        <f t="shared" si="51"/>
        <v>61</v>
      </c>
      <c r="Z59" s="312" t="str">
        <f t="shared" si="52"/>
        <v>X</v>
      </c>
      <c r="AA59" s="312" t="str">
        <f t="shared" si="53"/>
        <v>X</v>
      </c>
      <c r="AB59" s="313" t="str">
        <f t="shared" si="54"/>
        <v>X</v>
      </c>
      <c r="AC59" s="299" t="str">
        <f t="shared" si="57"/>
        <v>X</v>
      </c>
      <c r="AE59" s="298" t="str">
        <f t="shared" si="12"/>
        <v/>
      </c>
      <c r="AF59" s="314" t="str">
        <f t="shared" si="13"/>
        <v>X</v>
      </c>
      <c r="AG59" s="299"/>
      <c r="AH59" s="299"/>
      <c r="AJ59" s="2">
        <v>11</v>
      </c>
      <c r="AK59" s="2" t="str">
        <f t="shared" si="55"/>
        <v/>
      </c>
      <c r="AL59" s="2">
        <f t="shared" si="60"/>
        <v>16</v>
      </c>
      <c r="AM59" s="2" t="str">
        <f t="shared" si="59"/>
        <v>X</v>
      </c>
    </row>
    <row r="60" spans="12:46" x14ac:dyDescent="0.25">
      <c r="L60" s="2">
        <v>57</v>
      </c>
      <c r="M60" s="298" t="str">
        <f>'LINEAS CON DEDICACIÓN'!N28</f>
        <v>Línea 4.12:</v>
      </c>
      <c r="N60" s="299">
        <f>'LINEAS CON DEDICACIÓN'!O28</f>
        <v>0</v>
      </c>
      <c r="O60" s="299" t="str">
        <f t="shared" si="0"/>
        <v>X</v>
      </c>
      <c r="P60" s="300" t="str">
        <f>'RESUMEN TRABAJADOR ACTUACIÓN 4'!O36</f>
        <v/>
      </c>
      <c r="R60" s="299">
        <v>57</v>
      </c>
      <c r="S60" s="320">
        <f t="shared" si="8"/>
        <v>61</v>
      </c>
      <c r="T60" s="300" t="str">
        <f t="shared" si="9"/>
        <v>X</v>
      </c>
      <c r="V60" s="299">
        <f t="shared" si="10"/>
        <v>61</v>
      </c>
      <c r="W60" s="299">
        <f t="shared" si="50"/>
        <v>0</v>
      </c>
      <c r="Y60" s="312">
        <f t="shared" si="51"/>
        <v>61</v>
      </c>
      <c r="Z60" s="312" t="str">
        <f t="shared" si="52"/>
        <v>X</v>
      </c>
      <c r="AA60" s="312" t="str">
        <f t="shared" si="53"/>
        <v>X</v>
      </c>
      <c r="AB60" s="313" t="str">
        <f t="shared" si="54"/>
        <v>X</v>
      </c>
      <c r="AC60" s="299" t="str">
        <f t="shared" si="57"/>
        <v>X</v>
      </c>
      <c r="AE60" s="298" t="str">
        <f t="shared" si="12"/>
        <v/>
      </c>
      <c r="AF60" s="314" t="str">
        <f t="shared" si="13"/>
        <v>X</v>
      </c>
      <c r="AG60" s="299"/>
      <c r="AH60" s="299"/>
      <c r="AJ60" s="2">
        <v>12</v>
      </c>
      <c r="AK60" s="2" t="str">
        <f t="shared" si="55"/>
        <v/>
      </c>
      <c r="AL60" s="2">
        <f t="shared" si="60"/>
        <v>16</v>
      </c>
      <c r="AM60" s="2" t="str">
        <f t="shared" si="59"/>
        <v>X</v>
      </c>
    </row>
    <row r="61" spans="12:46" x14ac:dyDescent="0.25">
      <c r="L61" s="2">
        <v>58</v>
      </c>
      <c r="M61" s="298" t="str">
        <f>'LINEAS CON DEDICACIÓN'!N29</f>
        <v>Línea 4.13:</v>
      </c>
      <c r="N61" s="299">
        <f>'LINEAS CON DEDICACIÓN'!O29</f>
        <v>0</v>
      </c>
      <c r="O61" s="299" t="str">
        <f t="shared" si="0"/>
        <v>X</v>
      </c>
      <c r="P61" s="300" t="str">
        <f>'RESUMEN TRABAJADOR ACTUACIÓN 4'!O37</f>
        <v/>
      </c>
      <c r="R61" s="299">
        <v>58</v>
      </c>
      <c r="S61" s="320">
        <f t="shared" si="8"/>
        <v>61</v>
      </c>
      <c r="T61" s="300" t="str">
        <f t="shared" si="9"/>
        <v>X</v>
      </c>
      <c r="V61" s="299">
        <f t="shared" si="10"/>
        <v>61</v>
      </c>
      <c r="W61" s="299">
        <f t="shared" si="50"/>
        <v>0</v>
      </c>
      <c r="Y61" s="312">
        <f t="shared" si="51"/>
        <v>61</v>
      </c>
      <c r="Z61" s="312" t="str">
        <f t="shared" si="52"/>
        <v>X</v>
      </c>
      <c r="AA61" s="312" t="str">
        <f t="shared" si="53"/>
        <v>X</v>
      </c>
      <c r="AB61" s="313" t="str">
        <f t="shared" si="54"/>
        <v>X</v>
      </c>
      <c r="AC61" s="299" t="str">
        <f t="shared" si="57"/>
        <v>X</v>
      </c>
      <c r="AE61" s="298" t="str">
        <f t="shared" si="12"/>
        <v/>
      </c>
      <c r="AF61" s="314" t="str">
        <f t="shared" si="13"/>
        <v>X</v>
      </c>
      <c r="AG61" s="299"/>
      <c r="AH61" s="299"/>
      <c r="AJ61" s="2">
        <v>13</v>
      </c>
      <c r="AK61" s="2" t="str">
        <f t="shared" si="55"/>
        <v/>
      </c>
      <c r="AL61" s="2">
        <f t="shared" si="60"/>
        <v>16</v>
      </c>
      <c r="AM61" s="2" t="str">
        <f t="shared" si="59"/>
        <v>X</v>
      </c>
    </row>
    <row r="62" spans="12:46" x14ac:dyDescent="0.25">
      <c r="L62" s="2">
        <v>59</v>
      </c>
      <c r="M62" s="298" t="str">
        <f>'LINEAS CON DEDICACIÓN'!N30</f>
        <v>Línea 4.14:</v>
      </c>
      <c r="N62" s="299">
        <f>'LINEAS CON DEDICACIÓN'!O30</f>
        <v>0</v>
      </c>
      <c r="O62" s="299" t="str">
        <f t="shared" si="0"/>
        <v>X</v>
      </c>
      <c r="P62" s="300" t="str">
        <f>'RESUMEN TRABAJADOR ACTUACIÓN 4'!O38</f>
        <v/>
      </c>
      <c r="R62" s="299">
        <v>59</v>
      </c>
      <c r="S62" s="320">
        <f t="shared" si="8"/>
        <v>61</v>
      </c>
      <c r="T62" s="300" t="str">
        <f t="shared" si="9"/>
        <v>X</v>
      </c>
      <c r="V62" s="299">
        <f t="shared" si="10"/>
        <v>61</v>
      </c>
      <c r="W62" s="299">
        <f t="shared" si="50"/>
        <v>0</v>
      </c>
      <c r="Y62" s="312">
        <f t="shared" si="51"/>
        <v>61</v>
      </c>
      <c r="Z62" s="312" t="str">
        <f t="shared" si="52"/>
        <v>X</v>
      </c>
      <c r="AA62" s="312" t="str">
        <f t="shared" si="53"/>
        <v>X</v>
      </c>
      <c r="AB62" s="313" t="str">
        <f t="shared" si="54"/>
        <v>X</v>
      </c>
      <c r="AC62" s="299" t="str">
        <f t="shared" si="57"/>
        <v>X</v>
      </c>
      <c r="AE62" s="298" t="str">
        <f t="shared" si="12"/>
        <v/>
      </c>
      <c r="AF62" s="314" t="str">
        <f t="shared" si="13"/>
        <v>X</v>
      </c>
      <c r="AG62" s="299"/>
      <c r="AH62" s="299"/>
      <c r="AJ62" s="2">
        <v>14</v>
      </c>
      <c r="AK62" s="2" t="str">
        <f t="shared" si="55"/>
        <v/>
      </c>
      <c r="AL62" s="2">
        <f t="shared" si="60"/>
        <v>16</v>
      </c>
      <c r="AM62" s="2" t="str">
        <f t="shared" si="59"/>
        <v>X</v>
      </c>
    </row>
    <row r="63" spans="12:46" x14ac:dyDescent="0.25">
      <c r="L63" s="2">
        <v>60</v>
      </c>
      <c r="M63" s="298" t="str">
        <f>'LINEAS CON DEDICACIÓN'!N31</f>
        <v>Línea 4.15:</v>
      </c>
      <c r="N63" s="299">
        <f>'LINEAS CON DEDICACIÓN'!O31</f>
        <v>0</v>
      </c>
      <c r="O63" s="299" t="str">
        <f t="shared" si="0"/>
        <v>X</v>
      </c>
      <c r="P63" s="300" t="str">
        <f>'RESUMEN TRABAJADOR ACTUACIÓN 4'!O39</f>
        <v/>
      </c>
      <c r="R63" s="299">
        <v>60</v>
      </c>
      <c r="S63" s="320">
        <f t="shared" si="8"/>
        <v>61</v>
      </c>
      <c r="T63" s="300" t="str">
        <f t="shared" si="9"/>
        <v>X</v>
      </c>
      <c r="V63" s="299">
        <f t="shared" si="10"/>
        <v>61</v>
      </c>
      <c r="W63" s="299">
        <f t="shared" si="50"/>
        <v>0</v>
      </c>
      <c r="Y63" s="312">
        <f t="shared" si="51"/>
        <v>61</v>
      </c>
      <c r="Z63" s="312" t="str">
        <f t="shared" si="52"/>
        <v>X</v>
      </c>
      <c r="AA63" s="312" t="str">
        <f t="shared" si="53"/>
        <v>X</v>
      </c>
      <c r="AB63" s="313" t="str">
        <f t="shared" si="54"/>
        <v>X</v>
      </c>
      <c r="AC63" s="299" t="str">
        <f t="shared" si="57"/>
        <v>X</v>
      </c>
      <c r="AE63" s="298" t="str">
        <f t="shared" si="12"/>
        <v/>
      </c>
      <c r="AF63" s="314" t="str">
        <f t="shared" si="13"/>
        <v>X</v>
      </c>
      <c r="AG63" s="299"/>
      <c r="AH63" s="299"/>
      <c r="AJ63" s="2">
        <v>15</v>
      </c>
      <c r="AK63" s="2" t="str">
        <f t="shared" si="55"/>
        <v/>
      </c>
      <c r="AL63" s="2">
        <f t="shared" si="60"/>
        <v>16</v>
      </c>
      <c r="AM63" s="2" t="str">
        <f t="shared" si="59"/>
        <v>X</v>
      </c>
    </row>
    <row r="64" spans="12:46" x14ac:dyDescent="0.25">
      <c r="M64" s="295"/>
      <c r="Y64" s="295"/>
      <c r="Z64" s="295"/>
      <c r="AA64" s="295"/>
    </row>
    <row r="65" spans="13:27" x14ac:dyDescent="0.25">
      <c r="M65" s="295"/>
      <c r="Y65" s="295"/>
      <c r="Z65" s="295"/>
      <c r="AA65" s="295"/>
    </row>
    <row r="66" spans="13:27" x14ac:dyDescent="0.25">
      <c r="M66" s="295"/>
      <c r="Y66" s="295"/>
      <c r="Z66" s="295"/>
      <c r="AA66" s="295"/>
    </row>
    <row r="67" spans="13:27" x14ac:dyDescent="0.25">
      <c r="Y67" s="295"/>
      <c r="Z67" s="295"/>
      <c r="AA67" s="295"/>
    </row>
    <row r="68" spans="13:27" x14ac:dyDescent="0.25">
      <c r="Y68" s="295"/>
      <c r="Z68" s="295"/>
      <c r="AA68" s="295"/>
    </row>
    <row r="69" spans="13:27" x14ac:dyDescent="0.25">
      <c r="Y69" s="295"/>
      <c r="Z69" s="295"/>
      <c r="AA69" s="295"/>
    </row>
    <row r="70" spans="13:27" x14ac:dyDescent="0.25">
      <c r="Y70" s="295"/>
      <c r="Z70" s="295"/>
      <c r="AA70" s="295"/>
    </row>
    <row r="71" spans="13:27" x14ac:dyDescent="0.25">
      <c r="Y71" s="295"/>
      <c r="Z71" s="295"/>
      <c r="AA71" s="295"/>
    </row>
    <row r="72" spans="13:27" x14ac:dyDescent="0.25">
      <c r="Y72" s="295"/>
      <c r="Z72" s="295"/>
      <c r="AA72" s="295"/>
    </row>
    <row r="73" spans="13:27" x14ac:dyDescent="0.25">
      <c r="Y73" s="295"/>
      <c r="Z73" s="295"/>
      <c r="AA73" s="295"/>
    </row>
    <row r="74" spans="13:27" x14ac:dyDescent="0.25">
      <c r="Y74" s="295"/>
      <c r="Z74" s="295"/>
      <c r="AA74" s="295"/>
    </row>
    <row r="75" spans="13:27" x14ac:dyDescent="0.25">
      <c r="Y75" s="295"/>
      <c r="Z75" s="295"/>
      <c r="AA75" s="295"/>
    </row>
    <row r="76" spans="13:27" x14ac:dyDescent="0.25">
      <c r="Y76" s="295"/>
      <c r="Z76" s="295"/>
      <c r="AA76" s="295"/>
    </row>
    <row r="77" spans="13:27" x14ac:dyDescent="0.25">
      <c r="Y77" s="295"/>
      <c r="Z77" s="295"/>
      <c r="AA77" s="295"/>
    </row>
    <row r="78" spans="13:27" x14ac:dyDescent="0.25">
      <c r="Y78" s="295"/>
      <c r="Z78" s="295"/>
      <c r="AA78" s="295"/>
    </row>
    <row r="79" spans="13:27" x14ac:dyDescent="0.25">
      <c r="Y79" s="295"/>
      <c r="Z79" s="295"/>
      <c r="AA79" s="295"/>
    </row>
    <row r="80" spans="13:27" x14ac:dyDescent="0.25">
      <c r="Y80" s="295"/>
      <c r="Z80" s="295"/>
      <c r="AA80" s="295"/>
    </row>
    <row r="81" spans="13:27" x14ac:dyDescent="0.25">
      <c r="Y81" s="295"/>
      <c r="Z81" s="295"/>
      <c r="AA81" s="295"/>
    </row>
    <row r="82" spans="13:27" x14ac:dyDescent="0.25">
      <c r="Y82" s="295"/>
      <c r="Z82" s="295"/>
      <c r="AA82" s="295"/>
    </row>
    <row r="83" spans="13:27" x14ac:dyDescent="0.25">
      <c r="Y83" s="295"/>
      <c r="Z83" s="295"/>
      <c r="AA83" s="295"/>
    </row>
    <row r="84" spans="13:27" x14ac:dyDescent="0.25">
      <c r="Y84" s="295"/>
      <c r="Z84" s="295"/>
      <c r="AA84" s="295"/>
    </row>
    <row r="85" spans="13:27" x14ac:dyDescent="0.25">
      <c r="Y85" s="295"/>
      <c r="Z85" s="295"/>
      <c r="AA85" s="295"/>
    </row>
    <row r="86" spans="13:27" x14ac:dyDescent="0.25">
      <c r="Y86" s="295"/>
      <c r="Z86" s="295"/>
      <c r="AA86" s="295"/>
    </row>
    <row r="87" spans="13:27" x14ac:dyDescent="0.25">
      <c r="Y87" s="295"/>
      <c r="Z87" s="295"/>
      <c r="AA87" s="295"/>
    </row>
    <row r="88" spans="13:27" x14ac:dyDescent="0.25">
      <c r="Y88" s="295"/>
      <c r="Z88" s="295"/>
      <c r="AA88" s="295"/>
    </row>
    <row r="89" spans="13:27" x14ac:dyDescent="0.25">
      <c r="Y89" s="295"/>
      <c r="Z89" s="295"/>
      <c r="AA89" s="295"/>
    </row>
    <row r="90" spans="13:27" x14ac:dyDescent="0.25">
      <c r="Y90" s="295"/>
      <c r="Z90" s="295"/>
      <c r="AA90" s="295"/>
    </row>
    <row r="91" spans="13:27" x14ac:dyDescent="0.25">
      <c r="Y91" s="295"/>
      <c r="Z91" s="295"/>
      <c r="AA91" s="295"/>
    </row>
    <row r="92" spans="13:27" x14ac:dyDescent="0.25">
      <c r="Y92" s="295"/>
      <c r="Z92" s="295"/>
      <c r="AA92" s="295"/>
    </row>
    <row r="93" spans="13:27" x14ac:dyDescent="0.25">
      <c r="M93" s="295"/>
      <c r="Y93" s="295"/>
      <c r="Z93" s="295"/>
      <c r="AA93" s="295"/>
    </row>
    <row r="94" spans="13:27" x14ac:dyDescent="0.25">
      <c r="M94" s="295"/>
      <c r="Y94" s="295"/>
      <c r="Z94" s="295"/>
      <c r="AA94" s="295"/>
    </row>
    <row r="95" spans="13:27" x14ac:dyDescent="0.25">
      <c r="M95" s="295"/>
      <c r="Y95" s="295"/>
      <c r="Z95" s="295"/>
      <c r="AA95" s="295"/>
    </row>
    <row r="96" spans="13:27" x14ac:dyDescent="0.25">
      <c r="M96" s="295"/>
      <c r="Y96" s="295"/>
      <c r="Z96" s="295"/>
      <c r="AA96" s="295"/>
    </row>
    <row r="97" spans="13:27" x14ac:dyDescent="0.25">
      <c r="M97" s="295"/>
      <c r="Y97" s="295"/>
      <c r="Z97" s="295"/>
      <c r="AA97" s="295"/>
    </row>
    <row r="98" spans="13:27" x14ac:dyDescent="0.25">
      <c r="M98" s="295"/>
      <c r="Y98" s="295"/>
      <c r="Z98" s="295"/>
      <c r="AA98" s="295"/>
    </row>
    <row r="99" spans="13:27" x14ac:dyDescent="0.25">
      <c r="M99" s="295"/>
      <c r="Y99" s="295"/>
      <c r="Z99" s="295"/>
      <c r="AA99" s="295"/>
    </row>
    <row r="100" spans="13:27" x14ac:dyDescent="0.25">
      <c r="M100" s="295"/>
      <c r="Y100" s="295"/>
      <c r="Z100" s="295"/>
      <c r="AA100" s="295"/>
    </row>
    <row r="101" spans="13:27" x14ac:dyDescent="0.25">
      <c r="M101" s="295"/>
      <c r="Y101" s="295"/>
      <c r="Z101" s="295"/>
      <c r="AA101" s="295"/>
    </row>
    <row r="102" spans="13:27" x14ac:dyDescent="0.25">
      <c r="M102" s="295"/>
      <c r="Y102" s="295"/>
      <c r="Z102" s="295"/>
      <c r="AA102" s="295"/>
    </row>
    <row r="103" spans="13:27" x14ac:dyDescent="0.25">
      <c r="M103" s="295"/>
      <c r="Y103" s="295"/>
      <c r="Z103" s="295"/>
      <c r="AA103" s="295"/>
    </row>
    <row r="104" spans="13:27" x14ac:dyDescent="0.25">
      <c r="M104" s="295"/>
      <c r="Y104" s="295"/>
      <c r="Z104" s="295"/>
      <c r="AA104" s="295"/>
    </row>
    <row r="105" spans="13:27" x14ac:dyDescent="0.25">
      <c r="M105" s="295"/>
      <c r="Y105" s="295"/>
      <c r="Z105" s="295"/>
      <c r="AA105" s="295"/>
    </row>
    <row r="106" spans="13:27" x14ac:dyDescent="0.25">
      <c r="M106" s="295"/>
      <c r="Y106" s="295"/>
      <c r="Z106" s="295"/>
      <c r="AA106" s="295"/>
    </row>
    <row r="107" spans="13:27" x14ac:dyDescent="0.25">
      <c r="M107" s="295"/>
      <c r="Y107" s="295"/>
      <c r="Z107" s="295"/>
      <c r="AA107" s="295"/>
    </row>
    <row r="108" spans="13:27" x14ac:dyDescent="0.25">
      <c r="M108" s="295"/>
      <c r="Y108" s="295"/>
      <c r="Z108" s="295"/>
      <c r="AA108" s="295"/>
    </row>
    <row r="109" spans="13:27" x14ac:dyDescent="0.25">
      <c r="M109" s="295"/>
      <c r="Y109" s="295"/>
      <c r="Z109" s="295"/>
      <c r="AA109" s="295"/>
    </row>
    <row r="110" spans="13:27" x14ac:dyDescent="0.25">
      <c r="M110" s="295"/>
      <c r="Y110" s="295"/>
      <c r="Z110" s="295"/>
      <c r="AA110" s="295"/>
    </row>
    <row r="111" spans="13:27" x14ac:dyDescent="0.25">
      <c r="M111" s="295"/>
      <c r="Y111" s="295"/>
      <c r="Z111" s="295"/>
      <c r="AA111" s="295"/>
    </row>
    <row r="112" spans="13:27" x14ac:dyDescent="0.25">
      <c r="M112" s="295"/>
      <c r="Y112" s="295"/>
      <c r="Z112" s="295"/>
      <c r="AA112" s="295"/>
    </row>
    <row r="113" spans="13:27" x14ac:dyDescent="0.25">
      <c r="M113" s="295"/>
      <c r="Y113" s="295"/>
      <c r="Z113" s="295"/>
      <c r="AA113" s="295"/>
    </row>
    <row r="114" spans="13:27" x14ac:dyDescent="0.25">
      <c r="M114" s="295"/>
      <c r="Y114" s="295"/>
      <c r="Z114" s="295"/>
      <c r="AA114" s="295"/>
    </row>
    <row r="115" spans="13:27" x14ac:dyDescent="0.25">
      <c r="M115" s="295"/>
      <c r="Y115" s="295"/>
      <c r="Z115" s="295"/>
      <c r="AA115" s="295"/>
    </row>
    <row r="116" spans="13:27" x14ac:dyDescent="0.25">
      <c r="M116" s="295"/>
      <c r="Y116" s="295"/>
      <c r="Z116" s="295"/>
      <c r="AA116" s="295"/>
    </row>
    <row r="117" spans="13:27" x14ac:dyDescent="0.25">
      <c r="M117" s="295"/>
      <c r="Y117" s="295"/>
      <c r="Z117" s="295"/>
      <c r="AA117" s="295"/>
    </row>
    <row r="118" spans="13:27" x14ac:dyDescent="0.25">
      <c r="M118" s="295"/>
      <c r="Y118" s="295"/>
      <c r="Z118" s="295"/>
      <c r="AA118" s="295"/>
    </row>
    <row r="119" spans="13:27" x14ac:dyDescent="0.25">
      <c r="M119" s="295"/>
      <c r="Y119" s="295"/>
      <c r="Z119" s="295"/>
      <c r="AA119" s="295"/>
    </row>
    <row r="120" spans="13:27" x14ac:dyDescent="0.25">
      <c r="M120" s="295"/>
      <c r="Y120" s="295"/>
      <c r="Z120" s="295"/>
      <c r="AA120" s="295"/>
    </row>
    <row r="121" spans="13:27" x14ac:dyDescent="0.25">
      <c r="M121" s="295"/>
      <c r="Y121" s="295"/>
      <c r="Z121" s="295"/>
      <c r="AA121" s="295"/>
    </row>
    <row r="122" spans="13:27" x14ac:dyDescent="0.25">
      <c r="M122" s="295"/>
      <c r="Y122" s="295"/>
      <c r="Z122" s="295"/>
      <c r="AA122" s="295"/>
    </row>
    <row r="123" spans="13:27" x14ac:dyDescent="0.25">
      <c r="M123" s="295"/>
      <c r="Y123" s="295"/>
      <c r="Z123" s="295"/>
      <c r="AA123" s="295"/>
    </row>
    <row r="124" spans="13:27" x14ac:dyDescent="0.25">
      <c r="M124" s="295"/>
      <c r="Y124" s="295"/>
      <c r="Z124" s="295"/>
      <c r="AA124" s="295"/>
    </row>
    <row r="125" spans="13:27" x14ac:dyDescent="0.25">
      <c r="M125" s="295"/>
      <c r="Y125" s="295"/>
      <c r="Z125" s="295"/>
      <c r="AA125" s="295"/>
    </row>
    <row r="126" spans="13:27" x14ac:dyDescent="0.25">
      <c r="M126" s="295"/>
      <c r="Y126" s="295"/>
      <c r="Z126" s="295"/>
      <c r="AA126" s="295"/>
    </row>
    <row r="127" spans="13:27" x14ac:dyDescent="0.25">
      <c r="M127" s="295"/>
      <c r="Y127" s="295"/>
      <c r="Z127" s="295"/>
      <c r="AA127" s="295"/>
    </row>
    <row r="128" spans="13:27" x14ac:dyDescent="0.25">
      <c r="M128" s="295"/>
      <c r="Y128" s="295"/>
      <c r="Z128" s="295"/>
      <c r="AA128" s="295"/>
    </row>
    <row r="129" spans="13:27" x14ac:dyDescent="0.25">
      <c r="M129" s="295"/>
      <c r="Y129" s="295"/>
      <c r="Z129" s="295"/>
      <c r="AA129" s="295"/>
    </row>
    <row r="130" spans="13:27" x14ac:dyDescent="0.25">
      <c r="M130" s="295"/>
      <c r="Y130" s="295"/>
      <c r="Z130" s="295"/>
      <c r="AA130" s="295"/>
    </row>
    <row r="131" spans="13:27" x14ac:dyDescent="0.25">
      <c r="M131" s="295"/>
      <c r="Y131" s="295"/>
      <c r="Z131" s="295"/>
      <c r="AA131" s="295"/>
    </row>
    <row r="132" spans="13:27" x14ac:dyDescent="0.25">
      <c r="M132" s="295"/>
      <c r="Y132" s="295"/>
      <c r="Z132" s="295"/>
      <c r="AA132" s="295"/>
    </row>
    <row r="133" spans="13:27" x14ac:dyDescent="0.25">
      <c r="M133" s="295"/>
      <c r="Y133" s="295"/>
      <c r="Z133" s="295"/>
      <c r="AA133" s="295"/>
    </row>
    <row r="134" spans="13:27" x14ac:dyDescent="0.25">
      <c r="M134" s="295"/>
      <c r="Y134" s="295"/>
      <c r="Z134" s="295"/>
      <c r="AA134" s="295"/>
    </row>
    <row r="135" spans="13:27" x14ac:dyDescent="0.25">
      <c r="M135" s="295"/>
      <c r="Y135" s="295"/>
      <c r="Z135" s="295"/>
      <c r="AA135" s="295"/>
    </row>
    <row r="136" spans="13:27" x14ac:dyDescent="0.25">
      <c r="M136" s="295"/>
      <c r="Y136" s="295"/>
      <c r="Z136" s="295"/>
      <c r="AA136" s="295"/>
    </row>
    <row r="137" spans="13:27" x14ac:dyDescent="0.25">
      <c r="M137" s="295"/>
      <c r="Y137" s="295"/>
      <c r="Z137" s="295"/>
      <c r="AA137" s="295"/>
    </row>
    <row r="138" spans="13:27" x14ac:dyDescent="0.25">
      <c r="M138" s="295"/>
      <c r="Y138" s="295"/>
      <c r="Z138" s="295"/>
      <c r="AA138" s="295"/>
    </row>
    <row r="139" spans="13:27" x14ac:dyDescent="0.25">
      <c r="M139" s="295"/>
      <c r="Y139" s="295"/>
      <c r="Z139" s="295"/>
      <c r="AA139" s="295"/>
    </row>
    <row r="140" spans="13:27" x14ac:dyDescent="0.25">
      <c r="M140" s="295"/>
      <c r="Y140" s="295"/>
      <c r="Z140" s="295"/>
      <c r="AA140" s="295"/>
    </row>
    <row r="141" spans="13:27" x14ac:dyDescent="0.25">
      <c r="M141" s="295"/>
      <c r="Y141" s="295"/>
      <c r="Z141" s="295"/>
      <c r="AA141" s="295"/>
    </row>
    <row r="142" spans="13:27" x14ac:dyDescent="0.25">
      <c r="M142" s="295"/>
      <c r="Y142" s="295"/>
      <c r="Z142" s="295"/>
      <c r="AA142" s="295"/>
    </row>
    <row r="143" spans="13:27" x14ac:dyDescent="0.25">
      <c r="M143" s="295"/>
      <c r="Y143" s="295"/>
      <c r="Z143" s="295"/>
      <c r="AA143" s="295"/>
    </row>
    <row r="144" spans="13:27" x14ac:dyDescent="0.25">
      <c r="M144" s="295"/>
      <c r="Y144" s="295"/>
      <c r="Z144" s="295"/>
      <c r="AA144" s="295"/>
    </row>
    <row r="145" spans="13:27" x14ac:dyDescent="0.25">
      <c r="M145" s="295"/>
      <c r="Y145" s="295"/>
      <c r="Z145" s="295"/>
      <c r="AA145" s="295"/>
    </row>
    <row r="146" spans="13:27" x14ac:dyDescent="0.25">
      <c r="M146" s="295"/>
      <c r="Y146" s="295"/>
      <c r="Z146" s="295"/>
      <c r="AA146" s="295"/>
    </row>
    <row r="147" spans="13:27" x14ac:dyDescent="0.25">
      <c r="M147" s="295"/>
      <c r="Y147" s="295"/>
      <c r="Z147" s="295"/>
      <c r="AA147" s="295"/>
    </row>
    <row r="148" spans="13:27" x14ac:dyDescent="0.25">
      <c r="M148" s="295"/>
      <c r="Y148" s="295"/>
      <c r="Z148" s="295"/>
      <c r="AA148" s="295"/>
    </row>
    <row r="149" spans="13:27" x14ac:dyDescent="0.25">
      <c r="M149" s="295"/>
      <c r="Y149" s="295"/>
      <c r="Z149" s="295"/>
      <c r="AA149" s="295"/>
    </row>
    <row r="150" spans="13:27" x14ac:dyDescent="0.25">
      <c r="M150" s="295"/>
      <c r="Y150" s="295"/>
      <c r="Z150" s="295"/>
      <c r="AA150" s="295"/>
    </row>
    <row r="151" spans="13:27" x14ac:dyDescent="0.25">
      <c r="M151" s="295"/>
      <c r="Y151" s="295"/>
      <c r="Z151" s="295"/>
      <c r="AA151" s="295"/>
    </row>
    <row r="152" spans="13:27" x14ac:dyDescent="0.25">
      <c r="M152" s="295"/>
      <c r="Y152" s="295"/>
      <c r="Z152" s="295"/>
      <c r="AA152" s="295"/>
    </row>
    <row r="153" spans="13:27" x14ac:dyDescent="0.25">
      <c r="M153" s="295"/>
      <c r="Y153" s="295"/>
      <c r="Z153" s="295"/>
      <c r="AA153" s="295"/>
    </row>
    <row r="154" spans="13:27" x14ac:dyDescent="0.25">
      <c r="M154" s="295"/>
      <c r="Y154" s="295"/>
      <c r="Z154" s="295"/>
      <c r="AA154" s="295"/>
    </row>
    <row r="155" spans="13:27" x14ac:dyDescent="0.25">
      <c r="M155" s="295"/>
      <c r="Y155" s="295"/>
      <c r="Z155" s="295"/>
      <c r="AA155" s="295"/>
    </row>
    <row r="156" spans="13:27" x14ac:dyDescent="0.25">
      <c r="M156" s="295"/>
      <c r="Y156" s="295"/>
      <c r="Z156" s="295"/>
      <c r="AA156" s="295"/>
    </row>
    <row r="157" spans="13:27" x14ac:dyDescent="0.25">
      <c r="M157" s="295"/>
      <c r="Y157" s="295"/>
      <c r="Z157" s="295"/>
      <c r="AA157" s="295"/>
    </row>
    <row r="158" spans="13:27" x14ac:dyDescent="0.25">
      <c r="M158" s="295"/>
      <c r="Y158" s="295"/>
      <c r="Z158" s="295"/>
      <c r="AA158" s="295"/>
    </row>
    <row r="159" spans="13:27" x14ac:dyDescent="0.25">
      <c r="M159" s="295"/>
      <c r="Y159" s="295"/>
      <c r="Z159" s="295"/>
      <c r="AA159" s="295"/>
    </row>
    <row r="160" spans="13:27" x14ac:dyDescent="0.25">
      <c r="M160" s="295"/>
      <c r="Y160" s="295"/>
      <c r="Z160" s="295"/>
      <c r="AA160" s="295"/>
    </row>
    <row r="161" spans="13:27" x14ac:dyDescent="0.25">
      <c r="M161" s="295"/>
      <c r="Y161" s="295"/>
      <c r="Z161" s="295"/>
      <c r="AA161" s="295"/>
    </row>
    <row r="162" spans="13:27" x14ac:dyDescent="0.25">
      <c r="M162" s="295"/>
      <c r="Y162" s="295"/>
      <c r="Z162" s="295"/>
      <c r="AA162" s="295"/>
    </row>
    <row r="163" spans="13:27" x14ac:dyDescent="0.25">
      <c r="M163" s="295"/>
      <c r="Y163" s="295"/>
      <c r="Z163" s="295"/>
      <c r="AA163" s="295"/>
    </row>
    <row r="164" spans="13:27" x14ac:dyDescent="0.25">
      <c r="M164" s="295"/>
      <c r="Y164" s="295"/>
      <c r="Z164" s="295"/>
      <c r="AA164" s="295"/>
    </row>
    <row r="165" spans="13:27" x14ac:dyDescent="0.25">
      <c r="M165" s="295"/>
      <c r="Y165" s="295"/>
      <c r="Z165" s="295"/>
      <c r="AA165" s="295"/>
    </row>
    <row r="166" spans="13:27" x14ac:dyDescent="0.25">
      <c r="M166" s="295"/>
      <c r="Y166" s="295"/>
      <c r="Z166" s="295"/>
      <c r="AA166" s="295"/>
    </row>
    <row r="167" spans="13:27" x14ac:dyDescent="0.25">
      <c r="M167" s="295"/>
      <c r="Y167" s="295"/>
      <c r="Z167" s="295"/>
      <c r="AA167" s="295"/>
    </row>
  </sheetData>
  <sheetProtection algorithmName="SHA-512" hashValue="Z8Qo82/0O6Q2eON//tmLvJKZOgZZnn7puS/IcfCyFTZQDxIlWSUsCs5rILNpbfIJxwUmoqNapDkWJTvPyGcp8A==" saltValue="MQXZK5HPQRiUMPt+slbHwg==" spinCount="100000" sheet="1" objects="1" scenarios="1" selectLockedCells="1" selectUnlockedCells="1"/>
  <mergeCells count="44">
    <mergeCell ref="D3:J3"/>
    <mergeCell ref="C12:E12"/>
    <mergeCell ref="L2:P2"/>
    <mergeCell ref="V2:W2"/>
    <mergeCell ref="Y2:AC2"/>
    <mergeCell ref="R2:T2"/>
    <mergeCell ref="F5:F6"/>
    <mergeCell ref="G5:G6"/>
    <mergeCell ref="AE2:AH2"/>
    <mergeCell ref="AJ2:AM2"/>
    <mergeCell ref="AU6:AU8"/>
    <mergeCell ref="AV6:AV8"/>
    <mergeCell ref="AW6:AW8"/>
    <mergeCell ref="AT2:BW2"/>
    <mergeCell ref="AY6:AY8"/>
    <mergeCell ref="BA6:BA8"/>
    <mergeCell ref="BC6:BC8"/>
    <mergeCell ref="BD6:BD8"/>
    <mergeCell ref="BE6:BE8"/>
    <mergeCell ref="AZ6:AZ8"/>
    <mergeCell ref="BB6:BB8"/>
    <mergeCell ref="BF6:BF8"/>
    <mergeCell ref="BG6:BG8"/>
    <mergeCell ref="BC5:BE5"/>
    <mergeCell ref="BF5:BH5"/>
    <mergeCell ref="BJ6:BJ8"/>
    <mergeCell ref="BI6:BI8"/>
    <mergeCell ref="BO4:BO5"/>
    <mergeCell ref="BH6:BH8"/>
    <mergeCell ref="BP4:BP5"/>
    <mergeCell ref="BQ4:BQ5"/>
    <mergeCell ref="BR4:BR5"/>
    <mergeCell ref="BY2:CC2"/>
    <mergeCell ref="CE2:CJ2"/>
    <mergeCell ref="BS4:BS5"/>
    <mergeCell ref="BT4:BT5"/>
    <mergeCell ref="CA4:CA5"/>
    <mergeCell ref="CB4:CB5"/>
    <mergeCell ref="CC4:CC5"/>
    <mergeCell ref="BU4:BU5"/>
    <mergeCell ref="BV4:BV5"/>
    <mergeCell ref="BW4:BW5"/>
    <mergeCell ref="BY4:BY5"/>
    <mergeCell ref="BZ4:BZ5"/>
  </mergeCells>
  <phoneticPr fontId="10" type="noConversion"/>
  <conditionalFormatting sqref="A1:XFD4 A10:XFD63 A5:D9 H5:XFD9">
    <cfRule type="expression" dxfId="1" priority="2">
      <formula>$B$1&lt;&gt;1</formula>
    </cfRule>
  </conditionalFormatting>
  <conditionalFormatting sqref="E5:G5 E6:E7 E8:G9">
    <cfRule type="expression" dxfId="0" priority="1">
      <formula>$B$1=0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016C-FC44-4540-A92E-66E8DF240CD9}">
  <dimension ref="A1:I32"/>
  <sheetViews>
    <sheetView showGridLines="0" workbookViewId="0">
      <selection activeCell="C9" sqref="C9:I10"/>
    </sheetView>
  </sheetViews>
  <sheetFormatPr baseColWidth="10" defaultColWidth="11.42578125" defaultRowHeight="15" customHeight="1" x14ac:dyDescent="0.25"/>
  <cols>
    <col min="1" max="1" width="5.5703125" style="12" customWidth="1"/>
    <col min="2" max="2" width="17" style="12" customWidth="1"/>
    <col min="3" max="3" width="15.42578125" style="12" bestFit="1" customWidth="1"/>
    <col min="4" max="4" width="6.5703125" style="12" customWidth="1"/>
    <col min="5" max="8" width="10.5703125" style="12" customWidth="1"/>
    <col min="9" max="9" width="35.5703125" style="12" customWidth="1"/>
    <col min="10" max="16384" width="11.42578125" style="12"/>
  </cols>
  <sheetData>
    <row r="1" spans="1:9" ht="13.5" x14ac:dyDescent="0.25">
      <c r="A1" s="11"/>
    </row>
    <row r="9" spans="1:9" ht="15" customHeight="1" x14ac:dyDescent="0.25">
      <c r="B9" s="334" t="s">
        <v>10</v>
      </c>
      <c r="C9" s="335"/>
      <c r="D9" s="336"/>
      <c r="E9" s="336"/>
      <c r="F9" s="336"/>
      <c r="G9" s="336"/>
      <c r="H9" s="336"/>
      <c r="I9" s="337"/>
    </row>
    <row r="10" spans="1:9" ht="15" customHeight="1" x14ac:dyDescent="0.25">
      <c r="B10" s="334"/>
      <c r="C10" s="338"/>
      <c r="D10" s="339"/>
      <c r="E10" s="339"/>
      <c r="F10" s="339"/>
      <c r="G10" s="339"/>
      <c r="H10" s="339"/>
      <c r="I10" s="340"/>
    </row>
    <row r="11" spans="1:9" ht="15" customHeight="1" x14ac:dyDescent="0.25">
      <c r="B11" s="13"/>
    </row>
    <row r="12" spans="1:9" ht="15" customHeight="1" x14ac:dyDescent="0.25">
      <c r="B12" s="341" t="s">
        <v>11</v>
      </c>
      <c r="C12" s="342" t="str">
        <f>AUXILIAR!D3</f>
        <v>PROGRAMA DE AYUDA DIRIGIDO A FOMENTAR LA INNOVACIÓN Y EL EMPRENDIMIENTO</v>
      </c>
      <c r="D12" s="343"/>
      <c r="E12" s="343"/>
      <c r="F12" s="343"/>
      <c r="G12" s="343"/>
      <c r="H12" s="343"/>
      <c r="I12" s="344"/>
    </row>
    <row r="13" spans="1:9" ht="15" customHeight="1" x14ac:dyDescent="0.25">
      <c r="B13" s="341"/>
      <c r="C13" s="345"/>
      <c r="D13" s="346"/>
      <c r="E13" s="346"/>
      <c r="F13" s="346"/>
      <c r="G13" s="346"/>
      <c r="H13" s="346"/>
      <c r="I13" s="347"/>
    </row>
    <row r="14" spans="1:9" ht="15" customHeight="1" x14ac:dyDescent="0.25">
      <c r="B14" s="341"/>
      <c r="C14" s="348"/>
      <c r="D14" s="349"/>
      <c r="E14" s="349"/>
      <c r="F14" s="349"/>
      <c r="G14" s="349"/>
      <c r="H14" s="349"/>
      <c r="I14" s="350"/>
    </row>
    <row r="15" spans="1:9" ht="15" customHeight="1" x14ac:dyDescent="0.25">
      <c r="B15" s="13"/>
    </row>
    <row r="16" spans="1:9" ht="15" customHeight="1" x14ac:dyDescent="0.25">
      <c r="B16" s="13" t="s">
        <v>12</v>
      </c>
      <c r="C16" s="14">
        <f>AUXILIAR!D5</f>
        <v>2024</v>
      </c>
      <c r="D16" s="15"/>
      <c r="F16" s="499" t="s">
        <v>13</v>
      </c>
      <c r="G16" s="499"/>
      <c r="H16" s="500"/>
      <c r="I16" s="497" t="str">
        <f>AUXILIAR!G5</f>
        <v>nº 82, de 11 de abril de 2023
nº 100, de 2 de mayo de 2024</v>
      </c>
    </row>
    <row r="17" spans="2:9" ht="15" customHeight="1" x14ac:dyDescent="0.25">
      <c r="B17" s="13"/>
      <c r="F17" s="499"/>
      <c r="G17" s="499"/>
      <c r="H17" s="500"/>
      <c r="I17" s="498"/>
    </row>
    <row r="18" spans="2:9" ht="15" customHeight="1" x14ac:dyDescent="0.25">
      <c r="B18" s="13" t="s">
        <v>14</v>
      </c>
      <c r="C18" s="17">
        <f>AUXILIAR!D7</f>
        <v>11</v>
      </c>
      <c r="D18" s="18"/>
    </row>
    <row r="19" spans="2:9" ht="15" customHeight="1" x14ac:dyDescent="0.25">
      <c r="B19" s="13"/>
    </row>
    <row r="20" spans="2:9" ht="15" customHeight="1" x14ac:dyDescent="0.25">
      <c r="B20" s="13" t="s">
        <v>16</v>
      </c>
      <c r="C20" s="14" t="str">
        <f>AUXILIAR!D9</f>
        <v>ACEE</v>
      </c>
      <c r="D20" s="15"/>
      <c r="E20" s="15"/>
      <c r="F20" s="15"/>
      <c r="G20" s="18"/>
      <c r="H20" s="16" t="s">
        <v>15</v>
      </c>
      <c r="I20" s="17" t="str">
        <f>AUXILIAR!G9</f>
        <v>nº 128, de 4 de junio de 2024</v>
      </c>
    </row>
    <row r="21" spans="2:9" ht="15" customHeight="1" x14ac:dyDescent="0.25">
      <c r="B21" s="13"/>
    </row>
    <row r="22" spans="2:9" ht="15" customHeight="1" x14ac:dyDescent="0.25">
      <c r="B22" s="13" t="s">
        <v>17</v>
      </c>
      <c r="C22" s="19" t="str">
        <f>CONCATENATE(C16,".",TEXT(C18,"00"),".",C20,".")</f>
        <v>2024.11.ACEE.</v>
      </c>
      <c r="D22" s="20"/>
      <c r="H22" s="37"/>
    </row>
    <row r="23" spans="2:9" ht="15" customHeight="1" x14ac:dyDescent="0.25">
      <c r="B23" s="13"/>
      <c r="C23" s="13"/>
      <c r="D23" s="13"/>
      <c r="E23" s="13"/>
      <c r="F23" s="13"/>
      <c r="H23" s="21"/>
    </row>
    <row r="24" spans="2:9" ht="15" customHeight="1" x14ac:dyDescent="0.25">
      <c r="F24" s="22" t="s">
        <v>18</v>
      </c>
      <c r="H24" s="23" t="s">
        <v>19</v>
      </c>
    </row>
    <row r="25" spans="2:9" ht="15" customHeight="1" x14ac:dyDescent="0.25">
      <c r="B25" s="24" t="s">
        <v>263</v>
      </c>
      <c r="C25" s="25"/>
      <c r="D25" s="25"/>
      <c r="F25" s="235">
        <v>45292</v>
      </c>
      <c r="H25" s="31">
        <f>IF(F25="","",F25)</f>
        <v>45292</v>
      </c>
    </row>
    <row r="26" spans="2:9" ht="15" customHeight="1" x14ac:dyDescent="0.25">
      <c r="B26" s="25"/>
      <c r="C26" s="25"/>
      <c r="D26" s="25"/>
      <c r="F26" s="23"/>
      <c r="H26" s="23"/>
    </row>
    <row r="27" spans="2:9" ht="15" customHeight="1" x14ac:dyDescent="0.25">
      <c r="B27" s="24" t="s">
        <v>265</v>
      </c>
      <c r="C27" s="25"/>
      <c r="D27" s="25"/>
      <c r="F27" s="30"/>
      <c r="H27" s="31" t="str">
        <f>IF(F27="","",F27)</f>
        <v/>
      </c>
    </row>
    <row r="28" spans="2:9" ht="15" customHeight="1" x14ac:dyDescent="0.25">
      <c r="B28" s="25"/>
      <c r="C28" s="25"/>
      <c r="D28" s="25"/>
      <c r="F28" s="23"/>
      <c r="H28" s="23"/>
    </row>
    <row r="29" spans="2:9" ht="15" customHeight="1" x14ac:dyDescent="0.25">
      <c r="B29" s="24" t="s">
        <v>20</v>
      </c>
      <c r="C29" s="25"/>
      <c r="D29" s="25"/>
      <c r="F29" s="32" t="str">
        <f>IF(F27="","",AUXILIAR!E22)</f>
        <v/>
      </c>
      <c r="H29" s="31" t="str">
        <f>IF(F29="","",F29)</f>
        <v/>
      </c>
    </row>
    <row r="31" spans="2:9" ht="15" customHeight="1" x14ac:dyDescent="0.25">
      <c r="B31" s="333" t="s">
        <v>264</v>
      </c>
      <c r="C31" s="333"/>
      <c r="D31" s="333"/>
      <c r="E31" s="333"/>
      <c r="F31" s="333"/>
      <c r="G31" s="333"/>
      <c r="H31" s="333"/>
      <c r="I31" s="333"/>
    </row>
    <row r="32" spans="2:9" ht="15" customHeight="1" x14ac:dyDescent="0.25">
      <c r="B32" s="333"/>
      <c r="C32" s="333"/>
      <c r="D32" s="333"/>
      <c r="E32" s="333"/>
      <c r="F32" s="333"/>
      <c r="G32" s="333"/>
      <c r="H32" s="333"/>
      <c r="I32" s="333"/>
    </row>
  </sheetData>
  <sheetProtection algorithmName="SHA-512" hashValue="Mr4NpLHj732SyNT5XEibm37hWOH90c5slNZjGKa/8rOmGhdiQQPrGHgQlK/xhnQZbrv2XujaFMtAD0off3L6NQ==" saltValue="jDXYcMUi/arQvZeSENncGA==" spinCount="100000" sheet="1" objects="1" scenarios="1" selectLockedCells="1"/>
  <mergeCells count="7">
    <mergeCell ref="B31:I32"/>
    <mergeCell ref="B9:B10"/>
    <mergeCell ref="C9:I10"/>
    <mergeCell ref="B12:B14"/>
    <mergeCell ref="C12:I14"/>
    <mergeCell ref="I16:I17"/>
    <mergeCell ref="F16:H17"/>
  </mergeCells>
  <conditionalFormatting sqref="H24:H29 G22:G23">
    <cfRule type="expression" dxfId="96" priority="3" stopIfTrue="1">
      <formula>$A$1&lt;&gt;1</formula>
    </cfRule>
  </conditionalFormatting>
  <conditionalFormatting sqref="H25 H27 H29">
    <cfRule type="expression" dxfId="95" priority="2">
      <formula>$H25&lt;&gt;$F25</formula>
    </cfRule>
  </conditionalFormatting>
  <printOptions horizontalCentered="1"/>
  <pageMargins left="0.59055118110236227" right="0.59055118110236227" top="0.78740157480314965" bottom="0.39370078740157483"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C0F8-E231-4136-A650-435AF994CF14}">
  <dimension ref="B2:G35"/>
  <sheetViews>
    <sheetView showGridLines="0" zoomScaleNormal="100" workbookViewId="0">
      <selection activeCell="D11" sqref="D11:G11"/>
    </sheetView>
  </sheetViews>
  <sheetFormatPr baseColWidth="10" defaultRowHeight="13.5" x14ac:dyDescent="0.25"/>
  <cols>
    <col min="1" max="1" width="5.5703125" customWidth="1"/>
    <col min="2" max="2" width="12.5703125" customWidth="1"/>
    <col min="4" max="7" width="14.28515625" customWidth="1"/>
    <col min="8" max="8" width="5.7109375" customWidth="1"/>
  </cols>
  <sheetData>
    <row r="2" spans="2:7" ht="15" x14ac:dyDescent="0.25">
      <c r="B2" s="177"/>
    </row>
    <row r="3" spans="2:7" ht="15" x14ac:dyDescent="0.25">
      <c r="B3" s="167"/>
      <c r="G3" s="189" t="str">
        <f>CONCATENATE("Nº DE EXPEDIENTE: ",EXPEDIENTE!C16,".",TEXT(EXPEDIENTE!C18,"00"),".",EXPEDIENTE!C20,".",TEXT(EXPEDIENTE!D22,"0000"))</f>
        <v>Nº DE EXPEDIENTE: 2024.11.ACEE.0000</v>
      </c>
    </row>
    <row r="9" spans="2:7" ht="13.9" customHeight="1" thickBot="1" x14ac:dyDescent="0.3"/>
    <row r="10" spans="2:7" ht="20.100000000000001" customHeight="1" thickBot="1" x14ac:dyDescent="0.3">
      <c r="B10" s="353" t="s">
        <v>75</v>
      </c>
      <c r="C10" s="354"/>
      <c r="D10" s="354"/>
      <c r="E10" s="354"/>
      <c r="F10" s="354"/>
      <c r="G10" s="355"/>
    </row>
    <row r="11" spans="2:7" ht="20.100000000000001" customHeight="1" x14ac:dyDescent="0.25">
      <c r="B11" s="359" t="s">
        <v>31</v>
      </c>
      <c r="C11" s="359"/>
      <c r="D11" s="361"/>
      <c r="E11" s="361"/>
      <c r="F11" s="361"/>
      <c r="G11" s="361"/>
    </row>
    <row r="12" spans="2:7" ht="20.100000000000001" customHeight="1" x14ac:dyDescent="0.25">
      <c r="B12" s="360" t="s">
        <v>32</v>
      </c>
      <c r="C12" s="360"/>
      <c r="D12" s="362"/>
      <c r="E12" s="363"/>
      <c r="F12" s="363"/>
      <c r="G12" s="363"/>
    </row>
    <row r="13" spans="2:7" ht="20.100000000000001" customHeight="1" x14ac:dyDescent="0.25">
      <c r="B13" s="360" t="s">
        <v>33</v>
      </c>
      <c r="C13" s="360"/>
      <c r="D13" s="362"/>
      <c r="E13" s="363"/>
      <c r="F13" s="363"/>
      <c r="G13" s="363"/>
    </row>
    <row r="14" spans="2:7" ht="20.100000000000001" customHeight="1" x14ac:dyDescent="0.25">
      <c r="B14" s="360" t="s">
        <v>34</v>
      </c>
      <c r="C14" s="360"/>
      <c r="D14" s="364" t="str">
        <f>SUBSTITUTE( SUBSTITUTE( SUBSTITUTE( SUBSTITUTE( SUBSTITUTE(F14, "Á", "A"), "É", "E"), "Í", "I"), "Ó", "O"), "Ú", "U")</f>
        <v/>
      </c>
      <c r="E14" s="364"/>
      <c r="F14" s="256" t="str">
        <f>UPPER(CONCATENATE(LEFT(D12,2),LEFT(D13,2),LEFT(D11,1)))</f>
        <v/>
      </c>
      <c r="G14" s="26"/>
    </row>
    <row r="15" spans="2:7" ht="15" customHeight="1" thickBot="1" x14ac:dyDescent="0.3"/>
    <row r="16" spans="2:7" ht="20.100000000000001" customHeight="1" thickBot="1" x14ac:dyDescent="0.3">
      <c r="B16" s="353" t="s">
        <v>301</v>
      </c>
      <c r="C16" s="354"/>
      <c r="D16" s="354"/>
      <c r="E16" s="354"/>
      <c r="F16" s="354"/>
      <c r="G16" s="355"/>
    </row>
    <row r="17" spans="2:7" ht="35.1" customHeight="1" x14ac:dyDescent="0.25">
      <c r="B17" s="254" t="s">
        <v>87</v>
      </c>
      <c r="C17" s="257" t="s">
        <v>298</v>
      </c>
      <c r="D17" s="356" t="s">
        <v>296</v>
      </c>
      <c r="E17" s="357"/>
      <c r="F17" s="356" t="s">
        <v>297</v>
      </c>
      <c r="G17" s="357"/>
    </row>
    <row r="18" spans="2:7" ht="35.1" customHeight="1" x14ac:dyDescent="0.25">
      <c r="B18" s="258"/>
      <c r="C18" s="259"/>
      <c r="D18" s="358"/>
      <c r="E18" s="358"/>
      <c r="F18" s="358"/>
      <c r="G18" s="358"/>
    </row>
    <row r="19" spans="2:7" ht="35.1" customHeight="1" x14ac:dyDescent="0.25">
      <c r="B19" s="260"/>
      <c r="C19" s="261"/>
      <c r="D19" s="352"/>
      <c r="E19" s="352"/>
      <c r="F19" s="352"/>
      <c r="G19" s="352"/>
    </row>
    <row r="20" spans="2:7" ht="35.1" customHeight="1" x14ac:dyDescent="0.25">
      <c r="B20" s="260"/>
      <c r="C20" s="261"/>
      <c r="D20" s="351"/>
      <c r="E20" s="351"/>
      <c r="F20" s="351"/>
      <c r="G20" s="351"/>
    </row>
    <row r="21" spans="2:7" ht="35.1" customHeight="1" x14ac:dyDescent="0.25">
      <c r="B21" s="260"/>
      <c r="C21" s="261"/>
      <c r="D21" s="351"/>
      <c r="E21" s="351"/>
      <c r="F21" s="351"/>
      <c r="G21" s="351"/>
    </row>
    <row r="22" spans="2:7" ht="35.1" customHeight="1" x14ac:dyDescent="0.25">
      <c r="B22" s="260"/>
      <c r="C22" s="261"/>
      <c r="D22" s="351"/>
      <c r="E22" s="351"/>
      <c r="F22" s="351"/>
      <c r="G22" s="351"/>
    </row>
    <row r="23" spans="2:7" ht="35.1" customHeight="1" x14ac:dyDescent="0.25">
      <c r="B23" s="260" t="s">
        <v>300</v>
      </c>
      <c r="C23" s="261"/>
      <c r="D23" s="351"/>
      <c r="E23" s="351"/>
      <c r="F23" s="351"/>
      <c r="G23" s="351"/>
    </row>
    <row r="24" spans="2:7" ht="35.1" customHeight="1" x14ac:dyDescent="0.25">
      <c r="B24" s="260"/>
      <c r="C24" s="261"/>
      <c r="D24" s="351"/>
      <c r="E24" s="351"/>
      <c r="F24" s="351"/>
      <c r="G24" s="351"/>
    </row>
    <row r="25" spans="2:7" ht="35.1" customHeight="1" x14ac:dyDescent="0.25">
      <c r="B25" s="260"/>
      <c r="C25" s="261"/>
      <c r="D25" s="351"/>
      <c r="E25" s="351"/>
      <c r="F25" s="351"/>
      <c r="G25" s="351"/>
    </row>
    <row r="26" spans="2:7" ht="35.1" customHeight="1" x14ac:dyDescent="0.25">
      <c r="B26" s="260"/>
      <c r="C26" s="261"/>
      <c r="D26" s="351"/>
      <c r="E26" s="351"/>
      <c r="F26" s="351"/>
      <c r="G26" s="351"/>
    </row>
    <row r="27" spans="2:7" ht="35.1" customHeight="1" x14ac:dyDescent="0.25">
      <c r="B27" s="260"/>
      <c r="C27" s="261"/>
      <c r="D27" s="351"/>
      <c r="E27" s="351"/>
      <c r="F27" s="351"/>
      <c r="G27" s="351"/>
    </row>
    <row r="28" spans="2:7" ht="35.1" customHeight="1" x14ac:dyDescent="0.25">
      <c r="B28" s="260"/>
      <c r="C28" s="261"/>
      <c r="D28" s="351"/>
      <c r="E28" s="351"/>
      <c r="F28" s="351"/>
      <c r="G28" s="351"/>
    </row>
    <row r="29" spans="2:7" ht="35.1" customHeight="1" x14ac:dyDescent="0.25">
      <c r="B29" s="260"/>
      <c r="C29" s="261"/>
      <c r="D29" s="351"/>
      <c r="E29" s="351"/>
      <c r="F29" s="351"/>
      <c r="G29" s="351"/>
    </row>
    <row r="30" spans="2:7" ht="35.1" customHeight="1" x14ac:dyDescent="0.25">
      <c r="B30" s="260"/>
      <c r="C30" s="262"/>
      <c r="D30" s="351"/>
      <c r="E30" s="351"/>
      <c r="F30" s="351"/>
      <c r="G30" s="351"/>
    </row>
    <row r="31" spans="2:7" ht="35.1" customHeight="1" x14ac:dyDescent="0.25">
      <c r="B31" s="260"/>
      <c r="C31" s="262"/>
      <c r="D31" s="351"/>
      <c r="E31" s="351"/>
      <c r="F31" s="351"/>
      <c r="G31" s="351"/>
    </row>
    <row r="32" spans="2:7" ht="35.1" customHeight="1" x14ac:dyDescent="0.25">
      <c r="B32" s="260"/>
      <c r="C32" s="262"/>
      <c r="D32" s="351"/>
      <c r="E32" s="351"/>
      <c r="F32" s="351"/>
      <c r="G32" s="351"/>
    </row>
    <row r="33" spans="2:7" ht="35.1" customHeight="1" x14ac:dyDescent="0.25">
      <c r="B33" s="260"/>
      <c r="C33" s="262"/>
      <c r="D33" s="351"/>
      <c r="E33" s="351"/>
      <c r="F33" s="351"/>
      <c r="G33" s="351"/>
    </row>
    <row r="34" spans="2:7" ht="35.1" customHeight="1" x14ac:dyDescent="0.25">
      <c r="B34" s="260"/>
      <c r="C34" s="262"/>
      <c r="D34" s="351"/>
      <c r="E34" s="351"/>
      <c r="F34" s="351"/>
      <c r="G34" s="351"/>
    </row>
    <row r="35" spans="2:7" ht="35.1" customHeight="1" x14ac:dyDescent="0.25">
      <c r="B35" s="260"/>
      <c r="C35" s="262"/>
      <c r="D35" s="351"/>
      <c r="E35" s="351"/>
      <c r="F35" s="351"/>
      <c r="G35" s="351"/>
    </row>
  </sheetData>
  <sheetProtection algorithmName="SHA-512" hashValue="65GHve8JBaWV23gwlFNtgl0PlVLGwtNjvjcS7B0Dzk7LmtCEDNItON+uwNSJWKDgh5kDvl0zxDfPqt7XF3c06g==" saltValue="MH+HJPwo/7A+TSuOKfycVA==" spinCount="100000" sheet="1" selectLockedCells="1"/>
  <mergeCells count="48">
    <mergeCell ref="B10:G10"/>
    <mergeCell ref="B11:C11"/>
    <mergeCell ref="B12:C12"/>
    <mergeCell ref="B13:C13"/>
    <mergeCell ref="B14:C14"/>
    <mergeCell ref="D11:G11"/>
    <mergeCell ref="D12:G12"/>
    <mergeCell ref="D13:G13"/>
    <mergeCell ref="D14:E14"/>
    <mergeCell ref="B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4:E34"/>
    <mergeCell ref="F34:G34"/>
    <mergeCell ref="D35:E35"/>
    <mergeCell ref="F35:G35"/>
    <mergeCell ref="D31:E31"/>
    <mergeCell ref="F31:G31"/>
    <mergeCell ref="D32:E32"/>
    <mergeCell ref="F32:G32"/>
    <mergeCell ref="D33:E33"/>
    <mergeCell ref="F33:G33"/>
  </mergeCells>
  <phoneticPr fontId="10" type="noConversion"/>
  <conditionalFormatting sqref="B19:C35">
    <cfRule type="expression" dxfId="94" priority="1">
      <formula>$B18&lt;&gt;""</formula>
    </cfRule>
  </conditionalFormatting>
  <conditionalFormatting sqref="D18:G35">
    <cfRule type="expression" dxfId="93" priority="2">
      <formula>$C18&gt;0</formula>
    </cfRule>
  </conditionalFormatting>
  <pageMargins left="0.59055118110236227" right="0.59055118110236227" top="0.59055118110236227" bottom="0.39370078740157483" header="0.19685039370078741" footer="0.19685039370078741"/>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6A44FC-DBC4-42FF-A53D-A9E22F3299AD}">
          <x14:formula1>
            <xm:f>AUXILIAR!$AP$3:$AP$26</xm:f>
          </x14:formula1>
          <xm:sqref>B18:B35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0BE5-32C5-4A02-83C4-16E4472F5BB1}">
  <dimension ref="B2:P31"/>
  <sheetViews>
    <sheetView showGridLines="0" topLeftCell="F1" zoomScaleNormal="100" workbookViewId="0">
      <selection activeCell="G17" sqref="G17"/>
    </sheetView>
  </sheetViews>
  <sheetFormatPr baseColWidth="10" defaultColWidth="11.42578125" defaultRowHeight="15" customHeight="1" x14ac:dyDescent="0.25"/>
  <cols>
    <col min="1" max="1" width="5.5703125" style="12" customWidth="1"/>
    <col min="2" max="2" width="13.5703125" style="12" customWidth="1"/>
    <col min="3" max="3" width="66.5703125" style="12" customWidth="1"/>
    <col min="4" max="5" width="5.5703125" style="12" customWidth="1"/>
    <col min="6" max="6" width="13.5703125" style="12" customWidth="1"/>
    <col min="7" max="7" width="66.5703125" style="12" customWidth="1"/>
    <col min="8" max="9" width="5.5703125" style="12" customWidth="1"/>
    <col min="10" max="10" width="13.5703125" style="12" customWidth="1"/>
    <col min="11" max="11" width="66.5703125" style="12" customWidth="1"/>
    <col min="12" max="13" width="5.5703125" style="12" customWidth="1"/>
    <col min="14" max="14" width="13.5703125" style="12" customWidth="1"/>
    <col min="15" max="15" width="66.5703125" style="12" customWidth="1"/>
    <col min="16" max="16" width="5.5703125" style="12" customWidth="1"/>
    <col min="17" max="16384" width="11.42578125" style="12"/>
  </cols>
  <sheetData>
    <row r="2" spans="2:16" ht="13.5" x14ac:dyDescent="0.25"/>
    <row r="4" spans="2:16" ht="20.100000000000001" customHeight="1" x14ac:dyDescent="0.25">
      <c r="C4" s="190" t="str">
        <f>'IDENTIFICACIÓN TRABAJADOR'!G3</f>
        <v>Nº DE EXPEDIENTE: 2024.11.ACEE.0000</v>
      </c>
      <c r="D4" s="42"/>
      <c r="G4" s="190" t="str">
        <f>C4</f>
        <v>Nº DE EXPEDIENTE: 2024.11.ACEE.0000</v>
      </c>
      <c r="H4" s="42"/>
      <c r="K4" s="190" t="str">
        <f>C4</f>
        <v>Nº DE EXPEDIENTE: 2024.11.ACEE.0000</v>
      </c>
      <c r="L4" s="42"/>
      <c r="O4" s="190" t="str">
        <f>C4</f>
        <v>Nº DE EXPEDIENTE: 2024.11.ACEE.0000</v>
      </c>
      <c r="P4" s="42"/>
    </row>
    <row r="5" spans="2:16" ht="20.100000000000001" customHeight="1" x14ac:dyDescent="0.25"/>
    <row r="6" spans="2:16" ht="20.100000000000001" customHeight="1" x14ac:dyDescent="0.25">
      <c r="C6" s="16" t="str">
        <f>CONCATENATE("TRABAJADOR: ",UPPER('IDENTIFICACIÓN TRABAJADOR'!D11)," ",UPPER('IDENTIFICACIÓN TRABAJADOR'!D12)," ",UPPER('IDENTIFICACIÓN TRABAJADOR'!D13))</f>
        <v xml:space="preserve">TRABAJADOR:   </v>
      </c>
      <c r="G6" s="16" t="str">
        <f>C6</f>
        <v xml:space="preserve">TRABAJADOR:   </v>
      </c>
      <c r="K6" s="16" t="str">
        <f>G6</f>
        <v xml:space="preserve">TRABAJADOR:   </v>
      </c>
      <c r="O6" s="16" t="str">
        <f>K6</f>
        <v xml:space="preserve">TRABAJADOR:   </v>
      </c>
    </row>
    <row r="7" spans="2:16" ht="20.100000000000001" customHeight="1" x14ac:dyDescent="0.25">
      <c r="C7" s="16" t="str">
        <f>CONCATENATE("ACRÓNIMO: ",'IDENTIFICACIÓN TRABAJADOR'!D14)</f>
        <v xml:space="preserve">ACRÓNIMO: </v>
      </c>
      <c r="G7" s="16" t="str">
        <f>C7</f>
        <v xml:space="preserve">ACRÓNIMO: </v>
      </c>
      <c r="K7" s="16" t="str">
        <f>G7</f>
        <v xml:space="preserve">ACRÓNIMO: </v>
      </c>
      <c r="O7" s="16" t="str">
        <f>K7</f>
        <v xml:space="preserve">ACRÓNIMO: </v>
      </c>
    </row>
    <row r="8" spans="2:16" ht="15" customHeight="1" thickBot="1" x14ac:dyDescent="0.3"/>
    <row r="9" spans="2:16" s="170" customFormat="1" ht="15" customHeight="1" x14ac:dyDescent="0.25">
      <c r="B9" s="365" t="s">
        <v>146</v>
      </c>
      <c r="C9" s="368" t="s">
        <v>147</v>
      </c>
      <c r="F9" s="365" t="s">
        <v>148</v>
      </c>
      <c r="G9" s="368" t="s">
        <v>151</v>
      </c>
      <c r="J9" s="365" t="s">
        <v>149</v>
      </c>
      <c r="K9" s="368" t="s">
        <v>147</v>
      </c>
      <c r="N9" s="365" t="s">
        <v>150</v>
      </c>
      <c r="O9" s="368" t="s">
        <v>152</v>
      </c>
    </row>
    <row r="10" spans="2:16" s="170" customFormat="1" ht="15" customHeight="1" x14ac:dyDescent="0.25">
      <c r="B10" s="366"/>
      <c r="C10" s="369"/>
      <c r="F10" s="366"/>
      <c r="G10" s="369"/>
      <c r="J10" s="366"/>
      <c r="K10" s="369"/>
      <c r="N10" s="366"/>
      <c r="O10" s="369"/>
    </row>
    <row r="11" spans="2:16" s="170" customFormat="1" ht="15" customHeight="1" x14ac:dyDescent="0.25">
      <c r="B11" s="366"/>
      <c r="C11" s="369"/>
      <c r="F11" s="366"/>
      <c r="G11" s="369"/>
      <c r="J11" s="366"/>
      <c r="K11" s="369"/>
      <c r="N11" s="366"/>
      <c r="O11" s="369"/>
    </row>
    <row r="12" spans="2:16" s="170" customFormat="1" ht="15" customHeight="1" x14ac:dyDescent="0.25">
      <c r="B12" s="366"/>
      <c r="C12" s="369"/>
      <c r="F12" s="366"/>
      <c r="G12" s="369"/>
      <c r="J12" s="366"/>
      <c r="K12" s="369"/>
      <c r="N12" s="366"/>
      <c r="O12" s="369"/>
    </row>
    <row r="13" spans="2:16" s="170" customFormat="1" ht="15" customHeight="1" x14ac:dyDescent="0.25">
      <c r="B13" s="366"/>
      <c r="C13" s="369"/>
      <c r="F13" s="366"/>
      <c r="G13" s="369"/>
      <c r="J13" s="366"/>
      <c r="K13" s="369"/>
      <c r="N13" s="366"/>
      <c r="O13" s="369"/>
    </row>
    <row r="14" spans="2:16" s="170" customFormat="1" ht="15" customHeight="1" x14ac:dyDescent="0.25">
      <c r="B14" s="366"/>
      <c r="C14" s="369"/>
      <c r="F14" s="366"/>
      <c r="G14" s="369"/>
      <c r="J14" s="366"/>
      <c r="K14" s="369"/>
      <c r="N14" s="366"/>
      <c r="O14" s="369"/>
    </row>
    <row r="15" spans="2:16" s="170" customFormat="1" ht="15" customHeight="1" thickBot="1" x14ac:dyDescent="0.3">
      <c r="B15" s="367"/>
      <c r="C15" s="370"/>
      <c r="F15" s="367"/>
      <c r="G15" s="370"/>
      <c r="J15" s="367"/>
      <c r="K15" s="370"/>
      <c r="N15" s="367"/>
      <c r="O15" s="370"/>
    </row>
    <row r="17" spans="2:15" ht="35.1" customHeight="1" x14ac:dyDescent="0.25">
      <c r="B17" s="250" t="s">
        <v>153</v>
      </c>
      <c r="C17" s="251"/>
      <c r="F17" s="250" t="s">
        <v>154</v>
      </c>
      <c r="G17" s="251"/>
      <c r="J17" s="250" t="s">
        <v>155</v>
      </c>
      <c r="K17" s="251"/>
      <c r="N17" s="250" t="s">
        <v>156</v>
      </c>
      <c r="O17" s="251"/>
    </row>
    <row r="18" spans="2:15" ht="35.1" customHeight="1" x14ac:dyDescent="0.25">
      <c r="B18" s="250" t="s">
        <v>157</v>
      </c>
      <c r="C18" s="251"/>
      <c r="F18" s="250" t="s">
        <v>158</v>
      </c>
      <c r="G18" s="251"/>
      <c r="J18" s="250" t="s">
        <v>159</v>
      </c>
      <c r="K18" s="251"/>
      <c r="N18" s="250" t="s">
        <v>160</v>
      </c>
      <c r="O18" s="251"/>
    </row>
    <row r="19" spans="2:15" ht="35.1" customHeight="1" x14ac:dyDescent="0.25">
      <c r="B19" s="250" t="s">
        <v>161</v>
      </c>
      <c r="C19" s="251"/>
      <c r="F19" s="250" t="s">
        <v>162</v>
      </c>
      <c r="G19" s="251"/>
      <c r="J19" s="250" t="s">
        <v>163</v>
      </c>
      <c r="K19" s="251"/>
      <c r="N19" s="250" t="s">
        <v>164</v>
      </c>
      <c r="O19" s="251"/>
    </row>
    <row r="20" spans="2:15" ht="35.1" customHeight="1" x14ac:dyDescent="0.25">
      <c r="B20" s="250" t="s">
        <v>165</v>
      </c>
      <c r="C20" s="251"/>
      <c r="F20" s="250" t="s">
        <v>166</v>
      </c>
      <c r="G20" s="251"/>
      <c r="J20" s="250" t="s">
        <v>167</v>
      </c>
      <c r="K20" s="251"/>
      <c r="N20" s="250" t="s">
        <v>168</v>
      </c>
      <c r="O20" s="251"/>
    </row>
    <row r="21" spans="2:15" ht="35.1" customHeight="1" x14ac:dyDescent="0.25">
      <c r="B21" s="250" t="s">
        <v>169</v>
      </c>
      <c r="C21" s="251"/>
      <c r="F21" s="250" t="s">
        <v>170</v>
      </c>
      <c r="G21" s="251"/>
      <c r="J21" s="250" t="s">
        <v>171</v>
      </c>
      <c r="K21" s="251"/>
      <c r="N21" s="250" t="s">
        <v>172</v>
      </c>
      <c r="O21" s="251"/>
    </row>
    <row r="22" spans="2:15" ht="35.1" customHeight="1" x14ac:dyDescent="0.25">
      <c r="B22" s="250" t="s">
        <v>173</v>
      </c>
      <c r="C22" s="251"/>
      <c r="F22" s="250" t="s">
        <v>174</v>
      </c>
      <c r="G22" s="251"/>
      <c r="J22" s="250" t="s">
        <v>175</v>
      </c>
      <c r="K22" s="251"/>
      <c r="N22" s="250" t="s">
        <v>176</v>
      </c>
      <c r="O22" s="251"/>
    </row>
    <row r="23" spans="2:15" ht="35.1" customHeight="1" x14ac:dyDescent="0.25">
      <c r="B23" s="250" t="s">
        <v>177</v>
      </c>
      <c r="C23" s="251"/>
      <c r="F23" s="250" t="s">
        <v>178</v>
      </c>
      <c r="G23" s="251"/>
      <c r="J23" s="250" t="s">
        <v>179</v>
      </c>
      <c r="K23" s="251"/>
      <c r="N23" s="250" t="s">
        <v>180</v>
      </c>
      <c r="O23" s="251"/>
    </row>
    <row r="24" spans="2:15" ht="35.1" customHeight="1" x14ac:dyDescent="0.25">
      <c r="B24" s="250" t="s">
        <v>181</v>
      </c>
      <c r="C24" s="251"/>
      <c r="F24" s="250" t="s">
        <v>182</v>
      </c>
      <c r="G24" s="251"/>
      <c r="J24" s="250" t="s">
        <v>183</v>
      </c>
      <c r="K24" s="251"/>
      <c r="N24" s="250" t="s">
        <v>184</v>
      </c>
      <c r="O24" s="251"/>
    </row>
    <row r="25" spans="2:15" ht="35.1" customHeight="1" x14ac:dyDescent="0.25">
      <c r="B25" s="250" t="s">
        <v>185</v>
      </c>
      <c r="C25" s="251"/>
      <c r="F25" s="250" t="s">
        <v>186</v>
      </c>
      <c r="G25" s="251"/>
      <c r="J25" s="250" t="s">
        <v>187</v>
      </c>
      <c r="K25" s="251"/>
      <c r="N25" s="250" t="s">
        <v>188</v>
      </c>
      <c r="O25" s="251"/>
    </row>
    <row r="26" spans="2:15" ht="35.1" customHeight="1" x14ac:dyDescent="0.25">
      <c r="B26" s="250" t="s">
        <v>189</v>
      </c>
      <c r="C26" s="251"/>
      <c r="F26" s="250" t="s">
        <v>190</v>
      </c>
      <c r="G26" s="251"/>
      <c r="J26" s="250" t="s">
        <v>191</v>
      </c>
      <c r="K26" s="251"/>
      <c r="N26" s="250" t="s">
        <v>192</v>
      </c>
      <c r="O26" s="251"/>
    </row>
    <row r="27" spans="2:15" ht="35.1" customHeight="1" x14ac:dyDescent="0.25">
      <c r="B27" s="250" t="s">
        <v>193</v>
      </c>
      <c r="C27" s="251"/>
      <c r="F27" s="250" t="s">
        <v>194</v>
      </c>
      <c r="G27" s="251"/>
      <c r="J27" s="250" t="s">
        <v>195</v>
      </c>
      <c r="K27" s="251"/>
      <c r="N27" s="250" t="s">
        <v>196</v>
      </c>
      <c r="O27" s="251"/>
    </row>
    <row r="28" spans="2:15" ht="35.1" customHeight="1" x14ac:dyDescent="0.25">
      <c r="B28" s="250" t="s">
        <v>197</v>
      </c>
      <c r="C28" s="251"/>
      <c r="F28" s="250" t="s">
        <v>198</v>
      </c>
      <c r="G28" s="251"/>
      <c r="J28" s="250" t="s">
        <v>199</v>
      </c>
      <c r="K28" s="251"/>
      <c r="N28" s="250" t="s">
        <v>200</v>
      </c>
      <c r="O28" s="251"/>
    </row>
    <row r="29" spans="2:15" ht="35.1" customHeight="1" x14ac:dyDescent="0.25">
      <c r="B29" s="250" t="s">
        <v>201</v>
      </c>
      <c r="C29" s="251"/>
      <c r="F29" s="250" t="s">
        <v>202</v>
      </c>
      <c r="G29" s="251"/>
      <c r="J29" s="250" t="s">
        <v>203</v>
      </c>
      <c r="K29" s="251"/>
      <c r="N29" s="250" t="s">
        <v>204</v>
      </c>
      <c r="O29" s="251"/>
    </row>
    <row r="30" spans="2:15" ht="35.1" customHeight="1" x14ac:dyDescent="0.25">
      <c r="B30" s="250" t="s">
        <v>205</v>
      </c>
      <c r="C30" s="251"/>
      <c r="F30" s="250" t="s">
        <v>206</v>
      </c>
      <c r="G30" s="251"/>
      <c r="J30" s="250" t="s">
        <v>207</v>
      </c>
      <c r="K30" s="251"/>
      <c r="N30" s="250" t="s">
        <v>208</v>
      </c>
      <c r="O30" s="251"/>
    </row>
    <row r="31" spans="2:15" ht="35.1" customHeight="1" x14ac:dyDescent="0.25">
      <c r="B31" s="250" t="s">
        <v>209</v>
      </c>
      <c r="C31" s="251"/>
      <c r="F31" s="250" t="s">
        <v>210</v>
      </c>
      <c r="G31" s="251"/>
      <c r="J31" s="250" t="s">
        <v>211</v>
      </c>
      <c r="K31" s="251"/>
      <c r="N31" s="250" t="s">
        <v>212</v>
      </c>
      <c r="O31" s="251"/>
    </row>
  </sheetData>
  <sheetProtection algorithmName="SHA-512" hashValue="JB6cOqYZYDZcpWuD4H0HJv20yjI8oXQgxJH9yK5LkR342sKe8TOj6oUZECJytRZjys/Zb+dCT2Aip0+c8ZwX+Q==" saltValue="ADRWnax8oE6PGvVlOAbXkg==" spinCount="100000" sheet="1" objects="1" scenarios="1" selectLockedCells="1"/>
  <mergeCells count="8">
    <mergeCell ref="B9:B15"/>
    <mergeCell ref="O9:O15"/>
    <mergeCell ref="G9:G15"/>
    <mergeCell ref="F9:F15"/>
    <mergeCell ref="C9:C15"/>
    <mergeCell ref="J9:J15"/>
    <mergeCell ref="K9:K15"/>
    <mergeCell ref="N9:N15"/>
  </mergeCell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8DFE-8AAD-4928-9234-6674A7B0C12D}">
  <sheetPr>
    <pageSetUpPr fitToPage="1"/>
  </sheetPr>
  <dimension ref="B1:AA112"/>
  <sheetViews>
    <sheetView showGridLines="0" zoomScaleNormal="100" workbookViewId="0">
      <selection activeCell="K9" sqref="K9"/>
    </sheetView>
  </sheetViews>
  <sheetFormatPr baseColWidth="10" defaultColWidth="10.85546875" defaultRowHeight="13.5" x14ac:dyDescent="0.25"/>
  <cols>
    <col min="1" max="1" width="5.5703125" style="26" customWidth="1"/>
    <col min="2" max="3" width="5.5703125" style="44" hidden="1" customWidth="1"/>
    <col min="4" max="7" width="7.42578125" style="44" hidden="1" customWidth="1"/>
    <col min="8" max="9" width="10.7109375" style="44" hidden="1" customWidth="1"/>
    <col min="10" max="11" width="30.5703125" style="26" customWidth="1"/>
    <col min="12" max="23" width="7.42578125" style="26" customWidth="1"/>
    <col min="24" max="24" width="5.5703125" style="44" customWidth="1"/>
    <col min="25" max="25" width="89" style="26" bestFit="1" customWidth="1"/>
    <col min="26" max="26" width="12.42578125" bestFit="1" customWidth="1"/>
    <col min="28" max="16384" width="10.85546875" style="26"/>
  </cols>
  <sheetData>
    <row r="1" spans="2:23" ht="15" customHeight="1" x14ac:dyDescent="0.25">
      <c r="B1" s="187"/>
    </row>
    <row r="2" spans="2:23" ht="15" customHeight="1" x14ac:dyDescent="0.25"/>
    <row r="3" spans="2:23" ht="15" customHeight="1" x14ac:dyDescent="0.25">
      <c r="L3" s="42"/>
    </row>
    <row r="4" spans="2:23" ht="15" customHeight="1" x14ac:dyDescent="0.25">
      <c r="G4" s="26"/>
      <c r="H4" s="26"/>
      <c r="I4" s="26"/>
      <c r="K4" s="42" t="str">
        <f>'IDENTIFICACIÓN TRABAJADOR'!G3</f>
        <v>Nº DE EXPEDIENTE: 2024.11.ACEE.0000</v>
      </c>
    </row>
    <row r="5" spans="2:23" ht="20.100000000000001" customHeight="1" x14ac:dyDescent="0.25">
      <c r="G5" s="26"/>
      <c r="H5" s="26"/>
      <c r="I5" s="26"/>
    </row>
    <row r="6" spans="2:23" ht="20.100000000000001" customHeight="1" x14ac:dyDescent="0.25">
      <c r="G6" s="26"/>
      <c r="H6" s="26"/>
      <c r="I6" s="26"/>
      <c r="K6" s="45" t="str">
        <f>'LINEAS CON DEDICACIÓN'!C6</f>
        <v xml:space="preserve">TRABAJADOR:   </v>
      </c>
    </row>
    <row r="7" spans="2:23" ht="20.25" customHeight="1" x14ac:dyDescent="0.25">
      <c r="G7" s="26"/>
      <c r="H7" s="26"/>
      <c r="I7" s="26"/>
      <c r="K7" s="45" t="str">
        <f>'LINEAS CON DEDICACIÓN'!C7</f>
        <v xml:space="preserve">ACRÓNIMO: </v>
      </c>
    </row>
    <row r="8" spans="2:23" ht="20.25" customHeight="1" thickBot="1" x14ac:dyDescent="0.3">
      <c r="G8" s="26"/>
      <c r="H8" s="26"/>
      <c r="I8" s="26"/>
    </row>
    <row r="9" spans="2:23" ht="20.25" customHeight="1" thickBot="1" x14ac:dyDescent="0.3">
      <c r="E9" s="193" t="str">
        <f>IF(K9="","",IF(EXPEDIENTE!F27="",1,IF(K9&gt;K27,2,IF(K30&lt;K31,3,0))))</f>
        <v/>
      </c>
      <c r="G9" s="26"/>
      <c r="H9" s="26"/>
      <c r="J9" s="225" t="s">
        <v>255</v>
      </c>
      <c r="K9" s="224"/>
      <c r="M9" s="385" t="str">
        <f>IF(E9=1,"ERROR: FALTA INDICAR FECHA DE FINALIZACIÓN DEL PROYECTO (PESTAÑA EXPEDIENTE)",IF(E9=2,"ERROR: LA FECHA DE EMISIÓN ES POSTERIOR A LA FINALIZACIÓN DEL PLAZO DE EJECUCIÓN",IF(E9=3,"ERROR: EXISTE DEDICACIÓN AL PROYECTO ANTERIOR A LA FECHA DE EMISIÓN DEL FORMULARIO","")))</f>
        <v/>
      </c>
      <c r="N9" s="385"/>
      <c r="O9" s="385"/>
      <c r="P9" s="385"/>
      <c r="Q9" s="385"/>
      <c r="R9" s="385"/>
      <c r="S9" s="385"/>
      <c r="T9" s="385"/>
      <c r="U9" s="385"/>
      <c r="V9" s="385"/>
      <c r="W9" s="385"/>
    </row>
    <row r="10" spans="2:23" ht="9.9499999999999993" customHeight="1" thickBot="1" x14ac:dyDescent="0.3">
      <c r="B10" s="26"/>
      <c r="C10" s="26"/>
      <c r="D10" s="26"/>
      <c r="E10" s="26"/>
      <c r="F10" s="26"/>
      <c r="G10" s="26"/>
      <c r="H10" s="26"/>
      <c r="I10" s="26"/>
    </row>
    <row r="11" spans="2:23" ht="15" customHeight="1" x14ac:dyDescent="0.25">
      <c r="J11" s="226" t="s">
        <v>213</v>
      </c>
      <c r="K11" s="386" t="s">
        <v>143</v>
      </c>
      <c r="L11" s="386"/>
      <c r="M11" s="386"/>
      <c r="N11" s="386"/>
      <c r="O11" s="386"/>
      <c r="P11" s="386"/>
      <c r="Q11" s="386"/>
      <c r="R11" s="386"/>
      <c r="S11" s="386"/>
      <c r="T11" s="386"/>
      <c r="U11" s="386"/>
      <c r="V11" s="386"/>
      <c r="W11" s="387"/>
    </row>
    <row r="12" spans="2:23" ht="14.25" thickBot="1" x14ac:dyDescent="0.3">
      <c r="J12" s="214"/>
      <c r="K12" s="390"/>
      <c r="L12" s="390"/>
      <c r="M12" s="390"/>
      <c r="N12" s="390"/>
      <c r="O12" s="390"/>
      <c r="P12" s="390"/>
      <c r="Q12" s="390"/>
      <c r="R12" s="390"/>
      <c r="S12" s="390"/>
      <c r="T12" s="390"/>
      <c r="U12" s="390"/>
      <c r="V12" s="390"/>
      <c r="W12" s="391"/>
    </row>
    <row r="13" spans="2:23" ht="9.9499999999999993" customHeight="1" thickBot="1" x14ac:dyDescent="0.3">
      <c r="G13" s="26"/>
      <c r="H13" s="26"/>
      <c r="I13" s="26"/>
    </row>
    <row r="14" spans="2:23" s="34" customFormat="1" ht="30" customHeight="1" thickBot="1" x14ac:dyDescent="0.3">
      <c r="J14" s="228" t="s">
        <v>253</v>
      </c>
      <c r="K14" s="228" t="s">
        <v>254</v>
      </c>
      <c r="L14" s="381" t="s">
        <v>277</v>
      </c>
      <c r="M14" s="394"/>
      <c r="N14" s="394"/>
      <c r="O14" s="382"/>
      <c r="P14" s="381" t="s">
        <v>256</v>
      </c>
      <c r="Q14" s="394"/>
      <c r="R14" s="394"/>
      <c r="S14" s="382"/>
      <c r="T14" s="395" t="s">
        <v>278</v>
      </c>
      <c r="U14" s="396"/>
      <c r="V14" s="396"/>
      <c r="W14" s="397"/>
    </row>
    <row r="15" spans="2:23" ht="75" customHeight="1" thickBot="1" x14ac:dyDescent="0.3">
      <c r="G15" s="26"/>
      <c r="H15" s="26"/>
      <c r="I15" s="26"/>
      <c r="J15" s="331"/>
      <c r="K15" s="331"/>
      <c r="L15" s="398"/>
      <c r="M15" s="399"/>
      <c r="N15" s="399"/>
      <c r="O15" s="400"/>
      <c r="P15" s="398"/>
      <c r="Q15" s="399"/>
      <c r="R15" s="399"/>
      <c r="S15" s="400"/>
      <c r="T15" s="398"/>
      <c r="U15" s="399"/>
      <c r="V15" s="399"/>
      <c r="W15" s="400"/>
    </row>
    <row r="16" spans="2:23" ht="9.9499999999999993" customHeight="1" thickBot="1" x14ac:dyDescent="0.3"/>
    <row r="17" spans="2:25" ht="15" customHeight="1" x14ac:dyDescent="0.25">
      <c r="J17" s="226" t="s">
        <v>106</v>
      </c>
      <c r="K17" s="386" t="s">
        <v>145</v>
      </c>
      <c r="L17" s="386"/>
      <c r="M17" s="386"/>
      <c r="N17" s="386"/>
      <c r="O17" s="386"/>
      <c r="P17" s="386"/>
      <c r="Q17" s="386"/>
      <c r="R17" s="386"/>
      <c r="S17" s="386"/>
      <c r="T17" s="386"/>
      <c r="U17" s="386"/>
      <c r="V17" s="386"/>
      <c r="W17" s="387"/>
    </row>
    <row r="18" spans="2:25" ht="15" customHeight="1" x14ac:dyDescent="0.25">
      <c r="J18" s="215"/>
      <c r="K18" s="388"/>
      <c r="L18" s="388"/>
      <c r="M18" s="388"/>
      <c r="N18" s="388"/>
      <c r="O18" s="388"/>
      <c r="P18" s="388"/>
      <c r="Q18" s="388"/>
      <c r="R18" s="388"/>
      <c r="S18" s="388"/>
      <c r="T18" s="388"/>
      <c r="U18" s="388"/>
      <c r="V18" s="388"/>
      <c r="W18" s="389"/>
      <c r="Y18" s="191"/>
    </row>
    <row r="19" spans="2:25" ht="15" customHeight="1" x14ac:dyDescent="0.25">
      <c r="J19" s="215"/>
      <c r="K19" s="388"/>
      <c r="L19" s="388"/>
      <c r="M19" s="388"/>
      <c r="N19" s="388"/>
      <c r="O19" s="388"/>
      <c r="P19" s="388"/>
      <c r="Q19" s="388"/>
      <c r="R19" s="388"/>
      <c r="S19" s="388"/>
      <c r="T19" s="388"/>
      <c r="U19" s="388"/>
      <c r="V19" s="388"/>
      <c r="W19" s="389"/>
    </row>
    <row r="20" spans="2:25" ht="15" customHeight="1" thickBot="1" x14ac:dyDescent="0.3">
      <c r="J20" s="216"/>
      <c r="K20" s="401" t="s">
        <v>294</v>
      </c>
      <c r="L20" s="401"/>
      <c r="M20" s="401"/>
      <c r="N20" s="401"/>
      <c r="O20" s="401"/>
      <c r="P20" s="401"/>
      <c r="Q20" s="401"/>
      <c r="R20" s="401"/>
      <c r="S20" s="401"/>
      <c r="T20" s="401"/>
      <c r="U20" s="401"/>
      <c r="V20" s="401"/>
      <c r="W20" s="402"/>
    </row>
    <row r="21" spans="2:25" ht="15" customHeight="1" thickBot="1" x14ac:dyDescent="0.3">
      <c r="J21" s="227" t="s">
        <v>107</v>
      </c>
      <c r="K21" s="217" t="s">
        <v>108</v>
      </c>
      <c r="L21" s="217"/>
      <c r="M21" s="218"/>
      <c r="N21" s="218"/>
      <c r="O21" s="218"/>
      <c r="P21" s="218"/>
      <c r="Q21" s="218"/>
      <c r="R21" s="218"/>
      <c r="S21" s="218"/>
      <c r="T21" s="218"/>
      <c r="U21" s="218"/>
      <c r="V21" s="218"/>
      <c r="W21" s="219"/>
    </row>
    <row r="22" spans="2:25" ht="15" customHeight="1" x14ac:dyDescent="0.25">
      <c r="J22" s="226" t="s">
        <v>214</v>
      </c>
      <c r="K22" s="386" t="s">
        <v>257</v>
      </c>
      <c r="L22" s="386"/>
      <c r="M22" s="386"/>
      <c r="N22" s="386"/>
      <c r="O22" s="386"/>
      <c r="P22" s="386"/>
      <c r="Q22" s="386"/>
      <c r="R22" s="386"/>
      <c r="S22" s="386"/>
      <c r="T22" s="386"/>
      <c r="U22" s="386"/>
      <c r="V22" s="386"/>
      <c r="W22" s="387"/>
    </row>
    <row r="23" spans="2:25" ht="15" customHeight="1" thickBot="1" x14ac:dyDescent="0.3">
      <c r="J23" s="214"/>
      <c r="K23" s="390"/>
      <c r="L23" s="390"/>
      <c r="M23" s="390"/>
      <c r="N23" s="390"/>
      <c r="O23" s="390"/>
      <c r="P23" s="390"/>
      <c r="Q23" s="390"/>
      <c r="R23" s="390"/>
      <c r="S23" s="390"/>
      <c r="T23" s="390"/>
      <c r="U23" s="390"/>
      <c r="V23" s="390"/>
      <c r="W23" s="391"/>
    </row>
    <row r="24" spans="2:25" ht="15" customHeight="1" thickBot="1" x14ac:dyDescent="0.3">
      <c r="B24" s="26"/>
      <c r="C24" s="26"/>
      <c r="D24" s="26"/>
      <c r="E24" s="26"/>
      <c r="G24" s="328"/>
      <c r="H24" s="327"/>
      <c r="I24" s="280"/>
      <c r="K24" s="43"/>
      <c r="L24" s="43"/>
      <c r="M24" s="43"/>
      <c r="N24" s="43"/>
      <c r="O24" s="43"/>
      <c r="P24" s="43"/>
      <c r="Q24" s="43"/>
      <c r="R24" s="43"/>
      <c r="S24" s="43"/>
      <c r="T24" s="43"/>
      <c r="U24" s="43"/>
      <c r="V24" s="43"/>
    </row>
    <row r="25" spans="2:25" ht="15" hidden="1" customHeight="1" x14ac:dyDescent="0.25">
      <c r="D25" s="234"/>
      <c r="F25" s="328"/>
      <c r="G25" s="328"/>
      <c r="H25" s="328"/>
      <c r="I25" s="279"/>
      <c r="K25" s="43"/>
      <c r="L25" s="44"/>
      <c r="M25" s="44"/>
      <c r="N25" s="44"/>
      <c r="O25" s="44"/>
      <c r="P25" s="44"/>
      <c r="Q25" s="44"/>
      <c r="R25" s="44"/>
      <c r="S25" s="44"/>
      <c r="T25" s="44"/>
      <c r="U25" s="44"/>
      <c r="V25" s="44"/>
      <c r="W25" s="44"/>
    </row>
    <row r="26" spans="2:25" ht="15" hidden="1" customHeight="1" x14ac:dyDescent="0.25">
      <c r="D26" s="234" t="s">
        <v>259</v>
      </c>
      <c r="E26" s="44">
        <f>COUNTIF(E44:E47,"&gt;0")</f>
        <v>0</v>
      </c>
      <c r="F26" s="328"/>
      <c r="G26" s="328"/>
      <c r="H26" s="328"/>
      <c r="I26" s="279"/>
      <c r="J26" s="26" t="s">
        <v>341</v>
      </c>
      <c r="K26" s="281">
        <f>EXPEDIENTE!F25</f>
        <v>45292</v>
      </c>
      <c r="L26" s="221"/>
      <c r="M26" s="221"/>
      <c r="N26" s="221"/>
      <c r="O26" s="221"/>
      <c r="P26" s="221"/>
      <c r="Q26" s="221"/>
      <c r="R26" s="221"/>
      <c r="S26" s="221"/>
      <c r="T26" s="221"/>
      <c r="U26" s="221"/>
      <c r="V26" s="221"/>
      <c r="W26" s="221"/>
    </row>
    <row r="27" spans="2:25" ht="15" hidden="1" customHeight="1" x14ac:dyDescent="0.25">
      <c r="D27" s="234" t="s">
        <v>258</v>
      </c>
      <c r="E27" s="44">
        <f>COUNTIF(E46:E105,"&gt;0")</f>
        <v>0</v>
      </c>
      <c r="F27" s="328"/>
      <c r="G27" s="328"/>
      <c r="H27" s="328"/>
      <c r="I27" s="279"/>
      <c r="J27" s="26" t="s">
        <v>342</v>
      </c>
      <c r="K27" s="281">
        <f>EXPEDIENTE!F27</f>
        <v>0</v>
      </c>
      <c r="L27" s="221"/>
      <c r="M27" s="221"/>
      <c r="N27" s="221"/>
      <c r="O27" s="221"/>
      <c r="P27" s="221"/>
      <c r="Q27" s="221"/>
      <c r="R27" s="221"/>
      <c r="S27" s="221"/>
      <c r="T27" s="221"/>
      <c r="U27" s="221"/>
      <c r="V27" s="221"/>
      <c r="W27" s="221"/>
    </row>
    <row r="28" spans="2:25" ht="15" hidden="1" customHeight="1" x14ac:dyDescent="0.25">
      <c r="D28" s="234" t="s">
        <v>258</v>
      </c>
      <c r="E28" s="44">
        <f>COUNTIF(E47:E106,"&gt;0")</f>
        <v>0</v>
      </c>
      <c r="F28" s="328"/>
      <c r="G28" s="328"/>
      <c r="H28" s="328"/>
      <c r="I28" s="279"/>
      <c r="J28" s="26" t="s">
        <v>343</v>
      </c>
      <c r="K28" s="281">
        <f>DATE(YEAR($K$26),MONTH($K$26),1)</f>
        <v>45292</v>
      </c>
      <c r="L28" s="221"/>
      <c r="M28" s="221"/>
      <c r="N28" s="221"/>
      <c r="O28" s="221"/>
      <c r="P28" s="221"/>
      <c r="Q28" s="221"/>
      <c r="R28" s="221"/>
      <c r="S28" s="221"/>
      <c r="T28" s="221"/>
      <c r="U28" s="221"/>
      <c r="V28" s="221"/>
      <c r="W28" s="221"/>
    </row>
    <row r="29" spans="2:25" ht="15" hidden="1" customHeight="1" x14ac:dyDescent="0.25">
      <c r="D29" s="234" t="s">
        <v>258</v>
      </c>
      <c r="E29" s="44">
        <f>COUNTIF(E48:E107,"&gt;0")</f>
        <v>0</v>
      </c>
      <c r="F29" s="328"/>
      <c r="G29" s="328"/>
      <c r="H29" s="328"/>
      <c r="I29" s="279"/>
      <c r="J29" s="26" t="s">
        <v>344</v>
      </c>
      <c r="K29" s="281">
        <f>DATE(YEAR($K$27),MONTH($K$27)+1,1)-1</f>
        <v>31</v>
      </c>
      <c r="L29" s="221"/>
      <c r="M29" s="221"/>
      <c r="N29" s="221"/>
      <c r="O29" s="221"/>
      <c r="P29" s="221"/>
      <c r="Q29" s="221"/>
      <c r="R29" s="221"/>
      <c r="S29" s="221"/>
      <c r="T29" s="221"/>
      <c r="U29" s="221"/>
      <c r="V29" s="221"/>
      <c r="W29" s="221"/>
    </row>
    <row r="30" spans="2:25" ht="15" hidden="1" customHeight="1" x14ac:dyDescent="0.25">
      <c r="D30" s="234"/>
      <c r="F30" s="328"/>
      <c r="G30" s="328"/>
      <c r="H30" s="328"/>
      <c r="I30" s="279"/>
      <c r="J30" s="26" t="s">
        <v>347</v>
      </c>
      <c r="K30" s="291" t="str">
        <f>IF(MIN(L33:W33,L35:W35,L37:W37,L39:W39)=0/1/1900,"SIN DEDICACIÓN",MIN(L33:W33,L35:W35,L37:W37,L39:W39))</f>
        <v>SIN DEDICACIÓN</v>
      </c>
      <c r="L30" s="221"/>
      <c r="M30" s="221"/>
      <c r="N30" s="221"/>
      <c r="O30" s="221"/>
      <c r="P30" s="221"/>
      <c r="Q30" s="221"/>
      <c r="R30" s="221"/>
      <c r="S30" s="221"/>
      <c r="T30" s="221"/>
      <c r="U30" s="221"/>
      <c r="V30" s="221"/>
      <c r="W30" s="221"/>
      <c r="Y30" s="281"/>
    </row>
    <row r="31" spans="2:25" ht="15" hidden="1" customHeight="1" x14ac:dyDescent="0.25">
      <c r="D31" s="234"/>
      <c r="F31" s="328"/>
      <c r="G31" s="328"/>
      <c r="H31" s="328"/>
      <c r="I31" s="279"/>
      <c r="J31" s="26" t="s">
        <v>348</v>
      </c>
      <c r="K31" s="281">
        <f>DATE(YEAR($K$9),MONTH($K$9),1)</f>
        <v>1</v>
      </c>
      <c r="L31" s="221"/>
      <c r="M31" s="221"/>
      <c r="N31" s="221"/>
      <c r="O31" s="221"/>
      <c r="P31" s="221"/>
      <c r="Q31" s="221"/>
      <c r="R31" s="221"/>
      <c r="S31" s="221"/>
      <c r="T31" s="221"/>
      <c r="U31" s="221"/>
      <c r="V31" s="221"/>
      <c r="W31" s="221"/>
      <c r="Y31" s="281"/>
    </row>
    <row r="32" spans="2:25" ht="15" hidden="1" customHeight="1" x14ac:dyDescent="0.25">
      <c r="D32" s="234"/>
      <c r="F32" s="328"/>
      <c r="G32" s="328"/>
      <c r="H32" s="328"/>
      <c r="I32" s="279"/>
      <c r="J32" s="282" t="s">
        <v>345</v>
      </c>
      <c r="K32" s="283">
        <f>YEAR(K26)</f>
        <v>2024</v>
      </c>
      <c r="L32" s="284" t="str">
        <f>IF(L$43&gt;0,L40,"")</f>
        <v/>
      </c>
      <c r="M32" s="284" t="str">
        <f t="shared" ref="M32:W32" si="0">IF(M$43&gt;0,M40,"")</f>
        <v/>
      </c>
      <c r="N32" s="284" t="str">
        <f t="shared" si="0"/>
        <v/>
      </c>
      <c r="O32" s="284" t="str">
        <f t="shared" si="0"/>
        <v/>
      </c>
      <c r="P32" s="284" t="str">
        <f t="shared" si="0"/>
        <v/>
      </c>
      <c r="Q32" s="284" t="str">
        <f t="shared" si="0"/>
        <v/>
      </c>
      <c r="R32" s="284" t="str">
        <f t="shared" si="0"/>
        <v/>
      </c>
      <c r="S32" s="284" t="str">
        <f t="shared" si="0"/>
        <v/>
      </c>
      <c r="T32" s="284" t="str">
        <f t="shared" si="0"/>
        <v/>
      </c>
      <c r="U32" s="284" t="str">
        <f t="shared" si="0"/>
        <v/>
      </c>
      <c r="V32" s="284" t="str">
        <f t="shared" si="0"/>
        <v/>
      </c>
      <c r="W32" s="284" t="str">
        <f t="shared" si="0"/>
        <v/>
      </c>
    </row>
    <row r="33" spans="2:27" ht="15" hidden="1" customHeight="1" x14ac:dyDescent="0.25">
      <c r="D33" s="234"/>
      <c r="F33" s="328"/>
      <c r="G33" s="328"/>
      <c r="H33" s="328"/>
      <c r="I33" s="279"/>
      <c r="J33" s="272"/>
      <c r="K33" s="286" t="s">
        <v>346</v>
      </c>
      <c r="L33" s="287" t="str">
        <f>IF(L32="","",DATE($K$32,L32,1))</f>
        <v/>
      </c>
      <c r="M33" s="287" t="str">
        <f t="shared" ref="M33:W33" si="1">IF(M32="","",DATE($K$32,M32,1))</f>
        <v/>
      </c>
      <c r="N33" s="287" t="str">
        <f t="shared" si="1"/>
        <v/>
      </c>
      <c r="O33" s="287" t="str">
        <f t="shared" si="1"/>
        <v/>
      </c>
      <c r="P33" s="287" t="str">
        <f t="shared" si="1"/>
        <v/>
      </c>
      <c r="Q33" s="287" t="str">
        <f t="shared" si="1"/>
        <v/>
      </c>
      <c r="R33" s="287" t="str">
        <f t="shared" si="1"/>
        <v/>
      </c>
      <c r="S33" s="287" t="str">
        <f t="shared" si="1"/>
        <v/>
      </c>
      <c r="T33" s="287" t="str">
        <f t="shared" si="1"/>
        <v/>
      </c>
      <c r="U33" s="287" t="str">
        <f t="shared" si="1"/>
        <v/>
      </c>
      <c r="V33" s="287" t="str">
        <f t="shared" si="1"/>
        <v/>
      </c>
      <c r="W33" s="287" t="str">
        <f t="shared" si="1"/>
        <v/>
      </c>
      <c r="Y33" s="290"/>
    </row>
    <row r="34" spans="2:27" ht="15" hidden="1" customHeight="1" x14ac:dyDescent="0.25">
      <c r="D34" s="234"/>
      <c r="F34" s="328"/>
      <c r="G34" s="328"/>
      <c r="H34" s="328"/>
      <c r="I34" s="279"/>
      <c r="J34" s="282" t="s">
        <v>345</v>
      </c>
      <c r="K34" s="283" t="str">
        <f>IF(YEAR(EXPEDIENTE!$F$27)&gt;=YEAR(EXPEDIENTE!$F$25)+1,YEAR(EXPEDIENTE!$F$25)+1,"")</f>
        <v/>
      </c>
      <c r="L34" s="284">
        <f>IF(L$38&gt;0,L40,"")</f>
        <v>1</v>
      </c>
      <c r="M34" s="284">
        <f t="shared" ref="M34:W34" si="2">IF(M$38&gt;0,M40,"")</f>
        <v>2</v>
      </c>
      <c r="N34" s="284">
        <f t="shared" si="2"/>
        <v>3</v>
      </c>
      <c r="O34" s="284">
        <f t="shared" si="2"/>
        <v>4</v>
      </c>
      <c r="P34" s="284">
        <f t="shared" si="2"/>
        <v>5</v>
      </c>
      <c r="Q34" s="284">
        <f t="shared" si="2"/>
        <v>6</v>
      </c>
      <c r="R34" s="284">
        <f t="shared" si="2"/>
        <v>7</v>
      </c>
      <c r="S34" s="284">
        <f t="shared" si="2"/>
        <v>8</v>
      </c>
      <c r="T34" s="284">
        <f t="shared" si="2"/>
        <v>9</v>
      </c>
      <c r="U34" s="284">
        <f t="shared" si="2"/>
        <v>10</v>
      </c>
      <c r="V34" s="284">
        <f t="shared" si="2"/>
        <v>11</v>
      </c>
      <c r="W34" s="285">
        <f t="shared" si="2"/>
        <v>12</v>
      </c>
    </row>
    <row r="35" spans="2:27" ht="15" hidden="1" customHeight="1" x14ac:dyDescent="0.25">
      <c r="D35" s="234"/>
      <c r="F35" s="328"/>
      <c r="G35" s="328"/>
      <c r="H35" s="328"/>
      <c r="I35" s="279"/>
      <c r="J35" s="272"/>
      <c r="K35" s="286" t="s">
        <v>346</v>
      </c>
      <c r="L35" s="287" t="str">
        <f>IF($K$34="","",IF(L34="","",DATE($K$34,L34,1)))</f>
        <v/>
      </c>
      <c r="M35" s="287" t="str">
        <f t="shared" ref="M35:W35" si="3">IF($K$34="","",IF(M34="","",DATE($K$34,M34,1)))</f>
        <v/>
      </c>
      <c r="N35" s="287" t="str">
        <f t="shared" si="3"/>
        <v/>
      </c>
      <c r="O35" s="287" t="str">
        <f t="shared" si="3"/>
        <v/>
      </c>
      <c r="P35" s="287" t="str">
        <f t="shared" si="3"/>
        <v/>
      </c>
      <c r="Q35" s="287" t="str">
        <f t="shared" si="3"/>
        <v/>
      </c>
      <c r="R35" s="287" t="str">
        <f t="shared" si="3"/>
        <v/>
      </c>
      <c r="S35" s="287" t="str">
        <f t="shared" si="3"/>
        <v/>
      </c>
      <c r="T35" s="287" t="str">
        <f t="shared" si="3"/>
        <v/>
      </c>
      <c r="U35" s="287" t="str">
        <f t="shared" si="3"/>
        <v/>
      </c>
      <c r="V35" s="287" t="str">
        <f t="shared" si="3"/>
        <v/>
      </c>
      <c r="W35" s="287" t="str">
        <f t="shared" si="3"/>
        <v/>
      </c>
    </row>
    <row r="36" spans="2:27" ht="15" hidden="1" customHeight="1" x14ac:dyDescent="0.25">
      <c r="D36" s="234"/>
      <c r="F36" s="328"/>
      <c r="G36" s="328"/>
      <c r="H36" s="328"/>
      <c r="I36" s="279"/>
      <c r="J36" s="282" t="s">
        <v>345</v>
      </c>
      <c r="K36" s="283" t="str">
        <f>IF(YEAR(EXPEDIENTE!$F$27)&gt;=YEAR(EXPEDIENTE!$F$25)+2,YEAR(EXPEDIENTE!$F$25)+2,"")</f>
        <v/>
      </c>
      <c r="L36" s="284">
        <f>IF(L$39&gt;0,L40,"")</f>
        <v>1</v>
      </c>
      <c r="M36" s="284">
        <f t="shared" ref="M36:W36" si="4">IF(M$39&gt;0,M40,"")</f>
        <v>2</v>
      </c>
      <c r="N36" s="284">
        <f t="shared" si="4"/>
        <v>3</v>
      </c>
      <c r="O36" s="284">
        <f t="shared" si="4"/>
        <v>4</v>
      </c>
      <c r="P36" s="284">
        <f t="shared" si="4"/>
        <v>5</v>
      </c>
      <c r="Q36" s="284">
        <f t="shared" si="4"/>
        <v>6</v>
      </c>
      <c r="R36" s="284">
        <f t="shared" si="4"/>
        <v>7</v>
      </c>
      <c r="S36" s="284">
        <f t="shared" si="4"/>
        <v>8</v>
      </c>
      <c r="T36" s="284">
        <f t="shared" si="4"/>
        <v>9</v>
      </c>
      <c r="U36" s="284">
        <f t="shared" si="4"/>
        <v>10</v>
      </c>
      <c r="V36" s="284">
        <f t="shared" si="4"/>
        <v>11</v>
      </c>
      <c r="W36" s="285">
        <f t="shared" si="4"/>
        <v>12</v>
      </c>
    </row>
    <row r="37" spans="2:27" ht="15" hidden="1" customHeight="1" x14ac:dyDescent="0.25">
      <c r="D37" s="234"/>
      <c r="F37" s="328"/>
      <c r="G37" s="328"/>
      <c r="H37" s="328"/>
      <c r="I37" s="279"/>
      <c r="J37" s="272"/>
      <c r="K37" s="286" t="s">
        <v>346</v>
      </c>
      <c r="L37" s="287" t="str">
        <f>IF($K$36="","",IF(L36="","",DATE($K$36,L36,1)))</f>
        <v/>
      </c>
      <c r="M37" s="287" t="str">
        <f t="shared" ref="M37:W37" si="5">IF($F$27="","",IF(M36="","",DATE($F$27,M36,1)))</f>
        <v/>
      </c>
      <c r="N37" s="287" t="str">
        <f t="shared" si="5"/>
        <v/>
      </c>
      <c r="O37" s="287" t="str">
        <f t="shared" si="5"/>
        <v/>
      </c>
      <c r="P37" s="287" t="str">
        <f t="shared" si="5"/>
        <v/>
      </c>
      <c r="Q37" s="287" t="str">
        <f t="shared" si="5"/>
        <v/>
      </c>
      <c r="R37" s="287" t="str">
        <f t="shared" si="5"/>
        <v/>
      </c>
      <c r="S37" s="287" t="str">
        <f t="shared" si="5"/>
        <v/>
      </c>
      <c r="T37" s="287" t="str">
        <f t="shared" si="5"/>
        <v/>
      </c>
      <c r="U37" s="287" t="str">
        <f t="shared" si="5"/>
        <v/>
      </c>
      <c r="V37" s="287" t="str">
        <f t="shared" si="5"/>
        <v/>
      </c>
      <c r="W37" s="288" t="str">
        <f t="shared" si="5"/>
        <v/>
      </c>
    </row>
    <row r="38" spans="2:27" ht="15" hidden="1" customHeight="1" x14ac:dyDescent="0.25">
      <c r="D38" s="234"/>
      <c r="F38" s="328"/>
      <c r="G38" s="328"/>
      <c r="H38" s="328"/>
      <c r="I38" s="279"/>
      <c r="J38" s="282" t="s">
        <v>345</v>
      </c>
      <c r="K38" s="283" t="str">
        <f>IF(YEAR(EXPEDIENTE!$F$27)&gt;=YEAR(EXPEDIENTE!$F$25)+3,YEAR(EXPEDIENTE!$F$25)+3,"")</f>
        <v/>
      </c>
      <c r="L38" s="284">
        <f>IF(L$40&gt;0,L40,"")</f>
        <v>1</v>
      </c>
      <c r="M38" s="284">
        <f t="shared" ref="M38:W38" si="6">IF(M$40&gt;0,M40,"")</f>
        <v>2</v>
      </c>
      <c r="N38" s="284">
        <f t="shared" si="6"/>
        <v>3</v>
      </c>
      <c r="O38" s="284">
        <f t="shared" si="6"/>
        <v>4</v>
      </c>
      <c r="P38" s="284">
        <f t="shared" si="6"/>
        <v>5</v>
      </c>
      <c r="Q38" s="284">
        <f t="shared" si="6"/>
        <v>6</v>
      </c>
      <c r="R38" s="284">
        <f t="shared" si="6"/>
        <v>7</v>
      </c>
      <c r="S38" s="284">
        <f t="shared" si="6"/>
        <v>8</v>
      </c>
      <c r="T38" s="284">
        <f t="shared" si="6"/>
        <v>9</v>
      </c>
      <c r="U38" s="284">
        <f t="shared" si="6"/>
        <v>10</v>
      </c>
      <c r="V38" s="284">
        <f t="shared" si="6"/>
        <v>11</v>
      </c>
      <c r="W38" s="285">
        <f t="shared" si="6"/>
        <v>12</v>
      </c>
    </row>
    <row r="39" spans="2:27" ht="15" hidden="1" customHeight="1" x14ac:dyDescent="0.25">
      <c r="D39" s="234"/>
      <c r="F39" s="328"/>
      <c r="G39" s="328"/>
      <c r="H39" s="328"/>
      <c r="I39" s="279"/>
      <c r="J39" s="272"/>
      <c r="K39" s="286" t="s">
        <v>346</v>
      </c>
      <c r="L39" s="287" t="str">
        <f>IF($K$38="","",IF(L38="","",DATE($K$38,L38,1)))</f>
        <v/>
      </c>
      <c r="M39" s="287" t="str">
        <f t="shared" ref="M39:W39" si="7">IF($F$29="","",IF(M38="","",DATE($F$29,M38,1)))</f>
        <v/>
      </c>
      <c r="N39" s="287" t="str">
        <f t="shared" si="7"/>
        <v/>
      </c>
      <c r="O39" s="287" t="str">
        <f t="shared" si="7"/>
        <v/>
      </c>
      <c r="P39" s="287" t="str">
        <f t="shared" si="7"/>
        <v/>
      </c>
      <c r="Q39" s="287" t="str">
        <f t="shared" si="7"/>
        <v/>
      </c>
      <c r="R39" s="287" t="str">
        <f t="shared" si="7"/>
        <v/>
      </c>
      <c r="S39" s="287" t="str">
        <f t="shared" si="7"/>
        <v/>
      </c>
      <c r="T39" s="287" t="str">
        <f t="shared" si="7"/>
        <v/>
      </c>
      <c r="U39" s="287" t="str">
        <f t="shared" si="7"/>
        <v/>
      </c>
      <c r="V39" s="287" t="str">
        <f t="shared" si="7"/>
        <v/>
      </c>
      <c r="W39" s="288" t="str">
        <f t="shared" si="7"/>
        <v/>
      </c>
    </row>
    <row r="40" spans="2:27" ht="15" hidden="1" customHeight="1" thickBot="1" x14ac:dyDescent="0.3">
      <c r="D40" s="234"/>
      <c r="F40" s="328"/>
      <c r="G40" s="328"/>
      <c r="H40" s="328"/>
      <c r="I40" s="279"/>
      <c r="J40" s="282" t="s">
        <v>87</v>
      </c>
      <c r="K40" s="289"/>
      <c r="L40" s="284">
        <v>1</v>
      </c>
      <c r="M40" s="284">
        <v>2</v>
      </c>
      <c r="N40" s="284">
        <v>3</v>
      </c>
      <c r="O40" s="284">
        <v>4</v>
      </c>
      <c r="P40" s="284">
        <v>5</v>
      </c>
      <c r="Q40" s="284">
        <v>6</v>
      </c>
      <c r="R40" s="284">
        <v>7</v>
      </c>
      <c r="S40" s="284">
        <v>8</v>
      </c>
      <c r="T40" s="284">
        <v>9</v>
      </c>
      <c r="U40" s="284">
        <v>10</v>
      </c>
      <c r="V40" s="284">
        <v>11</v>
      </c>
      <c r="W40" s="285">
        <v>12</v>
      </c>
    </row>
    <row r="41" spans="2:27" s="191" customFormat="1" ht="20.100000000000001" customHeight="1" thickBot="1" x14ac:dyDescent="0.35">
      <c r="B41" s="44"/>
      <c r="C41" s="44"/>
      <c r="D41" s="234" t="s">
        <v>258</v>
      </c>
      <c r="E41" s="44">
        <f>COUNTIF(E49:E108,"&gt;0")</f>
        <v>0</v>
      </c>
      <c r="F41" s="328"/>
      <c r="G41" s="328"/>
      <c r="H41" s="328"/>
      <c r="I41" s="279"/>
      <c r="J41" s="375" t="str">
        <f>CONCATENATE("PORCENTAJE DEDICACIÓN POR LÍNEA DE ACTUACIÓN EN EJERCICIO: ",EXPEDIENTE!$C$16)</f>
        <v>PORCENTAJE DEDICACIÓN POR LÍNEA DE ACTUACIÓN EN EJERCICIO: 2024</v>
      </c>
      <c r="K41" s="376"/>
      <c r="L41" s="376"/>
      <c r="M41" s="376"/>
      <c r="N41" s="376"/>
      <c r="O41" s="376"/>
      <c r="P41" s="376"/>
      <c r="Q41" s="376"/>
      <c r="R41" s="376"/>
      <c r="S41" s="376"/>
      <c r="T41" s="376"/>
      <c r="U41" s="376"/>
      <c r="V41" s="376"/>
      <c r="W41" s="377"/>
      <c r="X41" s="196"/>
      <c r="Y41" s="255"/>
      <c r="Z41" s="197"/>
      <c r="AA41" s="197"/>
    </row>
    <row r="42" spans="2:27" ht="15" customHeight="1" thickBot="1" x14ac:dyDescent="0.3">
      <c r="B42" s="44" t="s">
        <v>215</v>
      </c>
      <c r="C42" s="44" t="s">
        <v>216</v>
      </c>
      <c r="D42" s="44" t="s">
        <v>222</v>
      </c>
      <c r="E42" s="44" t="s">
        <v>242</v>
      </c>
      <c r="F42" s="328"/>
      <c r="G42" s="328"/>
      <c r="H42" s="328"/>
      <c r="I42" s="279"/>
      <c r="J42" s="383"/>
      <c r="K42" s="384"/>
      <c r="L42" s="202" t="s">
        <v>35</v>
      </c>
      <c r="M42" s="203" t="s">
        <v>36</v>
      </c>
      <c r="N42" s="203" t="s">
        <v>37</v>
      </c>
      <c r="O42" s="203" t="s">
        <v>38</v>
      </c>
      <c r="P42" s="203" t="s">
        <v>39</v>
      </c>
      <c r="Q42" s="203" t="s">
        <v>40</v>
      </c>
      <c r="R42" s="203" t="s">
        <v>41</v>
      </c>
      <c r="S42" s="203" t="s">
        <v>42</v>
      </c>
      <c r="T42" s="203" t="s">
        <v>43</v>
      </c>
      <c r="U42" s="203" t="s">
        <v>44</v>
      </c>
      <c r="V42" s="203" t="s">
        <v>45</v>
      </c>
      <c r="W42" s="204" t="s">
        <v>46</v>
      </c>
      <c r="Y42" s="255"/>
    </row>
    <row r="43" spans="2:27" ht="20.100000000000001" customHeight="1" x14ac:dyDescent="0.25">
      <c r="E43" s="44">
        <f t="shared" ref="E43:E47" si="8">COUNTIF(L43:W43,"&gt;100%")</f>
        <v>0</v>
      </c>
      <c r="J43" s="175"/>
      <c r="K43" s="205" t="s">
        <v>217</v>
      </c>
      <c r="L43" s="206">
        <f>SUM(L44:L47)</f>
        <v>0</v>
      </c>
      <c r="M43" s="207">
        <f t="shared" ref="M43:V43" si="9">SUM(M44:M47)</f>
        <v>0</v>
      </c>
      <c r="N43" s="207">
        <f t="shared" si="9"/>
        <v>0</v>
      </c>
      <c r="O43" s="207">
        <f t="shared" si="9"/>
        <v>0</v>
      </c>
      <c r="P43" s="207">
        <f t="shared" si="9"/>
        <v>0</v>
      </c>
      <c r="Q43" s="207">
        <f t="shared" si="9"/>
        <v>0</v>
      </c>
      <c r="R43" s="207">
        <f t="shared" si="9"/>
        <v>0</v>
      </c>
      <c r="S43" s="207">
        <f t="shared" si="9"/>
        <v>0</v>
      </c>
      <c r="T43" s="207">
        <f t="shared" si="9"/>
        <v>0</v>
      </c>
      <c r="U43" s="207">
        <f t="shared" si="9"/>
        <v>0</v>
      </c>
      <c r="V43" s="207">
        <f t="shared" si="9"/>
        <v>0</v>
      </c>
      <c r="W43" s="208">
        <f>SUM(W44:W47)</f>
        <v>0</v>
      </c>
      <c r="Y43" s="26" t="str">
        <f>IF(E43&gt;0,"EL PORCENTAJE MENSUAL RESULTANTE ES SUPERIOR AL 100%",IF(SUM(L43:W43)&gt;1100%,"LA SUMA DE PORCENTAJES MENSUALES SUPERA EL MÁXIMO",""))</f>
        <v/>
      </c>
    </row>
    <row r="44" spans="2:27" ht="20.100000000000001" customHeight="1" x14ac:dyDescent="0.25">
      <c r="E44" s="44">
        <f t="shared" si="8"/>
        <v>0</v>
      </c>
      <c r="J44" s="174"/>
      <c r="K44" s="205" t="s">
        <v>218</v>
      </c>
      <c r="L44" s="209">
        <f t="shared" ref="L44:W44" si="10">SUMIFS(L49:L108,$B$49:$B$108,1)</f>
        <v>0</v>
      </c>
      <c r="M44" s="171">
        <f t="shared" si="10"/>
        <v>0</v>
      </c>
      <c r="N44" s="171">
        <f t="shared" si="10"/>
        <v>0</v>
      </c>
      <c r="O44" s="171">
        <f t="shared" si="10"/>
        <v>0</v>
      </c>
      <c r="P44" s="171">
        <f t="shared" si="10"/>
        <v>0</v>
      </c>
      <c r="Q44" s="171">
        <f t="shared" si="10"/>
        <v>0</v>
      </c>
      <c r="R44" s="171">
        <f t="shared" si="10"/>
        <v>0</v>
      </c>
      <c r="S44" s="171">
        <f t="shared" si="10"/>
        <v>0</v>
      </c>
      <c r="T44" s="171">
        <f t="shared" si="10"/>
        <v>0</v>
      </c>
      <c r="U44" s="171">
        <f t="shared" si="10"/>
        <v>0</v>
      </c>
      <c r="V44" s="171">
        <f t="shared" si="10"/>
        <v>0</v>
      </c>
      <c r="W44" s="176">
        <f t="shared" si="10"/>
        <v>0</v>
      </c>
      <c r="Y44" s="26" t="str">
        <f t="shared" ref="Y44:Y47" si="11">IF(E44&gt;0,"EL PORCENTAJE MENSUAL RESULTANTE ES SUPERIOR AL 100%","")</f>
        <v/>
      </c>
    </row>
    <row r="45" spans="2:27" ht="20.100000000000001" customHeight="1" x14ac:dyDescent="0.25">
      <c r="E45" s="44">
        <f t="shared" si="8"/>
        <v>0</v>
      </c>
      <c r="J45" s="174"/>
      <c r="K45" s="205" t="s">
        <v>219</v>
      </c>
      <c r="L45" s="209">
        <f t="shared" ref="L45:W45" si="12">SUMIFS(L49:L108,$B$49:$B$108,2)</f>
        <v>0</v>
      </c>
      <c r="M45" s="171">
        <f t="shared" si="12"/>
        <v>0</v>
      </c>
      <c r="N45" s="171">
        <f t="shared" si="12"/>
        <v>0</v>
      </c>
      <c r="O45" s="171">
        <f t="shared" si="12"/>
        <v>0</v>
      </c>
      <c r="P45" s="171">
        <f t="shared" si="12"/>
        <v>0</v>
      </c>
      <c r="Q45" s="171">
        <f t="shared" si="12"/>
        <v>0</v>
      </c>
      <c r="R45" s="171">
        <f t="shared" si="12"/>
        <v>0</v>
      </c>
      <c r="S45" s="171">
        <f t="shared" si="12"/>
        <v>0</v>
      </c>
      <c r="T45" s="171">
        <f t="shared" si="12"/>
        <v>0</v>
      </c>
      <c r="U45" s="171">
        <f t="shared" si="12"/>
        <v>0</v>
      </c>
      <c r="V45" s="171">
        <f t="shared" si="12"/>
        <v>0</v>
      </c>
      <c r="W45" s="176">
        <f t="shared" si="12"/>
        <v>0</v>
      </c>
      <c r="Y45" s="26" t="str">
        <f t="shared" si="11"/>
        <v/>
      </c>
    </row>
    <row r="46" spans="2:27" ht="20.100000000000001" customHeight="1" x14ac:dyDescent="0.25">
      <c r="E46" s="44">
        <f t="shared" si="8"/>
        <v>0</v>
      </c>
      <c r="J46" s="174"/>
      <c r="K46" s="205" t="s">
        <v>220</v>
      </c>
      <c r="L46" s="209">
        <f t="shared" ref="L46:W46" si="13">SUMIFS(L49:L108,$B$49:$B$108,3)</f>
        <v>0</v>
      </c>
      <c r="M46" s="171">
        <f t="shared" si="13"/>
        <v>0</v>
      </c>
      <c r="N46" s="171">
        <f t="shared" si="13"/>
        <v>0</v>
      </c>
      <c r="O46" s="171">
        <f t="shared" si="13"/>
        <v>0</v>
      </c>
      <c r="P46" s="171">
        <f t="shared" si="13"/>
        <v>0</v>
      </c>
      <c r="Q46" s="171">
        <f t="shared" si="13"/>
        <v>0</v>
      </c>
      <c r="R46" s="171">
        <f t="shared" si="13"/>
        <v>0</v>
      </c>
      <c r="S46" s="171">
        <f t="shared" si="13"/>
        <v>0</v>
      </c>
      <c r="T46" s="171">
        <f t="shared" si="13"/>
        <v>0</v>
      </c>
      <c r="U46" s="171">
        <f t="shared" si="13"/>
        <v>0</v>
      </c>
      <c r="V46" s="171">
        <f t="shared" si="13"/>
        <v>0</v>
      </c>
      <c r="W46" s="176">
        <f t="shared" si="13"/>
        <v>0</v>
      </c>
      <c r="Y46" s="26" t="str">
        <f t="shared" si="11"/>
        <v/>
      </c>
    </row>
    <row r="47" spans="2:27" ht="20.100000000000001" customHeight="1" thickBot="1" x14ac:dyDescent="0.3">
      <c r="E47" s="44">
        <f t="shared" si="8"/>
        <v>0</v>
      </c>
      <c r="F47" s="373" t="s">
        <v>369</v>
      </c>
      <c r="G47" s="373" t="s">
        <v>370</v>
      </c>
      <c r="H47" s="373" t="s">
        <v>367</v>
      </c>
      <c r="I47" s="373" t="s">
        <v>368</v>
      </c>
      <c r="J47" s="174"/>
      <c r="K47" s="205" t="s">
        <v>221</v>
      </c>
      <c r="L47" s="210">
        <f t="shared" ref="L47:W47" si="14">SUMIFS(L49:L108,$B$49:$B$108,4)</f>
        <v>0</v>
      </c>
      <c r="M47" s="211">
        <f t="shared" si="14"/>
        <v>0</v>
      </c>
      <c r="N47" s="211">
        <f t="shared" si="14"/>
        <v>0</v>
      </c>
      <c r="O47" s="211">
        <f t="shared" si="14"/>
        <v>0</v>
      </c>
      <c r="P47" s="211">
        <f t="shared" si="14"/>
        <v>0</v>
      </c>
      <c r="Q47" s="211">
        <f t="shared" si="14"/>
        <v>0</v>
      </c>
      <c r="R47" s="211">
        <f t="shared" si="14"/>
        <v>0</v>
      </c>
      <c r="S47" s="211">
        <f t="shared" si="14"/>
        <v>0</v>
      </c>
      <c r="T47" s="211">
        <f t="shared" si="14"/>
        <v>0</v>
      </c>
      <c r="U47" s="211">
        <f t="shared" si="14"/>
        <v>0</v>
      </c>
      <c r="V47" s="211">
        <f t="shared" si="14"/>
        <v>0</v>
      </c>
      <c r="W47" s="212">
        <f t="shared" si="14"/>
        <v>0</v>
      </c>
      <c r="Y47" s="26" t="str">
        <f t="shared" si="11"/>
        <v/>
      </c>
    </row>
    <row r="48" spans="2:27" ht="20.100000000000001" customHeight="1" thickBot="1" x14ac:dyDescent="0.3">
      <c r="F48" s="374"/>
      <c r="G48" s="374"/>
      <c r="H48" s="374"/>
      <c r="I48" s="374"/>
      <c r="J48" s="381" t="str">
        <f>CONCATENATE("LÍNEAS EN LAS QUE PARTICIPA EL TRABAJADOR ",'IDENTIFICACIÓN TRABAJADOR'!D14)</f>
        <v xml:space="preserve">LÍNEAS EN LAS QUE PARTICIPA EL TRABAJADOR </v>
      </c>
      <c r="K48" s="382"/>
      <c r="L48" s="378" t="s">
        <v>250</v>
      </c>
      <c r="M48" s="379"/>
      <c r="N48" s="379"/>
      <c r="O48" s="379"/>
      <c r="P48" s="379"/>
      <c r="Q48" s="379"/>
      <c r="R48" s="379"/>
      <c r="S48" s="379"/>
      <c r="T48" s="379"/>
      <c r="U48" s="379"/>
      <c r="V48" s="379"/>
      <c r="W48" s="380"/>
    </row>
    <row r="49" spans="2:25" ht="35.1" customHeight="1" x14ac:dyDescent="0.25">
      <c r="B49" s="44">
        <f t="shared" ref="B49:B66" si="15">IF(J49=0,0,VALUE(MID(J49,7,1)))</f>
        <v>0</v>
      </c>
      <c r="C49" s="44" t="str">
        <f t="shared" ref="C49:C80" si="16">IF(MID(J49,10,1)=":",MID(J49,9,1),MID(J49,9,2))</f>
        <v/>
      </c>
      <c r="D49" s="44">
        <f t="shared" ref="D49:D54" si="17">VALUE(CONCATENATE(B49,C49))</f>
        <v>0</v>
      </c>
      <c r="E49" s="44">
        <f>COUNTIF(L49:W49,"&gt;100%")</f>
        <v>0</v>
      </c>
      <c r="F49" s="44">
        <f>COUNTIF($J$49:J49,"&lt;&gt;")</f>
        <v>0</v>
      </c>
      <c r="G49" s="44">
        <f t="shared" ref="G49:G80" si="18">IF(VALUE(D49)=0,0,COUNTIF($D$49:$D$108,D49))</f>
        <v>0</v>
      </c>
      <c r="H49" s="222" t="str">
        <f>IF(SUM(L49:W49)=0,"",IF(SUM($L$32:$W$32)=0,$K$26,MIN($L$33:$W$33)))</f>
        <v/>
      </c>
      <c r="I49" s="222" t="str">
        <f>IF(SUM(L49:W49)=0,"",IF(SUM($L$32:$W$32)=0,$K$27,DATE($K$32,MAX($L$32:$W$32)+1,1)-1))</f>
        <v/>
      </c>
      <c r="J49" s="392"/>
      <c r="K49" s="393"/>
      <c r="L49" s="200"/>
      <c r="M49" s="200"/>
      <c r="N49" s="200"/>
      <c r="O49" s="200"/>
      <c r="P49" s="200"/>
      <c r="Q49" s="200"/>
      <c r="R49" s="200"/>
      <c r="S49" s="200"/>
      <c r="T49" s="200"/>
      <c r="U49" s="200"/>
      <c r="V49" s="200"/>
      <c r="W49" s="201"/>
      <c r="Y49" s="26" t="str">
        <f>IF(AND(SUM(L49:W49)=0,J49=""),"",IF(OR(H49="",I49=""),"",IF(G49&gt;1,"ERROR: LA LÍNEA SE HA SELECCIONADO EN MÁS DE UNA OCASIÓN",IF(AND(SUM(L49:W49)&gt;0,J49=""),"ERROR: SE HA REFLEJADO % DEDICACIÓN SIN IDENTIFICAR LA LÍNEA",IF(AND(SUM(L49:W49)&gt;0,OR(H49&lt;$K$28,I49&gt;$K$29)),"ERROR: SE HA INDICADO % DE DEDICACIÓN FUERA DEL PLAZO DE EJECUCIÓN",IF(AND($K$30&lt;&gt;"SIN DEDICACIÓN",DATE(YEAR(H49),MONTH(H49)+1,1)-1&lt;DATE(YEAR($K$9),MONTH($K$9),1)),"ERROR: EXISTE DEDICACIÓN AL PROYECTO ANTERIOR A LA FECHA DE EMISÓN DE FORMULARIO",IF(E49&gt;0,"ERROR: EL PORCENTAJE INDICADO ES SUPERIOR AL 100%","")))))))</f>
        <v/>
      </c>
    </row>
    <row r="50" spans="2:25" ht="35.1" customHeight="1" x14ac:dyDescent="0.25">
      <c r="B50" s="44">
        <f t="shared" si="15"/>
        <v>0</v>
      </c>
      <c r="C50" s="44" t="str">
        <f t="shared" si="16"/>
        <v/>
      </c>
      <c r="D50" s="44">
        <f t="shared" si="17"/>
        <v>0</v>
      </c>
      <c r="E50" s="44">
        <f t="shared" ref="E50:E108" si="19">COUNTIF(L50:W50,"&gt;100%")</f>
        <v>0</v>
      </c>
      <c r="F50" s="44">
        <f>COUNTIF($J$49:J50,"&lt;&gt;")</f>
        <v>0</v>
      </c>
      <c r="G50" s="44">
        <f t="shared" si="18"/>
        <v>0</v>
      </c>
      <c r="H50" s="222" t="str">
        <f>IF(SUM(L50:W50)=0,"",IF(SUM($L$32:$W$32)=0,$K$26,MIN($L$33:$W$33)))</f>
        <v/>
      </c>
      <c r="I50" s="222" t="str">
        <f>IF(SUM(L50:W50)=0,"",IF(SUM($L$32:$W$32)=0,$K$27,DATE($K$32,MAX($L$32:$W$32)+1,1)-1))</f>
        <v/>
      </c>
      <c r="J50" s="392"/>
      <c r="K50" s="393"/>
      <c r="L50" s="172"/>
      <c r="M50" s="172"/>
      <c r="N50" s="172"/>
      <c r="O50" s="172"/>
      <c r="P50" s="172"/>
      <c r="Q50" s="172"/>
      <c r="R50" s="172"/>
      <c r="S50" s="172"/>
      <c r="T50" s="172"/>
      <c r="U50" s="172"/>
      <c r="V50" s="172"/>
      <c r="W50" s="173"/>
      <c r="Y50" s="26" t="str">
        <f>IF(AND(SUM(L50:W50)=0,J50=""),"",IF(OR(H50="",I50=""),"",IF(G50&gt;1,"ERROR: LA LÍNEA SE HA SELECCIONADO EN MÁS DE UNA OCASIÓN",IF(AND(SUM(L50:W50)&gt;0,J50=""),"ERROR: SE HA REFLEJADO % DEDICACIÓN SIN IDENTIFICAR LA LÍNEA",IF(AND(SUM(L50:W50)&gt;0,OR(H50&lt;$K$28,I50&gt;$K$29)),"ERROR: SE HA INDICADO % DE DEDICACIÓN FUERA DEL PLAZO DE EJECUCIÓN",IF(AND($K$30&lt;&gt;"SIN DEDICACIÓN",DATE(YEAR(H50),MONTH(H50)+1,1)-1&lt;DATE(YEAR($K$9),MONTH($K$9),1)),"ERROR: EXISTE DEDICACIÓN AL PROYECTO ANTERIOR A LA FECHA DE EMISÓN DE FORMULARIO",IF(E50&gt;0,"ERROR: EL PORCENTAJE INDICADO ES SUPERIOR AL 100%","")))))))</f>
        <v/>
      </c>
    </row>
    <row r="51" spans="2:25" ht="35.1" customHeight="1" x14ac:dyDescent="0.25">
      <c r="B51" s="44">
        <f t="shared" si="15"/>
        <v>0</v>
      </c>
      <c r="C51" s="44" t="str">
        <f t="shared" si="16"/>
        <v/>
      </c>
      <c r="D51" s="44">
        <f t="shared" si="17"/>
        <v>0</v>
      </c>
      <c r="E51" s="44">
        <f t="shared" si="19"/>
        <v>0</v>
      </c>
      <c r="F51" s="44">
        <f>COUNTIF($J$49:J51,"&lt;&gt;")</f>
        <v>0</v>
      </c>
      <c r="G51" s="44">
        <f t="shared" si="18"/>
        <v>0</v>
      </c>
      <c r="H51" s="222" t="str">
        <f t="shared" ref="H51:H108" si="20">IF(SUM(L51:W51)=0,"",IF(SUM($L$32:$W$32)=0,$K$26,MIN($L$33:$W$33)))</f>
        <v/>
      </c>
      <c r="I51" s="222" t="str">
        <f t="shared" ref="I51:I108" si="21">IF(SUM(L51:W51)=0,"",IF(SUM($L$32:$W$32)=0,$K$27,DATE($K$32,MAX($L$32:$W$32)+1,1)-1))</f>
        <v/>
      </c>
      <c r="J51" s="371"/>
      <c r="K51" s="372"/>
      <c r="L51" s="172"/>
      <c r="M51" s="172"/>
      <c r="N51" s="172"/>
      <c r="O51" s="172"/>
      <c r="P51" s="172"/>
      <c r="Q51" s="172"/>
      <c r="R51" s="172"/>
      <c r="S51" s="172"/>
      <c r="T51" s="172"/>
      <c r="U51" s="172"/>
      <c r="V51" s="172"/>
      <c r="W51" s="173"/>
      <c r="Y51" s="26" t="str">
        <f t="shared" ref="Y51:Y108" si="22">IF(AND(SUM(L51:W51)=0,J51=""),"",IF(OR(H51="",I51=""),"",IF(G51&gt;1,"ERROR: LA LÍNEA SE HA SELECCIONADO EN MÁS DE UNA OCASIÓN",IF(AND(SUM(L51:W51)&gt;0,J51=""),"ERROR: SE HA REFLEJADO % DEDICACIÓN SIN IDENTIFICAR LA LÍNEA",IF(AND(SUM(L51:W51)&gt;0,OR(H51&lt;$K$28,I51&gt;$K$29)),"ERROR: SE HA INDICADO % DE DEDICACIÓN FUERA DEL PLAZO DE EJECUCIÓN",IF(AND($K$30&lt;&gt;"SIN DEDICACIÓN",DATE(YEAR(H51),MONTH(H51)+1,1)-1&lt;DATE(YEAR($K$9),MONTH($K$9),1)),"ERROR: EXISTE DEDICACIÓN AL PROYECTO ANTERIOR A LA FECHA DE EMISÓN DE FORMULARIO",IF(E51&gt;0,"ERROR: EL PORCENTAJE INDICADO ES SUPERIOR AL 100%","")))))))</f>
        <v/>
      </c>
    </row>
    <row r="52" spans="2:25" ht="35.1" customHeight="1" x14ac:dyDescent="0.25">
      <c r="B52" s="44">
        <f t="shared" si="15"/>
        <v>0</v>
      </c>
      <c r="C52" s="44" t="str">
        <f t="shared" si="16"/>
        <v/>
      </c>
      <c r="D52" s="44">
        <f t="shared" si="17"/>
        <v>0</v>
      </c>
      <c r="E52" s="44">
        <f t="shared" si="19"/>
        <v>0</v>
      </c>
      <c r="F52" s="44">
        <f>COUNTIF($J$49:J52,"&lt;&gt;")</f>
        <v>0</v>
      </c>
      <c r="G52" s="44">
        <f t="shared" si="18"/>
        <v>0</v>
      </c>
      <c r="H52" s="222" t="str">
        <f t="shared" si="20"/>
        <v/>
      </c>
      <c r="I52" s="222" t="str">
        <f t="shared" si="21"/>
        <v/>
      </c>
      <c r="J52" s="371"/>
      <c r="K52" s="372"/>
      <c r="L52" s="172"/>
      <c r="M52" s="172"/>
      <c r="N52" s="172"/>
      <c r="O52" s="172"/>
      <c r="P52" s="172"/>
      <c r="Q52" s="172"/>
      <c r="R52" s="172"/>
      <c r="S52" s="172"/>
      <c r="T52" s="172"/>
      <c r="U52" s="172"/>
      <c r="V52" s="172"/>
      <c r="W52" s="173"/>
      <c r="Y52" s="26" t="str">
        <f t="shared" si="22"/>
        <v/>
      </c>
    </row>
    <row r="53" spans="2:25" ht="35.1" customHeight="1" x14ac:dyDescent="0.25">
      <c r="B53" s="44">
        <f t="shared" si="15"/>
        <v>0</v>
      </c>
      <c r="C53" s="44" t="str">
        <f t="shared" si="16"/>
        <v/>
      </c>
      <c r="D53" s="44">
        <f t="shared" si="17"/>
        <v>0</v>
      </c>
      <c r="E53" s="44">
        <f t="shared" si="19"/>
        <v>0</v>
      </c>
      <c r="F53" s="44">
        <f>COUNTIF($J$49:J53,"&lt;&gt;")</f>
        <v>0</v>
      </c>
      <c r="G53" s="44">
        <f t="shared" si="18"/>
        <v>0</v>
      </c>
      <c r="H53" s="222" t="str">
        <f t="shared" si="20"/>
        <v/>
      </c>
      <c r="I53" s="222" t="str">
        <f t="shared" si="21"/>
        <v/>
      </c>
      <c r="J53" s="371"/>
      <c r="K53" s="372"/>
      <c r="L53" s="172"/>
      <c r="M53" s="172"/>
      <c r="N53" s="172"/>
      <c r="O53" s="172"/>
      <c r="P53" s="172"/>
      <c r="Q53" s="172"/>
      <c r="R53" s="172"/>
      <c r="S53" s="172"/>
      <c r="T53" s="172"/>
      <c r="U53" s="172"/>
      <c r="V53" s="172"/>
      <c r="W53" s="173"/>
      <c r="Y53" s="26" t="str">
        <f t="shared" si="22"/>
        <v/>
      </c>
    </row>
    <row r="54" spans="2:25" ht="35.1" customHeight="1" x14ac:dyDescent="0.25">
      <c r="B54" s="44">
        <f t="shared" si="15"/>
        <v>0</v>
      </c>
      <c r="C54" s="44" t="str">
        <f t="shared" si="16"/>
        <v/>
      </c>
      <c r="D54" s="44">
        <f t="shared" si="17"/>
        <v>0</v>
      </c>
      <c r="E54" s="44">
        <f t="shared" si="19"/>
        <v>0</v>
      </c>
      <c r="F54" s="44">
        <f>COUNTIF($J$49:J54,"&lt;&gt;")</f>
        <v>0</v>
      </c>
      <c r="G54" s="44">
        <f t="shared" si="18"/>
        <v>0</v>
      </c>
      <c r="H54" s="222" t="str">
        <f t="shared" si="20"/>
        <v/>
      </c>
      <c r="I54" s="222" t="str">
        <f t="shared" si="21"/>
        <v/>
      </c>
      <c r="J54" s="371"/>
      <c r="K54" s="372"/>
      <c r="L54" s="172"/>
      <c r="M54" s="172"/>
      <c r="N54" s="172"/>
      <c r="O54" s="172"/>
      <c r="P54" s="172"/>
      <c r="Q54" s="172"/>
      <c r="R54" s="172"/>
      <c r="S54" s="172"/>
      <c r="T54" s="172"/>
      <c r="U54" s="172"/>
      <c r="V54" s="172"/>
      <c r="W54" s="173"/>
      <c r="Y54" s="26" t="str">
        <f t="shared" si="22"/>
        <v/>
      </c>
    </row>
    <row r="55" spans="2:25" ht="35.1" customHeight="1" x14ac:dyDescent="0.25">
      <c r="B55" s="44">
        <f t="shared" si="15"/>
        <v>0</v>
      </c>
      <c r="C55" s="44" t="str">
        <f t="shared" si="16"/>
        <v/>
      </c>
      <c r="D55" s="44">
        <f>VALUE(CONCATENATE(B55,C55))</f>
        <v>0</v>
      </c>
      <c r="E55" s="44">
        <f t="shared" si="19"/>
        <v>0</v>
      </c>
      <c r="F55" s="44">
        <f>COUNTIF($J$49:J55,"&lt;&gt;")</f>
        <v>0</v>
      </c>
      <c r="G55" s="44">
        <f t="shared" si="18"/>
        <v>0</v>
      </c>
      <c r="H55" s="222" t="str">
        <f t="shared" si="20"/>
        <v/>
      </c>
      <c r="I55" s="222" t="str">
        <f t="shared" si="21"/>
        <v/>
      </c>
      <c r="J55" s="371"/>
      <c r="K55" s="372"/>
      <c r="L55" s="172"/>
      <c r="M55" s="172"/>
      <c r="N55" s="172"/>
      <c r="O55" s="172"/>
      <c r="P55" s="172"/>
      <c r="Q55" s="172"/>
      <c r="R55" s="172"/>
      <c r="S55" s="172"/>
      <c r="T55" s="172"/>
      <c r="U55" s="172"/>
      <c r="V55" s="172"/>
      <c r="W55" s="173"/>
      <c r="Y55" s="26" t="str">
        <f t="shared" si="22"/>
        <v/>
      </c>
    </row>
    <row r="56" spans="2:25" ht="35.1" customHeight="1" x14ac:dyDescent="0.25">
      <c r="B56" s="44">
        <f t="shared" si="15"/>
        <v>0</v>
      </c>
      <c r="C56" s="44" t="str">
        <f t="shared" si="16"/>
        <v/>
      </c>
      <c r="D56" s="44">
        <f t="shared" ref="D56:D108" si="23">VALUE(CONCATENATE(B56,C56))</f>
        <v>0</v>
      </c>
      <c r="E56" s="44">
        <f t="shared" si="19"/>
        <v>0</v>
      </c>
      <c r="F56" s="44">
        <f>COUNTIF($J$49:J56,"&lt;&gt;")</f>
        <v>0</v>
      </c>
      <c r="G56" s="44">
        <f t="shared" si="18"/>
        <v>0</v>
      </c>
      <c r="H56" s="222" t="str">
        <f t="shared" si="20"/>
        <v/>
      </c>
      <c r="I56" s="222" t="str">
        <f t="shared" si="21"/>
        <v/>
      </c>
      <c r="J56" s="371"/>
      <c r="K56" s="372"/>
      <c r="L56" s="172"/>
      <c r="M56" s="172"/>
      <c r="N56" s="172"/>
      <c r="O56" s="172"/>
      <c r="P56" s="172"/>
      <c r="Q56" s="172"/>
      <c r="R56" s="172"/>
      <c r="S56" s="172"/>
      <c r="T56" s="172"/>
      <c r="U56" s="172"/>
      <c r="V56" s="172"/>
      <c r="W56" s="173"/>
      <c r="Y56" s="26" t="str">
        <f t="shared" si="22"/>
        <v/>
      </c>
    </row>
    <row r="57" spans="2:25" ht="35.1" customHeight="1" x14ac:dyDescent="0.25">
      <c r="B57" s="44">
        <f t="shared" si="15"/>
        <v>0</v>
      </c>
      <c r="C57" s="44" t="str">
        <f t="shared" si="16"/>
        <v/>
      </c>
      <c r="D57" s="44">
        <f t="shared" si="23"/>
        <v>0</v>
      </c>
      <c r="E57" s="44">
        <f t="shared" si="19"/>
        <v>0</v>
      </c>
      <c r="F57" s="44">
        <f>COUNTIF($J$49:J57,"&lt;&gt;")</f>
        <v>0</v>
      </c>
      <c r="G57" s="44">
        <f t="shared" si="18"/>
        <v>0</v>
      </c>
      <c r="H57" s="222" t="str">
        <f t="shared" si="20"/>
        <v/>
      </c>
      <c r="I57" s="222" t="str">
        <f t="shared" si="21"/>
        <v/>
      </c>
      <c r="J57" s="371"/>
      <c r="K57" s="372"/>
      <c r="L57" s="172"/>
      <c r="M57" s="172"/>
      <c r="N57" s="172"/>
      <c r="O57" s="172"/>
      <c r="P57" s="172"/>
      <c r="Q57" s="172"/>
      <c r="R57" s="172"/>
      <c r="S57" s="172"/>
      <c r="T57" s="172"/>
      <c r="U57" s="172"/>
      <c r="V57" s="172"/>
      <c r="W57" s="173"/>
      <c r="Y57" s="26" t="str">
        <f t="shared" si="22"/>
        <v/>
      </c>
    </row>
    <row r="58" spans="2:25" ht="35.1" customHeight="1" x14ac:dyDescent="0.25">
      <c r="B58" s="44">
        <f t="shared" si="15"/>
        <v>0</v>
      </c>
      <c r="C58" s="44" t="str">
        <f t="shared" si="16"/>
        <v/>
      </c>
      <c r="D58" s="44">
        <f t="shared" si="23"/>
        <v>0</v>
      </c>
      <c r="E58" s="44">
        <f t="shared" si="19"/>
        <v>0</v>
      </c>
      <c r="F58" s="44">
        <f>COUNTIF($J$49:J58,"&lt;&gt;")</f>
        <v>0</v>
      </c>
      <c r="G58" s="44">
        <f t="shared" si="18"/>
        <v>0</v>
      </c>
      <c r="H58" s="222" t="str">
        <f t="shared" si="20"/>
        <v/>
      </c>
      <c r="I58" s="222" t="str">
        <f t="shared" si="21"/>
        <v/>
      </c>
      <c r="J58" s="371"/>
      <c r="K58" s="372"/>
      <c r="L58" s="172"/>
      <c r="M58" s="172"/>
      <c r="N58" s="172"/>
      <c r="O58" s="172"/>
      <c r="P58" s="172"/>
      <c r="Q58" s="172"/>
      <c r="R58" s="172"/>
      <c r="S58" s="172"/>
      <c r="T58" s="172"/>
      <c r="U58" s="172"/>
      <c r="V58" s="172"/>
      <c r="W58" s="173"/>
      <c r="Y58" s="26" t="str">
        <f t="shared" si="22"/>
        <v/>
      </c>
    </row>
    <row r="59" spans="2:25" ht="35.1" customHeight="1" x14ac:dyDescent="0.25">
      <c r="B59" s="44">
        <f t="shared" si="15"/>
        <v>0</v>
      </c>
      <c r="C59" s="44" t="str">
        <f t="shared" si="16"/>
        <v/>
      </c>
      <c r="D59" s="44">
        <f t="shared" si="23"/>
        <v>0</v>
      </c>
      <c r="E59" s="44">
        <f t="shared" si="19"/>
        <v>0</v>
      </c>
      <c r="F59" s="44">
        <f>COUNTIF($J$49:J59,"&lt;&gt;")</f>
        <v>0</v>
      </c>
      <c r="G59" s="44">
        <f t="shared" si="18"/>
        <v>0</v>
      </c>
      <c r="H59" s="222" t="str">
        <f t="shared" si="20"/>
        <v/>
      </c>
      <c r="I59" s="222" t="str">
        <f t="shared" si="21"/>
        <v/>
      </c>
      <c r="J59" s="371"/>
      <c r="K59" s="372"/>
      <c r="L59" s="172"/>
      <c r="M59" s="172"/>
      <c r="N59" s="172"/>
      <c r="O59" s="172"/>
      <c r="P59" s="172"/>
      <c r="Q59" s="172"/>
      <c r="R59" s="172"/>
      <c r="S59" s="172"/>
      <c r="T59" s="172"/>
      <c r="U59" s="172"/>
      <c r="V59" s="172"/>
      <c r="W59" s="173"/>
      <c r="Y59" s="26" t="str">
        <f t="shared" si="22"/>
        <v/>
      </c>
    </row>
    <row r="60" spans="2:25" ht="35.1" customHeight="1" x14ac:dyDescent="0.25">
      <c r="B60" s="44">
        <f t="shared" si="15"/>
        <v>0</v>
      </c>
      <c r="C60" s="44" t="str">
        <f t="shared" si="16"/>
        <v/>
      </c>
      <c r="D60" s="44">
        <f t="shared" si="23"/>
        <v>0</v>
      </c>
      <c r="E60" s="44">
        <f t="shared" si="19"/>
        <v>0</v>
      </c>
      <c r="F60" s="44">
        <f>COUNTIF($J$49:J60,"&lt;&gt;")</f>
        <v>0</v>
      </c>
      <c r="G60" s="44">
        <f t="shared" si="18"/>
        <v>0</v>
      </c>
      <c r="H60" s="222" t="str">
        <f t="shared" si="20"/>
        <v/>
      </c>
      <c r="I60" s="222" t="str">
        <f t="shared" si="21"/>
        <v/>
      </c>
      <c r="J60" s="371"/>
      <c r="K60" s="372"/>
      <c r="L60" s="172"/>
      <c r="M60" s="172"/>
      <c r="N60" s="172"/>
      <c r="O60" s="172"/>
      <c r="P60" s="172"/>
      <c r="Q60" s="172"/>
      <c r="R60" s="172"/>
      <c r="S60" s="172"/>
      <c r="T60" s="172"/>
      <c r="U60" s="172"/>
      <c r="V60" s="172"/>
      <c r="W60" s="173"/>
      <c r="Y60" s="26" t="str">
        <f t="shared" si="22"/>
        <v/>
      </c>
    </row>
    <row r="61" spans="2:25" ht="35.1" customHeight="1" x14ac:dyDescent="0.25">
      <c r="B61" s="44">
        <f t="shared" si="15"/>
        <v>0</v>
      </c>
      <c r="C61" s="44" t="str">
        <f t="shared" si="16"/>
        <v/>
      </c>
      <c r="D61" s="44">
        <f t="shared" si="23"/>
        <v>0</v>
      </c>
      <c r="E61" s="44">
        <f t="shared" si="19"/>
        <v>0</v>
      </c>
      <c r="F61" s="44">
        <f>COUNTIF($J$49:J61,"&lt;&gt;")</f>
        <v>0</v>
      </c>
      <c r="G61" s="44">
        <f t="shared" si="18"/>
        <v>0</v>
      </c>
      <c r="H61" s="222" t="str">
        <f t="shared" si="20"/>
        <v/>
      </c>
      <c r="I61" s="222" t="str">
        <f t="shared" si="21"/>
        <v/>
      </c>
      <c r="J61" s="371"/>
      <c r="K61" s="372"/>
      <c r="L61" s="172"/>
      <c r="M61" s="172"/>
      <c r="N61" s="172"/>
      <c r="O61" s="172"/>
      <c r="P61" s="172"/>
      <c r="Q61" s="172"/>
      <c r="R61" s="172"/>
      <c r="S61" s="172"/>
      <c r="T61" s="172"/>
      <c r="U61" s="172"/>
      <c r="V61" s="172"/>
      <c r="W61" s="173"/>
      <c r="Y61" s="26" t="str">
        <f t="shared" si="22"/>
        <v/>
      </c>
    </row>
    <row r="62" spans="2:25" ht="35.1" customHeight="1" x14ac:dyDescent="0.25">
      <c r="B62" s="44">
        <f t="shared" si="15"/>
        <v>0</v>
      </c>
      <c r="C62" s="44" t="str">
        <f t="shared" si="16"/>
        <v/>
      </c>
      <c r="D62" s="44">
        <f t="shared" si="23"/>
        <v>0</v>
      </c>
      <c r="E62" s="44">
        <f t="shared" si="19"/>
        <v>0</v>
      </c>
      <c r="F62" s="44">
        <f>COUNTIF($J$49:J62,"&lt;&gt;")</f>
        <v>0</v>
      </c>
      <c r="G62" s="44">
        <f t="shared" si="18"/>
        <v>0</v>
      </c>
      <c r="H62" s="222" t="str">
        <f t="shared" si="20"/>
        <v/>
      </c>
      <c r="I62" s="222" t="str">
        <f t="shared" si="21"/>
        <v/>
      </c>
      <c r="J62" s="371"/>
      <c r="K62" s="372"/>
      <c r="L62" s="172"/>
      <c r="M62" s="172"/>
      <c r="N62" s="172"/>
      <c r="O62" s="172"/>
      <c r="P62" s="172"/>
      <c r="Q62" s="172"/>
      <c r="R62" s="172"/>
      <c r="S62" s="172"/>
      <c r="T62" s="172"/>
      <c r="U62" s="172"/>
      <c r="V62" s="172"/>
      <c r="W62" s="173"/>
      <c r="Y62" s="26" t="str">
        <f t="shared" si="22"/>
        <v/>
      </c>
    </row>
    <row r="63" spans="2:25" ht="35.1" customHeight="1" x14ac:dyDescent="0.25">
      <c r="B63" s="44">
        <f t="shared" si="15"/>
        <v>0</v>
      </c>
      <c r="C63" s="44" t="str">
        <f t="shared" si="16"/>
        <v/>
      </c>
      <c r="D63" s="44">
        <f t="shared" si="23"/>
        <v>0</v>
      </c>
      <c r="E63" s="44">
        <f t="shared" si="19"/>
        <v>0</v>
      </c>
      <c r="F63" s="44">
        <f>COUNTIF($J$49:J63,"&lt;&gt;")</f>
        <v>0</v>
      </c>
      <c r="G63" s="44">
        <f t="shared" si="18"/>
        <v>0</v>
      </c>
      <c r="H63" s="222" t="str">
        <f t="shared" si="20"/>
        <v/>
      </c>
      <c r="I63" s="222" t="str">
        <f t="shared" si="21"/>
        <v/>
      </c>
      <c r="J63" s="371"/>
      <c r="K63" s="372"/>
      <c r="L63" s="172"/>
      <c r="M63" s="172"/>
      <c r="N63" s="172"/>
      <c r="O63" s="172"/>
      <c r="P63" s="172"/>
      <c r="Q63" s="172"/>
      <c r="R63" s="172"/>
      <c r="S63" s="172"/>
      <c r="T63" s="172"/>
      <c r="U63" s="172"/>
      <c r="V63" s="172"/>
      <c r="W63" s="173"/>
      <c r="Y63" s="26" t="str">
        <f t="shared" si="22"/>
        <v/>
      </c>
    </row>
    <row r="64" spans="2:25" ht="35.1" customHeight="1" x14ac:dyDescent="0.25">
      <c r="B64" s="44">
        <f t="shared" si="15"/>
        <v>0</v>
      </c>
      <c r="C64" s="44" t="str">
        <f t="shared" si="16"/>
        <v/>
      </c>
      <c r="D64" s="44">
        <f t="shared" si="23"/>
        <v>0</v>
      </c>
      <c r="E64" s="44">
        <f t="shared" si="19"/>
        <v>0</v>
      </c>
      <c r="F64" s="44">
        <f>COUNTIF($J$49:J64,"&lt;&gt;")</f>
        <v>0</v>
      </c>
      <c r="G64" s="44">
        <f t="shared" si="18"/>
        <v>0</v>
      </c>
      <c r="H64" s="222" t="str">
        <f t="shared" si="20"/>
        <v/>
      </c>
      <c r="I64" s="222" t="str">
        <f t="shared" si="21"/>
        <v/>
      </c>
      <c r="J64" s="371"/>
      <c r="K64" s="372"/>
      <c r="L64" s="172"/>
      <c r="M64" s="172"/>
      <c r="N64" s="172"/>
      <c r="O64" s="172"/>
      <c r="P64" s="172"/>
      <c r="Q64" s="172"/>
      <c r="R64" s="172"/>
      <c r="S64" s="172"/>
      <c r="T64" s="172"/>
      <c r="U64" s="172"/>
      <c r="V64" s="172"/>
      <c r="W64" s="173"/>
      <c r="Y64" s="26" t="str">
        <f t="shared" si="22"/>
        <v/>
      </c>
    </row>
    <row r="65" spans="2:25" ht="35.1" customHeight="1" x14ac:dyDescent="0.25">
      <c r="B65" s="44">
        <f t="shared" si="15"/>
        <v>0</v>
      </c>
      <c r="C65" s="44" t="str">
        <f t="shared" si="16"/>
        <v/>
      </c>
      <c r="D65" s="44">
        <f t="shared" si="23"/>
        <v>0</v>
      </c>
      <c r="E65" s="44">
        <f t="shared" si="19"/>
        <v>0</v>
      </c>
      <c r="F65" s="44">
        <f>COUNTIF($J$49:J65,"&lt;&gt;")</f>
        <v>0</v>
      </c>
      <c r="G65" s="44">
        <f t="shared" si="18"/>
        <v>0</v>
      </c>
      <c r="H65" s="222" t="str">
        <f t="shared" si="20"/>
        <v/>
      </c>
      <c r="I65" s="222" t="str">
        <f t="shared" si="21"/>
        <v/>
      </c>
      <c r="J65" s="371"/>
      <c r="K65" s="372"/>
      <c r="L65" s="172"/>
      <c r="M65" s="172"/>
      <c r="N65" s="172"/>
      <c r="O65" s="172"/>
      <c r="P65" s="172"/>
      <c r="Q65" s="172"/>
      <c r="R65" s="172"/>
      <c r="S65" s="172"/>
      <c r="T65" s="172"/>
      <c r="U65" s="172"/>
      <c r="V65" s="172"/>
      <c r="W65" s="173"/>
      <c r="Y65" s="26" t="str">
        <f t="shared" si="22"/>
        <v/>
      </c>
    </row>
    <row r="66" spans="2:25" ht="35.1" customHeight="1" x14ac:dyDescent="0.25">
      <c r="B66" s="44">
        <f t="shared" si="15"/>
        <v>0</v>
      </c>
      <c r="C66" s="44" t="str">
        <f t="shared" si="16"/>
        <v/>
      </c>
      <c r="D66" s="44">
        <f t="shared" si="23"/>
        <v>0</v>
      </c>
      <c r="E66" s="44">
        <f t="shared" si="19"/>
        <v>0</v>
      </c>
      <c r="F66" s="44">
        <f>COUNTIF($J$49:J66,"&lt;&gt;")</f>
        <v>0</v>
      </c>
      <c r="G66" s="44">
        <f t="shared" si="18"/>
        <v>0</v>
      </c>
      <c r="H66" s="222" t="str">
        <f t="shared" si="20"/>
        <v/>
      </c>
      <c r="I66" s="222" t="str">
        <f t="shared" si="21"/>
        <v/>
      </c>
      <c r="J66" s="371"/>
      <c r="K66" s="372"/>
      <c r="L66" s="172"/>
      <c r="M66" s="172"/>
      <c r="N66" s="172"/>
      <c r="O66" s="172"/>
      <c r="P66" s="172"/>
      <c r="Q66" s="172"/>
      <c r="R66" s="172"/>
      <c r="S66" s="172"/>
      <c r="T66" s="172"/>
      <c r="U66" s="172"/>
      <c r="V66" s="172"/>
      <c r="W66" s="173"/>
      <c r="Y66" s="26" t="str">
        <f t="shared" si="22"/>
        <v/>
      </c>
    </row>
    <row r="67" spans="2:25" ht="35.1" customHeight="1" x14ac:dyDescent="0.25">
      <c r="B67" s="44">
        <f>IF(J67=0,0,VALUE(MID(J67,7,1)))</f>
        <v>0</v>
      </c>
      <c r="C67" s="44" t="str">
        <f t="shared" si="16"/>
        <v/>
      </c>
      <c r="D67" s="44">
        <f t="shared" si="23"/>
        <v>0</v>
      </c>
      <c r="E67" s="44">
        <f t="shared" si="19"/>
        <v>0</v>
      </c>
      <c r="F67" s="44">
        <f>COUNTIF($J$49:J67,"&lt;&gt;")</f>
        <v>0</v>
      </c>
      <c r="G67" s="44">
        <f t="shared" si="18"/>
        <v>0</v>
      </c>
      <c r="H67" s="222" t="str">
        <f t="shared" si="20"/>
        <v/>
      </c>
      <c r="I67" s="222" t="str">
        <f t="shared" si="21"/>
        <v/>
      </c>
      <c r="J67" s="371"/>
      <c r="K67" s="372"/>
      <c r="L67" s="172"/>
      <c r="M67" s="172"/>
      <c r="N67" s="172"/>
      <c r="O67" s="172"/>
      <c r="P67" s="172"/>
      <c r="Q67" s="172"/>
      <c r="R67" s="172"/>
      <c r="S67" s="172"/>
      <c r="T67" s="172"/>
      <c r="U67" s="172"/>
      <c r="V67" s="172"/>
      <c r="W67" s="173"/>
      <c r="Y67" s="26" t="str">
        <f t="shared" si="22"/>
        <v/>
      </c>
    </row>
    <row r="68" spans="2:25" ht="35.1" customHeight="1" x14ac:dyDescent="0.25">
      <c r="B68" s="44">
        <f t="shared" ref="B68:B108" si="24">IF(J68=0,0,VALUE(MID(J68,7,1)))</f>
        <v>0</v>
      </c>
      <c r="C68" s="44" t="str">
        <f t="shared" si="16"/>
        <v/>
      </c>
      <c r="D68" s="44">
        <f t="shared" si="23"/>
        <v>0</v>
      </c>
      <c r="E68" s="44">
        <f t="shared" si="19"/>
        <v>0</v>
      </c>
      <c r="F68" s="44">
        <f>COUNTIF($J$49:J68,"&lt;&gt;")</f>
        <v>0</v>
      </c>
      <c r="G68" s="44">
        <f t="shared" si="18"/>
        <v>0</v>
      </c>
      <c r="H68" s="222" t="str">
        <f t="shared" si="20"/>
        <v/>
      </c>
      <c r="I68" s="222" t="str">
        <f t="shared" si="21"/>
        <v/>
      </c>
      <c r="J68" s="371"/>
      <c r="K68" s="372"/>
      <c r="L68" s="172"/>
      <c r="M68" s="172"/>
      <c r="N68" s="172"/>
      <c r="O68" s="172"/>
      <c r="P68" s="172"/>
      <c r="Q68" s="172"/>
      <c r="R68" s="172"/>
      <c r="S68" s="172"/>
      <c r="T68" s="172"/>
      <c r="U68" s="172"/>
      <c r="V68" s="172"/>
      <c r="W68" s="173"/>
      <c r="Y68" s="26" t="str">
        <f t="shared" si="22"/>
        <v/>
      </c>
    </row>
    <row r="69" spans="2:25" ht="35.1" customHeight="1" x14ac:dyDescent="0.25">
      <c r="B69" s="44">
        <f t="shared" si="24"/>
        <v>0</v>
      </c>
      <c r="C69" s="44" t="str">
        <f t="shared" si="16"/>
        <v/>
      </c>
      <c r="D69" s="44">
        <f t="shared" si="23"/>
        <v>0</v>
      </c>
      <c r="E69" s="44">
        <f t="shared" si="19"/>
        <v>0</v>
      </c>
      <c r="F69" s="44">
        <f>COUNTIF($J$49:J69,"&lt;&gt;")</f>
        <v>0</v>
      </c>
      <c r="G69" s="44">
        <f t="shared" si="18"/>
        <v>0</v>
      </c>
      <c r="H69" s="222" t="str">
        <f t="shared" si="20"/>
        <v/>
      </c>
      <c r="I69" s="222" t="str">
        <f t="shared" si="21"/>
        <v/>
      </c>
      <c r="J69" s="371"/>
      <c r="K69" s="372"/>
      <c r="L69" s="172"/>
      <c r="M69" s="172"/>
      <c r="N69" s="172"/>
      <c r="O69" s="172"/>
      <c r="P69" s="172"/>
      <c r="Q69" s="172"/>
      <c r="R69" s="172"/>
      <c r="S69" s="172"/>
      <c r="T69" s="172"/>
      <c r="U69" s="172"/>
      <c r="V69" s="172"/>
      <c r="W69" s="173"/>
      <c r="Y69" s="26" t="str">
        <f t="shared" si="22"/>
        <v/>
      </c>
    </row>
    <row r="70" spans="2:25" ht="35.1" customHeight="1" x14ac:dyDescent="0.25">
      <c r="B70" s="44">
        <f t="shared" si="24"/>
        <v>0</v>
      </c>
      <c r="C70" s="44" t="str">
        <f t="shared" si="16"/>
        <v/>
      </c>
      <c r="D70" s="44">
        <f t="shared" si="23"/>
        <v>0</v>
      </c>
      <c r="E70" s="44">
        <f t="shared" si="19"/>
        <v>0</v>
      </c>
      <c r="F70" s="44">
        <f>COUNTIF($J$49:J70,"&lt;&gt;")</f>
        <v>0</v>
      </c>
      <c r="G70" s="44">
        <f t="shared" si="18"/>
        <v>0</v>
      </c>
      <c r="H70" s="222" t="str">
        <f t="shared" si="20"/>
        <v/>
      </c>
      <c r="I70" s="222" t="str">
        <f t="shared" si="21"/>
        <v/>
      </c>
      <c r="J70" s="371"/>
      <c r="K70" s="372"/>
      <c r="L70" s="172"/>
      <c r="M70" s="172"/>
      <c r="N70" s="172"/>
      <c r="O70" s="172"/>
      <c r="P70" s="172"/>
      <c r="Q70" s="172"/>
      <c r="R70" s="172"/>
      <c r="S70" s="172"/>
      <c r="T70" s="172"/>
      <c r="U70" s="172"/>
      <c r="V70" s="172"/>
      <c r="W70" s="173"/>
      <c r="Y70" s="26" t="str">
        <f t="shared" si="22"/>
        <v/>
      </c>
    </row>
    <row r="71" spans="2:25" ht="35.1" customHeight="1" x14ac:dyDescent="0.25">
      <c r="B71" s="44">
        <f t="shared" si="24"/>
        <v>0</v>
      </c>
      <c r="C71" s="44" t="str">
        <f t="shared" si="16"/>
        <v/>
      </c>
      <c r="D71" s="44">
        <f t="shared" si="23"/>
        <v>0</v>
      </c>
      <c r="E71" s="44">
        <f t="shared" si="19"/>
        <v>0</v>
      </c>
      <c r="F71" s="44">
        <f>COUNTIF($J$49:J71,"&lt;&gt;")</f>
        <v>0</v>
      </c>
      <c r="G71" s="44">
        <f t="shared" si="18"/>
        <v>0</v>
      </c>
      <c r="H71" s="222" t="str">
        <f t="shared" si="20"/>
        <v/>
      </c>
      <c r="I71" s="222" t="str">
        <f t="shared" si="21"/>
        <v/>
      </c>
      <c r="J71" s="371"/>
      <c r="K71" s="372"/>
      <c r="L71" s="172"/>
      <c r="M71" s="172"/>
      <c r="N71" s="172"/>
      <c r="O71" s="172"/>
      <c r="P71" s="172"/>
      <c r="Q71" s="172"/>
      <c r="R71" s="172"/>
      <c r="S71" s="172"/>
      <c r="T71" s="172"/>
      <c r="U71" s="172"/>
      <c r="V71" s="172"/>
      <c r="W71" s="173"/>
      <c r="Y71" s="26" t="str">
        <f t="shared" si="22"/>
        <v/>
      </c>
    </row>
    <row r="72" spans="2:25" ht="35.1" customHeight="1" x14ac:dyDescent="0.25">
      <c r="B72" s="44">
        <f t="shared" si="24"/>
        <v>0</v>
      </c>
      <c r="C72" s="44" t="str">
        <f t="shared" si="16"/>
        <v/>
      </c>
      <c r="D72" s="44">
        <f t="shared" si="23"/>
        <v>0</v>
      </c>
      <c r="E72" s="44">
        <f t="shared" si="19"/>
        <v>0</v>
      </c>
      <c r="F72" s="44">
        <f>COUNTIF($J$49:J72,"&lt;&gt;")</f>
        <v>0</v>
      </c>
      <c r="G72" s="44">
        <f t="shared" si="18"/>
        <v>0</v>
      </c>
      <c r="H72" s="222" t="str">
        <f t="shared" si="20"/>
        <v/>
      </c>
      <c r="I72" s="222" t="str">
        <f t="shared" si="21"/>
        <v/>
      </c>
      <c r="J72" s="371"/>
      <c r="K72" s="372"/>
      <c r="L72" s="172"/>
      <c r="M72" s="172"/>
      <c r="N72" s="172"/>
      <c r="O72" s="172"/>
      <c r="P72" s="172"/>
      <c r="Q72" s="172"/>
      <c r="R72" s="172"/>
      <c r="S72" s="172"/>
      <c r="T72" s="172"/>
      <c r="U72" s="172"/>
      <c r="V72" s="172"/>
      <c r="W72" s="173"/>
      <c r="Y72" s="26" t="str">
        <f t="shared" si="22"/>
        <v/>
      </c>
    </row>
    <row r="73" spans="2:25" ht="35.1" customHeight="1" x14ac:dyDescent="0.25">
      <c r="B73" s="44">
        <f t="shared" si="24"/>
        <v>0</v>
      </c>
      <c r="C73" s="44" t="str">
        <f t="shared" si="16"/>
        <v/>
      </c>
      <c r="D73" s="44">
        <f t="shared" si="23"/>
        <v>0</v>
      </c>
      <c r="E73" s="44">
        <f t="shared" si="19"/>
        <v>0</v>
      </c>
      <c r="F73" s="44">
        <f>COUNTIF($J$49:J73,"&lt;&gt;")</f>
        <v>0</v>
      </c>
      <c r="G73" s="44">
        <f t="shared" si="18"/>
        <v>0</v>
      </c>
      <c r="H73" s="222" t="str">
        <f t="shared" si="20"/>
        <v/>
      </c>
      <c r="I73" s="222" t="str">
        <f t="shared" si="21"/>
        <v/>
      </c>
      <c r="J73" s="371"/>
      <c r="K73" s="372"/>
      <c r="L73" s="172"/>
      <c r="M73" s="172"/>
      <c r="N73" s="172"/>
      <c r="O73" s="172"/>
      <c r="P73" s="172"/>
      <c r="Q73" s="172"/>
      <c r="R73" s="172"/>
      <c r="S73" s="172"/>
      <c r="T73" s="172"/>
      <c r="U73" s="172"/>
      <c r="V73" s="172"/>
      <c r="W73" s="173"/>
      <c r="Y73" s="26" t="str">
        <f t="shared" si="22"/>
        <v/>
      </c>
    </row>
    <row r="74" spans="2:25" ht="35.1" customHeight="1" x14ac:dyDescent="0.25">
      <c r="B74" s="44">
        <f t="shared" si="24"/>
        <v>0</v>
      </c>
      <c r="C74" s="44" t="str">
        <f t="shared" si="16"/>
        <v/>
      </c>
      <c r="D74" s="44">
        <f t="shared" si="23"/>
        <v>0</v>
      </c>
      <c r="E74" s="44">
        <f t="shared" si="19"/>
        <v>0</v>
      </c>
      <c r="F74" s="44">
        <f>COUNTIF($J$49:J74,"&lt;&gt;")</f>
        <v>0</v>
      </c>
      <c r="G74" s="44">
        <f t="shared" si="18"/>
        <v>0</v>
      </c>
      <c r="H74" s="222" t="str">
        <f t="shared" si="20"/>
        <v/>
      </c>
      <c r="I74" s="222" t="str">
        <f t="shared" si="21"/>
        <v/>
      </c>
      <c r="J74" s="371"/>
      <c r="K74" s="372"/>
      <c r="L74" s="172"/>
      <c r="M74" s="172"/>
      <c r="N74" s="172"/>
      <c r="O74" s="172"/>
      <c r="P74" s="172"/>
      <c r="Q74" s="172"/>
      <c r="R74" s="172"/>
      <c r="S74" s="172"/>
      <c r="T74" s="172"/>
      <c r="U74" s="172"/>
      <c r="V74" s="172"/>
      <c r="W74" s="173"/>
      <c r="Y74" s="26" t="str">
        <f t="shared" si="22"/>
        <v/>
      </c>
    </row>
    <row r="75" spans="2:25" ht="35.1" customHeight="1" x14ac:dyDescent="0.25">
      <c r="B75" s="44">
        <f t="shared" si="24"/>
        <v>0</v>
      </c>
      <c r="C75" s="44" t="str">
        <f t="shared" si="16"/>
        <v/>
      </c>
      <c r="D75" s="44">
        <f t="shared" si="23"/>
        <v>0</v>
      </c>
      <c r="E75" s="44">
        <f t="shared" si="19"/>
        <v>0</v>
      </c>
      <c r="F75" s="44">
        <f>COUNTIF($J$49:J75,"&lt;&gt;")</f>
        <v>0</v>
      </c>
      <c r="G75" s="44">
        <f t="shared" si="18"/>
        <v>0</v>
      </c>
      <c r="H75" s="222" t="str">
        <f t="shared" si="20"/>
        <v/>
      </c>
      <c r="I75" s="222" t="str">
        <f t="shared" si="21"/>
        <v/>
      </c>
      <c r="J75" s="371"/>
      <c r="K75" s="372"/>
      <c r="L75" s="172"/>
      <c r="M75" s="172"/>
      <c r="N75" s="172"/>
      <c r="O75" s="172"/>
      <c r="P75" s="172"/>
      <c r="Q75" s="172"/>
      <c r="R75" s="172"/>
      <c r="S75" s="172"/>
      <c r="T75" s="172"/>
      <c r="U75" s="172"/>
      <c r="V75" s="172"/>
      <c r="W75" s="173"/>
      <c r="Y75" s="26" t="str">
        <f t="shared" si="22"/>
        <v/>
      </c>
    </row>
    <row r="76" spans="2:25" ht="35.1" customHeight="1" x14ac:dyDescent="0.25">
      <c r="B76" s="44">
        <f t="shared" si="24"/>
        <v>0</v>
      </c>
      <c r="C76" s="44" t="str">
        <f t="shared" si="16"/>
        <v/>
      </c>
      <c r="D76" s="44">
        <f t="shared" si="23"/>
        <v>0</v>
      </c>
      <c r="E76" s="44">
        <f t="shared" si="19"/>
        <v>0</v>
      </c>
      <c r="F76" s="44">
        <f>COUNTIF($J$49:J76,"&lt;&gt;")</f>
        <v>0</v>
      </c>
      <c r="G76" s="44">
        <f t="shared" si="18"/>
        <v>0</v>
      </c>
      <c r="H76" s="222" t="str">
        <f t="shared" si="20"/>
        <v/>
      </c>
      <c r="I76" s="222" t="str">
        <f t="shared" si="21"/>
        <v/>
      </c>
      <c r="J76" s="371"/>
      <c r="K76" s="372"/>
      <c r="L76" s="172"/>
      <c r="M76" s="172"/>
      <c r="N76" s="172"/>
      <c r="O76" s="172"/>
      <c r="P76" s="172"/>
      <c r="Q76" s="172"/>
      <c r="R76" s="172"/>
      <c r="S76" s="172"/>
      <c r="T76" s="172"/>
      <c r="U76" s="172"/>
      <c r="V76" s="172"/>
      <c r="W76" s="173"/>
      <c r="Y76" s="26" t="str">
        <f t="shared" si="22"/>
        <v/>
      </c>
    </row>
    <row r="77" spans="2:25" ht="35.1" customHeight="1" x14ac:dyDescent="0.25">
      <c r="B77" s="44">
        <f t="shared" si="24"/>
        <v>0</v>
      </c>
      <c r="C77" s="44" t="str">
        <f t="shared" si="16"/>
        <v/>
      </c>
      <c r="D77" s="44">
        <f t="shared" si="23"/>
        <v>0</v>
      </c>
      <c r="E77" s="44">
        <f t="shared" si="19"/>
        <v>0</v>
      </c>
      <c r="F77" s="44">
        <f>COUNTIF($J$49:J77,"&lt;&gt;")</f>
        <v>0</v>
      </c>
      <c r="G77" s="44">
        <f t="shared" si="18"/>
        <v>0</v>
      </c>
      <c r="H77" s="222" t="str">
        <f t="shared" si="20"/>
        <v/>
      </c>
      <c r="I77" s="222" t="str">
        <f t="shared" si="21"/>
        <v/>
      </c>
      <c r="J77" s="371"/>
      <c r="K77" s="372"/>
      <c r="L77" s="172"/>
      <c r="M77" s="172"/>
      <c r="N77" s="172"/>
      <c r="O77" s="172"/>
      <c r="P77" s="172"/>
      <c r="Q77" s="172"/>
      <c r="R77" s="172"/>
      <c r="S77" s="172"/>
      <c r="T77" s="172"/>
      <c r="U77" s="172"/>
      <c r="V77" s="172"/>
      <c r="W77" s="173"/>
      <c r="Y77" s="26" t="str">
        <f t="shared" si="22"/>
        <v/>
      </c>
    </row>
    <row r="78" spans="2:25" ht="35.1" customHeight="1" x14ac:dyDescent="0.25">
      <c r="B78" s="44">
        <f t="shared" si="24"/>
        <v>0</v>
      </c>
      <c r="C78" s="44" t="str">
        <f t="shared" si="16"/>
        <v/>
      </c>
      <c r="D78" s="44">
        <f t="shared" si="23"/>
        <v>0</v>
      </c>
      <c r="E78" s="44">
        <f t="shared" si="19"/>
        <v>0</v>
      </c>
      <c r="F78" s="44">
        <f>COUNTIF($J$49:J78,"&lt;&gt;")</f>
        <v>0</v>
      </c>
      <c r="G78" s="44">
        <f t="shared" si="18"/>
        <v>0</v>
      </c>
      <c r="H78" s="222" t="str">
        <f t="shared" si="20"/>
        <v/>
      </c>
      <c r="I78" s="222" t="str">
        <f t="shared" si="21"/>
        <v/>
      </c>
      <c r="J78" s="371"/>
      <c r="K78" s="372"/>
      <c r="L78" s="172"/>
      <c r="M78" s="172"/>
      <c r="N78" s="172"/>
      <c r="O78" s="172"/>
      <c r="P78" s="172"/>
      <c r="Q78" s="172"/>
      <c r="R78" s="172"/>
      <c r="S78" s="172"/>
      <c r="T78" s="172"/>
      <c r="U78" s="172"/>
      <c r="V78" s="172"/>
      <c r="W78" s="173"/>
      <c r="Y78" s="26" t="str">
        <f t="shared" si="22"/>
        <v/>
      </c>
    </row>
    <row r="79" spans="2:25" ht="35.1" customHeight="1" x14ac:dyDescent="0.25">
      <c r="B79" s="44">
        <f t="shared" si="24"/>
        <v>0</v>
      </c>
      <c r="C79" s="44" t="str">
        <f t="shared" si="16"/>
        <v/>
      </c>
      <c r="D79" s="44">
        <f t="shared" si="23"/>
        <v>0</v>
      </c>
      <c r="E79" s="44">
        <f t="shared" si="19"/>
        <v>0</v>
      </c>
      <c r="F79" s="44">
        <f>COUNTIF($J$49:J79,"&lt;&gt;")</f>
        <v>0</v>
      </c>
      <c r="G79" s="44">
        <f t="shared" si="18"/>
        <v>0</v>
      </c>
      <c r="H79" s="222" t="str">
        <f t="shared" si="20"/>
        <v/>
      </c>
      <c r="I79" s="222" t="str">
        <f t="shared" si="21"/>
        <v/>
      </c>
      <c r="J79" s="371"/>
      <c r="K79" s="372"/>
      <c r="L79" s="172"/>
      <c r="M79" s="172"/>
      <c r="N79" s="172"/>
      <c r="O79" s="172"/>
      <c r="P79" s="172"/>
      <c r="Q79" s="172"/>
      <c r="R79" s="172"/>
      <c r="S79" s="172"/>
      <c r="T79" s="172"/>
      <c r="U79" s="172"/>
      <c r="V79" s="172"/>
      <c r="W79" s="173"/>
      <c r="Y79" s="26" t="str">
        <f t="shared" si="22"/>
        <v/>
      </c>
    </row>
    <row r="80" spans="2:25" ht="35.1" customHeight="1" x14ac:dyDescent="0.25">
      <c r="B80" s="44">
        <f t="shared" si="24"/>
        <v>0</v>
      </c>
      <c r="C80" s="44" t="str">
        <f t="shared" si="16"/>
        <v/>
      </c>
      <c r="D80" s="44">
        <f t="shared" si="23"/>
        <v>0</v>
      </c>
      <c r="E80" s="44">
        <f t="shared" si="19"/>
        <v>0</v>
      </c>
      <c r="F80" s="44">
        <f>COUNTIF($J$49:J80,"&lt;&gt;")</f>
        <v>0</v>
      </c>
      <c r="G80" s="44">
        <f t="shared" si="18"/>
        <v>0</v>
      </c>
      <c r="H80" s="222" t="str">
        <f t="shared" si="20"/>
        <v/>
      </c>
      <c r="I80" s="222" t="str">
        <f t="shared" si="21"/>
        <v/>
      </c>
      <c r="J80" s="371"/>
      <c r="K80" s="372"/>
      <c r="L80" s="172"/>
      <c r="M80" s="172"/>
      <c r="N80" s="172"/>
      <c r="O80" s="172"/>
      <c r="P80" s="172"/>
      <c r="Q80" s="172"/>
      <c r="R80" s="172"/>
      <c r="S80" s="172"/>
      <c r="T80" s="172"/>
      <c r="U80" s="172"/>
      <c r="V80" s="172"/>
      <c r="W80" s="173"/>
      <c r="Y80" s="26" t="str">
        <f t="shared" si="22"/>
        <v/>
      </c>
    </row>
    <row r="81" spans="2:25" ht="35.1" customHeight="1" x14ac:dyDescent="0.25">
      <c r="B81" s="44">
        <f t="shared" si="24"/>
        <v>0</v>
      </c>
      <c r="C81" s="44" t="str">
        <f t="shared" ref="C81:C108" si="25">IF(MID(J81,10,1)=":",MID(J81,9,1),MID(J81,9,2))</f>
        <v/>
      </c>
      <c r="D81" s="44">
        <f t="shared" si="23"/>
        <v>0</v>
      </c>
      <c r="E81" s="44">
        <f t="shared" si="19"/>
        <v>0</v>
      </c>
      <c r="F81" s="44">
        <f>COUNTIF($J$49:J81,"&lt;&gt;")</f>
        <v>0</v>
      </c>
      <c r="G81" s="44">
        <f t="shared" ref="G81:G108" si="26">IF(VALUE(D81)=0,0,COUNTIF($D$49:$D$108,D81))</f>
        <v>0</v>
      </c>
      <c r="H81" s="222" t="str">
        <f t="shared" si="20"/>
        <v/>
      </c>
      <c r="I81" s="222" t="str">
        <f t="shared" si="21"/>
        <v/>
      </c>
      <c r="J81" s="371"/>
      <c r="K81" s="372"/>
      <c r="L81" s="172"/>
      <c r="M81" s="172"/>
      <c r="N81" s="172"/>
      <c r="O81" s="172"/>
      <c r="P81" s="172"/>
      <c r="Q81" s="172"/>
      <c r="R81" s="172"/>
      <c r="S81" s="172"/>
      <c r="T81" s="172"/>
      <c r="U81" s="172"/>
      <c r="V81" s="172"/>
      <c r="W81" s="173"/>
      <c r="Y81" s="26" t="str">
        <f t="shared" si="22"/>
        <v/>
      </c>
    </row>
    <row r="82" spans="2:25" ht="35.1" customHeight="1" x14ac:dyDescent="0.25">
      <c r="B82" s="44">
        <f t="shared" si="24"/>
        <v>0</v>
      </c>
      <c r="C82" s="44" t="str">
        <f t="shared" si="25"/>
        <v/>
      </c>
      <c r="D82" s="44">
        <f t="shared" si="23"/>
        <v>0</v>
      </c>
      <c r="E82" s="44">
        <f t="shared" si="19"/>
        <v>0</v>
      </c>
      <c r="F82" s="44">
        <f>COUNTIF($J$49:J82,"&lt;&gt;")</f>
        <v>0</v>
      </c>
      <c r="G82" s="44">
        <f t="shared" si="26"/>
        <v>0</v>
      </c>
      <c r="H82" s="222" t="str">
        <f t="shared" si="20"/>
        <v/>
      </c>
      <c r="I82" s="222" t="str">
        <f t="shared" si="21"/>
        <v/>
      </c>
      <c r="J82" s="371"/>
      <c r="K82" s="372"/>
      <c r="L82" s="172"/>
      <c r="M82" s="172"/>
      <c r="N82" s="172"/>
      <c r="O82" s="172"/>
      <c r="P82" s="172"/>
      <c r="Q82" s="172"/>
      <c r="R82" s="172"/>
      <c r="S82" s="172"/>
      <c r="T82" s="172"/>
      <c r="U82" s="172"/>
      <c r="V82" s="172"/>
      <c r="W82" s="173"/>
      <c r="Y82" s="26" t="str">
        <f t="shared" si="22"/>
        <v/>
      </c>
    </row>
    <row r="83" spans="2:25" ht="35.1" customHeight="1" x14ac:dyDescent="0.25">
      <c r="B83" s="44">
        <f t="shared" si="24"/>
        <v>0</v>
      </c>
      <c r="C83" s="44" t="str">
        <f t="shared" si="25"/>
        <v/>
      </c>
      <c r="D83" s="44">
        <f t="shared" si="23"/>
        <v>0</v>
      </c>
      <c r="E83" s="44">
        <f t="shared" si="19"/>
        <v>0</v>
      </c>
      <c r="F83" s="44">
        <f>COUNTIF($J$49:J83,"&lt;&gt;")</f>
        <v>0</v>
      </c>
      <c r="G83" s="44">
        <f t="shared" si="26"/>
        <v>0</v>
      </c>
      <c r="H83" s="222" t="str">
        <f t="shared" si="20"/>
        <v/>
      </c>
      <c r="I83" s="222" t="str">
        <f t="shared" si="21"/>
        <v/>
      </c>
      <c r="J83" s="371"/>
      <c r="K83" s="372"/>
      <c r="L83" s="172"/>
      <c r="M83" s="172"/>
      <c r="N83" s="172"/>
      <c r="O83" s="172"/>
      <c r="P83" s="172"/>
      <c r="Q83" s="172"/>
      <c r="R83" s="172"/>
      <c r="S83" s="172"/>
      <c r="T83" s="172"/>
      <c r="U83" s="172"/>
      <c r="V83" s="172"/>
      <c r="W83" s="173"/>
      <c r="Y83" s="26" t="str">
        <f t="shared" si="22"/>
        <v/>
      </c>
    </row>
    <row r="84" spans="2:25" ht="35.1" customHeight="1" x14ac:dyDescent="0.25">
      <c r="B84" s="44">
        <f t="shared" si="24"/>
        <v>0</v>
      </c>
      <c r="C84" s="44" t="str">
        <f t="shared" si="25"/>
        <v/>
      </c>
      <c r="D84" s="44">
        <f t="shared" si="23"/>
        <v>0</v>
      </c>
      <c r="E84" s="44">
        <f t="shared" si="19"/>
        <v>0</v>
      </c>
      <c r="F84" s="44">
        <f>COUNTIF($J$49:J84,"&lt;&gt;")</f>
        <v>0</v>
      </c>
      <c r="G84" s="44">
        <f t="shared" si="26"/>
        <v>0</v>
      </c>
      <c r="H84" s="222" t="str">
        <f t="shared" si="20"/>
        <v/>
      </c>
      <c r="I84" s="222" t="str">
        <f t="shared" si="21"/>
        <v/>
      </c>
      <c r="J84" s="371"/>
      <c r="K84" s="372"/>
      <c r="L84" s="172"/>
      <c r="M84" s="172"/>
      <c r="N84" s="172"/>
      <c r="O84" s="172"/>
      <c r="P84" s="172"/>
      <c r="Q84" s="172"/>
      <c r="R84" s="172"/>
      <c r="S84" s="172"/>
      <c r="T84" s="172"/>
      <c r="U84" s="172"/>
      <c r="V84" s="172"/>
      <c r="W84" s="173"/>
      <c r="Y84" s="26" t="str">
        <f t="shared" si="22"/>
        <v/>
      </c>
    </row>
    <row r="85" spans="2:25" ht="35.1" customHeight="1" x14ac:dyDescent="0.25">
      <c r="B85" s="44">
        <f t="shared" si="24"/>
        <v>0</v>
      </c>
      <c r="C85" s="44" t="str">
        <f t="shared" si="25"/>
        <v/>
      </c>
      <c r="D85" s="44">
        <f t="shared" si="23"/>
        <v>0</v>
      </c>
      <c r="E85" s="44">
        <f t="shared" si="19"/>
        <v>0</v>
      </c>
      <c r="F85" s="44">
        <f>COUNTIF($J$49:J85,"&lt;&gt;")</f>
        <v>0</v>
      </c>
      <c r="G85" s="44">
        <f t="shared" si="26"/>
        <v>0</v>
      </c>
      <c r="H85" s="222" t="str">
        <f t="shared" si="20"/>
        <v/>
      </c>
      <c r="I85" s="222" t="str">
        <f t="shared" si="21"/>
        <v/>
      </c>
      <c r="J85" s="371"/>
      <c r="K85" s="372"/>
      <c r="L85" s="172"/>
      <c r="M85" s="172"/>
      <c r="N85" s="172"/>
      <c r="O85" s="172"/>
      <c r="P85" s="172"/>
      <c r="Q85" s="172"/>
      <c r="R85" s="172"/>
      <c r="S85" s="172"/>
      <c r="T85" s="172"/>
      <c r="U85" s="172"/>
      <c r="V85" s="172"/>
      <c r="W85" s="173"/>
      <c r="Y85" s="26" t="str">
        <f t="shared" si="22"/>
        <v/>
      </c>
    </row>
    <row r="86" spans="2:25" ht="35.1" customHeight="1" x14ac:dyDescent="0.25">
      <c r="B86" s="44">
        <f t="shared" si="24"/>
        <v>0</v>
      </c>
      <c r="C86" s="44" t="str">
        <f t="shared" si="25"/>
        <v/>
      </c>
      <c r="D86" s="44">
        <f t="shared" si="23"/>
        <v>0</v>
      </c>
      <c r="E86" s="44">
        <f t="shared" si="19"/>
        <v>0</v>
      </c>
      <c r="F86" s="44">
        <f>COUNTIF($J$49:J86,"&lt;&gt;")</f>
        <v>0</v>
      </c>
      <c r="G86" s="44">
        <f t="shared" si="26"/>
        <v>0</v>
      </c>
      <c r="H86" s="222" t="str">
        <f t="shared" si="20"/>
        <v/>
      </c>
      <c r="I86" s="222" t="str">
        <f t="shared" si="21"/>
        <v/>
      </c>
      <c r="J86" s="371"/>
      <c r="K86" s="372"/>
      <c r="L86" s="172"/>
      <c r="M86" s="172"/>
      <c r="N86" s="172"/>
      <c r="O86" s="172"/>
      <c r="P86" s="172"/>
      <c r="Q86" s="172"/>
      <c r="R86" s="172"/>
      <c r="S86" s="172"/>
      <c r="T86" s="172"/>
      <c r="U86" s="172"/>
      <c r="V86" s="172"/>
      <c r="W86" s="173"/>
      <c r="Y86" s="26" t="str">
        <f t="shared" si="22"/>
        <v/>
      </c>
    </row>
    <row r="87" spans="2:25" ht="35.1" customHeight="1" x14ac:dyDescent="0.25">
      <c r="B87" s="44">
        <f t="shared" si="24"/>
        <v>0</v>
      </c>
      <c r="C87" s="44" t="str">
        <f t="shared" si="25"/>
        <v/>
      </c>
      <c r="D87" s="44">
        <f t="shared" si="23"/>
        <v>0</v>
      </c>
      <c r="E87" s="44">
        <f t="shared" si="19"/>
        <v>0</v>
      </c>
      <c r="F87" s="44">
        <f>COUNTIF($J$49:J87,"&lt;&gt;")</f>
        <v>0</v>
      </c>
      <c r="G87" s="44">
        <f t="shared" si="26"/>
        <v>0</v>
      </c>
      <c r="H87" s="222" t="str">
        <f t="shared" si="20"/>
        <v/>
      </c>
      <c r="I87" s="222" t="str">
        <f t="shared" si="21"/>
        <v/>
      </c>
      <c r="J87" s="371"/>
      <c r="K87" s="372"/>
      <c r="L87" s="172"/>
      <c r="M87" s="172"/>
      <c r="N87" s="172"/>
      <c r="O87" s="172"/>
      <c r="P87" s="172"/>
      <c r="Q87" s="172"/>
      <c r="R87" s="172"/>
      <c r="S87" s="172"/>
      <c r="T87" s="172"/>
      <c r="U87" s="172"/>
      <c r="V87" s="172"/>
      <c r="W87" s="173"/>
      <c r="Y87" s="26" t="str">
        <f t="shared" si="22"/>
        <v/>
      </c>
    </row>
    <row r="88" spans="2:25" ht="35.1" customHeight="1" x14ac:dyDescent="0.25">
      <c r="B88" s="44">
        <f t="shared" si="24"/>
        <v>0</v>
      </c>
      <c r="C88" s="44" t="str">
        <f t="shared" si="25"/>
        <v/>
      </c>
      <c r="D88" s="44">
        <f t="shared" si="23"/>
        <v>0</v>
      </c>
      <c r="E88" s="44">
        <f t="shared" si="19"/>
        <v>0</v>
      </c>
      <c r="F88" s="44">
        <f>COUNTIF($J$49:J88,"&lt;&gt;")</f>
        <v>0</v>
      </c>
      <c r="G88" s="44">
        <f t="shared" si="26"/>
        <v>0</v>
      </c>
      <c r="H88" s="222" t="str">
        <f t="shared" si="20"/>
        <v/>
      </c>
      <c r="I88" s="222" t="str">
        <f t="shared" si="21"/>
        <v/>
      </c>
      <c r="J88" s="371"/>
      <c r="K88" s="372"/>
      <c r="L88" s="172"/>
      <c r="M88" s="172"/>
      <c r="N88" s="172"/>
      <c r="O88" s="172"/>
      <c r="P88" s="172"/>
      <c r="Q88" s="172"/>
      <c r="R88" s="172"/>
      <c r="S88" s="172"/>
      <c r="T88" s="172"/>
      <c r="U88" s="172"/>
      <c r="V88" s="172"/>
      <c r="W88" s="173"/>
      <c r="Y88" s="26" t="str">
        <f t="shared" si="22"/>
        <v/>
      </c>
    </row>
    <row r="89" spans="2:25" ht="35.1" customHeight="1" x14ac:dyDescent="0.25">
      <c r="B89" s="44">
        <f t="shared" si="24"/>
        <v>0</v>
      </c>
      <c r="C89" s="44" t="str">
        <f t="shared" si="25"/>
        <v/>
      </c>
      <c r="D89" s="44">
        <f t="shared" si="23"/>
        <v>0</v>
      </c>
      <c r="E89" s="44">
        <f t="shared" si="19"/>
        <v>0</v>
      </c>
      <c r="F89" s="44">
        <f>COUNTIF($J$49:J89,"&lt;&gt;")</f>
        <v>0</v>
      </c>
      <c r="G89" s="44">
        <f t="shared" si="26"/>
        <v>0</v>
      </c>
      <c r="H89" s="222" t="str">
        <f t="shared" si="20"/>
        <v/>
      </c>
      <c r="I89" s="222" t="str">
        <f t="shared" si="21"/>
        <v/>
      </c>
      <c r="J89" s="371"/>
      <c r="K89" s="372"/>
      <c r="L89" s="172"/>
      <c r="M89" s="172"/>
      <c r="N89" s="172"/>
      <c r="O89" s="172"/>
      <c r="P89" s="172"/>
      <c r="Q89" s="172"/>
      <c r="R89" s="172"/>
      <c r="S89" s="172"/>
      <c r="T89" s="172"/>
      <c r="U89" s="172"/>
      <c r="V89" s="172"/>
      <c r="W89" s="173"/>
      <c r="Y89" s="26" t="str">
        <f t="shared" si="22"/>
        <v/>
      </c>
    </row>
    <row r="90" spans="2:25" ht="35.1" customHeight="1" x14ac:dyDescent="0.25">
      <c r="B90" s="44">
        <f t="shared" si="24"/>
        <v>0</v>
      </c>
      <c r="C90" s="44" t="str">
        <f t="shared" si="25"/>
        <v/>
      </c>
      <c r="D90" s="44">
        <f t="shared" si="23"/>
        <v>0</v>
      </c>
      <c r="E90" s="44">
        <f t="shared" si="19"/>
        <v>0</v>
      </c>
      <c r="F90" s="44">
        <f>COUNTIF($J$49:J90,"&lt;&gt;")</f>
        <v>0</v>
      </c>
      <c r="G90" s="44">
        <f t="shared" si="26"/>
        <v>0</v>
      </c>
      <c r="H90" s="222" t="str">
        <f t="shared" si="20"/>
        <v/>
      </c>
      <c r="I90" s="222" t="str">
        <f t="shared" si="21"/>
        <v/>
      </c>
      <c r="J90" s="371"/>
      <c r="K90" s="372"/>
      <c r="L90" s="172"/>
      <c r="M90" s="172"/>
      <c r="N90" s="172"/>
      <c r="O90" s="172"/>
      <c r="P90" s="172"/>
      <c r="Q90" s="172"/>
      <c r="R90" s="172"/>
      <c r="S90" s="172"/>
      <c r="T90" s="172"/>
      <c r="U90" s="172"/>
      <c r="V90" s="172"/>
      <c r="W90" s="173"/>
      <c r="Y90" s="26" t="str">
        <f t="shared" si="22"/>
        <v/>
      </c>
    </row>
    <row r="91" spans="2:25" ht="35.1" customHeight="1" x14ac:dyDescent="0.25">
      <c r="B91" s="44">
        <f t="shared" si="24"/>
        <v>0</v>
      </c>
      <c r="C91" s="44" t="str">
        <f t="shared" si="25"/>
        <v/>
      </c>
      <c r="D91" s="44">
        <f t="shared" si="23"/>
        <v>0</v>
      </c>
      <c r="E91" s="44">
        <f t="shared" si="19"/>
        <v>0</v>
      </c>
      <c r="F91" s="44">
        <f>COUNTIF($J$49:J91,"&lt;&gt;")</f>
        <v>0</v>
      </c>
      <c r="G91" s="44">
        <f t="shared" si="26"/>
        <v>0</v>
      </c>
      <c r="H91" s="222" t="str">
        <f t="shared" si="20"/>
        <v/>
      </c>
      <c r="I91" s="222" t="str">
        <f t="shared" si="21"/>
        <v/>
      </c>
      <c r="J91" s="371"/>
      <c r="K91" s="372"/>
      <c r="L91" s="172"/>
      <c r="M91" s="172"/>
      <c r="N91" s="172"/>
      <c r="O91" s="172"/>
      <c r="P91" s="172"/>
      <c r="Q91" s="172"/>
      <c r="R91" s="172"/>
      <c r="S91" s="172"/>
      <c r="T91" s="172"/>
      <c r="U91" s="172"/>
      <c r="V91" s="172"/>
      <c r="W91" s="173"/>
      <c r="Y91" s="26" t="str">
        <f t="shared" si="22"/>
        <v/>
      </c>
    </row>
    <row r="92" spans="2:25" ht="35.1" customHeight="1" x14ac:dyDescent="0.25">
      <c r="B92" s="44">
        <f t="shared" si="24"/>
        <v>0</v>
      </c>
      <c r="C92" s="44" t="str">
        <f t="shared" si="25"/>
        <v/>
      </c>
      <c r="D92" s="44">
        <f t="shared" si="23"/>
        <v>0</v>
      </c>
      <c r="E92" s="44">
        <f t="shared" si="19"/>
        <v>0</v>
      </c>
      <c r="F92" s="44">
        <f>COUNTIF($J$49:J92,"&lt;&gt;")</f>
        <v>0</v>
      </c>
      <c r="G92" s="44">
        <f t="shared" si="26"/>
        <v>0</v>
      </c>
      <c r="H92" s="222" t="str">
        <f t="shared" si="20"/>
        <v/>
      </c>
      <c r="I92" s="222" t="str">
        <f t="shared" si="21"/>
        <v/>
      </c>
      <c r="J92" s="371"/>
      <c r="K92" s="372"/>
      <c r="L92" s="172"/>
      <c r="M92" s="172"/>
      <c r="N92" s="172"/>
      <c r="O92" s="172"/>
      <c r="P92" s="172"/>
      <c r="Q92" s="172"/>
      <c r="R92" s="172"/>
      <c r="S92" s="172"/>
      <c r="T92" s="172"/>
      <c r="U92" s="172"/>
      <c r="V92" s="172"/>
      <c r="W92" s="173"/>
      <c r="Y92" s="26" t="str">
        <f t="shared" si="22"/>
        <v/>
      </c>
    </row>
    <row r="93" spans="2:25" ht="35.1" customHeight="1" x14ac:dyDescent="0.25">
      <c r="B93" s="44">
        <f t="shared" si="24"/>
        <v>0</v>
      </c>
      <c r="C93" s="44" t="str">
        <f t="shared" si="25"/>
        <v/>
      </c>
      <c r="D93" s="44">
        <f t="shared" si="23"/>
        <v>0</v>
      </c>
      <c r="E93" s="44">
        <f t="shared" si="19"/>
        <v>0</v>
      </c>
      <c r="F93" s="44">
        <f>COUNTIF($J$49:J93,"&lt;&gt;")</f>
        <v>0</v>
      </c>
      <c r="G93" s="44">
        <f t="shared" si="26"/>
        <v>0</v>
      </c>
      <c r="H93" s="222" t="str">
        <f t="shared" si="20"/>
        <v/>
      </c>
      <c r="I93" s="222" t="str">
        <f t="shared" si="21"/>
        <v/>
      </c>
      <c r="J93" s="371"/>
      <c r="K93" s="372"/>
      <c r="L93" s="172"/>
      <c r="M93" s="172"/>
      <c r="N93" s="172"/>
      <c r="O93" s="172"/>
      <c r="P93" s="172"/>
      <c r="Q93" s="172"/>
      <c r="R93" s="172"/>
      <c r="S93" s="172"/>
      <c r="T93" s="172"/>
      <c r="U93" s="172"/>
      <c r="V93" s="172"/>
      <c r="W93" s="173"/>
      <c r="Y93" s="26" t="str">
        <f t="shared" si="22"/>
        <v/>
      </c>
    </row>
    <row r="94" spans="2:25" ht="35.1" customHeight="1" x14ac:dyDescent="0.25">
      <c r="B94" s="44">
        <f t="shared" si="24"/>
        <v>0</v>
      </c>
      <c r="C94" s="44" t="str">
        <f t="shared" si="25"/>
        <v/>
      </c>
      <c r="D94" s="44">
        <f t="shared" si="23"/>
        <v>0</v>
      </c>
      <c r="E94" s="44">
        <f t="shared" si="19"/>
        <v>0</v>
      </c>
      <c r="F94" s="44">
        <f>COUNTIF($J$49:J94,"&lt;&gt;")</f>
        <v>0</v>
      </c>
      <c r="G94" s="44">
        <f t="shared" si="26"/>
        <v>0</v>
      </c>
      <c r="H94" s="222" t="str">
        <f t="shared" si="20"/>
        <v/>
      </c>
      <c r="I94" s="222" t="str">
        <f t="shared" si="21"/>
        <v/>
      </c>
      <c r="J94" s="371"/>
      <c r="K94" s="372"/>
      <c r="L94" s="172"/>
      <c r="M94" s="172"/>
      <c r="N94" s="172"/>
      <c r="O94" s="172"/>
      <c r="P94" s="172"/>
      <c r="Q94" s="172"/>
      <c r="R94" s="172"/>
      <c r="S94" s="172"/>
      <c r="T94" s="172"/>
      <c r="U94" s="172"/>
      <c r="V94" s="172"/>
      <c r="W94" s="173"/>
      <c r="Y94" s="26" t="str">
        <f t="shared" si="22"/>
        <v/>
      </c>
    </row>
    <row r="95" spans="2:25" ht="35.1" customHeight="1" x14ac:dyDescent="0.25">
      <c r="B95" s="44">
        <f t="shared" si="24"/>
        <v>0</v>
      </c>
      <c r="C95" s="44" t="str">
        <f t="shared" si="25"/>
        <v/>
      </c>
      <c r="D95" s="44">
        <f t="shared" si="23"/>
        <v>0</v>
      </c>
      <c r="E95" s="44">
        <f t="shared" si="19"/>
        <v>0</v>
      </c>
      <c r="F95" s="44">
        <f>COUNTIF($J$49:J95,"&lt;&gt;")</f>
        <v>0</v>
      </c>
      <c r="G95" s="44">
        <f t="shared" si="26"/>
        <v>0</v>
      </c>
      <c r="H95" s="222" t="str">
        <f t="shared" si="20"/>
        <v/>
      </c>
      <c r="I95" s="222" t="str">
        <f t="shared" si="21"/>
        <v/>
      </c>
      <c r="J95" s="371"/>
      <c r="K95" s="372"/>
      <c r="L95" s="172"/>
      <c r="M95" s="172"/>
      <c r="N95" s="172"/>
      <c r="O95" s="172"/>
      <c r="P95" s="172"/>
      <c r="Q95" s="172"/>
      <c r="R95" s="172"/>
      <c r="S95" s="172"/>
      <c r="T95" s="172"/>
      <c r="U95" s="172"/>
      <c r="V95" s="172"/>
      <c r="W95" s="173"/>
      <c r="Y95" s="26" t="str">
        <f t="shared" si="22"/>
        <v/>
      </c>
    </row>
    <row r="96" spans="2:25" ht="35.1" customHeight="1" x14ac:dyDescent="0.25">
      <c r="B96" s="44">
        <f t="shared" si="24"/>
        <v>0</v>
      </c>
      <c r="C96" s="44" t="str">
        <f t="shared" si="25"/>
        <v/>
      </c>
      <c r="D96" s="44">
        <f t="shared" si="23"/>
        <v>0</v>
      </c>
      <c r="E96" s="44">
        <f t="shared" si="19"/>
        <v>0</v>
      </c>
      <c r="F96" s="44">
        <f>COUNTIF($J$49:J96,"&lt;&gt;")</f>
        <v>0</v>
      </c>
      <c r="G96" s="44">
        <f t="shared" si="26"/>
        <v>0</v>
      </c>
      <c r="H96" s="222" t="str">
        <f t="shared" si="20"/>
        <v/>
      </c>
      <c r="I96" s="222" t="str">
        <f t="shared" si="21"/>
        <v/>
      </c>
      <c r="J96" s="371"/>
      <c r="K96" s="372"/>
      <c r="L96" s="172"/>
      <c r="M96" s="172"/>
      <c r="N96" s="172"/>
      <c r="O96" s="172"/>
      <c r="P96" s="172"/>
      <c r="Q96" s="172"/>
      <c r="R96" s="172"/>
      <c r="S96" s="172"/>
      <c r="T96" s="172"/>
      <c r="U96" s="172"/>
      <c r="V96" s="172"/>
      <c r="W96" s="173"/>
      <c r="Y96" s="26" t="str">
        <f t="shared" si="22"/>
        <v/>
      </c>
    </row>
    <row r="97" spans="2:25" ht="35.1" customHeight="1" x14ac:dyDescent="0.25">
      <c r="B97" s="44">
        <f t="shared" si="24"/>
        <v>0</v>
      </c>
      <c r="C97" s="44" t="str">
        <f t="shared" si="25"/>
        <v/>
      </c>
      <c r="D97" s="44">
        <f t="shared" si="23"/>
        <v>0</v>
      </c>
      <c r="E97" s="44">
        <f t="shared" si="19"/>
        <v>0</v>
      </c>
      <c r="F97" s="44">
        <f>COUNTIF($J$49:J97,"&lt;&gt;")</f>
        <v>0</v>
      </c>
      <c r="G97" s="44">
        <f t="shared" si="26"/>
        <v>0</v>
      </c>
      <c r="H97" s="222" t="str">
        <f t="shared" si="20"/>
        <v/>
      </c>
      <c r="I97" s="222" t="str">
        <f t="shared" si="21"/>
        <v/>
      </c>
      <c r="J97" s="371"/>
      <c r="K97" s="372"/>
      <c r="L97" s="172"/>
      <c r="M97" s="172"/>
      <c r="N97" s="172"/>
      <c r="O97" s="172"/>
      <c r="P97" s="172"/>
      <c r="Q97" s="172"/>
      <c r="R97" s="172"/>
      <c r="S97" s="172"/>
      <c r="T97" s="172"/>
      <c r="U97" s="172"/>
      <c r="V97" s="172"/>
      <c r="W97" s="173"/>
      <c r="Y97" s="26" t="str">
        <f t="shared" si="22"/>
        <v/>
      </c>
    </row>
    <row r="98" spans="2:25" ht="35.1" customHeight="1" x14ac:dyDescent="0.25">
      <c r="B98" s="44">
        <f t="shared" si="24"/>
        <v>0</v>
      </c>
      <c r="C98" s="44" t="str">
        <f t="shared" si="25"/>
        <v/>
      </c>
      <c r="D98" s="44">
        <f t="shared" si="23"/>
        <v>0</v>
      </c>
      <c r="E98" s="44">
        <f t="shared" si="19"/>
        <v>0</v>
      </c>
      <c r="F98" s="44">
        <f>COUNTIF($J$49:J98,"&lt;&gt;")</f>
        <v>0</v>
      </c>
      <c r="G98" s="44">
        <f t="shared" si="26"/>
        <v>0</v>
      </c>
      <c r="H98" s="222" t="str">
        <f t="shared" si="20"/>
        <v/>
      </c>
      <c r="I98" s="222" t="str">
        <f t="shared" si="21"/>
        <v/>
      </c>
      <c r="J98" s="371"/>
      <c r="K98" s="372"/>
      <c r="L98" s="172"/>
      <c r="M98" s="172"/>
      <c r="N98" s="172"/>
      <c r="O98" s="172"/>
      <c r="P98" s="172"/>
      <c r="Q98" s="172"/>
      <c r="R98" s="172"/>
      <c r="S98" s="172"/>
      <c r="T98" s="172"/>
      <c r="U98" s="172"/>
      <c r="V98" s="172"/>
      <c r="W98" s="173"/>
      <c r="Y98" s="26" t="str">
        <f t="shared" si="22"/>
        <v/>
      </c>
    </row>
    <row r="99" spans="2:25" ht="35.1" customHeight="1" x14ac:dyDescent="0.25">
      <c r="B99" s="44">
        <f t="shared" si="24"/>
        <v>0</v>
      </c>
      <c r="C99" s="44" t="str">
        <f t="shared" si="25"/>
        <v/>
      </c>
      <c r="D99" s="44">
        <f t="shared" si="23"/>
        <v>0</v>
      </c>
      <c r="E99" s="44">
        <f t="shared" si="19"/>
        <v>0</v>
      </c>
      <c r="F99" s="44">
        <f>COUNTIF($J$49:J99,"&lt;&gt;")</f>
        <v>0</v>
      </c>
      <c r="G99" s="44">
        <f t="shared" si="26"/>
        <v>0</v>
      </c>
      <c r="H99" s="222" t="str">
        <f t="shared" si="20"/>
        <v/>
      </c>
      <c r="I99" s="222" t="str">
        <f t="shared" si="21"/>
        <v/>
      </c>
      <c r="J99" s="371"/>
      <c r="K99" s="372"/>
      <c r="L99" s="172"/>
      <c r="M99" s="172"/>
      <c r="N99" s="172"/>
      <c r="O99" s="172"/>
      <c r="P99" s="172"/>
      <c r="Q99" s="172"/>
      <c r="R99" s="172"/>
      <c r="S99" s="172"/>
      <c r="T99" s="172"/>
      <c r="U99" s="172"/>
      <c r="V99" s="172"/>
      <c r="W99" s="173"/>
      <c r="Y99" s="26" t="str">
        <f t="shared" si="22"/>
        <v/>
      </c>
    </row>
    <row r="100" spans="2:25" ht="35.1" customHeight="1" x14ac:dyDescent="0.25">
      <c r="B100" s="44">
        <f t="shared" si="24"/>
        <v>0</v>
      </c>
      <c r="C100" s="44" t="str">
        <f t="shared" si="25"/>
        <v/>
      </c>
      <c r="D100" s="44">
        <f t="shared" si="23"/>
        <v>0</v>
      </c>
      <c r="E100" s="44">
        <f t="shared" si="19"/>
        <v>0</v>
      </c>
      <c r="F100" s="44">
        <f>COUNTIF($J$49:J100,"&lt;&gt;")</f>
        <v>0</v>
      </c>
      <c r="G100" s="44">
        <f t="shared" si="26"/>
        <v>0</v>
      </c>
      <c r="H100" s="222" t="str">
        <f t="shared" si="20"/>
        <v/>
      </c>
      <c r="I100" s="222" t="str">
        <f t="shared" si="21"/>
        <v/>
      </c>
      <c r="J100" s="371"/>
      <c r="K100" s="372"/>
      <c r="L100" s="172"/>
      <c r="M100" s="172"/>
      <c r="N100" s="172"/>
      <c r="O100" s="172"/>
      <c r="P100" s="172"/>
      <c r="Q100" s="172"/>
      <c r="R100" s="172"/>
      <c r="S100" s="172"/>
      <c r="T100" s="172"/>
      <c r="U100" s="172"/>
      <c r="V100" s="172"/>
      <c r="W100" s="173"/>
      <c r="Y100" s="26" t="str">
        <f t="shared" si="22"/>
        <v/>
      </c>
    </row>
    <row r="101" spans="2:25" ht="35.1" customHeight="1" x14ac:dyDescent="0.25">
      <c r="B101" s="44">
        <f t="shared" si="24"/>
        <v>0</v>
      </c>
      <c r="C101" s="44" t="str">
        <f t="shared" si="25"/>
        <v/>
      </c>
      <c r="D101" s="44">
        <f t="shared" si="23"/>
        <v>0</v>
      </c>
      <c r="E101" s="44">
        <f t="shared" si="19"/>
        <v>0</v>
      </c>
      <c r="F101" s="44">
        <f>COUNTIF($J$49:J101,"&lt;&gt;")</f>
        <v>0</v>
      </c>
      <c r="G101" s="44">
        <f t="shared" si="26"/>
        <v>0</v>
      </c>
      <c r="H101" s="222" t="str">
        <f t="shared" si="20"/>
        <v/>
      </c>
      <c r="I101" s="222" t="str">
        <f t="shared" si="21"/>
        <v/>
      </c>
      <c r="J101" s="371"/>
      <c r="K101" s="372"/>
      <c r="L101" s="172"/>
      <c r="M101" s="172"/>
      <c r="N101" s="172"/>
      <c r="O101" s="172"/>
      <c r="P101" s="172"/>
      <c r="Q101" s="172"/>
      <c r="R101" s="172"/>
      <c r="S101" s="172"/>
      <c r="T101" s="172"/>
      <c r="U101" s="172"/>
      <c r="V101" s="172"/>
      <c r="W101" s="173"/>
      <c r="Y101" s="26" t="str">
        <f t="shared" si="22"/>
        <v/>
      </c>
    </row>
    <row r="102" spans="2:25" ht="35.1" customHeight="1" x14ac:dyDescent="0.25">
      <c r="B102" s="44">
        <f t="shared" si="24"/>
        <v>0</v>
      </c>
      <c r="C102" s="44" t="str">
        <f t="shared" si="25"/>
        <v/>
      </c>
      <c r="D102" s="44">
        <f t="shared" si="23"/>
        <v>0</v>
      </c>
      <c r="E102" s="44">
        <f t="shared" si="19"/>
        <v>0</v>
      </c>
      <c r="F102" s="44">
        <f>COUNTIF($J$49:J102,"&lt;&gt;")</f>
        <v>0</v>
      </c>
      <c r="G102" s="44">
        <f t="shared" si="26"/>
        <v>0</v>
      </c>
      <c r="H102" s="222" t="str">
        <f t="shared" si="20"/>
        <v/>
      </c>
      <c r="I102" s="222" t="str">
        <f t="shared" si="21"/>
        <v/>
      </c>
      <c r="J102" s="371"/>
      <c r="K102" s="372"/>
      <c r="L102" s="172"/>
      <c r="M102" s="172"/>
      <c r="N102" s="172"/>
      <c r="O102" s="172"/>
      <c r="P102" s="172"/>
      <c r="Q102" s="172"/>
      <c r="R102" s="172"/>
      <c r="S102" s="172"/>
      <c r="T102" s="172"/>
      <c r="U102" s="172"/>
      <c r="V102" s="172"/>
      <c r="W102" s="173"/>
      <c r="Y102" s="26" t="str">
        <f t="shared" si="22"/>
        <v/>
      </c>
    </row>
    <row r="103" spans="2:25" ht="35.1" customHeight="1" x14ac:dyDescent="0.25">
      <c r="B103" s="44">
        <f t="shared" si="24"/>
        <v>0</v>
      </c>
      <c r="C103" s="44" t="str">
        <f t="shared" si="25"/>
        <v/>
      </c>
      <c r="D103" s="44">
        <f t="shared" si="23"/>
        <v>0</v>
      </c>
      <c r="E103" s="44">
        <f t="shared" si="19"/>
        <v>0</v>
      </c>
      <c r="F103" s="44">
        <f>COUNTIF($J$49:J103,"&lt;&gt;")</f>
        <v>0</v>
      </c>
      <c r="G103" s="44">
        <f t="shared" si="26"/>
        <v>0</v>
      </c>
      <c r="H103" s="222" t="str">
        <f t="shared" si="20"/>
        <v/>
      </c>
      <c r="I103" s="222" t="str">
        <f t="shared" si="21"/>
        <v/>
      </c>
      <c r="J103" s="371"/>
      <c r="K103" s="372"/>
      <c r="L103" s="172"/>
      <c r="M103" s="172"/>
      <c r="N103" s="172"/>
      <c r="O103" s="172"/>
      <c r="P103" s="172"/>
      <c r="Q103" s="172"/>
      <c r="R103" s="172"/>
      <c r="S103" s="172"/>
      <c r="T103" s="172"/>
      <c r="U103" s="172"/>
      <c r="V103" s="172"/>
      <c r="W103" s="173"/>
      <c r="Y103" s="26" t="str">
        <f t="shared" si="22"/>
        <v/>
      </c>
    </row>
    <row r="104" spans="2:25" ht="35.1" customHeight="1" x14ac:dyDescent="0.25">
      <c r="B104" s="44">
        <f t="shared" si="24"/>
        <v>0</v>
      </c>
      <c r="C104" s="44" t="str">
        <f t="shared" si="25"/>
        <v/>
      </c>
      <c r="D104" s="44">
        <f t="shared" si="23"/>
        <v>0</v>
      </c>
      <c r="E104" s="44">
        <f t="shared" si="19"/>
        <v>0</v>
      </c>
      <c r="F104" s="44">
        <f>COUNTIF($J$49:J104,"&lt;&gt;")</f>
        <v>0</v>
      </c>
      <c r="G104" s="44">
        <f t="shared" si="26"/>
        <v>0</v>
      </c>
      <c r="H104" s="222" t="str">
        <f t="shared" si="20"/>
        <v/>
      </c>
      <c r="I104" s="222" t="str">
        <f t="shared" si="21"/>
        <v/>
      </c>
      <c r="J104" s="371"/>
      <c r="K104" s="372"/>
      <c r="L104" s="172"/>
      <c r="M104" s="172"/>
      <c r="N104" s="172"/>
      <c r="O104" s="172"/>
      <c r="P104" s="172"/>
      <c r="Q104" s="172"/>
      <c r="R104" s="172"/>
      <c r="S104" s="172"/>
      <c r="T104" s="172"/>
      <c r="U104" s="172"/>
      <c r="V104" s="172"/>
      <c r="W104" s="173"/>
      <c r="Y104" s="26" t="str">
        <f t="shared" si="22"/>
        <v/>
      </c>
    </row>
    <row r="105" spans="2:25" ht="35.1" customHeight="1" x14ac:dyDescent="0.25">
      <c r="B105" s="44">
        <f t="shared" si="24"/>
        <v>0</v>
      </c>
      <c r="C105" s="44" t="str">
        <f t="shared" si="25"/>
        <v/>
      </c>
      <c r="D105" s="44">
        <f t="shared" si="23"/>
        <v>0</v>
      </c>
      <c r="E105" s="44">
        <f t="shared" si="19"/>
        <v>0</v>
      </c>
      <c r="F105" s="44">
        <f>COUNTIF($J$49:J105,"&lt;&gt;")</f>
        <v>0</v>
      </c>
      <c r="G105" s="44">
        <f t="shared" si="26"/>
        <v>0</v>
      </c>
      <c r="H105" s="222" t="str">
        <f t="shared" si="20"/>
        <v/>
      </c>
      <c r="I105" s="222" t="str">
        <f t="shared" si="21"/>
        <v/>
      </c>
      <c r="J105" s="371"/>
      <c r="K105" s="372"/>
      <c r="L105" s="172"/>
      <c r="M105" s="172"/>
      <c r="N105" s="172"/>
      <c r="O105" s="172"/>
      <c r="P105" s="172"/>
      <c r="Q105" s="172"/>
      <c r="R105" s="172"/>
      <c r="S105" s="172"/>
      <c r="T105" s="172"/>
      <c r="U105" s="172"/>
      <c r="V105" s="172"/>
      <c r="W105" s="173"/>
      <c r="Y105" s="26" t="str">
        <f t="shared" si="22"/>
        <v/>
      </c>
    </row>
    <row r="106" spans="2:25" ht="35.1" customHeight="1" x14ac:dyDescent="0.25">
      <c r="B106" s="44">
        <f t="shared" si="24"/>
        <v>0</v>
      </c>
      <c r="C106" s="44" t="str">
        <f t="shared" si="25"/>
        <v/>
      </c>
      <c r="D106" s="44">
        <f t="shared" si="23"/>
        <v>0</v>
      </c>
      <c r="E106" s="44">
        <f t="shared" si="19"/>
        <v>0</v>
      </c>
      <c r="F106" s="44">
        <f>COUNTIF($J$49:J106,"&lt;&gt;")</f>
        <v>0</v>
      </c>
      <c r="G106" s="44">
        <f t="shared" si="26"/>
        <v>0</v>
      </c>
      <c r="H106" s="222" t="str">
        <f t="shared" si="20"/>
        <v/>
      </c>
      <c r="I106" s="222" t="str">
        <f t="shared" si="21"/>
        <v/>
      </c>
      <c r="J106" s="371"/>
      <c r="K106" s="372"/>
      <c r="L106" s="172"/>
      <c r="M106" s="172"/>
      <c r="N106" s="172"/>
      <c r="O106" s="172"/>
      <c r="P106" s="172"/>
      <c r="Q106" s="172"/>
      <c r="R106" s="172"/>
      <c r="S106" s="172"/>
      <c r="T106" s="172"/>
      <c r="U106" s="172"/>
      <c r="V106" s="172"/>
      <c r="W106" s="173"/>
      <c r="Y106" s="26" t="str">
        <f t="shared" si="22"/>
        <v/>
      </c>
    </row>
    <row r="107" spans="2:25" ht="35.1" customHeight="1" x14ac:dyDescent="0.25">
      <c r="B107" s="44">
        <f t="shared" si="24"/>
        <v>0</v>
      </c>
      <c r="C107" s="44" t="str">
        <f t="shared" si="25"/>
        <v/>
      </c>
      <c r="D107" s="44">
        <f t="shared" si="23"/>
        <v>0</v>
      </c>
      <c r="E107" s="44">
        <f t="shared" si="19"/>
        <v>0</v>
      </c>
      <c r="F107" s="44">
        <f>COUNTIF($J$49:J107,"&lt;&gt;")</f>
        <v>0</v>
      </c>
      <c r="G107" s="44">
        <f t="shared" si="26"/>
        <v>0</v>
      </c>
      <c r="H107" s="222" t="str">
        <f t="shared" si="20"/>
        <v/>
      </c>
      <c r="I107" s="222" t="str">
        <f t="shared" si="21"/>
        <v/>
      </c>
      <c r="J107" s="371"/>
      <c r="K107" s="372"/>
      <c r="L107" s="172"/>
      <c r="M107" s="172"/>
      <c r="N107" s="172"/>
      <c r="O107" s="172"/>
      <c r="P107" s="172"/>
      <c r="Q107" s="172"/>
      <c r="R107" s="172"/>
      <c r="S107" s="172"/>
      <c r="T107" s="172"/>
      <c r="U107" s="172"/>
      <c r="V107" s="172"/>
      <c r="W107" s="173"/>
      <c r="Y107" s="26" t="str">
        <f t="shared" si="22"/>
        <v/>
      </c>
    </row>
    <row r="108" spans="2:25" ht="35.1" customHeight="1" x14ac:dyDescent="0.25">
      <c r="B108" s="44">
        <f t="shared" si="24"/>
        <v>0</v>
      </c>
      <c r="C108" s="44" t="str">
        <f t="shared" si="25"/>
        <v/>
      </c>
      <c r="D108" s="44">
        <f t="shared" si="23"/>
        <v>0</v>
      </c>
      <c r="E108" s="44">
        <f t="shared" si="19"/>
        <v>0</v>
      </c>
      <c r="F108" s="44">
        <f>COUNTIF($J$49:J108,"&lt;&gt;")</f>
        <v>0</v>
      </c>
      <c r="G108" s="44">
        <f t="shared" si="26"/>
        <v>0</v>
      </c>
      <c r="H108" s="222" t="str">
        <f t="shared" si="20"/>
        <v/>
      </c>
      <c r="I108" s="222" t="str">
        <f t="shared" si="21"/>
        <v/>
      </c>
      <c r="J108" s="371"/>
      <c r="K108" s="372"/>
      <c r="L108" s="172"/>
      <c r="M108" s="172"/>
      <c r="N108" s="172"/>
      <c r="O108" s="172"/>
      <c r="P108" s="172"/>
      <c r="Q108" s="172"/>
      <c r="R108" s="172"/>
      <c r="S108" s="172"/>
      <c r="T108" s="172"/>
      <c r="U108" s="172"/>
      <c r="V108" s="172"/>
      <c r="W108" s="173"/>
      <c r="Y108" s="26" t="str">
        <f t="shared" si="22"/>
        <v/>
      </c>
    </row>
    <row r="109" spans="2:25" x14ac:dyDescent="0.25">
      <c r="F109" s="44">
        <f>COUNTIF($J$49:J109,"&lt;&gt;")</f>
        <v>0</v>
      </c>
    </row>
    <row r="110" spans="2:25" x14ac:dyDescent="0.25">
      <c r="F110" s="44">
        <f>COUNTIF($J$49:J110,"&lt;&gt;")</f>
        <v>0</v>
      </c>
    </row>
    <row r="111" spans="2:25" x14ac:dyDescent="0.25">
      <c r="F111" s="44">
        <f>COUNTIF($J$49:J111,"&lt;&gt;")</f>
        <v>0</v>
      </c>
    </row>
    <row r="112" spans="2:25" x14ac:dyDescent="0.25">
      <c r="F112" s="44">
        <f>COUNTIF($J$49:J112,"&lt;&gt;")</f>
        <v>0</v>
      </c>
    </row>
  </sheetData>
  <sheetProtection algorithmName="SHA-512" hashValue="CSZolj9Jj05jjM4yG1GH8CQp8pOQM2wDgJ+qpNv7UPid3ftcagvrjttn7EoT8b2yNzx6EWf2Eu5WAkCsKzGgTw==" saltValue="X8BAAOEcFIqFTwJ7CMXXaw==" spinCount="100000" sheet="1" selectLockedCells="1"/>
  <mergeCells count="79">
    <mergeCell ref="M9:W9"/>
    <mergeCell ref="K17:W19"/>
    <mergeCell ref="K22:W23"/>
    <mergeCell ref="J49:K49"/>
    <mergeCell ref="J50:K50"/>
    <mergeCell ref="P14:S14"/>
    <mergeCell ref="T14:W14"/>
    <mergeCell ref="P15:S15"/>
    <mergeCell ref="T15:W15"/>
    <mergeCell ref="K11:W12"/>
    <mergeCell ref="L14:O14"/>
    <mergeCell ref="L15:O15"/>
    <mergeCell ref="K20:W20"/>
    <mergeCell ref="J51:K51"/>
    <mergeCell ref="J52:K52"/>
    <mergeCell ref="J41:W41"/>
    <mergeCell ref="L48:W48"/>
    <mergeCell ref="J48:K48"/>
    <mergeCell ref="J42:K4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99:K99"/>
    <mergeCell ref="J100:K100"/>
    <mergeCell ref="J101:K101"/>
    <mergeCell ref="J102:K102"/>
    <mergeCell ref="J79:K79"/>
    <mergeCell ref="J80:K80"/>
    <mergeCell ref="J81:K81"/>
    <mergeCell ref="J82:K82"/>
    <mergeCell ref="J88:K88"/>
    <mergeCell ref="J84:K84"/>
    <mergeCell ref="J85:K85"/>
    <mergeCell ref="J86:K86"/>
    <mergeCell ref="J87:K87"/>
    <mergeCell ref="H47:H48"/>
    <mergeCell ref="I47:I48"/>
    <mergeCell ref="F47:F48"/>
    <mergeCell ref="G47:G48"/>
    <mergeCell ref="J83:K83"/>
    <mergeCell ref="J78:K78"/>
    <mergeCell ref="J73:K73"/>
    <mergeCell ref="J74:K74"/>
    <mergeCell ref="J75:K75"/>
    <mergeCell ref="J76:K76"/>
    <mergeCell ref="J77:K77"/>
    <mergeCell ref="J68:K68"/>
    <mergeCell ref="J69:K69"/>
    <mergeCell ref="J70:K70"/>
    <mergeCell ref="J71:K71"/>
    <mergeCell ref="J72:K72"/>
    <mergeCell ref="J108:K108"/>
    <mergeCell ref="J107:K107"/>
    <mergeCell ref="J89:K89"/>
    <mergeCell ref="J90:K90"/>
    <mergeCell ref="J91:K91"/>
    <mergeCell ref="J92:K92"/>
    <mergeCell ref="J93:K93"/>
    <mergeCell ref="J94:K94"/>
    <mergeCell ref="J95:K95"/>
    <mergeCell ref="J96:K96"/>
    <mergeCell ref="J97:K97"/>
    <mergeCell ref="J103:K103"/>
    <mergeCell ref="J104:K104"/>
    <mergeCell ref="J105:K105"/>
    <mergeCell ref="J106:K106"/>
    <mergeCell ref="J98:K98"/>
  </mergeCells>
  <phoneticPr fontId="10" type="noConversion"/>
  <conditionalFormatting sqref="A14:XFD108">
    <cfRule type="expression" dxfId="92" priority="5">
      <formula>$K$9=""</formula>
    </cfRule>
  </conditionalFormatting>
  <conditionalFormatting sqref="J11:W12">
    <cfRule type="expression" dxfId="91" priority="190">
      <formula>AND($E$9&lt;&gt;"",$E$9&gt;=2)</formula>
    </cfRule>
  </conditionalFormatting>
  <conditionalFormatting sqref="J51:W108">
    <cfRule type="expression" dxfId="90" priority="4">
      <formula>AND(COUNTIF($F$49:$F$108,$F50)&gt;=4,SUM($B49:$B$108)=0)</formula>
    </cfRule>
  </conditionalFormatting>
  <conditionalFormatting sqref="K9">
    <cfRule type="expression" dxfId="89" priority="186">
      <formula>AND($E$9&lt;&gt;"",$E$9&gt;=2)</formula>
    </cfRule>
  </conditionalFormatting>
  <conditionalFormatting sqref="L43:W47">
    <cfRule type="cellIs" dxfId="88" priority="18" operator="greaterThan">
      <formula>1</formula>
    </cfRule>
  </conditionalFormatting>
  <conditionalFormatting sqref="L49:W108">
    <cfRule type="cellIs" dxfId="87" priority="184" operator="greaterThan">
      <formula>1</formula>
    </cfRule>
    <cfRule type="expression" dxfId="86" priority="185">
      <formula>AND(L49&lt;&gt;"",L$32&lt;&gt;"",OR(L$33&lt;$K$28,L$33&gt;$K$29,L$33&lt;$K$31))</formula>
    </cfRule>
  </conditionalFormatting>
  <conditionalFormatting sqref="M9:W9">
    <cfRule type="cellIs" dxfId="85" priority="9" operator="notEqual">
      <formula>""</formula>
    </cfRule>
  </conditionalFormatting>
  <conditionalFormatting sqref="Y43:Y108">
    <cfRule type="cellIs" dxfId="84" priority="20" operator="notEqual">
      <formula>""</formula>
    </cfRule>
  </conditionalFormatting>
  <printOptions horizontalCentered="1" verticalCentered="1"/>
  <pageMargins left="0.59055118110236227" right="0.59055118110236227" top="0.59055118110236227" bottom="0.39370078740157483" header="0.19685039370078741" footer="0.19685039370078741"/>
  <pageSetup paperSize="9" scale="57" fitToHeight="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59ADC0-DAC8-4931-8183-66AFF98440B4}">
          <x14:formula1>
            <xm:f>OFFSET(AUXILIAR!$T$4,0,,COUNTIF(Lineas,"&lt;&gt;X"))</xm:f>
          </x14:formula1>
          <xm:sqref>J49:K108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A74B-1541-49B8-A1FA-C5322BEA96A2}">
  <dimension ref="A1:BP61"/>
  <sheetViews>
    <sheetView showGridLines="0" zoomScaleNormal="100" workbookViewId="0">
      <selection activeCell="F9" sqref="F9"/>
    </sheetView>
  </sheetViews>
  <sheetFormatPr baseColWidth="10" defaultColWidth="11.42578125" defaultRowHeight="13.5" x14ac:dyDescent="0.25"/>
  <cols>
    <col min="1" max="2" width="5.5703125" style="26" customWidth="1"/>
    <col min="3" max="3" width="13.7109375" style="26" customWidth="1"/>
    <col min="4" max="5" width="10.5703125" style="26" customWidth="1"/>
    <col min="6" max="6" width="9.5703125" style="26" customWidth="1"/>
    <col min="7" max="12" width="11.5703125" style="26" customWidth="1"/>
    <col min="13" max="13" width="15.5703125" style="26" customWidth="1"/>
    <col min="14" max="14" width="1.5703125" style="26" customWidth="1"/>
    <col min="15" max="20" width="11.5703125" style="26" customWidth="1"/>
    <col min="21" max="21" width="12.5703125" style="26" customWidth="1"/>
    <col min="22" max="22" width="1.5703125" style="26" customWidth="1"/>
    <col min="23" max="27" width="12.5703125" style="26" customWidth="1"/>
    <col min="28" max="30" width="13.5703125" style="26" customWidth="1"/>
    <col min="31" max="31" width="40.7109375" style="26" customWidth="1"/>
    <col min="32" max="32" width="5.5703125" style="26" customWidth="1"/>
    <col min="33" max="33" width="11.42578125" style="26" customWidth="1"/>
    <col min="34" max="67" width="11.42578125" style="26" hidden="1" customWidth="1"/>
    <col min="68" max="16384" width="11.42578125" style="26"/>
  </cols>
  <sheetData>
    <row r="1" spans="1:47" ht="20.100000000000001" customHeight="1" x14ac:dyDescent="0.25">
      <c r="A1" s="249">
        <f>EXPEDIENTE!A1</f>
        <v>0</v>
      </c>
      <c r="AH1" s="329" t="s">
        <v>372</v>
      </c>
    </row>
    <row r="2" spans="1:47" ht="20.100000000000001" customHeight="1" x14ac:dyDescent="0.25">
      <c r="F2" s="179"/>
      <c r="G2" s="239"/>
      <c r="I2" s="178"/>
    </row>
    <row r="3" spans="1:47" ht="20.100000000000001" customHeight="1" x14ac:dyDescent="0.25">
      <c r="E3" s="239" t="str">
        <f>'IDENTIFICACIÓN TRABAJADOR'!G3</f>
        <v>Nº DE EXPEDIENTE: 2024.11.ACEE.0000</v>
      </c>
    </row>
    <row r="4" spans="1:47" ht="20.100000000000001" customHeight="1" x14ac:dyDescent="0.25">
      <c r="E4" s="447"/>
      <c r="F4" s="447"/>
      <c r="G4" s="187"/>
      <c r="AH4" s="446" t="s">
        <v>334</v>
      </c>
      <c r="AI4" s="446" t="s">
        <v>333</v>
      </c>
      <c r="AJ4" s="446" t="s">
        <v>335</v>
      </c>
      <c r="AN4" s="459" t="s">
        <v>122</v>
      </c>
      <c r="AO4" s="459"/>
      <c r="AP4" s="459"/>
    </row>
    <row r="5" spans="1:47" ht="20.100000000000001" customHeight="1" x14ac:dyDescent="0.25">
      <c r="E5" s="240" t="str">
        <f>'LINEAS CON DEDICACIÓN'!C6</f>
        <v xml:space="preserve">TRABAJADOR:   </v>
      </c>
      <c r="F5" s="45"/>
      <c r="G5" s="45"/>
      <c r="H5" s="45"/>
      <c r="I5" s="45"/>
      <c r="J5" s="45"/>
      <c r="K5" s="45"/>
      <c r="L5" s="45"/>
      <c r="M5" s="45"/>
      <c r="N5" s="45"/>
      <c r="O5" s="45"/>
      <c r="P5" s="45"/>
      <c r="Q5" s="45"/>
      <c r="R5" s="45"/>
      <c r="S5" s="45"/>
      <c r="T5" s="45"/>
      <c r="AH5" s="446"/>
      <c r="AI5" s="446"/>
      <c r="AJ5" s="446"/>
      <c r="AL5" s="95" t="s">
        <v>336</v>
      </c>
      <c r="AM5" s="96" t="s">
        <v>81</v>
      </c>
      <c r="AN5" s="95" t="s">
        <v>337</v>
      </c>
      <c r="AO5" s="95" t="s">
        <v>123</v>
      </c>
      <c r="AP5" s="96" t="s">
        <v>92</v>
      </c>
      <c r="AQ5" s="96" t="s">
        <v>124</v>
      </c>
      <c r="AR5" s="96"/>
    </row>
    <row r="6" spans="1:47" ht="20.100000000000001" customHeight="1" x14ac:dyDescent="0.25">
      <c r="E6" s="240" t="str">
        <f>'LINEAS CON DEDICACIÓN'!C7</f>
        <v xml:space="preserve">ACRÓNIMO: </v>
      </c>
      <c r="F6" s="45"/>
      <c r="G6" s="45"/>
      <c r="H6" s="45"/>
      <c r="I6" s="45"/>
      <c r="J6" s="45"/>
      <c r="K6" s="45"/>
      <c r="L6" s="45"/>
      <c r="M6" s="45"/>
      <c r="N6" s="45"/>
      <c r="O6" s="45"/>
      <c r="P6" s="45"/>
      <c r="Q6" s="45"/>
      <c r="R6" s="45"/>
      <c r="S6" s="45"/>
      <c r="T6" s="45"/>
      <c r="AH6" s="61">
        <f>M37</f>
        <v>0</v>
      </c>
      <c r="AI6" s="61">
        <f>X37</f>
        <v>0</v>
      </c>
      <c r="AJ6" s="61">
        <f>AH6-AI6</f>
        <v>0</v>
      </c>
      <c r="AL6" s="61">
        <f>F37+L37-X37-Y37</f>
        <v>0</v>
      </c>
      <c r="AM6" s="61">
        <f>Y37</f>
        <v>0</v>
      </c>
      <c r="AN6" s="61">
        <f>IF(AA37&lt;=EXPEDIENTE!$H$29,AL6,0)</f>
        <v>0</v>
      </c>
      <c r="AO6" s="97">
        <f>IF(AB37&lt;=EXPEDIENTE!$H$29,AM6,0)</f>
        <v>0</v>
      </c>
      <c r="AP6" s="61">
        <f>AN6+AO6</f>
        <v>0</v>
      </c>
      <c r="AQ6" s="98">
        <f>IF(OR(D37="",E37=""),0,DATEDIF(D37,E37,"M")+1)</f>
        <v>0</v>
      </c>
      <c r="AR6" s="98"/>
    </row>
    <row r="7" spans="1:47" ht="20.100000000000001" customHeight="1" thickBot="1" x14ac:dyDescent="0.3">
      <c r="AH7" s="61">
        <f t="shared" ref="AH7:AH13" si="0">M38</f>
        <v>0</v>
      </c>
      <c r="AI7" s="61">
        <f t="shared" ref="AI7:AI13" si="1">X38</f>
        <v>0</v>
      </c>
      <c r="AJ7" s="61">
        <f t="shared" ref="AJ7:AJ13" si="2">AH7-AI7</f>
        <v>0</v>
      </c>
      <c r="AL7" s="61">
        <f>F38+L38-X38-Y38</f>
        <v>0</v>
      </c>
      <c r="AM7" s="61">
        <f>Y38</f>
        <v>0</v>
      </c>
      <c r="AN7" s="61">
        <f>IF(AA38&lt;=EXPEDIENTE!$H$29,AL7,0)</f>
        <v>0</v>
      </c>
      <c r="AO7" s="97">
        <f>IF(AB38&lt;=EXPEDIENTE!$H$29,AM7,0)</f>
        <v>0</v>
      </c>
      <c r="AP7" s="61">
        <f t="shared" ref="AP7:AP10" si="3">AN7+AO7</f>
        <v>0</v>
      </c>
      <c r="AQ7" s="98">
        <f>IF(OR(D38="",E38=""),0,DATEDIF(D38,E38,"M")+1)</f>
        <v>0</v>
      </c>
      <c r="AR7" s="98"/>
    </row>
    <row r="8" spans="1:47" ht="30" customHeight="1" thickTop="1" thickBot="1" x14ac:dyDescent="0.3">
      <c r="B8" s="403" t="str">
        <f>CONCATENATE("GASTO DEL TRABAJADOR ",'IDENTIFICACIÓN TRABAJADOR'!D14," EJERCICIO ",EXPEDIENTE!C16)</f>
        <v>GASTO DEL TRABAJADOR  EJERCICIO 2024</v>
      </c>
      <c r="C8" s="448" t="s">
        <v>68</v>
      </c>
      <c r="D8" s="448"/>
      <c r="E8" s="448"/>
      <c r="F8" s="449"/>
      <c r="H8" s="220" t="s">
        <v>125</v>
      </c>
      <c r="I8" s="430" t="s">
        <v>128</v>
      </c>
      <c r="J8" s="430"/>
      <c r="K8" s="430"/>
      <c r="L8" s="430"/>
      <c r="M8" s="430"/>
      <c r="N8" s="430"/>
      <c r="O8" s="430"/>
      <c r="P8" s="430"/>
      <c r="Q8" s="430"/>
      <c r="R8" s="430"/>
      <c r="S8" s="430"/>
      <c r="T8" s="431"/>
      <c r="AH8" s="61">
        <f t="shared" si="0"/>
        <v>0</v>
      </c>
      <c r="AI8" s="61">
        <f t="shared" si="1"/>
        <v>0</v>
      </c>
      <c r="AJ8" s="61">
        <f t="shared" si="2"/>
        <v>0</v>
      </c>
      <c r="AL8" s="61">
        <f>F39+L39-X39-Y39</f>
        <v>0</v>
      </c>
      <c r="AM8" s="61">
        <f>Y39</f>
        <v>0</v>
      </c>
      <c r="AN8" s="61">
        <f>IF(AA39&lt;=EXPEDIENTE!$H$29,AL8,0)</f>
        <v>0</v>
      </c>
      <c r="AO8" s="97">
        <f>IF(AB39&lt;=EXPEDIENTE!$H$29,AM8,0)</f>
        <v>0</v>
      </c>
      <c r="AP8" s="61">
        <f t="shared" si="3"/>
        <v>0</v>
      </c>
      <c r="AQ8" s="98">
        <f>IF(OR(D39="",E39=""),0,DATEDIF(D39,E39,"M")+1)</f>
        <v>0</v>
      </c>
      <c r="AR8" s="98"/>
      <c r="AS8" s="94">
        <f>EXPEDIENTE!C16</f>
        <v>2024</v>
      </c>
    </row>
    <row r="9" spans="1:47" ht="15" customHeight="1" thickTop="1" x14ac:dyDescent="0.25">
      <c r="B9" s="404"/>
      <c r="C9" s="244" t="s">
        <v>47</v>
      </c>
      <c r="D9" s="46"/>
      <c r="E9" s="46"/>
      <c r="F9" s="101"/>
      <c r="H9" s="246" t="s">
        <v>144</v>
      </c>
      <c r="I9" s="386" t="s">
        <v>127</v>
      </c>
      <c r="J9" s="386"/>
      <c r="K9" s="386"/>
      <c r="L9" s="386"/>
      <c r="M9" s="386"/>
      <c r="N9" s="386"/>
      <c r="O9" s="386"/>
      <c r="P9" s="386"/>
      <c r="Q9" s="386"/>
      <c r="R9" s="386"/>
      <c r="S9" s="386"/>
      <c r="T9" s="387"/>
      <c r="AH9" s="61">
        <f t="shared" si="0"/>
        <v>0</v>
      </c>
      <c r="AI9" s="61">
        <f t="shared" si="1"/>
        <v>0</v>
      </c>
      <c r="AJ9" s="61">
        <f t="shared" si="2"/>
        <v>0</v>
      </c>
      <c r="AL9" s="61">
        <f>F40+L40-X40-Y40</f>
        <v>0</v>
      </c>
      <c r="AM9" s="61">
        <f>Y40</f>
        <v>0</v>
      </c>
      <c r="AN9" s="61">
        <f>IF(AA40&lt;=EXPEDIENTE!$H$29,AL9,0)</f>
        <v>0</v>
      </c>
      <c r="AO9" s="97">
        <f>IF(AB40&lt;=EXPEDIENTE!$H$29,AM9,0)</f>
        <v>0</v>
      </c>
      <c r="AP9" s="61">
        <f t="shared" si="3"/>
        <v>0</v>
      </c>
      <c r="AQ9" s="98">
        <f>IF(OR(D40="",E40=""),0,DATEDIF(D40,E40,"M")+1)</f>
        <v>0</v>
      </c>
      <c r="AR9" s="98"/>
      <c r="AS9" s="99">
        <f>DATE($AS$8-1,1,1)</f>
        <v>44927</v>
      </c>
      <c r="AU9" s="100">
        <f t="shared" ref="AU9:AU20" si="4">IF($AH$6=0,0,IF(AND(AS9&gt;=$D$37,AS9&lt;=$E$37),ROUND($AP$6/$AQ$6,2),0))</f>
        <v>0</v>
      </c>
    </row>
    <row r="10" spans="1:47" ht="15" customHeight="1" x14ac:dyDescent="0.25">
      <c r="B10" s="404"/>
      <c r="C10" s="245" t="s">
        <v>69</v>
      </c>
      <c r="D10" s="47"/>
      <c r="E10" s="48"/>
      <c r="F10" s="102"/>
      <c r="H10" s="247"/>
      <c r="I10" s="457" t="s">
        <v>126</v>
      </c>
      <c r="J10" s="457"/>
      <c r="K10" s="457"/>
      <c r="L10" s="457"/>
      <c r="M10" s="457"/>
      <c r="N10" s="457"/>
      <c r="O10" s="457"/>
      <c r="P10" s="457"/>
      <c r="Q10" s="457"/>
      <c r="R10" s="457"/>
      <c r="S10" s="457"/>
      <c r="T10" s="458"/>
      <c r="AH10" s="61">
        <f t="shared" si="0"/>
        <v>0</v>
      </c>
      <c r="AI10" s="61">
        <f t="shared" si="1"/>
        <v>0</v>
      </c>
      <c r="AJ10" s="61">
        <f t="shared" si="2"/>
        <v>0</v>
      </c>
      <c r="AL10" s="61">
        <f>F44+L44-X44-Y44</f>
        <v>0</v>
      </c>
      <c r="AM10" s="61">
        <f>Y44</f>
        <v>0</v>
      </c>
      <c r="AN10" s="61">
        <f>IF(AA44&lt;=EXPEDIENTE!$H$29,AL10,0)</f>
        <v>0</v>
      </c>
      <c r="AO10" s="97">
        <f>IF(AB44&lt;=EXPEDIENTE!$H$29,AM10,0)</f>
        <v>0</v>
      </c>
      <c r="AP10" s="61">
        <f t="shared" si="3"/>
        <v>0</v>
      </c>
      <c r="AQ10" s="98">
        <f>IF(OR(D44="",E44=""),0,DATEDIF(D44,E44,"M")+1)</f>
        <v>0</v>
      </c>
      <c r="AR10" s="98"/>
      <c r="AS10" s="99">
        <f>DATE($AS$8-1,2,1)</f>
        <v>44958</v>
      </c>
      <c r="AU10" s="100">
        <f t="shared" si="4"/>
        <v>0</v>
      </c>
    </row>
    <row r="11" spans="1:47" ht="15" customHeight="1" thickBot="1" x14ac:dyDescent="0.3">
      <c r="B11" s="404"/>
      <c r="C11" s="245" t="s">
        <v>48</v>
      </c>
      <c r="D11" s="47"/>
      <c r="E11" s="48"/>
      <c r="F11" s="102"/>
      <c r="H11" s="248"/>
      <c r="I11" s="463" t="str">
        <f>CONCATENATE("b) La fecha valor de abono de la nómina y/o de su IRPF sea anterior a la finalización del plazo de justificación (",TEXT(EXPEDIENTE!F29,"dd/mm/aa"),").")</f>
        <v>b) La fecha valor de abono de la nómina y/o de su IRPF sea anterior a la finalización del plazo de justificación ().</v>
      </c>
      <c r="J11" s="463"/>
      <c r="K11" s="463"/>
      <c r="L11" s="463"/>
      <c r="M11" s="463"/>
      <c r="N11" s="463"/>
      <c r="O11" s="463"/>
      <c r="P11" s="463"/>
      <c r="Q11" s="463"/>
      <c r="R11" s="463"/>
      <c r="S11" s="463"/>
      <c r="T11" s="464"/>
      <c r="AH11" s="61">
        <f t="shared" si="0"/>
        <v>0</v>
      </c>
      <c r="AI11" s="61">
        <f t="shared" si="1"/>
        <v>0</v>
      </c>
      <c r="AJ11" s="61">
        <f t="shared" si="2"/>
        <v>0</v>
      </c>
      <c r="AS11" s="99">
        <f>DATE($AS$8-1,3,1)</f>
        <v>44986</v>
      </c>
      <c r="AU11" s="100">
        <f t="shared" si="4"/>
        <v>0</v>
      </c>
    </row>
    <row r="12" spans="1:47" ht="15" customHeight="1" x14ac:dyDescent="0.25">
      <c r="B12" s="404"/>
      <c r="C12" s="245" t="s">
        <v>49</v>
      </c>
      <c r="D12" s="47"/>
      <c r="E12" s="48"/>
      <c r="F12" s="102"/>
      <c r="AH12" s="61">
        <f t="shared" si="0"/>
        <v>0</v>
      </c>
      <c r="AI12" s="61">
        <f t="shared" si="1"/>
        <v>0</v>
      </c>
      <c r="AJ12" s="61">
        <f t="shared" si="2"/>
        <v>0</v>
      </c>
      <c r="AS12" s="99">
        <f>DATE($AS$8-1,4,1)</f>
        <v>45017</v>
      </c>
      <c r="AU12" s="100">
        <f t="shared" si="4"/>
        <v>0</v>
      </c>
    </row>
    <row r="13" spans="1:47" ht="15" customHeight="1" x14ac:dyDescent="0.25">
      <c r="B13" s="404"/>
      <c r="C13" s="245" t="s">
        <v>70</v>
      </c>
      <c r="D13" s="47"/>
      <c r="E13" s="48"/>
      <c r="F13" s="102"/>
      <c r="AH13" s="61">
        <f t="shared" si="0"/>
        <v>0</v>
      </c>
      <c r="AI13" s="61">
        <f t="shared" si="1"/>
        <v>0</v>
      </c>
      <c r="AJ13" s="61">
        <f t="shared" si="2"/>
        <v>0</v>
      </c>
      <c r="AS13" s="99">
        <f>DATE($AS$8-1,5,1)</f>
        <v>45047</v>
      </c>
      <c r="AU13" s="100">
        <f t="shared" si="4"/>
        <v>0</v>
      </c>
    </row>
    <row r="14" spans="1:47" ht="15" customHeight="1" x14ac:dyDescent="0.25">
      <c r="B14" s="404"/>
      <c r="C14" s="245" t="s">
        <v>50</v>
      </c>
      <c r="D14" s="47"/>
      <c r="E14" s="48"/>
      <c r="F14" s="49">
        <f>SUM(F9:F13)</f>
        <v>0</v>
      </c>
      <c r="AS14" s="99">
        <f>DATE($AS$8-1,6,1)</f>
        <v>45078</v>
      </c>
      <c r="AU14" s="100">
        <f t="shared" si="4"/>
        <v>0</v>
      </c>
    </row>
    <row r="15" spans="1:47" ht="9.9499999999999993" customHeight="1" thickBot="1" x14ac:dyDescent="0.3">
      <c r="B15" s="404"/>
      <c r="C15" s="50"/>
      <c r="D15" s="51"/>
      <c r="E15" s="52"/>
      <c r="F15" s="53"/>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S15" s="99">
        <f>DATE($AS$8-1,7,1)</f>
        <v>45108</v>
      </c>
      <c r="AU15" s="100">
        <f t="shared" si="4"/>
        <v>0</v>
      </c>
    </row>
    <row r="16" spans="1:47" ht="30" customHeight="1" thickTop="1" thickBot="1" x14ac:dyDescent="0.3">
      <c r="B16" s="404"/>
      <c r="C16" s="448" t="s">
        <v>86</v>
      </c>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9"/>
      <c r="AS16" s="99">
        <f>DATE($AS$8-1,8,1)</f>
        <v>45139</v>
      </c>
      <c r="AU16" s="100">
        <f t="shared" si="4"/>
        <v>0</v>
      </c>
    </row>
    <row r="17" spans="2:68" ht="20.100000000000001" customHeight="1" thickTop="1" thickBot="1" x14ac:dyDescent="0.3">
      <c r="B17" s="404"/>
      <c r="C17" s="454" t="s">
        <v>100</v>
      </c>
      <c r="D17" s="455"/>
      <c r="E17" s="456"/>
      <c r="F17" s="407" t="s">
        <v>98</v>
      </c>
      <c r="G17" s="408"/>
      <c r="H17" s="408"/>
      <c r="I17" s="408"/>
      <c r="J17" s="408"/>
      <c r="K17" s="408"/>
      <c r="L17" s="408"/>
      <c r="M17" s="409"/>
      <c r="N17" s="411" t="s">
        <v>101</v>
      </c>
      <c r="O17" s="412"/>
      <c r="P17" s="412"/>
      <c r="Q17" s="412"/>
      <c r="R17" s="412"/>
      <c r="S17" s="412"/>
      <c r="T17" s="412"/>
      <c r="U17" s="412"/>
      <c r="V17" s="413"/>
      <c r="W17" s="424" t="s">
        <v>90</v>
      </c>
      <c r="X17" s="441" t="s">
        <v>76</v>
      </c>
      <c r="Y17" s="427" t="s">
        <v>66</v>
      </c>
      <c r="Z17" s="427" t="s">
        <v>67</v>
      </c>
      <c r="AA17" s="427" t="s">
        <v>74</v>
      </c>
      <c r="AB17" s="418" t="s">
        <v>97</v>
      </c>
      <c r="AC17" s="441" t="s">
        <v>104</v>
      </c>
      <c r="AD17" s="418" t="s">
        <v>103</v>
      </c>
      <c r="AE17" s="421" t="s">
        <v>77</v>
      </c>
      <c r="AS17" s="99">
        <f>DATE($AS$8-1,9,1)</f>
        <v>45170</v>
      </c>
      <c r="AU17" s="100">
        <f t="shared" si="4"/>
        <v>0</v>
      </c>
    </row>
    <row r="18" spans="2:68" ht="15" customHeight="1" x14ac:dyDescent="0.25">
      <c r="B18" s="404"/>
      <c r="C18" s="434" t="s">
        <v>51</v>
      </c>
      <c r="D18" s="435"/>
      <c r="E18" s="450" t="s">
        <v>99</v>
      </c>
      <c r="F18" s="452" t="s">
        <v>64</v>
      </c>
      <c r="G18" s="410" t="s">
        <v>82</v>
      </c>
      <c r="H18" s="410"/>
      <c r="I18" s="410"/>
      <c r="J18" s="410"/>
      <c r="K18" s="410"/>
      <c r="L18" s="410"/>
      <c r="M18" s="444" t="s">
        <v>109</v>
      </c>
      <c r="N18" s="54"/>
      <c r="O18" s="417" t="s">
        <v>83</v>
      </c>
      <c r="P18" s="410"/>
      <c r="Q18" s="410"/>
      <c r="R18" s="410"/>
      <c r="S18" s="410"/>
      <c r="T18" s="410"/>
      <c r="U18" s="444" t="s">
        <v>102</v>
      </c>
      <c r="V18" s="55"/>
      <c r="W18" s="425"/>
      <c r="X18" s="442"/>
      <c r="Y18" s="428"/>
      <c r="Z18" s="428"/>
      <c r="AA18" s="428"/>
      <c r="AB18" s="419"/>
      <c r="AC18" s="442"/>
      <c r="AD18" s="419"/>
      <c r="AE18" s="422"/>
      <c r="AS18" s="99">
        <f>DATE($AS$8-1,10,1)</f>
        <v>45200</v>
      </c>
      <c r="AU18" s="100">
        <f t="shared" si="4"/>
        <v>0</v>
      </c>
    </row>
    <row r="19" spans="2:68" ht="45" customHeight="1" thickBot="1" x14ac:dyDescent="0.3">
      <c r="B19" s="404"/>
      <c r="C19" s="436"/>
      <c r="D19" s="437"/>
      <c r="E19" s="451"/>
      <c r="F19" s="453"/>
      <c r="G19" s="56" t="s">
        <v>110</v>
      </c>
      <c r="H19" s="56" t="s">
        <v>111</v>
      </c>
      <c r="I19" s="56" t="s">
        <v>112</v>
      </c>
      <c r="J19" s="56" t="s">
        <v>113</v>
      </c>
      <c r="K19" s="56" t="s">
        <v>114</v>
      </c>
      <c r="L19" s="57" t="s">
        <v>121</v>
      </c>
      <c r="M19" s="445"/>
      <c r="N19" s="58"/>
      <c r="O19" s="59" t="s">
        <v>115</v>
      </c>
      <c r="P19" s="56" t="s">
        <v>116</v>
      </c>
      <c r="Q19" s="56" t="s">
        <v>117</v>
      </c>
      <c r="R19" s="56" t="s">
        <v>118</v>
      </c>
      <c r="S19" s="56" t="s">
        <v>119</v>
      </c>
      <c r="T19" s="56" t="s">
        <v>120</v>
      </c>
      <c r="U19" s="445"/>
      <c r="V19" s="60"/>
      <c r="W19" s="426"/>
      <c r="X19" s="443"/>
      <c r="Y19" s="429"/>
      <c r="Z19" s="429"/>
      <c r="AA19" s="429"/>
      <c r="AB19" s="420"/>
      <c r="AC19" s="443"/>
      <c r="AD19" s="420"/>
      <c r="AE19" s="423"/>
      <c r="AS19" s="99">
        <f>DATE($AS$8-1,11,1)</f>
        <v>45231</v>
      </c>
      <c r="AU19" s="100">
        <f t="shared" si="4"/>
        <v>0</v>
      </c>
      <c r="BC19" s="26" t="s">
        <v>310</v>
      </c>
      <c r="BI19" s="440" t="s">
        <v>317</v>
      </c>
      <c r="BJ19" s="440"/>
      <c r="BK19" s="440"/>
      <c r="BL19" s="440"/>
      <c r="BM19" s="440"/>
      <c r="BN19" s="440"/>
      <c r="BO19" s="440"/>
    </row>
    <row r="20" spans="2:68" ht="30" customHeight="1" x14ac:dyDescent="0.25">
      <c r="B20" s="404"/>
      <c r="C20" s="438" t="s">
        <v>52</v>
      </c>
      <c r="D20" s="439"/>
      <c r="E20" s="103"/>
      <c r="F20" s="104"/>
      <c r="G20" s="105"/>
      <c r="H20" s="105"/>
      <c r="I20" s="105"/>
      <c r="J20" s="105"/>
      <c r="K20" s="105"/>
      <c r="L20" s="61">
        <f>SUM(G20:K20)</f>
        <v>0</v>
      </c>
      <c r="M20" s="62">
        <f t="shared" ref="M20" si="5">F20+L20</f>
        <v>0</v>
      </c>
      <c r="N20" s="63"/>
      <c r="O20" s="104"/>
      <c r="P20" s="105"/>
      <c r="Q20" s="105"/>
      <c r="R20" s="105"/>
      <c r="S20" s="105"/>
      <c r="T20" s="64">
        <f>SUM(O20:S20)</f>
        <v>0</v>
      </c>
      <c r="U20" s="113"/>
      <c r="V20" s="65"/>
      <c r="W20" s="62">
        <f t="shared" ref="W20" si="6">M20+T20+U20</f>
        <v>0</v>
      </c>
      <c r="X20" s="104"/>
      <c r="Y20" s="105"/>
      <c r="Z20" s="64">
        <f>F20+L20+T20+U20-X20-Y20</f>
        <v>0</v>
      </c>
      <c r="AA20" s="116"/>
      <c r="AB20" s="117"/>
      <c r="AC20" s="122"/>
      <c r="AD20" s="123"/>
      <c r="AE20" s="292"/>
      <c r="AS20" s="99">
        <f>DATE($AS$8-1,12,1)</f>
        <v>45261</v>
      </c>
      <c r="AU20" s="100">
        <f t="shared" si="4"/>
        <v>0</v>
      </c>
    </row>
    <row r="21" spans="2:68" ht="30" customHeight="1" x14ac:dyDescent="0.25">
      <c r="B21" s="404"/>
      <c r="C21" s="438" t="s">
        <v>53</v>
      </c>
      <c r="D21" s="439"/>
      <c r="E21" s="106"/>
      <c r="F21" s="107"/>
      <c r="G21" s="108"/>
      <c r="H21" s="108"/>
      <c r="I21" s="108"/>
      <c r="J21" s="108"/>
      <c r="K21" s="108"/>
      <c r="L21" s="61">
        <f t="shared" ref="L21:L31" si="7">SUM(G21:K21)</f>
        <v>0</v>
      </c>
      <c r="M21" s="66">
        <f>F21+L21</f>
        <v>0</v>
      </c>
      <c r="N21" s="63"/>
      <c r="O21" s="107"/>
      <c r="P21" s="108"/>
      <c r="Q21" s="108"/>
      <c r="R21" s="108"/>
      <c r="S21" s="108"/>
      <c r="T21" s="61">
        <f t="shared" ref="T21:T31" si="8">SUM(O21:S21)</f>
        <v>0</v>
      </c>
      <c r="U21" s="114"/>
      <c r="V21" s="65"/>
      <c r="W21" s="66">
        <f>M21+T21+U21</f>
        <v>0</v>
      </c>
      <c r="X21" s="107"/>
      <c r="Y21" s="108"/>
      <c r="Z21" s="61">
        <f t="shared" ref="Z21:Z31" si="9">F21+L21+T21+U21-X21-Y21</f>
        <v>0</v>
      </c>
      <c r="AA21" s="118"/>
      <c r="AB21" s="119"/>
      <c r="AC21" s="124"/>
      <c r="AD21" s="125"/>
      <c r="AE21" s="293"/>
      <c r="AS21" s="94" t="s">
        <v>87</v>
      </c>
      <c r="AU21" s="265">
        <f>C37</f>
        <v>0</v>
      </c>
      <c r="AV21" s="265">
        <f>C38</f>
        <v>0</v>
      </c>
      <c r="AW21" s="265">
        <f>C39</f>
        <v>0</v>
      </c>
      <c r="AX21" s="265">
        <f>C40</f>
        <v>0</v>
      </c>
      <c r="AY21" s="265">
        <f>C44</f>
        <v>0</v>
      </c>
      <c r="AZ21" s="94" t="s">
        <v>65</v>
      </c>
      <c r="BC21" s="406" t="s">
        <v>314</v>
      </c>
      <c r="BD21" s="406"/>
      <c r="BE21" s="274" t="s">
        <v>232</v>
      </c>
      <c r="BF21" s="274" t="s">
        <v>315</v>
      </c>
      <c r="BG21" s="274" t="s">
        <v>316</v>
      </c>
      <c r="BH21" s="274" t="s">
        <v>331</v>
      </c>
      <c r="BK21" s="193" t="s">
        <v>245</v>
      </c>
      <c r="BL21" s="44"/>
      <c r="BM21" s="193" t="s">
        <v>318</v>
      </c>
      <c r="BN21" s="274" t="s">
        <v>332</v>
      </c>
      <c r="BO21" s="193" t="s">
        <v>65</v>
      </c>
    </row>
    <row r="22" spans="2:68" ht="30" customHeight="1" x14ac:dyDescent="0.25">
      <c r="B22" s="404"/>
      <c r="C22" s="438" t="s">
        <v>54</v>
      </c>
      <c r="D22" s="439"/>
      <c r="E22" s="106"/>
      <c r="F22" s="107"/>
      <c r="G22" s="108"/>
      <c r="H22" s="108"/>
      <c r="I22" s="108"/>
      <c r="J22" s="108"/>
      <c r="K22" s="108"/>
      <c r="L22" s="61">
        <f t="shared" si="7"/>
        <v>0</v>
      </c>
      <c r="M22" s="66">
        <f t="shared" ref="M22:M31" si="10">F22+L22</f>
        <v>0</v>
      </c>
      <c r="N22" s="63"/>
      <c r="O22" s="107"/>
      <c r="P22" s="108"/>
      <c r="Q22" s="108"/>
      <c r="R22" s="108"/>
      <c r="S22" s="108"/>
      <c r="T22" s="61">
        <f t="shared" si="8"/>
        <v>0</v>
      </c>
      <c r="U22" s="114"/>
      <c r="V22" s="65"/>
      <c r="W22" s="66">
        <f t="shared" ref="W22:W31" si="11">M22+T22+U22</f>
        <v>0</v>
      </c>
      <c r="X22" s="107"/>
      <c r="Y22" s="108"/>
      <c r="Z22" s="61">
        <f t="shared" si="9"/>
        <v>0</v>
      </c>
      <c r="AA22" s="118"/>
      <c r="AB22" s="119"/>
      <c r="AC22" s="124"/>
      <c r="AD22" s="125"/>
      <c r="AE22" s="126"/>
      <c r="AS22" s="99">
        <f>DATE($AS$8,1,1)</f>
        <v>45292</v>
      </c>
      <c r="AU22" s="100">
        <f t="shared" ref="AU22:AU32" si="12">IF($AH$6=0,0,IF(AND(AS22&gt;=$D$37,AS22&lt;=$E$37),ROUND($AP$6/$AQ$6,2),0))</f>
        <v>0</v>
      </c>
      <c r="AV22" s="100">
        <f t="shared" ref="AV22:AV32" si="13">IF($AH$7=0,0,IF(AND(MONTH(AS22)&gt;=MONTH($D$38),MONTH(AS22)&lt;=MONTH($E$38)),ROUND($AP$7/$AQ$7,2),0))</f>
        <v>0</v>
      </c>
      <c r="AW22" s="97">
        <f t="shared" ref="AW22:AW32" si="14">IF($AH$8=0,0,IF(AND(MONTH(AS22)&gt;=MONTH($D$39),MONTH(AS22)&lt;=MONTH($E$39)),ROUND($AP$8/$AQ$8,2),0))</f>
        <v>0</v>
      </c>
      <c r="AX22" s="97">
        <f t="shared" ref="AX22:AX32" si="15">IF($AH$9=0,0,IF(AND(MONTH(AS22)&gt;=MONTH($D$40),MONTH(AS22)&lt;=MONTH($E$40)),ROUND($AP$9/$AQ$9,2),0))</f>
        <v>0</v>
      </c>
      <c r="AY22" s="97">
        <f t="shared" ref="AY22:AY32" si="16">IF($AH$10=0,0,IF(AND(MONTH(AS22)&gt;=MONTH($D$44),MONTH(AS22)&lt;=MONTH($E$44)),ROUND($AP$10/$AQ$10,2),0))</f>
        <v>0</v>
      </c>
      <c r="AZ22" s="100">
        <f t="shared" ref="AZ22:AZ35" si="17">SUM(AU22:AY22)</f>
        <v>0</v>
      </c>
      <c r="BC22" s="272">
        <f>C37</f>
        <v>0</v>
      </c>
      <c r="BD22" s="273"/>
      <c r="BE22" s="275">
        <f>X37</f>
        <v>0</v>
      </c>
      <c r="BF22" s="39" t="str">
        <f>IF(BC22=0,"",AA37)</f>
        <v/>
      </c>
      <c r="BG22" s="39" t="str">
        <f>IF(BE22=0,"",EDATE(BF22,1))</f>
        <v/>
      </c>
      <c r="BH22" s="276" t="str">
        <f>IF(BG22="","",MONTH(BG22))</f>
        <v/>
      </c>
      <c r="BI22" s="193" t="s">
        <v>319</v>
      </c>
      <c r="BJ22" s="193">
        <v>1</v>
      </c>
      <c r="BK22" s="275">
        <f t="shared" ref="BK22:BK32" si="18">X20</f>
        <v>0</v>
      </c>
      <c r="BM22" s="275">
        <f t="shared" ref="BM22:BM32" si="19">H48</f>
        <v>0</v>
      </c>
      <c r="BN22" s="193">
        <f t="shared" ref="BN22:BN32" si="20">SUMIFS($BE$22:$BE$26,$BH$22:$BH$26,"="&amp;BJ22)</f>
        <v>0</v>
      </c>
      <c r="BO22" s="275">
        <f t="shared" ref="BO22:BO35" si="21">SUM(BK22:BN22)</f>
        <v>0</v>
      </c>
    </row>
    <row r="23" spans="2:68" ht="30" customHeight="1" x14ac:dyDescent="0.25">
      <c r="B23" s="404"/>
      <c r="C23" s="438" t="s">
        <v>55</v>
      </c>
      <c r="D23" s="439"/>
      <c r="E23" s="106"/>
      <c r="F23" s="107"/>
      <c r="G23" s="108"/>
      <c r="H23" s="108"/>
      <c r="I23" s="108"/>
      <c r="J23" s="108"/>
      <c r="K23" s="108"/>
      <c r="L23" s="61">
        <f t="shared" si="7"/>
        <v>0</v>
      </c>
      <c r="M23" s="66">
        <f t="shared" si="10"/>
        <v>0</v>
      </c>
      <c r="N23" s="63"/>
      <c r="O23" s="107"/>
      <c r="P23" s="108"/>
      <c r="Q23" s="108"/>
      <c r="R23" s="108"/>
      <c r="S23" s="108"/>
      <c r="T23" s="61">
        <f t="shared" si="8"/>
        <v>0</v>
      </c>
      <c r="U23" s="114"/>
      <c r="V23" s="65"/>
      <c r="W23" s="66">
        <f t="shared" si="11"/>
        <v>0</v>
      </c>
      <c r="X23" s="107"/>
      <c r="Y23" s="108"/>
      <c r="Z23" s="61">
        <f t="shared" si="9"/>
        <v>0</v>
      </c>
      <c r="AA23" s="118"/>
      <c r="AB23" s="119"/>
      <c r="AC23" s="124"/>
      <c r="AD23" s="125"/>
      <c r="AE23" s="126"/>
      <c r="AS23" s="99">
        <f>DATE($AS$8,2,1)</f>
        <v>45323</v>
      </c>
      <c r="AU23" s="100">
        <f t="shared" si="12"/>
        <v>0</v>
      </c>
      <c r="AV23" s="100">
        <f t="shared" si="13"/>
        <v>0</v>
      </c>
      <c r="AW23" s="97">
        <f t="shared" si="14"/>
        <v>0</v>
      </c>
      <c r="AX23" s="97">
        <f t="shared" si="15"/>
        <v>0</v>
      </c>
      <c r="AY23" s="97">
        <f t="shared" si="16"/>
        <v>0</v>
      </c>
      <c r="AZ23" s="100">
        <f t="shared" si="17"/>
        <v>0</v>
      </c>
      <c r="BC23" s="271">
        <f>C38</f>
        <v>0</v>
      </c>
      <c r="BD23" s="48"/>
      <c r="BE23" s="275">
        <f>X38</f>
        <v>0</v>
      </c>
      <c r="BF23" s="39" t="str">
        <f>IF(BC23=0,"",AA38)</f>
        <v/>
      </c>
      <c r="BG23" s="39" t="str">
        <f t="shared" ref="BG23:BG26" si="22">IF(BE23=0,"",EDATE(BF23,1))</f>
        <v/>
      </c>
      <c r="BH23" s="276" t="str">
        <f>IF(BG23="","",MONTH(BG23))</f>
        <v/>
      </c>
      <c r="BI23" s="193" t="s">
        <v>320</v>
      </c>
      <c r="BJ23" s="193">
        <v>2</v>
      </c>
      <c r="BK23" s="275">
        <f t="shared" si="18"/>
        <v>0</v>
      </c>
      <c r="BM23" s="275">
        <f t="shared" si="19"/>
        <v>0</v>
      </c>
      <c r="BN23" s="193">
        <f t="shared" si="20"/>
        <v>0</v>
      </c>
      <c r="BO23" s="275">
        <f t="shared" si="21"/>
        <v>0</v>
      </c>
    </row>
    <row r="24" spans="2:68" ht="30" customHeight="1" x14ac:dyDescent="0.25">
      <c r="B24" s="404"/>
      <c r="C24" s="438" t="s">
        <v>56</v>
      </c>
      <c r="D24" s="439"/>
      <c r="E24" s="106"/>
      <c r="F24" s="107"/>
      <c r="G24" s="108"/>
      <c r="H24" s="108"/>
      <c r="I24" s="108"/>
      <c r="J24" s="108"/>
      <c r="K24" s="108"/>
      <c r="L24" s="61">
        <f t="shared" si="7"/>
        <v>0</v>
      </c>
      <c r="M24" s="66">
        <f t="shared" si="10"/>
        <v>0</v>
      </c>
      <c r="N24" s="63"/>
      <c r="O24" s="107"/>
      <c r="P24" s="108"/>
      <c r="Q24" s="108"/>
      <c r="R24" s="108"/>
      <c r="S24" s="108"/>
      <c r="T24" s="61">
        <f t="shared" si="8"/>
        <v>0</v>
      </c>
      <c r="U24" s="114"/>
      <c r="V24" s="65"/>
      <c r="W24" s="66">
        <f t="shared" si="11"/>
        <v>0</v>
      </c>
      <c r="X24" s="107"/>
      <c r="Y24" s="108"/>
      <c r="Z24" s="61">
        <f t="shared" si="9"/>
        <v>0</v>
      </c>
      <c r="AA24" s="118"/>
      <c r="AB24" s="119"/>
      <c r="AC24" s="124"/>
      <c r="AD24" s="125"/>
      <c r="AE24" s="126"/>
      <c r="AS24" s="99">
        <f>DATE($AS$8,3,1)</f>
        <v>45352</v>
      </c>
      <c r="AU24" s="100">
        <f t="shared" si="12"/>
        <v>0</v>
      </c>
      <c r="AV24" s="100">
        <f t="shared" si="13"/>
        <v>0</v>
      </c>
      <c r="AW24" s="97">
        <f t="shared" si="14"/>
        <v>0</v>
      </c>
      <c r="AX24" s="97">
        <f t="shared" si="15"/>
        <v>0</v>
      </c>
      <c r="AY24" s="97">
        <f t="shared" si="16"/>
        <v>0</v>
      </c>
      <c r="AZ24" s="100">
        <f t="shared" si="17"/>
        <v>0</v>
      </c>
      <c r="BC24" s="271">
        <f>C39</f>
        <v>0</v>
      </c>
      <c r="BD24" s="48"/>
      <c r="BE24" s="275">
        <f>X39</f>
        <v>0</v>
      </c>
      <c r="BF24" s="39" t="str">
        <f>IF(BC24=0,"",AA39)</f>
        <v/>
      </c>
      <c r="BG24" s="39" t="str">
        <f t="shared" si="22"/>
        <v/>
      </c>
      <c r="BH24" s="276" t="str">
        <f t="shared" ref="BH24:BH26" si="23">IF(BG24="","",MONTH(BG24))</f>
        <v/>
      </c>
      <c r="BI24" s="193" t="s">
        <v>321</v>
      </c>
      <c r="BJ24" s="193">
        <v>3</v>
      </c>
      <c r="BK24" s="275">
        <f t="shared" si="18"/>
        <v>0</v>
      </c>
      <c r="BM24" s="275">
        <f t="shared" si="19"/>
        <v>0</v>
      </c>
      <c r="BN24" s="193">
        <f t="shared" si="20"/>
        <v>0</v>
      </c>
      <c r="BO24" s="275">
        <f t="shared" si="21"/>
        <v>0</v>
      </c>
    </row>
    <row r="25" spans="2:68" ht="30" customHeight="1" x14ac:dyDescent="0.25">
      <c r="B25" s="404"/>
      <c r="C25" s="438" t="s">
        <v>57</v>
      </c>
      <c r="D25" s="439"/>
      <c r="E25" s="106"/>
      <c r="F25" s="107"/>
      <c r="G25" s="108"/>
      <c r="H25" s="108"/>
      <c r="I25" s="108"/>
      <c r="J25" s="108"/>
      <c r="K25" s="108"/>
      <c r="L25" s="61">
        <f t="shared" si="7"/>
        <v>0</v>
      </c>
      <c r="M25" s="66">
        <f t="shared" si="10"/>
        <v>0</v>
      </c>
      <c r="N25" s="63"/>
      <c r="O25" s="107"/>
      <c r="P25" s="108"/>
      <c r="Q25" s="108"/>
      <c r="R25" s="108"/>
      <c r="S25" s="108"/>
      <c r="T25" s="61">
        <f t="shared" si="8"/>
        <v>0</v>
      </c>
      <c r="U25" s="114"/>
      <c r="V25" s="65"/>
      <c r="W25" s="66">
        <f t="shared" si="11"/>
        <v>0</v>
      </c>
      <c r="X25" s="107"/>
      <c r="Y25" s="108"/>
      <c r="Z25" s="61">
        <f t="shared" si="9"/>
        <v>0</v>
      </c>
      <c r="AA25" s="118"/>
      <c r="AB25" s="119"/>
      <c r="AC25" s="124"/>
      <c r="AD25" s="125"/>
      <c r="AE25" s="126"/>
      <c r="AS25" s="99">
        <f>DATE($AS$8,4,1)</f>
        <v>45383</v>
      </c>
      <c r="AU25" s="100">
        <f t="shared" si="12"/>
        <v>0</v>
      </c>
      <c r="AV25" s="100">
        <f t="shared" si="13"/>
        <v>0</v>
      </c>
      <c r="AW25" s="97">
        <f t="shared" si="14"/>
        <v>0</v>
      </c>
      <c r="AX25" s="97">
        <f t="shared" si="15"/>
        <v>0</v>
      </c>
      <c r="AY25" s="97">
        <f t="shared" si="16"/>
        <v>0</v>
      </c>
      <c r="AZ25" s="100">
        <f t="shared" si="17"/>
        <v>0</v>
      </c>
      <c r="BC25" s="271">
        <f>C40</f>
        <v>0</v>
      </c>
      <c r="BD25" s="48"/>
      <c r="BE25" s="275">
        <f>X40</f>
        <v>0</v>
      </c>
      <c r="BF25" s="39" t="str">
        <f>IF(BC25=0,"",AA40)</f>
        <v/>
      </c>
      <c r="BG25" s="39" t="str">
        <f t="shared" si="22"/>
        <v/>
      </c>
      <c r="BH25" s="276" t="str">
        <f t="shared" si="23"/>
        <v/>
      </c>
      <c r="BI25" s="193" t="s">
        <v>322</v>
      </c>
      <c r="BJ25" s="193">
        <v>4</v>
      </c>
      <c r="BK25" s="275">
        <f t="shared" si="18"/>
        <v>0</v>
      </c>
      <c r="BM25" s="275">
        <f t="shared" si="19"/>
        <v>0</v>
      </c>
      <c r="BN25" s="193">
        <f t="shared" si="20"/>
        <v>0</v>
      </c>
      <c r="BO25" s="275">
        <f t="shared" si="21"/>
        <v>0</v>
      </c>
      <c r="BP25" s="77"/>
    </row>
    <row r="26" spans="2:68" ht="30" customHeight="1" x14ac:dyDescent="0.25">
      <c r="B26" s="404"/>
      <c r="C26" s="438" t="s">
        <v>58</v>
      </c>
      <c r="D26" s="439"/>
      <c r="E26" s="106"/>
      <c r="F26" s="107"/>
      <c r="G26" s="108"/>
      <c r="H26" s="108"/>
      <c r="I26" s="108"/>
      <c r="J26" s="108"/>
      <c r="K26" s="108"/>
      <c r="L26" s="61">
        <f t="shared" si="7"/>
        <v>0</v>
      </c>
      <c r="M26" s="66">
        <f t="shared" si="10"/>
        <v>0</v>
      </c>
      <c r="N26" s="63"/>
      <c r="O26" s="107"/>
      <c r="P26" s="108"/>
      <c r="Q26" s="108"/>
      <c r="R26" s="108"/>
      <c r="S26" s="108"/>
      <c r="T26" s="61">
        <f t="shared" si="8"/>
        <v>0</v>
      </c>
      <c r="U26" s="114"/>
      <c r="V26" s="65"/>
      <c r="W26" s="66">
        <f t="shared" si="11"/>
        <v>0</v>
      </c>
      <c r="X26" s="107"/>
      <c r="Y26" s="108"/>
      <c r="Z26" s="61">
        <f t="shared" si="9"/>
        <v>0</v>
      </c>
      <c r="AA26" s="118"/>
      <c r="AB26" s="119"/>
      <c r="AC26" s="124"/>
      <c r="AD26" s="125"/>
      <c r="AE26" s="126"/>
      <c r="AS26" s="99">
        <f>DATE($AS$8,5,1)</f>
        <v>45413</v>
      </c>
      <c r="AU26" s="100">
        <f t="shared" si="12"/>
        <v>0</v>
      </c>
      <c r="AV26" s="100">
        <f t="shared" si="13"/>
        <v>0</v>
      </c>
      <c r="AW26" s="97">
        <f t="shared" si="14"/>
        <v>0</v>
      </c>
      <c r="AX26" s="97">
        <f t="shared" si="15"/>
        <v>0</v>
      </c>
      <c r="AY26" s="97">
        <f t="shared" si="16"/>
        <v>0</v>
      </c>
      <c r="AZ26" s="100">
        <f t="shared" si="17"/>
        <v>0</v>
      </c>
      <c r="BC26" s="271">
        <f>C44</f>
        <v>0</v>
      </c>
      <c r="BD26" s="48"/>
      <c r="BE26" s="275">
        <f>X44</f>
        <v>0</v>
      </c>
      <c r="BF26" s="39" t="str">
        <f>IF(BC26=0,"",AA44)</f>
        <v/>
      </c>
      <c r="BG26" s="39" t="str">
        <f t="shared" si="22"/>
        <v/>
      </c>
      <c r="BH26" s="276" t="str">
        <f t="shared" si="23"/>
        <v/>
      </c>
      <c r="BI26" s="193" t="s">
        <v>323</v>
      </c>
      <c r="BJ26" s="193">
        <v>5</v>
      </c>
      <c r="BK26" s="275">
        <f t="shared" si="18"/>
        <v>0</v>
      </c>
      <c r="BM26" s="275">
        <f t="shared" si="19"/>
        <v>0</v>
      </c>
      <c r="BN26" s="193">
        <f t="shared" si="20"/>
        <v>0</v>
      </c>
      <c r="BO26" s="275">
        <f t="shared" si="21"/>
        <v>0</v>
      </c>
    </row>
    <row r="27" spans="2:68" ht="30" customHeight="1" x14ac:dyDescent="0.25">
      <c r="B27" s="404"/>
      <c r="C27" s="438" t="s">
        <v>59</v>
      </c>
      <c r="D27" s="439"/>
      <c r="E27" s="106"/>
      <c r="F27" s="107"/>
      <c r="G27" s="108"/>
      <c r="H27" s="108"/>
      <c r="I27" s="108"/>
      <c r="J27" s="108"/>
      <c r="K27" s="108"/>
      <c r="L27" s="61">
        <f t="shared" si="7"/>
        <v>0</v>
      </c>
      <c r="M27" s="66">
        <f t="shared" si="10"/>
        <v>0</v>
      </c>
      <c r="N27" s="63"/>
      <c r="O27" s="107"/>
      <c r="P27" s="108"/>
      <c r="Q27" s="108"/>
      <c r="R27" s="108"/>
      <c r="S27" s="108"/>
      <c r="T27" s="61">
        <f t="shared" si="8"/>
        <v>0</v>
      </c>
      <c r="U27" s="114"/>
      <c r="V27" s="65"/>
      <c r="W27" s="66">
        <f t="shared" si="11"/>
        <v>0</v>
      </c>
      <c r="X27" s="107"/>
      <c r="Y27" s="108"/>
      <c r="Z27" s="61">
        <f t="shared" si="9"/>
        <v>0</v>
      </c>
      <c r="AA27" s="118"/>
      <c r="AB27" s="119"/>
      <c r="AC27" s="124"/>
      <c r="AD27" s="125"/>
      <c r="AE27" s="126"/>
      <c r="AS27" s="99">
        <f>DATE($AS$8,6,1)</f>
        <v>45444</v>
      </c>
      <c r="AU27" s="100">
        <f t="shared" si="12"/>
        <v>0</v>
      </c>
      <c r="AV27" s="100">
        <f t="shared" si="13"/>
        <v>0</v>
      </c>
      <c r="AW27" s="97">
        <f t="shared" si="14"/>
        <v>0</v>
      </c>
      <c r="AX27" s="97">
        <f t="shared" si="15"/>
        <v>0</v>
      </c>
      <c r="AY27" s="97">
        <f t="shared" si="16"/>
        <v>0</v>
      </c>
      <c r="AZ27" s="100">
        <f t="shared" si="17"/>
        <v>0</v>
      </c>
      <c r="BI27" s="193" t="s">
        <v>324</v>
      </c>
      <c r="BJ27" s="193">
        <v>6</v>
      </c>
      <c r="BK27" s="275">
        <f t="shared" si="18"/>
        <v>0</v>
      </c>
      <c r="BM27" s="275">
        <f t="shared" si="19"/>
        <v>0</v>
      </c>
      <c r="BN27" s="193">
        <f t="shared" si="20"/>
        <v>0</v>
      </c>
      <c r="BO27" s="275">
        <f t="shared" si="21"/>
        <v>0</v>
      </c>
    </row>
    <row r="28" spans="2:68" ht="30" customHeight="1" x14ac:dyDescent="0.25">
      <c r="B28" s="404"/>
      <c r="C28" s="438" t="s">
        <v>60</v>
      </c>
      <c r="D28" s="439"/>
      <c r="E28" s="106"/>
      <c r="F28" s="107"/>
      <c r="G28" s="108"/>
      <c r="H28" s="108"/>
      <c r="I28" s="108"/>
      <c r="J28" s="108"/>
      <c r="K28" s="108"/>
      <c r="L28" s="61">
        <f t="shared" si="7"/>
        <v>0</v>
      </c>
      <c r="M28" s="66">
        <f t="shared" si="10"/>
        <v>0</v>
      </c>
      <c r="N28" s="63"/>
      <c r="O28" s="107"/>
      <c r="P28" s="108"/>
      <c r="Q28" s="108"/>
      <c r="R28" s="108"/>
      <c r="S28" s="108"/>
      <c r="T28" s="61">
        <f t="shared" si="8"/>
        <v>0</v>
      </c>
      <c r="U28" s="114"/>
      <c r="V28" s="65"/>
      <c r="W28" s="66">
        <f t="shared" si="11"/>
        <v>0</v>
      </c>
      <c r="X28" s="107"/>
      <c r="Y28" s="108"/>
      <c r="Z28" s="61">
        <f t="shared" si="9"/>
        <v>0</v>
      </c>
      <c r="AA28" s="118"/>
      <c r="AB28" s="119"/>
      <c r="AC28" s="124"/>
      <c r="AD28" s="125"/>
      <c r="AE28" s="126"/>
      <c r="AS28" s="99">
        <f>DATE($AS$8,7,1)</f>
        <v>45474</v>
      </c>
      <c r="AU28" s="100">
        <f t="shared" si="12"/>
        <v>0</v>
      </c>
      <c r="AV28" s="100">
        <f t="shared" si="13"/>
        <v>0</v>
      </c>
      <c r="AW28" s="97">
        <f t="shared" si="14"/>
        <v>0</v>
      </c>
      <c r="AX28" s="97">
        <f t="shared" si="15"/>
        <v>0</v>
      </c>
      <c r="AY28" s="97">
        <f t="shared" si="16"/>
        <v>0</v>
      </c>
      <c r="AZ28" s="100">
        <f t="shared" si="17"/>
        <v>0</v>
      </c>
      <c r="BI28" s="193" t="s">
        <v>325</v>
      </c>
      <c r="BJ28" s="193">
        <v>7</v>
      </c>
      <c r="BK28" s="275">
        <f t="shared" si="18"/>
        <v>0</v>
      </c>
      <c r="BM28" s="275">
        <f t="shared" si="19"/>
        <v>0</v>
      </c>
      <c r="BN28" s="193">
        <f t="shared" si="20"/>
        <v>0</v>
      </c>
      <c r="BO28" s="275">
        <f t="shared" si="21"/>
        <v>0</v>
      </c>
    </row>
    <row r="29" spans="2:68" ht="30" customHeight="1" x14ac:dyDescent="0.25">
      <c r="B29" s="404"/>
      <c r="C29" s="438" t="s">
        <v>61</v>
      </c>
      <c r="D29" s="439"/>
      <c r="E29" s="106"/>
      <c r="F29" s="107"/>
      <c r="G29" s="108"/>
      <c r="H29" s="108"/>
      <c r="I29" s="108"/>
      <c r="J29" s="108"/>
      <c r="K29" s="108"/>
      <c r="L29" s="61">
        <f t="shared" si="7"/>
        <v>0</v>
      </c>
      <c r="M29" s="66">
        <f t="shared" si="10"/>
        <v>0</v>
      </c>
      <c r="N29" s="63"/>
      <c r="O29" s="107"/>
      <c r="P29" s="108"/>
      <c r="Q29" s="108"/>
      <c r="R29" s="108"/>
      <c r="S29" s="108"/>
      <c r="T29" s="61">
        <f t="shared" si="8"/>
        <v>0</v>
      </c>
      <c r="U29" s="114"/>
      <c r="V29" s="65"/>
      <c r="W29" s="66">
        <f t="shared" si="11"/>
        <v>0</v>
      </c>
      <c r="X29" s="107"/>
      <c r="Y29" s="108"/>
      <c r="Z29" s="61">
        <f t="shared" si="9"/>
        <v>0</v>
      </c>
      <c r="AA29" s="118"/>
      <c r="AB29" s="119"/>
      <c r="AC29" s="124"/>
      <c r="AD29" s="125"/>
      <c r="AE29" s="126"/>
      <c r="AS29" s="99">
        <f>DATE($AS$8,8,1)</f>
        <v>45505</v>
      </c>
      <c r="AU29" s="100">
        <f t="shared" si="12"/>
        <v>0</v>
      </c>
      <c r="AV29" s="100">
        <f t="shared" si="13"/>
        <v>0</v>
      </c>
      <c r="AW29" s="97">
        <f t="shared" si="14"/>
        <v>0</v>
      </c>
      <c r="AX29" s="97">
        <f t="shared" si="15"/>
        <v>0</v>
      </c>
      <c r="AY29" s="97">
        <f t="shared" si="16"/>
        <v>0</v>
      </c>
      <c r="AZ29" s="100">
        <f t="shared" si="17"/>
        <v>0</v>
      </c>
      <c r="BI29" s="193" t="s">
        <v>326</v>
      </c>
      <c r="BJ29" s="193">
        <v>8</v>
      </c>
      <c r="BK29" s="275">
        <f t="shared" si="18"/>
        <v>0</v>
      </c>
      <c r="BM29" s="275">
        <f t="shared" si="19"/>
        <v>0</v>
      </c>
      <c r="BN29" s="193">
        <f t="shared" si="20"/>
        <v>0</v>
      </c>
      <c r="BO29" s="275">
        <f t="shared" si="21"/>
        <v>0</v>
      </c>
    </row>
    <row r="30" spans="2:68" ht="30" customHeight="1" x14ac:dyDescent="0.25">
      <c r="B30" s="404"/>
      <c r="C30" s="438" t="s">
        <v>62</v>
      </c>
      <c r="D30" s="439"/>
      <c r="E30" s="106"/>
      <c r="F30" s="107"/>
      <c r="G30" s="108"/>
      <c r="H30" s="108"/>
      <c r="I30" s="108"/>
      <c r="J30" s="108"/>
      <c r="K30" s="108"/>
      <c r="L30" s="61">
        <f t="shared" si="7"/>
        <v>0</v>
      </c>
      <c r="M30" s="66">
        <f t="shared" si="10"/>
        <v>0</v>
      </c>
      <c r="N30" s="63"/>
      <c r="O30" s="107"/>
      <c r="P30" s="108"/>
      <c r="Q30" s="108"/>
      <c r="R30" s="108"/>
      <c r="S30" s="108"/>
      <c r="T30" s="61">
        <f t="shared" si="8"/>
        <v>0</v>
      </c>
      <c r="U30" s="114"/>
      <c r="V30" s="65"/>
      <c r="W30" s="66">
        <f t="shared" si="11"/>
        <v>0</v>
      </c>
      <c r="X30" s="107"/>
      <c r="Y30" s="108"/>
      <c r="Z30" s="61">
        <f t="shared" si="9"/>
        <v>0</v>
      </c>
      <c r="AA30" s="118"/>
      <c r="AB30" s="119"/>
      <c r="AC30" s="124"/>
      <c r="AD30" s="125"/>
      <c r="AE30" s="126"/>
      <c r="AS30" s="99">
        <f>DATE($AS$8,9,1)</f>
        <v>45536</v>
      </c>
      <c r="AU30" s="100">
        <f t="shared" si="12"/>
        <v>0</v>
      </c>
      <c r="AV30" s="100">
        <f t="shared" si="13"/>
        <v>0</v>
      </c>
      <c r="AW30" s="97">
        <f t="shared" si="14"/>
        <v>0</v>
      </c>
      <c r="AX30" s="97">
        <f t="shared" si="15"/>
        <v>0</v>
      </c>
      <c r="AY30" s="97">
        <f t="shared" si="16"/>
        <v>0</v>
      </c>
      <c r="AZ30" s="100">
        <f t="shared" si="17"/>
        <v>0</v>
      </c>
      <c r="BI30" s="193" t="s">
        <v>327</v>
      </c>
      <c r="BJ30" s="193">
        <v>9</v>
      </c>
      <c r="BK30" s="275">
        <f t="shared" si="18"/>
        <v>0</v>
      </c>
      <c r="BM30" s="275">
        <f t="shared" si="19"/>
        <v>0</v>
      </c>
      <c r="BN30" s="193">
        <f t="shared" si="20"/>
        <v>0</v>
      </c>
      <c r="BO30" s="275">
        <f t="shared" si="21"/>
        <v>0</v>
      </c>
    </row>
    <row r="31" spans="2:68" ht="30" customHeight="1" thickBot="1" x14ac:dyDescent="0.3">
      <c r="B31" s="404"/>
      <c r="C31" s="438" t="s">
        <v>63</v>
      </c>
      <c r="D31" s="439"/>
      <c r="E31" s="106"/>
      <c r="F31" s="109"/>
      <c r="G31" s="110"/>
      <c r="H31" s="110"/>
      <c r="I31" s="110"/>
      <c r="J31" s="110"/>
      <c r="K31" s="110"/>
      <c r="L31" s="61">
        <f t="shared" si="7"/>
        <v>0</v>
      </c>
      <c r="M31" s="66">
        <f t="shared" si="10"/>
        <v>0</v>
      </c>
      <c r="N31" s="63"/>
      <c r="O31" s="111"/>
      <c r="P31" s="112"/>
      <c r="Q31" s="112"/>
      <c r="R31" s="112"/>
      <c r="S31" s="112"/>
      <c r="T31" s="67">
        <f t="shared" si="8"/>
        <v>0</v>
      </c>
      <c r="U31" s="115"/>
      <c r="V31" s="65"/>
      <c r="W31" s="66">
        <f t="shared" si="11"/>
        <v>0</v>
      </c>
      <c r="X31" s="109"/>
      <c r="Y31" s="110"/>
      <c r="Z31" s="68">
        <f t="shared" si="9"/>
        <v>0</v>
      </c>
      <c r="AA31" s="120"/>
      <c r="AB31" s="121"/>
      <c r="AC31" s="127"/>
      <c r="AD31" s="128"/>
      <c r="AE31" s="129"/>
      <c r="AS31" s="99">
        <f>DATE($AS$8,10,1)</f>
        <v>45566</v>
      </c>
      <c r="AU31" s="100">
        <f t="shared" si="12"/>
        <v>0</v>
      </c>
      <c r="AV31" s="100">
        <f t="shared" si="13"/>
        <v>0</v>
      </c>
      <c r="AW31" s="97">
        <f t="shared" si="14"/>
        <v>0</v>
      </c>
      <c r="AX31" s="97">
        <f t="shared" si="15"/>
        <v>0</v>
      </c>
      <c r="AY31" s="97">
        <f t="shared" si="16"/>
        <v>0</v>
      </c>
      <c r="AZ31" s="100">
        <f t="shared" si="17"/>
        <v>0</v>
      </c>
      <c r="BI31" s="193" t="s">
        <v>328</v>
      </c>
      <c r="BJ31" s="193">
        <v>10</v>
      </c>
      <c r="BK31" s="275">
        <f t="shared" si="18"/>
        <v>0</v>
      </c>
      <c r="BM31" s="275">
        <f t="shared" si="19"/>
        <v>0</v>
      </c>
      <c r="BN31" s="193">
        <f t="shared" si="20"/>
        <v>0</v>
      </c>
      <c r="BO31" s="275">
        <f t="shared" si="21"/>
        <v>0</v>
      </c>
    </row>
    <row r="32" spans="2:68" ht="9.9499999999999993" customHeight="1" thickBot="1" x14ac:dyDescent="0.3">
      <c r="B32" s="404"/>
      <c r="C32" s="50"/>
      <c r="D32" s="51"/>
      <c r="E32" s="69"/>
      <c r="F32" s="70"/>
      <c r="G32" s="71"/>
      <c r="H32" s="71"/>
      <c r="I32" s="71"/>
      <c r="J32" s="71"/>
      <c r="K32" s="71"/>
      <c r="L32" s="71"/>
      <c r="M32" s="72"/>
      <c r="N32" s="73"/>
      <c r="O32" s="74"/>
      <c r="P32" s="74"/>
      <c r="Q32" s="74"/>
      <c r="R32" s="74"/>
      <c r="S32" s="74"/>
      <c r="T32" s="74"/>
      <c r="U32" s="74"/>
      <c r="V32" s="75"/>
      <c r="W32" s="72"/>
      <c r="X32" s="70"/>
      <c r="Y32" s="71"/>
      <c r="Z32" s="71"/>
      <c r="AA32" s="71"/>
      <c r="AB32" s="72"/>
      <c r="AC32" s="70"/>
      <c r="AD32" s="72"/>
      <c r="AE32" s="76"/>
      <c r="AS32" s="99">
        <f>DATE($AS$8,11,1)</f>
        <v>45597</v>
      </c>
      <c r="AU32" s="100">
        <f t="shared" si="12"/>
        <v>0</v>
      </c>
      <c r="AV32" s="100">
        <f t="shared" si="13"/>
        <v>0</v>
      </c>
      <c r="AW32" s="97">
        <f t="shared" si="14"/>
        <v>0</v>
      </c>
      <c r="AX32" s="97">
        <f t="shared" si="15"/>
        <v>0</v>
      </c>
      <c r="AY32" s="97">
        <f t="shared" si="16"/>
        <v>0</v>
      </c>
      <c r="AZ32" s="100">
        <f t="shared" si="17"/>
        <v>0</v>
      </c>
      <c r="BI32" s="193" t="s">
        <v>329</v>
      </c>
      <c r="BJ32" s="193">
        <v>11</v>
      </c>
      <c r="BK32" s="275">
        <f t="shared" si="18"/>
        <v>0</v>
      </c>
      <c r="BM32" s="275">
        <f t="shared" si="19"/>
        <v>0</v>
      </c>
      <c r="BN32" s="193">
        <f t="shared" si="20"/>
        <v>0</v>
      </c>
      <c r="BO32" s="275">
        <f t="shared" si="21"/>
        <v>0</v>
      </c>
    </row>
    <row r="33" spans="2:68" s="77" customFormat="1" ht="54.95" customHeight="1" thickTop="1" thickBot="1" x14ac:dyDescent="0.3">
      <c r="B33" s="404"/>
      <c r="C33" s="460" t="s">
        <v>338</v>
      </c>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1"/>
      <c r="AH33" s="26"/>
      <c r="AI33" s="26"/>
      <c r="AJ33" s="26"/>
      <c r="AK33" s="26"/>
      <c r="AL33" s="26"/>
      <c r="AM33" s="26"/>
      <c r="AN33" s="26"/>
      <c r="AO33" s="26"/>
      <c r="AP33" s="26"/>
      <c r="AQ33" s="26"/>
      <c r="AR33" s="26"/>
      <c r="AS33" s="99"/>
      <c r="AT33" s="26"/>
      <c r="AU33" s="100"/>
      <c r="AV33" s="100"/>
      <c r="AW33" s="97"/>
      <c r="AX33" s="97"/>
      <c r="AY33" s="97"/>
      <c r="AZ33" s="100"/>
      <c r="BA33" s="26"/>
      <c r="BB33" s="26"/>
      <c r="BC33" s="26"/>
      <c r="BD33" s="26"/>
      <c r="BE33" s="26"/>
      <c r="BF33" s="26"/>
      <c r="BG33" s="26"/>
      <c r="BH33" s="26"/>
      <c r="BI33" s="193"/>
      <c r="BJ33" s="193"/>
      <c r="BK33" s="275"/>
      <c r="BL33" s="26"/>
      <c r="BM33" s="275"/>
      <c r="BN33" s="193"/>
      <c r="BO33" s="275"/>
      <c r="BP33" s="26"/>
    </row>
    <row r="34" spans="2:68" ht="20.100000000000001" customHeight="1" thickTop="1" thickBot="1" x14ac:dyDescent="0.3">
      <c r="B34" s="404"/>
      <c r="C34" s="454" t="s">
        <v>100</v>
      </c>
      <c r="D34" s="455"/>
      <c r="E34" s="456"/>
      <c r="F34" s="407" t="s">
        <v>98</v>
      </c>
      <c r="G34" s="408"/>
      <c r="H34" s="408"/>
      <c r="I34" s="408"/>
      <c r="J34" s="408"/>
      <c r="K34" s="408"/>
      <c r="L34" s="408"/>
      <c r="M34" s="409"/>
      <c r="N34" s="411" t="s">
        <v>101</v>
      </c>
      <c r="O34" s="412"/>
      <c r="P34" s="412"/>
      <c r="Q34" s="412"/>
      <c r="R34" s="412"/>
      <c r="S34" s="412"/>
      <c r="T34" s="412"/>
      <c r="U34" s="412"/>
      <c r="V34" s="413"/>
      <c r="W34" s="424" t="s">
        <v>90</v>
      </c>
      <c r="X34" s="441" t="s">
        <v>76</v>
      </c>
      <c r="Y34" s="427" t="s">
        <v>66</v>
      </c>
      <c r="Z34" s="427" t="s">
        <v>67</v>
      </c>
      <c r="AA34" s="427" t="s">
        <v>74</v>
      </c>
      <c r="AB34" s="418" t="s">
        <v>97</v>
      </c>
      <c r="AC34" s="441" t="s">
        <v>104</v>
      </c>
      <c r="AD34" s="418" t="s">
        <v>103</v>
      </c>
      <c r="AE34" s="421" t="s">
        <v>77</v>
      </c>
      <c r="AS34" s="99"/>
      <c r="AU34" s="100"/>
      <c r="AV34" s="100"/>
      <c r="AW34" s="97"/>
      <c r="AX34" s="97"/>
      <c r="AY34" s="97"/>
      <c r="AZ34" s="100"/>
      <c r="BI34" s="193"/>
      <c r="BJ34" s="193"/>
      <c r="BK34" s="275"/>
      <c r="BM34" s="275"/>
      <c r="BN34" s="193"/>
      <c r="BO34" s="275"/>
    </row>
    <row r="35" spans="2:68" ht="15" customHeight="1" x14ac:dyDescent="0.25">
      <c r="B35" s="404"/>
      <c r="C35" s="432" t="s">
        <v>80</v>
      </c>
      <c r="D35" s="410" t="s">
        <v>71</v>
      </c>
      <c r="E35" s="462"/>
      <c r="F35" s="452" t="s">
        <v>64</v>
      </c>
      <c r="G35" s="410" t="s">
        <v>82</v>
      </c>
      <c r="H35" s="410"/>
      <c r="I35" s="410"/>
      <c r="J35" s="410"/>
      <c r="K35" s="410"/>
      <c r="L35" s="416"/>
      <c r="M35" s="444" t="s">
        <v>109</v>
      </c>
      <c r="N35" s="54"/>
      <c r="O35" s="417" t="s">
        <v>83</v>
      </c>
      <c r="P35" s="410"/>
      <c r="Q35" s="410"/>
      <c r="R35" s="410"/>
      <c r="S35" s="410"/>
      <c r="T35" s="410"/>
      <c r="U35" s="444" t="s">
        <v>102</v>
      </c>
      <c r="V35" s="55"/>
      <c r="W35" s="425"/>
      <c r="X35" s="442"/>
      <c r="Y35" s="428"/>
      <c r="Z35" s="428"/>
      <c r="AA35" s="428"/>
      <c r="AB35" s="419"/>
      <c r="AC35" s="442"/>
      <c r="AD35" s="419"/>
      <c r="AE35" s="422"/>
      <c r="AS35" s="99">
        <f>DATE($AS$8,12,1)</f>
        <v>45627</v>
      </c>
      <c r="AU35" s="100">
        <f>IF($AH$6=0,0,IF(AND(AS35&gt;=$D$37,AS35&lt;=$E$37),ROUND($AP$6/$AQ$6,2),0))</f>
        <v>0</v>
      </c>
      <c r="AV35" s="100">
        <f>IF($AH$7=0,0,IF(AND(MONTH(AS35)&gt;=MONTH($D$38),MONTH(AS35)&lt;=MONTH($E$38)),ROUND($AP$7/$AQ$7,2),0))</f>
        <v>0</v>
      </c>
      <c r="AW35" s="97">
        <f>IF($AH$8=0,0,IF(AND(MONTH(AS35)&gt;=MONTH($D$39),MONTH(AS35)&lt;=MONTH($E$39)),ROUND($AP$8/$AQ$8,2),0))</f>
        <v>0</v>
      </c>
      <c r="AX35" s="97">
        <f>IF($AH$9=0,0,IF(AND(MONTH(AS35)&gt;=MONTH($D$40),MONTH(AS35)&lt;=MONTH($E$40)),ROUND($AP$9/$AQ$9,2),0))</f>
        <v>0</v>
      </c>
      <c r="AY35" s="97">
        <f>IF($AH$10=0,0,IF(AND(MONTH(AS35)&gt;=MONTH($D$44),MONTH(AS35)&lt;=MONTH($E$44)),ROUND($AP$10/$AQ$10,2),0))</f>
        <v>0</v>
      </c>
      <c r="AZ35" s="100">
        <f t="shared" si="17"/>
        <v>0</v>
      </c>
      <c r="BI35" s="193" t="s">
        <v>330</v>
      </c>
      <c r="BJ35" s="193">
        <v>12</v>
      </c>
      <c r="BK35" s="275">
        <f>X31</f>
        <v>0</v>
      </c>
      <c r="BM35" s="275">
        <f>H59</f>
        <v>0</v>
      </c>
      <c r="BN35" s="193">
        <f>SUMIFS($BE$22:$BE$26,$BH$22:$BH$26,"="&amp;BJ35)</f>
        <v>0</v>
      </c>
      <c r="BO35" s="275">
        <f t="shared" si="21"/>
        <v>0</v>
      </c>
    </row>
    <row r="36" spans="2:68" ht="45" customHeight="1" thickBot="1" x14ac:dyDescent="0.3">
      <c r="B36" s="404"/>
      <c r="C36" s="433"/>
      <c r="D36" s="78" t="s">
        <v>78</v>
      </c>
      <c r="E36" s="79" t="s">
        <v>79</v>
      </c>
      <c r="F36" s="453"/>
      <c r="G36" s="56" t="s">
        <v>110</v>
      </c>
      <c r="H36" s="56" t="s">
        <v>111</v>
      </c>
      <c r="I36" s="56" t="s">
        <v>112</v>
      </c>
      <c r="J36" s="56" t="s">
        <v>113</v>
      </c>
      <c r="K36" s="56" t="s">
        <v>114</v>
      </c>
      <c r="L36" s="57" t="s">
        <v>121</v>
      </c>
      <c r="M36" s="445"/>
      <c r="N36" s="58"/>
      <c r="O36" s="59" t="s">
        <v>115</v>
      </c>
      <c r="P36" s="56" t="s">
        <v>116</v>
      </c>
      <c r="Q36" s="56" t="s">
        <v>117</v>
      </c>
      <c r="R36" s="56" t="s">
        <v>118</v>
      </c>
      <c r="S36" s="56" t="s">
        <v>119</v>
      </c>
      <c r="T36" s="56" t="s">
        <v>120</v>
      </c>
      <c r="U36" s="445"/>
      <c r="V36" s="60"/>
      <c r="W36" s="426"/>
      <c r="X36" s="443"/>
      <c r="Y36" s="429"/>
      <c r="Z36" s="429"/>
      <c r="AA36" s="429"/>
      <c r="AB36" s="420"/>
      <c r="AC36" s="443"/>
      <c r="AD36" s="420"/>
      <c r="AE36" s="423"/>
    </row>
    <row r="37" spans="2:68" ht="30" customHeight="1" x14ac:dyDescent="0.25">
      <c r="B37" s="404"/>
      <c r="C37" s="130"/>
      <c r="D37" s="116"/>
      <c r="E37" s="117"/>
      <c r="F37" s="104"/>
      <c r="G37" s="105"/>
      <c r="H37" s="105"/>
      <c r="I37" s="105"/>
      <c r="J37" s="105"/>
      <c r="K37" s="105"/>
      <c r="L37" s="80">
        <f>SUM(G37:K37)</f>
        <v>0</v>
      </c>
      <c r="M37" s="81">
        <f>F37+L37</f>
        <v>0</v>
      </c>
      <c r="N37" s="82"/>
      <c r="O37" s="132"/>
      <c r="P37" s="133"/>
      <c r="Q37" s="133"/>
      <c r="R37" s="133"/>
      <c r="S37" s="133"/>
      <c r="T37" s="80">
        <f>SUM(O37:S37)</f>
        <v>0</v>
      </c>
      <c r="U37" s="134"/>
      <c r="V37" s="65"/>
      <c r="W37" s="83">
        <f>M37+T37+U37</f>
        <v>0</v>
      </c>
      <c r="X37" s="132"/>
      <c r="Y37" s="133"/>
      <c r="Z37" s="64">
        <f>F37+L37+T37+U37-X37-Y37</f>
        <v>0</v>
      </c>
      <c r="AA37" s="116"/>
      <c r="AB37" s="117"/>
      <c r="AC37" s="122"/>
      <c r="AD37" s="123"/>
      <c r="AE37" s="268"/>
      <c r="AS37" s="27"/>
      <c r="AT37" s="27"/>
    </row>
    <row r="38" spans="2:68" ht="30" customHeight="1" x14ac:dyDescent="0.25">
      <c r="B38" s="404"/>
      <c r="C38" s="131"/>
      <c r="D38" s="118"/>
      <c r="E38" s="119"/>
      <c r="F38" s="107"/>
      <c r="G38" s="108"/>
      <c r="H38" s="108"/>
      <c r="I38" s="108"/>
      <c r="J38" s="108"/>
      <c r="K38" s="108"/>
      <c r="L38" s="61">
        <f>SUM(G38:K38)</f>
        <v>0</v>
      </c>
      <c r="M38" s="84">
        <f t="shared" ref="M38:M44" si="24">F38+L38</f>
        <v>0</v>
      </c>
      <c r="N38" s="82"/>
      <c r="O38" s="107"/>
      <c r="P38" s="108"/>
      <c r="Q38" s="108"/>
      <c r="R38" s="108"/>
      <c r="S38" s="108"/>
      <c r="T38" s="61">
        <f t="shared" ref="T38:T44" si="25">SUM(O38:S38)</f>
        <v>0</v>
      </c>
      <c r="U38" s="135"/>
      <c r="V38" s="65"/>
      <c r="W38" s="85">
        <f t="shared" ref="W38:W44" si="26">M38+T38+U38</f>
        <v>0</v>
      </c>
      <c r="X38" s="107"/>
      <c r="Y38" s="108"/>
      <c r="Z38" s="64">
        <f t="shared" ref="Z38:Z44" si="27">F38+L38+T38+U38-X38-Y38</f>
        <v>0</v>
      </c>
      <c r="AA38" s="118"/>
      <c r="AB38" s="119"/>
      <c r="AC38" s="124"/>
      <c r="AD38" s="125"/>
      <c r="AE38" s="267"/>
    </row>
    <row r="39" spans="2:68" ht="30" customHeight="1" x14ac:dyDescent="0.25">
      <c r="B39" s="404"/>
      <c r="C39" s="131"/>
      <c r="D39" s="118"/>
      <c r="E39" s="119"/>
      <c r="F39" s="107"/>
      <c r="G39" s="108"/>
      <c r="H39" s="108"/>
      <c r="I39" s="108"/>
      <c r="J39" s="108"/>
      <c r="K39" s="108"/>
      <c r="L39" s="61">
        <f t="shared" ref="L39:L44" si="28">SUM(G39:K39)</f>
        <v>0</v>
      </c>
      <c r="M39" s="84">
        <f t="shared" si="24"/>
        <v>0</v>
      </c>
      <c r="N39" s="82"/>
      <c r="O39" s="107"/>
      <c r="P39" s="108"/>
      <c r="Q39" s="108"/>
      <c r="R39" s="108"/>
      <c r="S39" s="108"/>
      <c r="T39" s="61">
        <f t="shared" si="25"/>
        <v>0</v>
      </c>
      <c r="U39" s="135"/>
      <c r="V39" s="65"/>
      <c r="W39" s="85">
        <f t="shared" si="26"/>
        <v>0</v>
      </c>
      <c r="X39" s="107"/>
      <c r="Y39" s="108"/>
      <c r="Z39" s="64">
        <f t="shared" si="27"/>
        <v>0</v>
      </c>
      <c r="AA39" s="118"/>
      <c r="AB39" s="119"/>
      <c r="AC39" s="124"/>
      <c r="AD39" s="125"/>
      <c r="AE39" s="267"/>
    </row>
    <row r="40" spans="2:68" ht="30" customHeight="1" x14ac:dyDescent="0.25">
      <c r="B40" s="404"/>
      <c r="C40" s="131"/>
      <c r="D40" s="118"/>
      <c r="E40" s="119"/>
      <c r="F40" s="107"/>
      <c r="G40" s="108"/>
      <c r="H40" s="108"/>
      <c r="I40" s="108"/>
      <c r="J40" s="108"/>
      <c r="K40" s="108"/>
      <c r="L40" s="61">
        <f t="shared" ref="L40:L43" si="29">SUM(G40:K40)</f>
        <v>0</v>
      </c>
      <c r="M40" s="84">
        <f t="shared" ref="M40:M43" si="30">F40+L40</f>
        <v>0</v>
      </c>
      <c r="N40" s="82"/>
      <c r="O40" s="107"/>
      <c r="P40" s="108"/>
      <c r="Q40" s="108"/>
      <c r="R40" s="108"/>
      <c r="S40" s="108"/>
      <c r="T40" s="61">
        <f t="shared" si="25"/>
        <v>0</v>
      </c>
      <c r="U40" s="135"/>
      <c r="V40" s="65"/>
      <c r="W40" s="85">
        <f t="shared" si="26"/>
        <v>0</v>
      </c>
      <c r="X40" s="107"/>
      <c r="Y40" s="108"/>
      <c r="Z40" s="64">
        <f t="shared" si="27"/>
        <v>0</v>
      </c>
      <c r="AA40" s="118"/>
      <c r="AB40" s="119"/>
      <c r="AC40" s="124"/>
      <c r="AD40" s="125"/>
      <c r="AE40" s="267"/>
    </row>
    <row r="41" spans="2:68" ht="30" customHeight="1" x14ac:dyDescent="0.25">
      <c r="B41" s="404"/>
      <c r="C41" s="131"/>
      <c r="D41" s="118"/>
      <c r="E41" s="119"/>
      <c r="F41" s="107"/>
      <c r="G41" s="108"/>
      <c r="H41" s="108"/>
      <c r="I41" s="108"/>
      <c r="J41" s="108"/>
      <c r="K41" s="108"/>
      <c r="L41" s="61">
        <f t="shared" si="29"/>
        <v>0</v>
      </c>
      <c r="M41" s="84">
        <f t="shared" si="30"/>
        <v>0</v>
      </c>
      <c r="N41" s="82"/>
      <c r="O41" s="109"/>
      <c r="P41" s="110"/>
      <c r="Q41" s="110"/>
      <c r="R41" s="110"/>
      <c r="S41" s="110"/>
      <c r="T41" s="61">
        <f t="shared" si="25"/>
        <v>0</v>
      </c>
      <c r="U41" s="294"/>
      <c r="V41" s="65"/>
      <c r="W41" s="85">
        <f t="shared" si="26"/>
        <v>0</v>
      </c>
      <c r="X41" s="109"/>
      <c r="Y41" s="108"/>
      <c r="Z41" s="64">
        <f t="shared" si="27"/>
        <v>0</v>
      </c>
      <c r="AA41" s="118"/>
      <c r="AB41" s="119"/>
      <c r="AC41" s="124"/>
      <c r="AD41" s="125"/>
      <c r="AE41" s="267"/>
    </row>
    <row r="42" spans="2:68" ht="30" customHeight="1" x14ac:dyDescent="0.25">
      <c r="B42" s="404"/>
      <c r="C42" s="131"/>
      <c r="D42" s="118"/>
      <c r="E42" s="119"/>
      <c r="F42" s="107"/>
      <c r="G42" s="108"/>
      <c r="H42" s="108"/>
      <c r="I42" s="108"/>
      <c r="J42" s="108"/>
      <c r="K42" s="108"/>
      <c r="L42" s="61">
        <f t="shared" si="29"/>
        <v>0</v>
      </c>
      <c r="M42" s="84">
        <f t="shared" si="30"/>
        <v>0</v>
      </c>
      <c r="N42" s="82"/>
      <c r="O42" s="109"/>
      <c r="P42" s="110"/>
      <c r="Q42" s="110"/>
      <c r="R42" s="110"/>
      <c r="S42" s="110"/>
      <c r="T42" s="61">
        <f t="shared" si="25"/>
        <v>0</v>
      </c>
      <c r="U42" s="294"/>
      <c r="V42" s="65"/>
      <c r="W42" s="85">
        <f t="shared" si="26"/>
        <v>0</v>
      </c>
      <c r="X42" s="109"/>
      <c r="Y42" s="108"/>
      <c r="Z42" s="64">
        <f t="shared" si="27"/>
        <v>0</v>
      </c>
      <c r="AA42" s="118"/>
      <c r="AB42" s="119"/>
      <c r="AC42" s="124"/>
      <c r="AD42" s="125"/>
      <c r="AE42" s="267"/>
    </row>
    <row r="43" spans="2:68" ht="30" customHeight="1" x14ac:dyDescent="0.25">
      <c r="B43" s="404"/>
      <c r="C43" s="131"/>
      <c r="D43" s="118"/>
      <c r="E43" s="119"/>
      <c r="F43" s="107"/>
      <c r="G43" s="108"/>
      <c r="H43" s="108"/>
      <c r="I43" s="108"/>
      <c r="J43" s="108"/>
      <c r="K43" s="108"/>
      <c r="L43" s="61">
        <f t="shared" si="29"/>
        <v>0</v>
      </c>
      <c r="M43" s="84">
        <f t="shared" si="30"/>
        <v>0</v>
      </c>
      <c r="N43" s="82"/>
      <c r="O43" s="109"/>
      <c r="P43" s="110"/>
      <c r="Q43" s="110"/>
      <c r="R43" s="110"/>
      <c r="S43" s="110"/>
      <c r="T43" s="61">
        <f t="shared" si="25"/>
        <v>0</v>
      </c>
      <c r="U43" s="294"/>
      <c r="V43" s="65"/>
      <c r="W43" s="85">
        <f t="shared" si="26"/>
        <v>0</v>
      </c>
      <c r="X43" s="109"/>
      <c r="Y43" s="108"/>
      <c r="Z43" s="64">
        <f t="shared" si="27"/>
        <v>0</v>
      </c>
      <c r="AA43" s="118"/>
      <c r="AB43" s="119"/>
      <c r="AC43" s="124"/>
      <c r="AD43" s="125"/>
      <c r="AE43" s="267"/>
    </row>
    <row r="44" spans="2:68" ht="30" customHeight="1" thickBot="1" x14ac:dyDescent="0.3">
      <c r="B44" s="404"/>
      <c r="C44" s="131"/>
      <c r="D44" s="118"/>
      <c r="E44" s="119"/>
      <c r="F44" s="107"/>
      <c r="G44" s="108"/>
      <c r="H44" s="108"/>
      <c r="I44" s="108"/>
      <c r="J44" s="108"/>
      <c r="K44" s="108"/>
      <c r="L44" s="61">
        <f t="shared" si="28"/>
        <v>0</v>
      </c>
      <c r="M44" s="84">
        <f t="shared" si="24"/>
        <v>0</v>
      </c>
      <c r="N44" s="82"/>
      <c r="O44" s="111"/>
      <c r="P44" s="112"/>
      <c r="Q44" s="112"/>
      <c r="R44" s="112"/>
      <c r="S44" s="112"/>
      <c r="T44" s="67">
        <f t="shared" si="25"/>
        <v>0</v>
      </c>
      <c r="U44" s="136"/>
      <c r="V44" s="65"/>
      <c r="W44" s="85">
        <f t="shared" si="26"/>
        <v>0</v>
      </c>
      <c r="X44" s="109"/>
      <c r="Y44" s="108"/>
      <c r="Z44" s="64">
        <f t="shared" si="27"/>
        <v>0</v>
      </c>
      <c r="AA44" s="118"/>
      <c r="AB44" s="119"/>
      <c r="AC44" s="124"/>
      <c r="AD44" s="125"/>
      <c r="AE44" s="267"/>
    </row>
    <row r="45" spans="2:68" ht="9.9499999999999993" customHeight="1" thickBot="1" x14ac:dyDescent="0.3">
      <c r="B45" s="404"/>
      <c r="C45" s="50"/>
      <c r="D45" s="51"/>
      <c r="E45" s="69"/>
      <c r="F45" s="86"/>
      <c r="G45" s="51"/>
      <c r="H45" s="51"/>
      <c r="I45" s="51"/>
      <c r="J45" s="51"/>
      <c r="K45" s="51"/>
      <c r="L45" s="71"/>
      <c r="M45" s="72"/>
      <c r="N45" s="73"/>
      <c r="O45" s="87"/>
      <c r="P45" s="87"/>
      <c r="Q45" s="87"/>
      <c r="R45" s="87"/>
      <c r="S45" s="87"/>
      <c r="T45" s="87"/>
      <c r="U45" s="87"/>
      <c r="V45" s="75"/>
      <c r="W45" s="51"/>
      <c r="X45" s="70"/>
      <c r="Y45" s="71"/>
      <c r="Z45" s="71"/>
      <c r="AA45" s="71"/>
      <c r="AB45" s="72"/>
      <c r="AC45" s="70"/>
      <c r="AD45" s="72"/>
      <c r="AE45" s="88"/>
    </row>
    <row r="46" spans="2:68" ht="30" customHeight="1" thickTop="1" thickBot="1" x14ac:dyDescent="0.3">
      <c r="B46" s="404"/>
      <c r="C46" s="414" t="s">
        <v>72</v>
      </c>
      <c r="D46" s="414"/>
      <c r="E46" s="414"/>
      <c r="F46" s="414"/>
      <c r="G46" s="414"/>
      <c r="H46" s="414"/>
      <c r="I46" s="415"/>
    </row>
    <row r="47" spans="2:68" ht="69.95" customHeight="1" thickTop="1" thickBot="1" x14ac:dyDescent="0.3">
      <c r="B47" s="404"/>
      <c r="C47" s="89" t="s">
        <v>87</v>
      </c>
      <c r="D47" s="90" t="s">
        <v>73</v>
      </c>
      <c r="E47" s="90" t="s">
        <v>311</v>
      </c>
      <c r="F47" s="90" t="s">
        <v>312</v>
      </c>
      <c r="G47" s="90" t="s">
        <v>84</v>
      </c>
      <c r="H47" s="90" t="s">
        <v>313</v>
      </c>
      <c r="I47" s="91" t="s">
        <v>85</v>
      </c>
    </row>
    <row r="48" spans="2:68" ht="20.100000000000001" customHeight="1" x14ac:dyDescent="0.25">
      <c r="B48" s="404"/>
      <c r="C48" s="92" t="s">
        <v>52</v>
      </c>
      <c r="D48" s="105"/>
      <c r="E48" s="61">
        <f>ROUND(D48*$F$14,2)</f>
        <v>0</v>
      </c>
      <c r="F48" s="105"/>
      <c r="G48" s="105"/>
      <c r="H48" s="269">
        <f>E48+F48-G48</f>
        <v>0</v>
      </c>
      <c r="I48" s="137"/>
    </row>
    <row r="49" spans="2:9" ht="20.100000000000001" customHeight="1" x14ac:dyDescent="0.25">
      <c r="B49" s="404"/>
      <c r="C49" s="93" t="s">
        <v>53</v>
      </c>
      <c r="D49" s="108"/>
      <c r="E49" s="61">
        <f t="shared" ref="E49:E59" si="31">ROUND(D49*$F$14,2)</f>
        <v>0</v>
      </c>
      <c r="F49" s="108"/>
      <c r="G49" s="108"/>
      <c r="H49" s="270">
        <f t="shared" ref="H49:H59" si="32">E49+F49-G49</f>
        <v>0</v>
      </c>
      <c r="I49" s="138"/>
    </row>
    <row r="50" spans="2:9" ht="20.100000000000001" customHeight="1" x14ac:dyDescent="0.25">
      <c r="B50" s="404"/>
      <c r="C50" s="93" t="s">
        <v>54</v>
      </c>
      <c r="D50" s="108"/>
      <c r="E50" s="61">
        <f t="shared" si="31"/>
        <v>0</v>
      </c>
      <c r="F50" s="108"/>
      <c r="G50" s="108"/>
      <c r="H50" s="270">
        <f t="shared" si="32"/>
        <v>0</v>
      </c>
      <c r="I50" s="138"/>
    </row>
    <row r="51" spans="2:9" ht="20.100000000000001" customHeight="1" x14ac:dyDescent="0.25">
      <c r="B51" s="404"/>
      <c r="C51" s="93" t="s">
        <v>55</v>
      </c>
      <c r="D51" s="108"/>
      <c r="E51" s="61">
        <f t="shared" si="31"/>
        <v>0</v>
      </c>
      <c r="F51" s="108"/>
      <c r="G51" s="108"/>
      <c r="H51" s="270">
        <f t="shared" si="32"/>
        <v>0</v>
      </c>
      <c r="I51" s="138"/>
    </row>
    <row r="52" spans="2:9" ht="20.100000000000001" customHeight="1" x14ac:dyDescent="0.25">
      <c r="B52" s="404"/>
      <c r="C52" s="93" t="s">
        <v>56</v>
      </c>
      <c r="D52" s="108"/>
      <c r="E52" s="61">
        <f t="shared" si="31"/>
        <v>0</v>
      </c>
      <c r="F52" s="108"/>
      <c r="G52" s="108"/>
      <c r="H52" s="270">
        <f t="shared" si="32"/>
        <v>0</v>
      </c>
      <c r="I52" s="138"/>
    </row>
    <row r="53" spans="2:9" ht="20.100000000000001" customHeight="1" x14ac:dyDescent="0.25">
      <c r="B53" s="404"/>
      <c r="C53" s="93" t="s">
        <v>57</v>
      </c>
      <c r="D53" s="108"/>
      <c r="E53" s="61">
        <f t="shared" si="31"/>
        <v>0</v>
      </c>
      <c r="F53" s="108"/>
      <c r="G53" s="108"/>
      <c r="H53" s="270">
        <f t="shared" si="32"/>
        <v>0</v>
      </c>
      <c r="I53" s="138"/>
    </row>
    <row r="54" spans="2:9" ht="20.100000000000001" customHeight="1" x14ac:dyDescent="0.25">
      <c r="B54" s="404"/>
      <c r="C54" s="93" t="s">
        <v>58</v>
      </c>
      <c r="D54" s="108"/>
      <c r="E54" s="61">
        <f t="shared" si="31"/>
        <v>0</v>
      </c>
      <c r="F54" s="108"/>
      <c r="G54" s="108"/>
      <c r="H54" s="270">
        <f t="shared" si="32"/>
        <v>0</v>
      </c>
      <c r="I54" s="138"/>
    </row>
    <row r="55" spans="2:9" ht="20.100000000000001" customHeight="1" x14ac:dyDescent="0.25">
      <c r="B55" s="404"/>
      <c r="C55" s="93" t="s">
        <v>59</v>
      </c>
      <c r="D55" s="108"/>
      <c r="E55" s="61">
        <f t="shared" si="31"/>
        <v>0</v>
      </c>
      <c r="F55" s="108"/>
      <c r="G55" s="108"/>
      <c r="H55" s="270">
        <f t="shared" si="32"/>
        <v>0</v>
      </c>
      <c r="I55" s="138"/>
    </row>
    <row r="56" spans="2:9" ht="20.100000000000001" customHeight="1" x14ac:dyDescent="0.25">
      <c r="B56" s="404"/>
      <c r="C56" s="93" t="s">
        <v>60</v>
      </c>
      <c r="D56" s="108"/>
      <c r="E56" s="61">
        <f t="shared" si="31"/>
        <v>0</v>
      </c>
      <c r="F56" s="108"/>
      <c r="G56" s="108"/>
      <c r="H56" s="270">
        <f t="shared" si="32"/>
        <v>0</v>
      </c>
      <c r="I56" s="138"/>
    </row>
    <row r="57" spans="2:9" ht="20.100000000000001" customHeight="1" x14ac:dyDescent="0.25">
      <c r="B57" s="404"/>
      <c r="C57" s="93" t="s">
        <v>61</v>
      </c>
      <c r="D57" s="108"/>
      <c r="E57" s="61">
        <f t="shared" si="31"/>
        <v>0</v>
      </c>
      <c r="F57" s="108"/>
      <c r="G57" s="108"/>
      <c r="H57" s="270">
        <f t="shared" si="32"/>
        <v>0</v>
      </c>
      <c r="I57" s="138"/>
    </row>
    <row r="58" spans="2:9" ht="20.100000000000001" customHeight="1" x14ac:dyDescent="0.25">
      <c r="B58" s="404"/>
      <c r="C58" s="93" t="s">
        <v>62</v>
      </c>
      <c r="D58" s="108"/>
      <c r="E58" s="61">
        <f t="shared" si="31"/>
        <v>0</v>
      </c>
      <c r="F58" s="108"/>
      <c r="G58" s="108"/>
      <c r="H58" s="270">
        <f t="shared" si="32"/>
        <v>0</v>
      </c>
      <c r="I58" s="138"/>
    </row>
    <row r="59" spans="2:9" ht="20.100000000000001" customHeight="1" x14ac:dyDescent="0.25">
      <c r="B59" s="404"/>
      <c r="C59" s="93" t="s">
        <v>63</v>
      </c>
      <c r="D59" s="264"/>
      <c r="E59" s="61">
        <f t="shared" si="31"/>
        <v>0</v>
      </c>
      <c r="F59" s="108"/>
      <c r="G59" s="108"/>
      <c r="H59" s="270">
        <f t="shared" si="32"/>
        <v>0</v>
      </c>
      <c r="I59" s="138"/>
    </row>
    <row r="60" spans="2:9" ht="9.9499999999999993" customHeight="1" thickBot="1" x14ac:dyDescent="0.3">
      <c r="B60" s="405"/>
      <c r="C60" s="50"/>
      <c r="D60" s="51"/>
      <c r="E60" s="51"/>
      <c r="F60" s="51"/>
      <c r="G60" s="51"/>
      <c r="H60" s="51"/>
      <c r="I60" s="88"/>
    </row>
    <row r="61" spans="2:9" ht="14.25" thickTop="1" x14ac:dyDescent="0.25"/>
  </sheetData>
  <sheetProtection algorithmName="SHA-512" hashValue="v47JeuGSAKEm1kPtsiqwTEsa6e6pVXzWLw5xArWr36w3KYM4KaXjz4egS5hIzNY4qbBOZ9OYD2p+tTpiHHEsUg==" saltValue="WFFOdmjToGKL3pV0OqstMw==" spinCount="100000" sheet="1" selectLockedCells="1"/>
  <mergeCells count="66">
    <mergeCell ref="AN4:AP4"/>
    <mergeCell ref="AA34:AA36"/>
    <mergeCell ref="AC34:AC36"/>
    <mergeCell ref="C33:AE33"/>
    <mergeCell ref="C29:D29"/>
    <mergeCell ref="C30:D30"/>
    <mergeCell ref="C31:D31"/>
    <mergeCell ref="C34:E34"/>
    <mergeCell ref="N34:V34"/>
    <mergeCell ref="D35:E35"/>
    <mergeCell ref="U35:U36"/>
    <mergeCell ref="F35:F36"/>
    <mergeCell ref="AC17:AC19"/>
    <mergeCell ref="I11:T11"/>
    <mergeCell ref="AI4:AI5"/>
    <mergeCell ref="AJ4:AJ5"/>
    <mergeCell ref="AH4:AH5"/>
    <mergeCell ref="M18:M19"/>
    <mergeCell ref="E4:F4"/>
    <mergeCell ref="C8:F8"/>
    <mergeCell ref="E18:E19"/>
    <mergeCell ref="F18:F19"/>
    <mergeCell ref="C16:AE16"/>
    <mergeCell ref="X17:X19"/>
    <mergeCell ref="Y17:Y19"/>
    <mergeCell ref="Z17:Z19"/>
    <mergeCell ref="AA17:AA19"/>
    <mergeCell ref="U18:U19"/>
    <mergeCell ref="AB17:AB19"/>
    <mergeCell ref="O18:T18"/>
    <mergeCell ref="C17:E17"/>
    <mergeCell ref="I10:T10"/>
    <mergeCell ref="AD34:AD36"/>
    <mergeCell ref="C28:D28"/>
    <mergeCell ref="BI19:BO19"/>
    <mergeCell ref="AB34:AB36"/>
    <mergeCell ref="X34:X36"/>
    <mergeCell ref="C26:D26"/>
    <mergeCell ref="C27:D27"/>
    <mergeCell ref="M35:M36"/>
    <mergeCell ref="I9:T9"/>
    <mergeCell ref="C35:C36"/>
    <mergeCell ref="C18:D19"/>
    <mergeCell ref="C20:D20"/>
    <mergeCell ref="C21:D21"/>
    <mergeCell ref="C22:D22"/>
    <mergeCell ref="C23:D23"/>
    <mergeCell ref="C24:D24"/>
    <mergeCell ref="C25:D25"/>
    <mergeCell ref="F34:M34"/>
    <mergeCell ref="B8:B60"/>
    <mergeCell ref="BC21:BD21"/>
    <mergeCell ref="F17:M17"/>
    <mergeCell ref="G18:L18"/>
    <mergeCell ref="N17:V17"/>
    <mergeCell ref="C46:I46"/>
    <mergeCell ref="G35:L35"/>
    <mergeCell ref="O35:T35"/>
    <mergeCell ref="AD17:AD19"/>
    <mergeCell ref="AE17:AE19"/>
    <mergeCell ref="W17:W19"/>
    <mergeCell ref="Z34:Z36"/>
    <mergeCell ref="Y34:Y36"/>
    <mergeCell ref="W34:W36"/>
    <mergeCell ref="AE34:AE36"/>
    <mergeCell ref="I8:T8"/>
  </mergeCells>
  <phoneticPr fontId="10" type="noConversion"/>
  <conditionalFormatting sqref="AH1:BP1048576">
    <cfRule type="expression" dxfId="71" priority="23">
      <formula>$A$1&lt;&gt;1</formula>
    </cfRule>
  </conditionalFormatting>
  <printOptions horizontalCentered="1" verticalCentered="1"/>
  <pageMargins left="0.39370078740157483" right="0.39370078740157483" top="0.59055118110236227" bottom="0.39370078740157483" header="0.19685039370078741" footer="0.19685039370078741"/>
  <pageSetup paperSize="8" scale="52" orientation="landscape" r:id="rId1"/>
  <ignoredErrors>
    <ignoredError sqref="L44 L20:L31 L37:L41"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25" id="{3F356942-FFCD-4363-9D5C-3AC54FE9A5D6}">
            <xm:f>'% DEDICACIÓN TRABAJADOR'!$L$43=0</xm:f>
            <x14:dxf>
              <font>
                <color theme="9" tint="0.79998168889431442"/>
              </font>
              <fill>
                <patternFill>
                  <bgColor theme="9" tint="0.79998168889431442"/>
                </patternFill>
              </fill>
            </x14:dxf>
          </x14:cfRule>
          <xm:sqref>E20:M20 O20:U20 W20:AB20</xm:sqref>
        </x14:conditionalFormatting>
        <x14:conditionalFormatting xmlns:xm="http://schemas.microsoft.com/office/excel/2006/main">
          <x14:cfRule type="expression" priority="26" id="{84162984-F6F0-4888-8320-515630C881DA}">
            <xm:f>'% DEDICACIÓN TRABAJADOR'!$M$43=0</xm:f>
            <x14:dxf>
              <font>
                <color theme="9" tint="0.79998168889431442"/>
              </font>
              <fill>
                <patternFill>
                  <bgColor theme="9" tint="0.79998168889431442"/>
                </patternFill>
              </fill>
            </x14:dxf>
          </x14:cfRule>
          <xm:sqref>E21:M21 O21:U21 W21:AB21</xm:sqref>
        </x14:conditionalFormatting>
        <x14:conditionalFormatting xmlns:xm="http://schemas.microsoft.com/office/excel/2006/main">
          <x14:cfRule type="expression" priority="27" id="{0B25DF02-DEEF-4E69-A3E6-FF217BE76594}">
            <xm:f>'% DEDICACIÓN TRABAJADOR'!$N$43=0</xm:f>
            <x14:dxf>
              <font>
                <color theme="9" tint="0.79998168889431442"/>
              </font>
              <fill>
                <patternFill>
                  <bgColor theme="9" tint="0.79998168889431442"/>
                </patternFill>
              </fill>
            </x14:dxf>
          </x14:cfRule>
          <xm:sqref>E22:M22 O22:U22 W22:AB22</xm:sqref>
        </x14:conditionalFormatting>
        <x14:conditionalFormatting xmlns:xm="http://schemas.microsoft.com/office/excel/2006/main">
          <x14:cfRule type="expression" priority="28" id="{187064A7-3FD9-47B5-A408-5E94D5362800}">
            <xm:f>'% DEDICACIÓN TRABAJADOR'!$O$43=0</xm:f>
            <x14:dxf>
              <font>
                <color theme="9" tint="0.79998168889431442"/>
              </font>
              <fill>
                <patternFill>
                  <bgColor theme="9" tint="0.79998168889431442"/>
                </patternFill>
              </fill>
            </x14:dxf>
          </x14:cfRule>
          <xm:sqref>E23:M23 O23:U23 W23:AB23</xm:sqref>
        </x14:conditionalFormatting>
        <x14:conditionalFormatting xmlns:xm="http://schemas.microsoft.com/office/excel/2006/main">
          <x14:cfRule type="expression" priority="29" id="{77630A9E-34E2-4C98-B29D-7787D9747B6D}">
            <xm:f>'% DEDICACIÓN TRABAJADOR'!$P$43=0</xm:f>
            <x14:dxf>
              <font>
                <color theme="9" tint="0.79998168889431442"/>
              </font>
              <fill>
                <patternFill>
                  <bgColor theme="9" tint="0.79998168889431442"/>
                </patternFill>
              </fill>
            </x14:dxf>
          </x14:cfRule>
          <xm:sqref>E24:M24 O24:U24 W24:AB24</xm:sqref>
        </x14:conditionalFormatting>
        <x14:conditionalFormatting xmlns:xm="http://schemas.microsoft.com/office/excel/2006/main">
          <x14:cfRule type="expression" priority="30" id="{2EDD5CDD-62B0-487C-BFCF-E9B3FF3E9751}">
            <xm:f>'% DEDICACIÓN TRABAJADOR'!$Q$43=0</xm:f>
            <x14:dxf>
              <font>
                <color theme="9" tint="0.79998168889431442"/>
              </font>
              <fill>
                <patternFill>
                  <bgColor theme="9" tint="0.79998168889431442"/>
                </patternFill>
              </fill>
            </x14:dxf>
          </x14:cfRule>
          <xm:sqref>E25:M25 O25:U25 W25:AB25</xm:sqref>
        </x14:conditionalFormatting>
        <x14:conditionalFormatting xmlns:xm="http://schemas.microsoft.com/office/excel/2006/main">
          <x14:cfRule type="expression" priority="31" id="{30C0602E-120C-4489-88FC-8715354DD8C6}">
            <xm:f>'% DEDICACIÓN TRABAJADOR'!$R$43=0</xm:f>
            <x14:dxf>
              <font>
                <color theme="9" tint="0.79998168889431442"/>
              </font>
              <fill>
                <patternFill>
                  <bgColor theme="9" tint="0.79998168889431442"/>
                </patternFill>
              </fill>
            </x14:dxf>
          </x14:cfRule>
          <xm:sqref>E26:M26 O26:U26 W26:AB26</xm:sqref>
        </x14:conditionalFormatting>
        <x14:conditionalFormatting xmlns:xm="http://schemas.microsoft.com/office/excel/2006/main">
          <x14:cfRule type="expression" priority="32" id="{BCBB94A1-D2E1-494D-82F8-0360870234EE}">
            <xm:f>'% DEDICACIÓN TRABAJADOR'!$S$43=0</xm:f>
            <x14:dxf>
              <font>
                <color theme="9" tint="0.79998168889431442"/>
              </font>
              <fill>
                <patternFill>
                  <bgColor theme="9" tint="0.79998168889431442"/>
                </patternFill>
              </fill>
            </x14:dxf>
          </x14:cfRule>
          <xm:sqref>E27:M27 O27:U27 W27:AB27</xm:sqref>
        </x14:conditionalFormatting>
        <x14:conditionalFormatting xmlns:xm="http://schemas.microsoft.com/office/excel/2006/main">
          <x14:cfRule type="expression" priority="33" id="{A093181B-30FA-40ED-B004-8B6D8424AB51}">
            <xm:f>'% DEDICACIÓN TRABAJADOR'!$T$43=0</xm:f>
            <x14:dxf>
              <font>
                <color theme="9" tint="0.79998168889431442"/>
              </font>
              <fill>
                <patternFill>
                  <bgColor theme="9" tint="0.79998168889431442"/>
                </patternFill>
              </fill>
            </x14:dxf>
          </x14:cfRule>
          <xm:sqref>E28:M28 O28:U28 W28:AB28</xm:sqref>
        </x14:conditionalFormatting>
        <x14:conditionalFormatting xmlns:xm="http://schemas.microsoft.com/office/excel/2006/main">
          <x14:cfRule type="expression" priority="34" id="{A64A5B5C-53CE-4E3B-8EF4-A1D7F1CDB148}">
            <xm:f>'% DEDICACIÓN TRABAJADOR'!$U$43=0</xm:f>
            <x14:dxf>
              <font>
                <color theme="9" tint="0.79998168889431442"/>
              </font>
              <fill>
                <patternFill>
                  <bgColor theme="9" tint="0.79998168889431442"/>
                </patternFill>
              </fill>
            </x14:dxf>
          </x14:cfRule>
          <xm:sqref>E29:M29 O29:U29 W29:AB29</xm:sqref>
        </x14:conditionalFormatting>
        <x14:conditionalFormatting xmlns:xm="http://schemas.microsoft.com/office/excel/2006/main">
          <x14:cfRule type="expression" priority="35" id="{60AA05FC-CE6B-4E0C-8C6E-8A7D3FCBF7B5}">
            <xm:f>'% DEDICACIÓN TRABAJADOR'!$V$43=0</xm:f>
            <x14:dxf>
              <font>
                <color theme="9" tint="0.79998168889431442"/>
              </font>
              <fill>
                <patternFill>
                  <bgColor theme="9" tint="0.79998168889431442"/>
                </patternFill>
              </fill>
            </x14:dxf>
          </x14:cfRule>
          <xm:sqref>E30:M30 O30:U30 W30:AB30</xm:sqref>
        </x14:conditionalFormatting>
        <x14:conditionalFormatting xmlns:xm="http://schemas.microsoft.com/office/excel/2006/main">
          <x14:cfRule type="expression" priority="36" id="{E362B497-02DD-4D82-9E8F-C1A54D27EF0E}">
            <xm:f>'% DEDICACIÓN TRABAJADOR'!$W$43=0</xm:f>
            <x14:dxf>
              <font>
                <color theme="9" tint="0.79998168889431442"/>
              </font>
              <fill>
                <patternFill>
                  <bgColor theme="9" tint="0.79998168889431442"/>
                </patternFill>
              </fill>
            </x14:dxf>
          </x14:cfRule>
          <xm:sqref>E31:M31 O31:U31 W31:AB31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A715-1B22-4D33-8B9D-EB320FC5E514}">
  <dimension ref="B1:AG39"/>
  <sheetViews>
    <sheetView showGridLines="0" zoomScaleNormal="100" workbookViewId="0"/>
  </sheetViews>
  <sheetFormatPr baseColWidth="10" defaultColWidth="11.42578125" defaultRowHeight="13.5" x14ac:dyDescent="0.2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18" width="5.5703125" style="26" hidden="1" customWidth="1"/>
    <col min="19" max="20" width="11.42578125" style="26" hidden="1" customWidth="1"/>
    <col min="21" max="32" width="8.5703125" style="26" hidden="1" customWidth="1"/>
    <col min="33" max="16384" width="11.42578125" style="26"/>
  </cols>
  <sheetData>
    <row r="1" spans="2:33" ht="20.100000000000001" customHeight="1" x14ac:dyDescent="0.25"/>
    <row r="2" spans="2:33" ht="20.100000000000001" customHeight="1" x14ac:dyDescent="0.25"/>
    <row r="3" spans="2:33" ht="20.100000000000001" customHeight="1" x14ac:dyDescent="0.25">
      <c r="D3" s="239" t="str">
        <f>'IDENTIFICACIÓN TRABAJADOR'!G3</f>
        <v>Nº DE EXPEDIENTE: 2024.11.ACEE.0000</v>
      </c>
      <c r="E3" s="179"/>
      <c r="F3" s="239"/>
      <c r="S3" s="26" t="s">
        <v>340</v>
      </c>
    </row>
    <row r="4" spans="2:33" ht="20.100000000000001" customHeight="1" x14ac:dyDescent="0.25">
      <c r="E4" s="41"/>
      <c r="F4" s="187"/>
      <c r="S4" s="187">
        <f>COUNTIFS('% DEDICACIÓN TRABAJADOR'!$B$49:$B$108,1,'% DEDICACIÓN TRABAJADOR'!$E$49:$E$108,"&gt;0")</f>
        <v>0</v>
      </c>
    </row>
    <row r="5" spans="2:33" ht="20.100000000000001" customHeight="1" x14ac:dyDescent="0.25">
      <c r="D5" s="240" t="str">
        <f>'LINEAS CON DEDICACIÓN'!C6</f>
        <v xml:space="preserve">TRABAJADOR:   </v>
      </c>
      <c r="E5" s="241"/>
      <c r="F5" s="187"/>
      <c r="S5" s="26" t="s">
        <v>339</v>
      </c>
    </row>
    <row r="6" spans="2:33" ht="20.100000000000001" customHeight="1" x14ac:dyDescent="0.25">
      <c r="D6" s="240" t="str">
        <f>'LINEAS CON DEDICACIÓN'!C7</f>
        <v xml:space="preserve">ACRÓNIMO: </v>
      </c>
      <c r="E6" s="241"/>
      <c r="F6" s="187"/>
      <c r="S6" s="187">
        <f>COUNTIFS('% DEDICACIÓN TRABAJADOR'!$L$44:$W$44,"&gt;1")</f>
        <v>0</v>
      </c>
    </row>
    <row r="7" spans="2:33" ht="20.100000000000001" customHeight="1" thickBot="1" x14ac:dyDescent="0.3">
      <c r="S7" s="26" t="s">
        <v>244</v>
      </c>
    </row>
    <row r="8" spans="2:33" s="45" customFormat="1" ht="25.5" customHeight="1" x14ac:dyDescent="0.25">
      <c r="B8" s="472">
        <f>EXPEDIENTE!C16</f>
        <v>2024</v>
      </c>
      <c r="C8" s="474" t="s">
        <v>223</v>
      </c>
      <c r="D8" s="467" t="s">
        <v>129</v>
      </c>
      <c r="E8" s="357"/>
      <c r="F8" s="468"/>
      <c r="G8" s="469" t="s">
        <v>306</v>
      </c>
      <c r="H8" s="470"/>
      <c r="I8" s="471"/>
      <c r="J8" s="146" t="s">
        <v>130</v>
      </c>
      <c r="K8" s="467" t="s">
        <v>309</v>
      </c>
      <c r="L8" s="357"/>
      <c r="M8" s="468"/>
      <c r="N8" s="474" t="s">
        <v>295</v>
      </c>
      <c r="O8" s="465" t="s">
        <v>94</v>
      </c>
      <c r="R8" s="26"/>
      <c r="S8" s="26" t="str">
        <f>IF(COUNTIF(T25:T39,"&gt;1")&gt;0,"SI","NO")</f>
        <v>NO</v>
      </c>
    </row>
    <row r="9" spans="2:33" s="29" customFormat="1" ht="65.099999999999994" customHeight="1" thickBot="1" x14ac:dyDescent="0.3">
      <c r="B9" s="473"/>
      <c r="C9" s="475"/>
      <c r="D9" s="266" t="s">
        <v>307</v>
      </c>
      <c r="E9" s="139" t="s">
        <v>74</v>
      </c>
      <c r="F9" s="149" t="s">
        <v>95</v>
      </c>
      <c r="G9" s="148" t="s">
        <v>88</v>
      </c>
      <c r="H9" s="139" t="s">
        <v>132</v>
      </c>
      <c r="I9" s="156" t="s">
        <v>89</v>
      </c>
      <c r="J9" s="147" t="s">
        <v>131</v>
      </c>
      <c r="K9" s="148" t="s">
        <v>308</v>
      </c>
      <c r="L9" s="139" t="s">
        <v>85</v>
      </c>
      <c r="M9" s="156" t="s">
        <v>91</v>
      </c>
      <c r="N9" s="475"/>
      <c r="O9" s="466"/>
      <c r="Y9" s="33"/>
      <c r="Z9" s="33"/>
      <c r="AA9" s="33"/>
      <c r="AB9" s="33"/>
    </row>
    <row r="10" spans="2:33" ht="15" customHeight="1" x14ac:dyDescent="0.25">
      <c r="B10" s="140" t="s">
        <v>52</v>
      </c>
      <c r="C10" s="143">
        <f>ROUND('% DEDICACIÓN TRABAJADOR'!L44,4)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P10" s="29"/>
      <c r="Q10" s="27"/>
      <c r="R10" s="29"/>
      <c r="S10" s="29"/>
      <c r="T10" s="29"/>
      <c r="U10" s="29"/>
      <c r="V10" s="29"/>
      <c r="W10" s="29"/>
      <c r="X10" s="29"/>
      <c r="Y10" s="33"/>
      <c r="Z10" s="33"/>
      <c r="AA10" s="33"/>
      <c r="AB10" s="33"/>
      <c r="AC10" s="29"/>
      <c r="AD10" s="29"/>
      <c r="AE10" s="29"/>
      <c r="AF10" s="29"/>
      <c r="AG10" s="29"/>
    </row>
    <row r="11" spans="2:33" ht="15" customHeight="1" x14ac:dyDescent="0.25">
      <c r="B11" s="141" t="s">
        <v>53</v>
      </c>
      <c r="C11" s="144">
        <f>ROUND('% DEDICACIÓN TRABAJADOR'!M44,4)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P11" s="29"/>
      <c r="Q11" s="27"/>
      <c r="R11" s="29"/>
      <c r="S11" s="29"/>
      <c r="T11" s="29"/>
      <c r="U11" s="29"/>
      <c r="V11" s="29"/>
      <c r="W11" s="29"/>
      <c r="X11" s="29"/>
      <c r="Y11" s="33"/>
      <c r="Z11" s="33"/>
      <c r="AA11" s="33"/>
      <c r="AB11" s="33"/>
      <c r="AC11" s="29"/>
      <c r="AD11" s="29"/>
      <c r="AE11" s="29"/>
      <c r="AF11" s="29"/>
      <c r="AG11" s="29"/>
    </row>
    <row r="12" spans="2:33" ht="15" customHeight="1" x14ac:dyDescent="0.25">
      <c r="B12" s="141" t="s">
        <v>54</v>
      </c>
      <c r="C12" s="144">
        <f>ROUND('% DEDICACIÓN TRABAJADOR'!N44,4)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P12" s="29"/>
      <c r="Q12" s="27"/>
      <c r="R12" s="29"/>
      <c r="S12" s="29"/>
      <c r="T12" s="29"/>
      <c r="U12" s="29"/>
      <c r="V12" s="29"/>
      <c r="W12" s="29"/>
      <c r="X12" s="29"/>
      <c r="Y12" s="33"/>
      <c r="Z12" s="33"/>
      <c r="AA12" s="33"/>
      <c r="AB12" s="33"/>
      <c r="AC12" s="29"/>
      <c r="AD12" s="29"/>
      <c r="AE12" s="29"/>
      <c r="AF12" s="29"/>
      <c r="AG12" s="29"/>
    </row>
    <row r="13" spans="2:33" ht="15" customHeight="1" x14ac:dyDescent="0.25">
      <c r="B13" s="141" t="s">
        <v>55</v>
      </c>
      <c r="C13" s="144">
        <f>ROUND('% DEDICACIÓN TRABAJADOR'!O44,4)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P13" s="29"/>
      <c r="Q13" s="27"/>
      <c r="R13" s="29"/>
      <c r="S13" s="29"/>
      <c r="T13" s="29"/>
      <c r="U13" s="29"/>
      <c r="V13" s="29"/>
      <c r="W13" s="29"/>
      <c r="X13" s="29"/>
      <c r="Y13" s="33"/>
      <c r="Z13" s="33"/>
      <c r="AA13" s="33"/>
      <c r="AB13" s="33"/>
      <c r="AC13" s="29"/>
      <c r="AD13" s="29"/>
      <c r="AE13" s="29"/>
      <c r="AF13" s="29"/>
      <c r="AG13" s="29"/>
    </row>
    <row r="14" spans="2:33" ht="15" customHeight="1" x14ac:dyDescent="0.25">
      <c r="B14" s="141" t="s">
        <v>56</v>
      </c>
      <c r="C14" s="144">
        <f>ROUND('% DEDICACIÓN TRABAJADOR'!P44,4)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P14" s="29"/>
      <c r="Q14" s="27"/>
      <c r="R14" s="29"/>
      <c r="S14" s="29"/>
      <c r="T14" s="29"/>
      <c r="U14" s="29"/>
      <c r="V14" s="29"/>
      <c r="W14" s="29"/>
      <c r="X14" s="29"/>
      <c r="Y14" s="33"/>
      <c r="Z14" s="33"/>
      <c r="AA14" s="33"/>
      <c r="AB14" s="33"/>
      <c r="AC14" s="29"/>
      <c r="AD14" s="29"/>
      <c r="AE14" s="29"/>
      <c r="AF14" s="29"/>
      <c r="AG14" s="29"/>
    </row>
    <row r="15" spans="2:33" ht="15" customHeight="1" x14ac:dyDescent="0.25">
      <c r="B15" s="141" t="s">
        <v>57</v>
      </c>
      <c r="C15" s="144">
        <f>ROUND('% DEDICACIÓN TRABAJADOR'!Q44,4)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P15" s="29"/>
      <c r="Q15" s="27"/>
      <c r="R15" s="29"/>
      <c r="S15" s="29"/>
      <c r="T15" s="29"/>
      <c r="U15" s="29"/>
      <c r="V15" s="29"/>
      <c r="W15" s="29"/>
      <c r="X15" s="29"/>
      <c r="Y15" s="33"/>
      <c r="Z15" s="33"/>
      <c r="AA15" s="33"/>
      <c r="AB15" s="33"/>
      <c r="AC15" s="29"/>
      <c r="AD15" s="29"/>
      <c r="AE15" s="29"/>
      <c r="AF15" s="29"/>
      <c r="AG15" s="29"/>
    </row>
    <row r="16" spans="2:33" ht="15" customHeight="1" x14ac:dyDescent="0.25">
      <c r="B16" s="141" t="s">
        <v>58</v>
      </c>
      <c r="C16" s="144">
        <f>ROUND('% DEDICACIÓN TRABAJADOR'!R44,4)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P16" s="29"/>
      <c r="Q16" s="27"/>
      <c r="R16" s="29"/>
      <c r="S16" s="29"/>
      <c r="T16" s="29"/>
      <c r="U16" s="29"/>
      <c r="V16" s="29"/>
      <c r="W16" s="29"/>
      <c r="X16" s="29"/>
      <c r="Y16" s="33"/>
      <c r="Z16" s="33"/>
      <c r="AA16" s="33"/>
      <c r="AB16" s="33"/>
      <c r="AC16" s="29"/>
      <c r="AD16" s="29"/>
      <c r="AE16" s="29"/>
      <c r="AF16" s="29"/>
      <c r="AG16" s="29"/>
    </row>
    <row r="17" spans="2:33" ht="15" customHeight="1" x14ac:dyDescent="0.25">
      <c r="B17" s="141" t="s">
        <v>59</v>
      </c>
      <c r="C17" s="144">
        <f>ROUND('% DEDICACIÓN TRABAJADOR'!S44,4)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P17" s="29"/>
      <c r="Q17" s="27"/>
      <c r="R17" s="29"/>
      <c r="S17" s="29"/>
      <c r="T17" s="29"/>
      <c r="U17" s="29"/>
      <c r="V17" s="29"/>
      <c r="W17" s="29"/>
      <c r="X17" s="29"/>
      <c r="Y17" s="33"/>
      <c r="Z17" s="33"/>
      <c r="AA17" s="33"/>
      <c r="AB17" s="33"/>
      <c r="AC17" s="29"/>
      <c r="AD17" s="29"/>
      <c r="AE17" s="29"/>
      <c r="AF17" s="29"/>
      <c r="AG17" s="29"/>
    </row>
    <row r="18" spans="2:33" ht="15" customHeight="1" x14ac:dyDescent="0.25">
      <c r="B18" s="141" t="s">
        <v>60</v>
      </c>
      <c r="C18" s="144">
        <f>ROUND('% DEDICACIÓN TRABAJADOR'!T44,4)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P18" s="29"/>
      <c r="Q18" s="27"/>
      <c r="R18" s="29"/>
      <c r="S18" s="29"/>
      <c r="T18" s="29"/>
      <c r="U18" s="29"/>
      <c r="V18" s="29"/>
      <c r="W18" s="29"/>
      <c r="X18" s="29"/>
      <c r="Y18" s="33"/>
      <c r="Z18" s="33"/>
      <c r="AA18" s="33"/>
      <c r="AB18" s="33"/>
      <c r="AC18" s="29"/>
      <c r="AD18" s="29"/>
      <c r="AE18" s="29"/>
      <c r="AF18" s="29"/>
      <c r="AG18" s="29"/>
    </row>
    <row r="19" spans="2:33" ht="15" customHeight="1" x14ac:dyDescent="0.25">
      <c r="B19" s="141" t="s">
        <v>61</v>
      </c>
      <c r="C19" s="144">
        <f>ROUND('% DEDICACIÓN TRABAJADOR'!U44,4)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P19" s="29"/>
      <c r="Q19" s="27"/>
      <c r="R19" s="29"/>
      <c r="S19" s="29"/>
      <c r="T19" s="29"/>
      <c r="U19" s="29"/>
      <c r="V19" s="29"/>
      <c r="W19" s="29"/>
      <c r="X19" s="29"/>
      <c r="Y19" s="33"/>
      <c r="Z19" s="33"/>
      <c r="AA19" s="33"/>
      <c r="AB19" s="33"/>
      <c r="AC19" s="29"/>
      <c r="AD19" s="29"/>
      <c r="AE19" s="29"/>
      <c r="AF19" s="29"/>
      <c r="AG19" s="29"/>
    </row>
    <row r="20" spans="2:33" ht="15" customHeight="1" x14ac:dyDescent="0.25">
      <c r="B20" s="141" t="s">
        <v>62</v>
      </c>
      <c r="C20" s="144">
        <f>ROUND('% DEDICACIÓN TRABAJADOR'!V44,4)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P20" s="29"/>
      <c r="Q20" s="27"/>
      <c r="R20" s="29"/>
      <c r="S20" s="29"/>
      <c r="T20" s="29"/>
      <c r="U20" s="29"/>
      <c r="V20" s="29"/>
      <c r="W20" s="29"/>
      <c r="X20" s="29"/>
      <c r="Y20" s="33"/>
      <c r="Z20" s="33"/>
      <c r="AA20" s="33"/>
      <c r="AB20" s="33"/>
      <c r="AC20" s="29"/>
      <c r="AD20" s="29"/>
      <c r="AE20" s="29"/>
      <c r="AF20" s="29"/>
      <c r="AG20" s="29"/>
    </row>
    <row r="21" spans="2:33" ht="15" customHeight="1" thickBot="1" x14ac:dyDescent="0.3">
      <c r="B21" s="142" t="s">
        <v>63</v>
      </c>
      <c r="C21" s="145">
        <f>ROUND('% DEDICACIÓN TRABAJADOR'!W44,4)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P21" s="29"/>
      <c r="Q21" s="27"/>
      <c r="R21" s="29"/>
      <c r="S21" s="29"/>
      <c r="T21" s="29"/>
      <c r="U21" s="29"/>
      <c r="V21" s="29"/>
      <c r="W21" s="29"/>
      <c r="X21" s="29"/>
      <c r="Y21" s="33"/>
      <c r="Z21" s="33"/>
      <c r="AA21" s="33"/>
      <c r="AB21" s="33"/>
      <c r="AC21" s="29"/>
      <c r="AD21" s="29"/>
      <c r="AE21" s="29"/>
      <c r="AF21" s="29"/>
      <c r="AG21" s="29"/>
    </row>
    <row r="22" spans="2:33" ht="14.25" thickBot="1" x14ac:dyDescent="0.3">
      <c r="M22" s="27"/>
      <c r="N22" s="27"/>
      <c r="O22" s="27"/>
      <c r="P22" s="27"/>
      <c r="Q22" s="27"/>
      <c r="Y22" s="27"/>
      <c r="Z22" s="27"/>
      <c r="AB22" s="27"/>
    </row>
    <row r="23" spans="2:33" ht="20.100000000000001" customHeight="1" thickBot="1" x14ac:dyDescent="0.3">
      <c r="M23" s="277"/>
      <c r="N23" s="180" t="s">
        <v>224</v>
      </c>
      <c r="O23" s="163">
        <f>SUM(O25:O39)</f>
        <v>0</v>
      </c>
      <c r="P23" s="27"/>
      <c r="Q23" s="26" t="str">
        <f>IF($S$4&gt;0,"ERROR: ALGUNA LÍNEA DE ESTA ACTUACIÓN TIENE UN % DE DEDICACIÓN SUPERIOR AL 100%",IF($S$6&gt;0,"ERROR: EL % DE DEDICACIÓN ACUMULADO PARA ALGÚN MES ES SUPERIOR AL 100%",IF(S8="SI","EXISTEN LÍNEAS REPETIDAS EN ESTA ACTUACIÓN","")))</f>
        <v/>
      </c>
      <c r="S23" s="44" t="s">
        <v>216</v>
      </c>
      <c r="T23" s="44" t="s">
        <v>243</v>
      </c>
      <c r="U23" s="26">
        <v>9</v>
      </c>
      <c r="V23" s="26">
        <v>10</v>
      </c>
      <c r="W23" s="26">
        <v>11</v>
      </c>
      <c r="X23" s="26">
        <v>12</v>
      </c>
      <c r="Y23" s="26">
        <v>13</v>
      </c>
      <c r="Z23" s="26">
        <v>14</v>
      </c>
      <c r="AA23" s="26">
        <v>15</v>
      </c>
      <c r="AB23" s="26">
        <v>16</v>
      </c>
      <c r="AC23" s="26">
        <v>17</v>
      </c>
      <c r="AD23" s="26">
        <v>18</v>
      </c>
      <c r="AE23" s="26">
        <v>19</v>
      </c>
      <c r="AF23" s="26">
        <v>20</v>
      </c>
    </row>
    <row r="24" spans="2:33" s="230" customFormat="1" ht="15" customHeight="1" x14ac:dyDescent="0.25">
      <c r="M24" s="237"/>
      <c r="N24" s="237"/>
      <c r="O24" s="237"/>
      <c r="P24" s="27"/>
      <c r="R24" s="26"/>
      <c r="Y24" s="231"/>
      <c r="Z24" s="231"/>
    </row>
    <row r="25" spans="2:33" s="230" customFormat="1" ht="15" customHeight="1" x14ac:dyDescent="0.25">
      <c r="N25" s="230" t="str">
        <f>IF(AUXILIAR!AM4="x","",CONCATENATE("SUBTOTAL ",AUXILIAR!AM4))</f>
        <v/>
      </c>
      <c r="O25" s="232" t="str">
        <f>IF(N25="","",IF($S$4&gt;0,0,IF($S$6&gt;0,0,IF($S$8="SI",0,IFERROR(ROUND(U25*$N$10+V25*$N$11+W25*$N$12+X25*$N$13+Y25*$N$14+Z25*$N$15+AA25*$N$16+AB25*$N$17+AC25*$N$18+AD25*$N$19+AE25*$N$20+AF25*$N$21,2),"")))))</f>
        <v/>
      </c>
      <c r="P25" s="27"/>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3" s="230" customFormat="1" ht="15" customHeight="1" x14ac:dyDescent="0.25">
      <c r="N26" s="230" t="str">
        <f>IF(AUXILIAR!AM5="x","",CONCATENATE("SUBTOTAL ",AUXILIAR!AM5))</f>
        <v/>
      </c>
      <c r="O26" s="232" t="str">
        <f t="shared" ref="O26:O39" si="4">IF(N26="","",IF($S$4&gt;0,0,IF($S$6&gt;0,0,IF($S$8="SI",0,IFERROR(ROUND(U26*$N$10+V26*$N$11+W26*$N$12+X26*$N$13+Y26*$N$14+Z26*$N$15+AA26*$N$16+AB26*$N$17+AC26*$N$18+AD26*$N$19+AE26*$N$20+AF26*$N$21,2),"")))))</f>
        <v/>
      </c>
      <c r="P26" s="27"/>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3" s="230" customFormat="1" ht="15" customHeight="1" x14ac:dyDescent="0.25">
      <c r="N27" s="230" t="str">
        <f>IF(AUXILIAR!AM6="x","",CONCATENATE("SUBTOTAL ",AUXILIAR!AM6))</f>
        <v/>
      </c>
      <c r="O27" s="232" t="str">
        <f t="shared" si="4"/>
        <v/>
      </c>
      <c r="P27" s="27"/>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3" s="230" customFormat="1" ht="15" customHeight="1" x14ac:dyDescent="0.25">
      <c r="N28" s="230" t="str">
        <f>IF(AUXILIAR!AM7="x","",CONCATENATE("SUBTOTAL ",AUXILIAR!AM7))</f>
        <v/>
      </c>
      <c r="O28" s="232" t="str">
        <f t="shared" si="4"/>
        <v/>
      </c>
      <c r="P28" s="27"/>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3" s="230" customFormat="1" ht="15" customHeight="1" x14ac:dyDescent="0.25">
      <c r="N29" s="230" t="str">
        <f>IF(AUXILIAR!AM8="x","",CONCATENATE("SUBTOTAL ",AUXILIAR!AM8))</f>
        <v/>
      </c>
      <c r="O29" s="232" t="str">
        <f t="shared" si="4"/>
        <v/>
      </c>
      <c r="P29" s="27"/>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3" s="230" customFormat="1" ht="15" customHeight="1" x14ac:dyDescent="0.25">
      <c r="N30" s="230" t="str">
        <f>IF(AUXILIAR!AM9="x","",CONCATENATE("SUBTOTAL ",AUXILIAR!AM9))</f>
        <v/>
      </c>
      <c r="O30" s="232" t="str">
        <f t="shared" si="4"/>
        <v/>
      </c>
      <c r="P30" s="27"/>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3" s="230" customFormat="1" ht="15" customHeight="1" x14ac:dyDescent="0.25">
      <c r="N31" s="230" t="str">
        <f>IF(AUXILIAR!AM10="x","",CONCATENATE("SUBTOTAL ",AUXILIAR!AM10))</f>
        <v/>
      </c>
      <c r="O31" s="232" t="str">
        <f t="shared" si="4"/>
        <v/>
      </c>
      <c r="P31" s="27"/>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3" s="230" customFormat="1" ht="15" customHeight="1" x14ac:dyDescent="0.25">
      <c r="N32" s="230" t="str">
        <f>IF(AUXILIAR!AM11="x","",CONCATENATE("SUBTOTAL ",AUXILIAR!AM11))</f>
        <v/>
      </c>
      <c r="O32" s="232" t="str">
        <f t="shared" si="4"/>
        <v/>
      </c>
      <c r="P32" s="27"/>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x14ac:dyDescent="0.25">
      <c r="N33" s="230" t="str">
        <f>IF(AUXILIAR!AM12="x","",CONCATENATE("SUBTOTAL ",AUXILIAR!AM12))</f>
        <v/>
      </c>
      <c r="O33" s="232" t="str">
        <f t="shared" si="4"/>
        <v/>
      </c>
      <c r="P33" s="27"/>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x14ac:dyDescent="0.25">
      <c r="N34" s="230" t="str">
        <f>IF(AUXILIAR!AM13="x","",CONCATENATE("SUBTOTAL ",AUXILIAR!AM13))</f>
        <v/>
      </c>
      <c r="O34" s="232" t="str">
        <f t="shared" si="4"/>
        <v/>
      </c>
      <c r="P34" s="27"/>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x14ac:dyDescent="0.25">
      <c r="N35" s="230" t="str">
        <f>IF(AUXILIAR!AM14="x","",CONCATENATE("SUBTOTAL ",AUXILIAR!AM14))</f>
        <v/>
      </c>
      <c r="O35" s="232" t="str">
        <f t="shared" si="4"/>
        <v/>
      </c>
      <c r="P35" s="27"/>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x14ac:dyDescent="0.25">
      <c r="N36" s="230" t="str">
        <f>IF(AUXILIAR!AM15="x","",CONCATENATE("SUBTOTAL ",AUXILIAR!AM15))</f>
        <v/>
      </c>
      <c r="O36" s="232" t="str">
        <f t="shared" si="4"/>
        <v/>
      </c>
      <c r="P36" s="27"/>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x14ac:dyDescent="0.25">
      <c r="N37" s="230" t="str">
        <f>IF(AUXILIAR!AM16="x","",CONCATENATE("SUBTOTAL ",AUXILIAR!AM16))</f>
        <v/>
      </c>
      <c r="O37" s="232" t="str">
        <f t="shared" si="4"/>
        <v/>
      </c>
      <c r="P37" s="27"/>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x14ac:dyDescent="0.25">
      <c r="N38" s="230" t="str">
        <f>IF(AUXILIAR!AM17="x","",CONCATENATE("SUBTOTAL ",AUXILIAR!AM17))</f>
        <v/>
      </c>
      <c r="O38" s="232" t="str">
        <f t="shared" si="4"/>
        <v/>
      </c>
      <c r="P38" s="27"/>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x14ac:dyDescent="0.25">
      <c r="N39" s="230" t="str">
        <f>IF(AUXILIAR!AM18="x","",CONCATENATE("SUBTOTAL ",AUXILIAR!AM18))</f>
        <v/>
      </c>
      <c r="O39" s="232" t="str">
        <f t="shared" si="4"/>
        <v/>
      </c>
      <c r="P39" s="27"/>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sheetData>
  <sheetProtection algorithmName="SHA-512" hashValue="zE7fUVVw9OFWYEwHOGd7zQMz251zL6cqU83RHXOfU3VqSBZ/LEeLvs/rmxV9rf82R/NVK6+p3MjhP+1SQoL5QQ==" saltValue="M1BI2yKGmUUAdCzv1NkqQw==" spinCount="100000" sheet="1" objects="1" scenarios="1" selectLockedCells="1" selectUnlockedCells="1"/>
  <mergeCells count="7">
    <mergeCell ref="O8:O9"/>
    <mergeCell ref="K8:M8"/>
    <mergeCell ref="G8:I8"/>
    <mergeCell ref="B8:B9"/>
    <mergeCell ref="C8:C9"/>
    <mergeCell ref="D8:F8"/>
    <mergeCell ref="N8:N9"/>
  </mergeCells>
  <conditionalFormatting sqref="O23">
    <cfRule type="expression" dxfId="58" priority="70">
      <formula>OR($S$4&gt;0,$S$6&gt;0,$S$8="SI")</formula>
    </cfRule>
  </conditionalFormatting>
  <conditionalFormatting sqref="Q23">
    <cfRule type="cellIs" dxfId="57" priority="7" operator="notEqual">
      <formula>""</formula>
    </cfRule>
  </conditionalFormatting>
  <conditionalFormatting sqref="Q25:Q39">
    <cfRule type="cellIs" dxfId="56" priority="6" operator="notEqual">
      <formula>""</formula>
    </cfRule>
  </conditionalFormatting>
  <printOptions horizontalCentered="1"/>
  <pageMargins left="0.39370078740157483" right="0.39370078740157483" top="0.59055118110236227" bottom="0.39370078740157483" header="0.19685039370078741" footer="0.19685039370078741"/>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 id="{399BE836-BE07-407D-A03A-7C82A8788AAC}">
            <xm:f>'% DEDICACIÓN TRABAJADOR'!$L44=0</xm:f>
            <x14:dxf>
              <font>
                <color theme="0"/>
              </font>
            </x14:dxf>
          </x14:cfRule>
          <xm:sqref>D10:N10</xm:sqref>
        </x14:conditionalFormatting>
        <x14:conditionalFormatting xmlns:xm="http://schemas.microsoft.com/office/excel/2006/main">
          <x14:cfRule type="expression" priority="12" id="{94BE218B-66C0-485C-B4A4-C100ED6BF3BC}">
            <xm:f>'% DEDICACIÓN TRABAJADOR'!$M44=0</xm:f>
            <x14:dxf>
              <font>
                <color theme="0"/>
              </font>
            </x14:dxf>
          </x14:cfRule>
          <xm:sqref>D11:N11</xm:sqref>
        </x14:conditionalFormatting>
        <x14:conditionalFormatting xmlns:xm="http://schemas.microsoft.com/office/excel/2006/main">
          <x14:cfRule type="expression" priority="13" id="{15D86DE1-9DE7-4BAD-8370-A3920C241A90}">
            <xm:f>'% DEDICACIÓN TRABAJADOR'!$N44=0</xm:f>
            <x14:dxf>
              <font>
                <color theme="0"/>
              </font>
            </x14:dxf>
          </x14:cfRule>
          <xm:sqref>D12:N12</xm:sqref>
        </x14:conditionalFormatting>
        <x14:conditionalFormatting xmlns:xm="http://schemas.microsoft.com/office/excel/2006/main">
          <x14:cfRule type="expression" priority="14" id="{25E0381D-F697-43FD-B6A6-1EE6433E90B5}">
            <xm:f>'% DEDICACIÓN TRABAJADOR'!$O44=0</xm:f>
            <x14:dxf>
              <font>
                <color theme="0"/>
              </font>
            </x14:dxf>
          </x14:cfRule>
          <xm:sqref>D13:N13</xm:sqref>
        </x14:conditionalFormatting>
        <x14:conditionalFormatting xmlns:xm="http://schemas.microsoft.com/office/excel/2006/main">
          <x14:cfRule type="expression" priority="1" id="{3360377D-F699-41CA-BC68-08CA8D19CC97}">
            <xm:f>'% DEDICACIÓN TRABAJADOR'!$P44=0</xm:f>
            <x14:dxf>
              <font>
                <color theme="0"/>
              </font>
            </x14:dxf>
          </x14:cfRule>
          <xm:sqref>D14:N14</xm:sqref>
        </x14:conditionalFormatting>
        <x14:conditionalFormatting xmlns:xm="http://schemas.microsoft.com/office/excel/2006/main">
          <x14:cfRule type="expression" priority="16" id="{089E7DAA-9738-4B14-872B-6E6A425D4B46}">
            <xm:f>'% DEDICACIÓN TRABAJADOR'!$Q44=0</xm:f>
            <x14:dxf>
              <font>
                <color theme="0"/>
              </font>
            </x14:dxf>
          </x14:cfRule>
          <xm:sqref>D15:N15</xm:sqref>
        </x14:conditionalFormatting>
        <x14:conditionalFormatting xmlns:xm="http://schemas.microsoft.com/office/excel/2006/main">
          <x14:cfRule type="expression" priority="17" id="{A63D8682-FEC0-4B21-A4AA-25A1335D4D22}">
            <xm:f>'% DEDICACIÓN TRABAJADOR'!$R44=0</xm:f>
            <x14:dxf>
              <font>
                <color theme="0"/>
              </font>
            </x14:dxf>
          </x14:cfRule>
          <xm:sqref>D16:N16</xm:sqref>
        </x14:conditionalFormatting>
        <x14:conditionalFormatting xmlns:xm="http://schemas.microsoft.com/office/excel/2006/main">
          <x14:cfRule type="expression" priority="2" id="{7B5E2AD9-E1CE-4CEF-8B26-0EC83928FD11}">
            <xm:f>'% DEDICACIÓN TRABAJADOR'!$S44=0</xm:f>
            <x14:dxf>
              <font>
                <color theme="0"/>
              </font>
            </x14:dxf>
          </x14:cfRule>
          <xm:sqref>D17:N17</xm:sqref>
        </x14:conditionalFormatting>
        <x14:conditionalFormatting xmlns:xm="http://schemas.microsoft.com/office/excel/2006/main">
          <x14:cfRule type="expression" priority="19" id="{91CDA579-8A49-4C05-8907-3773110403EC}">
            <xm:f>'% DEDICACIÓN TRABAJADOR'!$T44=0</xm:f>
            <x14:dxf>
              <font>
                <color theme="0"/>
              </font>
            </x14:dxf>
          </x14:cfRule>
          <xm:sqref>D18:N18</xm:sqref>
        </x14:conditionalFormatting>
        <x14:conditionalFormatting xmlns:xm="http://schemas.microsoft.com/office/excel/2006/main">
          <x14:cfRule type="expression" priority="20" id="{A9C1B04D-A0FB-4EA2-AF4D-E834DA7521BD}">
            <xm:f>'% DEDICACIÓN TRABAJADOR'!$U44=0</xm:f>
            <x14:dxf>
              <font>
                <color theme="0"/>
              </font>
            </x14:dxf>
          </x14:cfRule>
          <xm:sqref>D19:N19</xm:sqref>
        </x14:conditionalFormatting>
        <x14:conditionalFormatting xmlns:xm="http://schemas.microsoft.com/office/excel/2006/main">
          <x14:cfRule type="expression" priority="21" id="{8D2A663C-B7C6-4D4B-9527-E6E57B152F89}">
            <xm:f>'% DEDICACIÓN TRABAJADOR'!$V44=0</xm:f>
            <x14:dxf>
              <font>
                <color theme="0"/>
              </font>
            </x14:dxf>
          </x14:cfRule>
          <xm:sqref>D20:N20</xm:sqref>
        </x14:conditionalFormatting>
        <x14:conditionalFormatting xmlns:xm="http://schemas.microsoft.com/office/excel/2006/main">
          <x14:cfRule type="expression" priority="22" id="{F417CDA9-197A-43C1-AB2F-D5CB557251FF}">
            <xm:f>'% DEDICACIÓN TRABAJADOR'!$W44=0</xm:f>
            <x14:dxf>
              <font>
                <color theme="0"/>
              </font>
            </x14:dxf>
          </x14:cfRule>
          <xm:sqref>D21:N21</xm:sqref>
        </x14:conditionalFormatting>
        <x14:conditionalFormatting xmlns:xm="http://schemas.microsoft.com/office/excel/2006/main">
          <x14:cfRule type="expression" priority="3" id="{56873A22-8342-469C-9B19-06CC388F34D6}">
            <xm:f>'% DEDICACIÓN TRABAJADOR'!$P43=0</xm:f>
            <x14:dxf/>
          </x14:cfRule>
          <xm:sqref>E14:J14 L14:N14</xm:sqref>
        </x14:conditionalFormatting>
        <x14:conditionalFormatting xmlns:xm="http://schemas.microsoft.com/office/excel/2006/main">
          <x14:cfRule type="expression" priority="4" id="{49819497-B0BA-40F4-BA5A-24D7B49126F6}">
            <xm:f>EXPEDIENTE!$A$1&lt;&gt;1</xm:f>
            <x14:dxf>
              <font>
                <color theme="0"/>
              </font>
            </x14:dxf>
          </x14:cfRule>
          <xm:sqref>S1:AF4 T5:AF6 S7:AF22 S23:T23 S24:AF39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A187-23BC-4539-A4F2-C2D6B28397D4}">
  <dimension ref="B1:AF40"/>
  <sheetViews>
    <sheetView showGridLines="0" zoomScaleNormal="100" workbookViewId="0"/>
  </sheetViews>
  <sheetFormatPr baseColWidth="10" defaultColWidth="11.42578125" defaultRowHeight="13.5" x14ac:dyDescent="0.2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19" width="5.5703125" style="26" hidden="1" customWidth="1"/>
    <col min="20" max="32" width="8.5703125" style="26" hidden="1" customWidth="1"/>
    <col min="33" max="16384" width="11.42578125" style="26"/>
  </cols>
  <sheetData>
    <row r="1" spans="2:30" ht="20.100000000000001" customHeight="1" x14ac:dyDescent="0.25"/>
    <row r="2" spans="2:30" ht="20.100000000000001" customHeight="1" x14ac:dyDescent="0.25"/>
    <row r="3" spans="2:30" ht="20.100000000000001" customHeight="1" x14ac:dyDescent="0.25">
      <c r="D3" s="239" t="str">
        <f>'IDENTIFICACIÓN TRABAJADOR'!G3</f>
        <v>Nº DE EXPEDIENTE: 2024.11.ACEE.0000</v>
      </c>
      <c r="E3" s="179"/>
      <c r="F3" s="239"/>
      <c r="S3" s="26" t="s">
        <v>340</v>
      </c>
    </row>
    <row r="4" spans="2:30" ht="20.100000000000001" customHeight="1" x14ac:dyDescent="0.25">
      <c r="E4" s="41"/>
      <c r="F4" s="187"/>
      <c r="S4" s="187">
        <f>COUNTIFS('% DEDICACIÓN TRABAJADOR'!$B$49:$B$108,2,'% DEDICACIÓN TRABAJADOR'!$E$49:$E$108,"&gt;0")</f>
        <v>0</v>
      </c>
    </row>
    <row r="5" spans="2:30" ht="20.100000000000001" customHeight="1" x14ac:dyDescent="0.25">
      <c r="D5" s="240" t="str">
        <f>'LINEAS CON DEDICACIÓN'!C6</f>
        <v xml:space="preserve">TRABAJADOR:   </v>
      </c>
      <c r="E5" s="241"/>
      <c r="F5" s="187"/>
      <c r="S5" s="26" t="s">
        <v>339</v>
      </c>
    </row>
    <row r="6" spans="2:30" ht="20.100000000000001" customHeight="1" x14ac:dyDescent="0.25">
      <c r="D6" s="240" t="str">
        <f>'LINEAS CON DEDICACIÓN'!C7</f>
        <v xml:space="preserve">ACRÓNIMO: </v>
      </c>
      <c r="E6" s="241"/>
      <c r="F6" s="187"/>
      <c r="S6" s="187">
        <f>COUNTIFS('% DEDICACIÓN TRABAJADOR'!$L$45:$W$45,"&gt;1")</f>
        <v>0</v>
      </c>
    </row>
    <row r="7" spans="2:30" ht="20.100000000000001" customHeight="1" thickBot="1" x14ac:dyDescent="0.3">
      <c r="D7" s="240"/>
      <c r="E7" s="241"/>
      <c r="F7" s="187"/>
      <c r="S7" s="26" t="s">
        <v>244</v>
      </c>
    </row>
    <row r="8" spans="2:30" s="45" customFormat="1" ht="25.5" customHeight="1" x14ac:dyDescent="0.25">
      <c r="B8" s="472">
        <f>EXPEDIENTE!C16</f>
        <v>2024</v>
      </c>
      <c r="C8" s="474" t="s">
        <v>225</v>
      </c>
      <c r="D8" s="467" t="s">
        <v>129</v>
      </c>
      <c r="E8" s="357"/>
      <c r="F8" s="468"/>
      <c r="G8" s="469" t="s">
        <v>306</v>
      </c>
      <c r="H8" s="470"/>
      <c r="I8" s="471"/>
      <c r="J8" s="146" t="s">
        <v>130</v>
      </c>
      <c r="K8" s="467" t="s">
        <v>309</v>
      </c>
      <c r="L8" s="357"/>
      <c r="M8" s="468"/>
      <c r="N8" s="474" t="s">
        <v>295</v>
      </c>
      <c r="O8" s="465" t="s">
        <v>94</v>
      </c>
      <c r="S8" s="26" t="str">
        <f>IF(COUNTIF(T25:T39,"&gt;1")&gt;0,"SI","NO")</f>
        <v>NO</v>
      </c>
    </row>
    <row r="9" spans="2:30" s="29" customFormat="1" ht="65.099999999999994" customHeight="1" thickBot="1" x14ac:dyDescent="0.3">
      <c r="B9" s="473"/>
      <c r="C9" s="475"/>
      <c r="D9" s="266" t="s">
        <v>307</v>
      </c>
      <c r="E9" s="139" t="s">
        <v>74</v>
      </c>
      <c r="F9" s="149" t="s">
        <v>95</v>
      </c>
      <c r="G9" s="148" t="s">
        <v>88</v>
      </c>
      <c r="H9" s="139" t="s">
        <v>132</v>
      </c>
      <c r="I9" s="156" t="s">
        <v>89</v>
      </c>
      <c r="J9" s="147" t="s">
        <v>131</v>
      </c>
      <c r="K9" s="148" t="s">
        <v>308</v>
      </c>
      <c r="L9" s="139" t="s">
        <v>85</v>
      </c>
      <c r="M9" s="156" t="s">
        <v>91</v>
      </c>
      <c r="N9" s="475"/>
      <c r="O9" s="466"/>
      <c r="Y9" s="33"/>
      <c r="Z9" s="33"/>
      <c r="AA9" s="33"/>
      <c r="AB9" s="33"/>
    </row>
    <row r="10" spans="2:30" ht="15" customHeight="1" x14ac:dyDescent="0.25">
      <c r="B10" s="140" t="s">
        <v>52</v>
      </c>
      <c r="C10" s="143">
        <f>ROUND('% DEDICACIÓN TRABAJADOR'!L45,4)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T10" s="29"/>
      <c r="U10" s="29"/>
      <c r="V10" s="29"/>
      <c r="Y10" s="27"/>
      <c r="Z10" s="27"/>
      <c r="AA10" s="33"/>
      <c r="AB10" s="33"/>
      <c r="AC10" s="29"/>
      <c r="AD10" s="29"/>
    </row>
    <row r="11" spans="2:30" ht="15" customHeight="1" x14ac:dyDescent="0.25">
      <c r="B11" s="141" t="s">
        <v>53</v>
      </c>
      <c r="C11" s="144">
        <f>ROUND('% DEDICACIÓN TRABAJADOR'!M45,4)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T11" s="29"/>
      <c r="U11" s="29"/>
      <c r="V11" s="29"/>
      <c r="Y11" s="27"/>
      <c r="Z11" s="27"/>
      <c r="AA11" s="33"/>
      <c r="AB11" s="33"/>
      <c r="AC11" s="29"/>
      <c r="AD11" s="29"/>
    </row>
    <row r="12" spans="2:30" ht="15" customHeight="1" x14ac:dyDescent="0.25">
      <c r="B12" s="141" t="s">
        <v>54</v>
      </c>
      <c r="C12" s="144">
        <f>ROUND('% DEDICACIÓN TRABAJADOR'!N45,4)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T12" s="29"/>
      <c r="U12" s="29"/>
      <c r="V12" s="29"/>
      <c r="Y12" s="27"/>
      <c r="Z12" s="27"/>
      <c r="AA12" s="33"/>
      <c r="AB12" s="33"/>
      <c r="AC12" s="29"/>
      <c r="AD12" s="29"/>
    </row>
    <row r="13" spans="2:30" ht="15" customHeight="1" x14ac:dyDescent="0.25">
      <c r="B13" s="141" t="s">
        <v>55</v>
      </c>
      <c r="C13" s="144">
        <f>ROUND('% DEDICACIÓN TRABAJADOR'!O45,4)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T13" s="29"/>
      <c r="U13" s="29"/>
      <c r="V13" s="29"/>
      <c r="Y13" s="27"/>
      <c r="Z13" s="27"/>
      <c r="AA13" s="33"/>
      <c r="AB13" s="33"/>
      <c r="AC13" s="29"/>
      <c r="AD13" s="29"/>
    </row>
    <row r="14" spans="2:30" ht="15" customHeight="1" x14ac:dyDescent="0.25">
      <c r="B14" s="141" t="s">
        <v>56</v>
      </c>
      <c r="C14" s="144">
        <f>ROUND('% DEDICACIÓN TRABAJADOR'!P45,4)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T14" s="29"/>
      <c r="U14" s="29"/>
      <c r="V14" s="29"/>
      <c r="Y14" s="27"/>
      <c r="Z14" s="27"/>
      <c r="AA14" s="33"/>
      <c r="AB14" s="33"/>
      <c r="AC14" s="29"/>
      <c r="AD14" s="29"/>
    </row>
    <row r="15" spans="2:30" ht="15" customHeight="1" x14ac:dyDescent="0.25">
      <c r="B15" s="141" t="s">
        <v>57</v>
      </c>
      <c r="C15" s="144">
        <f>ROUND('% DEDICACIÓN TRABAJADOR'!Q45,4)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T15" s="29"/>
      <c r="U15" s="29"/>
      <c r="V15" s="29"/>
      <c r="Y15" s="27"/>
      <c r="Z15" s="27"/>
      <c r="AB15" s="27"/>
    </row>
    <row r="16" spans="2:30" ht="15" customHeight="1" x14ac:dyDescent="0.25">
      <c r="B16" s="141" t="s">
        <v>58</v>
      </c>
      <c r="C16" s="144">
        <f>ROUND('% DEDICACIÓN TRABAJADOR'!R45,4)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Y16" s="27"/>
      <c r="Z16" s="27"/>
      <c r="AB16" s="27"/>
    </row>
    <row r="17" spans="2:32" ht="15" customHeight="1" x14ac:dyDescent="0.25">
      <c r="B17" s="141" t="s">
        <v>59</v>
      </c>
      <c r="C17" s="144">
        <f>ROUND('% DEDICACIÓN TRABAJADOR'!S45,4)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Y17" s="27"/>
      <c r="Z17" s="27"/>
      <c r="AB17" s="27"/>
    </row>
    <row r="18" spans="2:32" ht="15" customHeight="1" x14ac:dyDescent="0.25">
      <c r="B18" s="141" t="s">
        <v>60</v>
      </c>
      <c r="C18" s="144">
        <f>ROUND('% DEDICACIÓN TRABAJADOR'!T45,4)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Y18" s="27"/>
      <c r="Z18" s="27"/>
      <c r="AB18" s="27"/>
    </row>
    <row r="19" spans="2:32" ht="15" customHeight="1" x14ac:dyDescent="0.25">
      <c r="B19" s="141" t="s">
        <v>61</v>
      </c>
      <c r="C19" s="144">
        <f>ROUND('% DEDICACIÓN TRABAJADOR'!U45,4)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Y19" s="27"/>
      <c r="Z19" s="27"/>
      <c r="AB19" s="27"/>
    </row>
    <row r="20" spans="2:32" ht="15" customHeight="1" x14ac:dyDescent="0.25">
      <c r="B20" s="141" t="s">
        <v>62</v>
      </c>
      <c r="C20" s="144">
        <f>ROUND('% DEDICACIÓN TRABAJADOR'!V45,4)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Y20" s="27"/>
      <c r="Z20" s="27"/>
      <c r="AB20" s="27"/>
    </row>
    <row r="21" spans="2:32" ht="15" customHeight="1" thickBot="1" x14ac:dyDescent="0.3">
      <c r="B21" s="142" t="s">
        <v>63</v>
      </c>
      <c r="C21" s="145">
        <f>ROUND('% DEDICACIÓN TRABAJADOR'!W45,4)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Y21" s="27"/>
      <c r="Z21" s="27"/>
      <c r="AB21" s="27"/>
    </row>
    <row r="22" spans="2:32" ht="14.25" thickBot="1" x14ac:dyDescent="0.3">
      <c r="M22" s="167"/>
      <c r="N22" s="167"/>
      <c r="O22" s="167"/>
      <c r="Y22" s="27"/>
      <c r="Z22" s="27"/>
      <c r="AB22" s="27"/>
    </row>
    <row r="23" spans="2:32" ht="20.100000000000001" customHeight="1" thickBot="1" x14ac:dyDescent="0.3">
      <c r="G23" s="28"/>
      <c r="H23" s="28"/>
      <c r="I23" s="28"/>
      <c r="J23" s="28"/>
      <c r="K23" s="28"/>
      <c r="L23" s="28"/>
      <c r="M23" s="278"/>
      <c r="N23" s="180" t="s">
        <v>226</v>
      </c>
      <c r="O23" s="163">
        <f>SUM(O25:O39)</f>
        <v>0</v>
      </c>
      <c r="Q23" s="26" t="str">
        <f>IF($S$4&gt;0,"ERROR: ALGUNA LÍNEA DE ESTA ACTUACIÓN TIENE UN % DE DEDICACIÓN SUPERIOR AL 100%",IF($S$6&gt;0,"ERROR: EL % DE DEDICACIÓN ACUMULADO PARA ALGÚN MES ES SUPERIOR AL 100%",IF(S8="SI","EXISTEN LÍNEAS REPETIDAS EN ESTA ACTUACIÓN","")))</f>
        <v/>
      </c>
      <c r="S23" s="44" t="s">
        <v>216</v>
      </c>
      <c r="T23" s="44" t="s">
        <v>243</v>
      </c>
      <c r="U23" s="26">
        <v>9</v>
      </c>
      <c r="V23" s="26">
        <v>10</v>
      </c>
      <c r="W23" s="26">
        <v>11</v>
      </c>
      <c r="X23" s="26">
        <v>12</v>
      </c>
      <c r="Y23" s="26">
        <v>13</v>
      </c>
      <c r="Z23" s="26">
        <v>14</v>
      </c>
      <c r="AA23" s="26">
        <v>15</v>
      </c>
      <c r="AB23" s="26">
        <v>16</v>
      </c>
      <c r="AC23" s="26">
        <v>17</v>
      </c>
      <c r="AD23" s="26">
        <v>18</v>
      </c>
      <c r="AE23" s="26">
        <v>19</v>
      </c>
      <c r="AF23" s="26">
        <v>20</v>
      </c>
    </row>
    <row r="24" spans="2:32" x14ac:dyDescent="0.25">
      <c r="M24" s="167"/>
      <c r="N24" s="167"/>
      <c r="O24" s="167"/>
      <c r="Z24" s="27"/>
      <c r="AA24" s="27"/>
    </row>
    <row r="25" spans="2:32" s="230" customFormat="1" ht="15" customHeight="1" x14ac:dyDescent="0.25">
      <c r="N25" s="230" t="str">
        <f>IF(AUXILIAR!AM19="x","",CONCATENATE("SUBTOTAL ",AUXILIAR!AM19))</f>
        <v/>
      </c>
      <c r="O25" s="232" t="str">
        <f>IF(N25="","",IF($S$4&gt;0,0,IF($S$6&gt;0,0,IF($S$8="SI",0,IFERROR(ROUND(U25*$N$10+V25*$N$11+W25*$N$12+X25*$N$13+Y25*$N$14+Z25*$N$15+AA25*$N$16+AB25*$N$17+AC25*$N$18+AD25*$N$19+AE25*$N$20+AF25*$N$21,2),"")))))</f>
        <v/>
      </c>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x14ac:dyDescent="0.25">
      <c r="N26" s="230" t="str">
        <f>IF(AUXILIAR!AM20="x","",CONCATENATE("SUBTOTAL ",AUXILIAR!AM20))</f>
        <v/>
      </c>
      <c r="O26" s="232" t="str">
        <f t="shared" ref="O26:O39" si="4">IF(N26="","",IF($S$4&gt;0,0,IF($S$6&gt;0,0,IF($S$8="SI",0,IFERROR(ROUND(U26*$N$10+V26*$N$11+W26*$N$12+X26*$N$13+Y26*$N$14+Z26*$N$15+AA26*$N$16+AB26*$N$17+AC26*$N$18+AD26*$N$19+AE26*$N$20+AF26*$N$21,2),"")))))</f>
        <v/>
      </c>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x14ac:dyDescent="0.25">
      <c r="N27" s="230" t="str">
        <f>IF(AUXILIAR!AM21="x","",CONCATENATE("SUBTOTAL ",AUXILIAR!AM21))</f>
        <v/>
      </c>
      <c r="O27" s="232" t="str">
        <f t="shared" si="4"/>
        <v/>
      </c>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x14ac:dyDescent="0.25">
      <c r="N28" s="230" t="str">
        <f>IF(AUXILIAR!AM22="x","",CONCATENATE("SUBTOTAL ",AUXILIAR!AM22))</f>
        <v/>
      </c>
      <c r="O28" s="232" t="str">
        <f t="shared" si="4"/>
        <v/>
      </c>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x14ac:dyDescent="0.25">
      <c r="N29" s="230" t="str">
        <f>IF(AUXILIAR!AM23="x","",CONCATENATE("SUBTOTAL ",AUXILIAR!AM23))</f>
        <v/>
      </c>
      <c r="O29" s="232" t="str">
        <f t="shared" si="4"/>
        <v/>
      </c>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x14ac:dyDescent="0.25">
      <c r="N30" s="230" t="str">
        <f>IF(AUXILIAR!AM24="x","",CONCATENATE("SUBTOTAL ",AUXILIAR!AM24))</f>
        <v/>
      </c>
      <c r="O30" s="232" t="str">
        <f t="shared" si="4"/>
        <v/>
      </c>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x14ac:dyDescent="0.25">
      <c r="N31" s="230" t="str">
        <f>IF(AUXILIAR!AM25="x","",CONCATENATE("SUBTOTAL ",AUXILIAR!AM25))</f>
        <v/>
      </c>
      <c r="O31" s="232" t="str">
        <f t="shared" si="4"/>
        <v/>
      </c>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x14ac:dyDescent="0.25">
      <c r="N32" s="230" t="str">
        <f>IF(AUXILIAR!AM26="x","",CONCATENATE("SUBTOTAL ",AUXILIAR!AM26))</f>
        <v/>
      </c>
      <c r="O32" s="232" t="str">
        <f t="shared" si="4"/>
        <v/>
      </c>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2:32" s="230" customFormat="1" ht="15" customHeight="1" x14ac:dyDescent="0.25">
      <c r="N33" s="230" t="str">
        <f>IF(AUXILIAR!AM27="x","",CONCATENATE("SUBTOTAL ",AUXILIAR!AM27))</f>
        <v/>
      </c>
      <c r="O33" s="232" t="str">
        <f t="shared" si="4"/>
        <v/>
      </c>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2:32" s="230" customFormat="1" ht="15" customHeight="1" x14ac:dyDescent="0.25">
      <c r="N34" s="230" t="str">
        <f>IF(AUXILIAR!AM28="x","",CONCATENATE("SUBTOTAL ",AUXILIAR!AM28))</f>
        <v/>
      </c>
      <c r="O34" s="232" t="str">
        <f t="shared" si="4"/>
        <v/>
      </c>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2:32" s="230" customFormat="1" ht="15" customHeight="1" x14ac:dyDescent="0.25">
      <c r="N35" s="230" t="str">
        <f>IF(AUXILIAR!AM29="x","",CONCATENATE("SUBTOTAL ",AUXILIAR!AM29))</f>
        <v/>
      </c>
      <c r="O35" s="232" t="str">
        <f t="shared" si="4"/>
        <v/>
      </c>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2:32" s="230" customFormat="1" ht="15" customHeight="1" x14ac:dyDescent="0.25">
      <c r="N36" s="230" t="str">
        <f>IF(AUXILIAR!AM30="x","",CONCATENATE("SUBTOTAL ",AUXILIAR!AM30))</f>
        <v/>
      </c>
      <c r="O36" s="232" t="str">
        <f t="shared" si="4"/>
        <v/>
      </c>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2:32" s="230" customFormat="1" ht="15" customHeight="1" x14ac:dyDescent="0.25">
      <c r="N37" s="230" t="str">
        <f>IF(AUXILIAR!AM31="x","",CONCATENATE("SUBTOTAL ",AUXILIAR!AM31))</f>
        <v/>
      </c>
      <c r="O37" s="232" t="str">
        <f t="shared" si="4"/>
        <v/>
      </c>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2:32" s="230" customFormat="1" ht="15" customHeight="1" x14ac:dyDescent="0.25">
      <c r="N38" s="230" t="str">
        <f>IF(AUXILIAR!AM32="x","",CONCATENATE("SUBTOTAL ",AUXILIAR!AM32))</f>
        <v/>
      </c>
      <c r="O38" s="232" t="str">
        <f t="shared" si="4"/>
        <v/>
      </c>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2:32" s="230" customFormat="1" ht="15" customHeight="1" x14ac:dyDescent="0.25">
      <c r="N39" s="230" t="str">
        <f>IF(AUXILIAR!AM33="x","",CONCATENATE("SUBTOTAL ",AUXILIAR!AM33))</f>
        <v/>
      </c>
      <c r="O39" s="232" t="str">
        <f t="shared" si="4"/>
        <v/>
      </c>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row r="40" spans="12:32" ht="14.25" x14ac:dyDescent="0.25">
      <c r="L40" s="230"/>
    </row>
  </sheetData>
  <sheetProtection algorithmName="SHA-512" hashValue="IhWHh3K5lXnwVC/BBLetyzTBtm4q0LkO0KlfNbtQN3APd9BP2O250a7dp7UVSqFjXuq8SPeoitpHfFb4RuPXNw==" saltValue="K0W2mRp20qyzcuuEh4Gnp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42" priority="84">
      <formula>OR($S$4&gt;0,$S$6&gt;0,$S$8="SI")</formula>
    </cfRule>
  </conditionalFormatting>
  <conditionalFormatting sqref="Q23">
    <cfRule type="cellIs" dxfId="41" priority="4" operator="notEqual">
      <formula>""</formula>
    </cfRule>
  </conditionalFormatting>
  <conditionalFormatting sqref="Q25:Q39">
    <cfRule type="cellIs" dxfId="40" priority="3"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 id="{BC94AD63-F16C-4741-B5E3-360B9A674E2A}">
            <xm:f>'% DEDICACIÓN TRABAJADOR'!$L45=0</xm:f>
            <x14:dxf>
              <font>
                <color theme="0"/>
              </font>
            </x14:dxf>
          </x14:cfRule>
          <xm:sqref>D10:N10</xm:sqref>
        </x14:conditionalFormatting>
        <x14:conditionalFormatting xmlns:xm="http://schemas.microsoft.com/office/excel/2006/main">
          <x14:cfRule type="expression" priority="12" id="{1E49049B-CD6C-4FA1-9CEC-24B8A19162D5}">
            <xm:f>'% DEDICACIÓN TRABAJADOR'!$M45=0</xm:f>
            <x14:dxf>
              <font>
                <color theme="0"/>
              </font>
            </x14:dxf>
          </x14:cfRule>
          <xm:sqref>D11:N11</xm:sqref>
        </x14:conditionalFormatting>
        <x14:conditionalFormatting xmlns:xm="http://schemas.microsoft.com/office/excel/2006/main">
          <x14:cfRule type="expression" priority="13" id="{6E0F42CB-BBD7-4C5D-85FC-A254D871789F}">
            <xm:f>'% DEDICACIÓN TRABAJADOR'!$N45=0</xm:f>
            <x14:dxf>
              <font>
                <color theme="0"/>
              </font>
            </x14:dxf>
          </x14:cfRule>
          <xm:sqref>D12:N12</xm:sqref>
        </x14:conditionalFormatting>
        <x14:conditionalFormatting xmlns:xm="http://schemas.microsoft.com/office/excel/2006/main">
          <x14:cfRule type="expression" priority="14" id="{24175F37-7D15-474B-92A3-ADE3307E5957}">
            <xm:f>'% DEDICACIÓN TRABAJADOR'!$O45=0</xm:f>
            <x14:dxf>
              <font>
                <color theme="0"/>
              </font>
            </x14:dxf>
          </x14:cfRule>
          <xm:sqref>D13:N13</xm:sqref>
        </x14:conditionalFormatting>
        <x14:conditionalFormatting xmlns:xm="http://schemas.microsoft.com/office/excel/2006/main">
          <x14:cfRule type="expression" priority="15" id="{38978E69-D8C4-4212-97C8-FAE5E5EA0AE6}">
            <xm:f>'% DEDICACIÓN TRABAJADOR'!$P45=0</xm:f>
            <x14:dxf>
              <font>
                <color theme="0"/>
              </font>
            </x14:dxf>
          </x14:cfRule>
          <xm:sqref>D14:N14</xm:sqref>
        </x14:conditionalFormatting>
        <x14:conditionalFormatting xmlns:xm="http://schemas.microsoft.com/office/excel/2006/main">
          <x14:cfRule type="expression" priority="16" id="{3CFD7268-32A5-4606-AC43-7034F53383C5}">
            <xm:f>'% DEDICACIÓN TRABAJADOR'!$Q45=0</xm:f>
            <x14:dxf>
              <font>
                <color theme="0"/>
              </font>
            </x14:dxf>
          </x14:cfRule>
          <xm:sqref>D15:N15</xm:sqref>
        </x14:conditionalFormatting>
        <x14:conditionalFormatting xmlns:xm="http://schemas.microsoft.com/office/excel/2006/main">
          <x14:cfRule type="expression" priority="17" id="{936B2825-62D9-4B9C-840A-7A4F0E1A1A31}">
            <xm:f>'% DEDICACIÓN TRABAJADOR'!$R45=0</xm:f>
            <x14:dxf>
              <font>
                <color theme="0"/>
              </font>
            </x14:dxf>
          </x14:cfRule>
          <xm:sqref>D16:N16</xm:sqref>
        </x14:conditionalFormatting>
        <x14:conditionalFormatting xmlns:xm="http://schemas.microsoft.com/office/excel/2006/main">
          <x14:cfRule type="expression" priority="1" id="{A673E847-C82E-451A-A864-C886838C4085}">
            <xm:f>'% DEDICACIÓN TRABAJADOR'!$S45=0</xm:f>
            <x14:dxf>
              <font>
                <color theme="0"/>
              </font>
            </x14:dxf>
          </x14:cfRule>
          <xm:sqref>D17:N17</xm:sqref>
        </x14:conditionalFormatting>
        <x14:conditionalFormatting xmlns:xm="http://schemas.microsoft.com/office/excel/2006/main">
          <x14:cfRule type="expression" priority="19" id="{12764919-C6FE-43DD-BEA0-5C2702205694}">
            <xm:f>'% DEDICACIÓN TRABAJADOR'!$T45=0</xm:f>
            <x14:dxf>
              <font>
                <color theme="0"/>
              </font>
            </x14:dxf>
          </x14:cfRule>
          <xm:sqref>D18:N18</xm:sqref>
        </x14:conditionalFormatting>
        <x14:conditionalFormatting xmlns:xm="http://schemas.microsoft.com/office/excel/2006/main">
          <x14:cfRule type="expression" priority="20" id="{45229B1F-6D2F-425D-8D69-64E87F9D2A4E}">
            <xm:f>'% DEDICACIÓN TRABAJADOR'!$U45=0</xm:f>
            <x14:dxf>
              <font>
                <color theme="0"/>
              </font>
            </x14:dxf>
          </x14:cfRule>
          <xm:sqref>D19:N19</xm:sqref>
        </x14:conditionalFormatting>
        <x14:conditionalFormatting xmlns:xm="http://schemas.microsoft.com/office/excel/2006/main">
          <x14:cfRule type="expression" priority="21" id="{393E2880-5D2A-4378-B8EC-BCC435516EB3}">
            <xm:f>'% DEDICACIÓN TRABAJADOR'!$V45=0</xm:f>
            <x14:dxf>
              <font>
                <color theme="0"/>
              </font>
            </x14:dxf>
          </x14:cfRule>
          <xm:sqref>D20:N20</xm:sqref>
        </x14:conditionalFormatting>
        <x14:conditionalFormatting xmlns:xm="http://schemas.microsoft.com/office/excel/2006/main">
          <x14:cfRule type="expression" priority="22" id="{EF40140A-4E92-4E74-85A9-A4DF7C10C8E3}">
            <xm:f>'% DEDICACIÓN TRABAJADOR'!$W45=0</xm:f>
            <x14:dxf>
              <font>
                <color theme="0"/>
              </font>
            </x14:dxf>
          </x14:cfRule>
          <xm:sqref>D21:N21</xm:sqref>
        </x14:conditionalFormatting>
        <x14:conditionalFormatting xmlns:xm="http://schemas.microsoft.com/office/excel/2006/main">
          <x14:cfRule type="expression" priority="2" id="{89568B02-E6CF-4BDC-8E7D-6431A337C9BF}">
            <xm:f>EXPEDIENTE!$A$1&lt;&gt;1</xm:f>
            <x14:dxf>
              <font>
                <color theme="0"/>
              </font>
            </x14:dxf>
          </x14:cfRule>
          <xm:sqref>S3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8BF1-232E-4E09-8A36-470A478C93DA}">
  <dimension ref="B1:AF39"/>
  <sheetViews>
    <sheetView showGridLines="0" zoomScaleNormal="100" workbookViewId="0"/>
  </sheetViews>
  <sheetFormatPr baseColWidth="10" defaultColWidth="11.42578125" defaultRowHeight="13.5" x14ac:dyDescent="0.25"/>
  <cols>
    <col min="1" max="1" width="5.5703125" style="26" customWidth="1"/>
    <col min="2" max="2" width="12.5703125" style="26" customWidth="1"/>
    <col min="3" max="3" width="13.7109375" style="26" customWidth="1"/>
    <col min="4" max="4" width="15.5703125" style="26" customWidth="1"/>
    <col min="5" max="5" width="11.5703125" style="26" customWidth="1"/>
    <col min="6" max="6" width="15.5703125" style="26" customWidth="1"/>
    <col min="7" max="8" width="11.5703125" style="26" customWidth="1"/>
    <col min="9" max="9" width="15.5703125" style="26" customWidth="1"/>
    <col min="10" max="12" width="11.5703125" style="26" customWidth="1"/>
    <col min="13" max="13" width="15.5703125" style="26" customWidth="1"/>
    <col min="14" max="15" width="17.5703125" style="26" customWidth="1"/>
    <col min="16" max="16" width="5.5703125" style="26" customWidth="1"/>
    <col min="17" max="17" width="86.7109375" style="26" customWidth="1"/>
    <col min="18" max="20" width="5.5703125" style="26" hidden="1" customWidth="1"/>
    <col min="21" max="32" width="8.5703125" style="26" hidden="1" customWidth="1"/>
    <col min="33" max="33" width="8.5703125" style="26" customWidth="1"/>
    <col min="34" max="16384" width="11.42578125" style="26"/>
  </cols>
  <sheetData>
    <row r="1" spans="2:32" ht="20.100000000000001" customHeight="1" x14ac:dyDescent="0.25"/>
    <row r="2" spans="2:32" ht="20.100000000000001" customHeight="1" x14ac:dyDescent="0.25"/>
    <row r="3" spans="2:32" ht="20.100000000000001" customHeight="1" x14ac:dyDescent="0.25">
      <c r="D3" s="239" t="str">
        <f>'IDENTIFICACIÓN TRABAJADOR'!G3</f>
        <v>Nº DE EXPEDIENTE: 2024.11.ACEE.0000</v>
      </c>
      <c r="E3" s="179"/>
      <c r="F3" s="239"/>
      <c r="S3" s="26" t="s">
        <v>340</v>
      </c>
    </row>
    <row r="4" spans="2:32" ht="20.100000000000001" customHeight="1" x14ac:dyDescent="0.25">
      <c r="E4" s="41"/>
      <c r="F4" s="187"/>
      <c r="S4" s="187">
        <f>COUNTIFS('% DEDICACIÓN TRABAJADOR'!$B$49:$B$108,3,'% DEDICACIÓN TRABAJADOR'!$E$49:$E$108,"&gt;0")</f>
        <v>0</v>
      </c>
    </row>
    <row r="5" spans="2:32" ht="20.100000000000001" customHeight="1" x14ac:dyDescent="0.25">
      <c r="D5" s="240" t="str">
        <f>'LINEAS CON DEDICACIÓN'!C6</f>
        <v xml:space="preserve">TRABAJADOR:   </v>
      </c>
      <c r="E5" s="241"/>
      <c r="F5" s="187"/>
      <c r="S5" s="26" t="s">
        <v>339</v>
      </c>
    </row>
    <row r="6" spans="2:32" ht="20.100000000000001" customHeight="1" x14ac:dyDescent="0.25">
      <c r="D6" s="240" t="str">
        <f>'LINEAS CON DEDICACIÓN'!C7</f>
        <v xml:space="preserve">ACRÓNIMO: </v>
      </c>
      <c r="E6" s="241"/>
      <c r="F6" s="187"/>
      <c r="S6" s="187">
        <f>COUNTIFS('% DEDICACIÓN TRABAJADOR'!$L$46:$W$46,"&gt;1")</f>
        <v>0</v>
      </c>
    </row>
    <row r="7" spans="2:32" ht="20.100000000000001" customHeight="1" thickBot="1" x14ac:dyDescent="0.3">
      <c r="D7" s="240"/>
      <c r="E7" s="241"/>
      <c r="F7" s="187"/>
      <c r="S7" s="26" t="s">
        <v>244</v>
      </c>
    </row>
    <row r="8" spans="2:32" s="45" customFormat="1" ht="25.5" customHeight="1" x14ac:dyDescent="0.25">
      <c r="B8" s="472">
        <f>EXPEDIENTE!C16</f>
        <v>2024</v>
      </c>
      <c r="C8" s="474" t="s">
        <v>227</v>
      </c>
      <c r="D8" s="467" t="s">
        <v>129</v>
      </c>
      <c r="E8" s="357"/>
      <c r="F8" s="468"/>
      <c r="G8" s="469" t="s">
        <v>306</v>
      </c>
      <c r="H8" s="470"/>
      <c r="I8" s="471"/>
      <c r="J8" s="146" t="s">
        <v>130</v>
      </c>
      <c r="K8" s="467" t="s">
        <v>309</v>
      </c>
      <c r="L8" s="357"/>
      <c r="M8" s="468"/>
      <c r="N8" s="474" t="s">
        <v>295</v>
      </c>
      <c r="O8" s="465" t="s">
        <v>94</v>
      </c>
      <c r="S8" s="26" t="str">
        <f>IF(COUNTIF(T25:T39,"&gt;1")&gt;0,"SI","NO")</f>
        <v>NO</v>
      </c>
    </row>
    <row r="9" spans="2:32" s="29" customFormat="1" ht="65.099999999999994" customHeight="1" thickBot="1" x14ac:dyDescent="0.3">
      <c r="B9" s="473"/>
      <c r="C9" s="475"/>
      <c r="D9" s="266" t="s">
        <v>307</v>
      </c>
      <c r="E9" s="139" t="s">
        <v>74</v>
      </c>
      <c r="F9" s="149" t="s">
        <v>95</v>
      </c>
      <c r="G9" s="148" t="s">
        <v>88</v>
      </c>
      <c r="H9" s="139" t="s">
        <v>132</v>
      </c>
      <c r="I9" s="156" t="s">
        <v>89</v>
      </c>
      <c r="J9" s="147" t="s">
        <v>131</v>
      </c>
      <c r="K9" s="148" t="s">
        <v>308</v>
      </c>
      <c r="L9" s="139" t="s">
        <v>85</v>
      </c>
      <c r="M9" s="156" t="s">
        <v>91</v>
      </c>
      <c r="N9" s="475"/>
      <c r="O9" s="466"/>
      <c r="AA9" s="33"/>
      <c r="AB9" s="33"/>
      <c r="AC9" s="33"/>
      <c r="AD9" s="33"/>
    </row>
    <row r="10" spans="2:32" ht="15" customHeight="1" x14ac:dyDescent="0.25">
      <c r="B10" s="140" t="s">
        <v>52</v>
      </c>
      <c r="C10" s="143">
        <f>ROUND('% DEDICACIÓN TRABAJADOR'!L46,4)</f>
        <v>0</v>
      </c>
      <c r="D10" s="150">
        <f>'GASTOS TRABAJADOR'!F20+'GASTOS TRABAJADOR'!L20-'GASTOS TRABAJADOR'!X20-'GASTOS TRABAJADOR'!Y20</f>
        <v>0</v>
      </c>
      <c r="E10" s="38" t="str">
        <f>IF('GASTOS TRABAJADOR'!AA20="","",'GASTOS TRABAJADOR'!AA20)</f>
        <v/>
      </c>
      <c r="F10" s="151">
        <f>IF(E10&lt;=EXPEDIENTE!$H$29,D10,0)</f>
        <v>0</v>
      </c>
      <c r="G10" s="150">
        <f>'GASTOS TRABAJADOR'!Y20</f>
        <v>0</v>
      </c>
      <c r="H10" s="38" t="str">
        <f>IF('GASTOS TRABAJADOR'!AB20="","",'GASTOS TRABAJADOR'!AB20)</f>
        <v/>
      </c>
      <c r="I10" s="151">
        <f>IF(H10&lt;=EXPEDIENTE!$H$29,G10,0)</f>
        <v>0</v>
      </c>
      <c r="J10" s="157">
        <f>AUXILIAR!BW19</f>
        <v>0</v>
      </c>
      <c r="K10" s="150">
        <f>AUXILIAR!CJ19</f>
        <v>0</v>
      </c>
      <c r="L10" s="38" t="str">
        <f>IF('GASTOS TRABAJADOR'!I48="","",'GASTOS TRABAJADOR'!I48)</f>
        <v/>
      </c>
      <c r="M10" s="151">
        <f>IF(L10&lt;=EXPEDIENTE!$H$29,K10,0)</f>
        <v>0</v>
      </c>
      <c r="N10" s="157">
        <f>ROUND((F10+J10+M10+I10)*32.72/30,2)</f>
        <v>0</v>
      </c>
      <c r="O10" s="160">
        <f>IF(AND($S$4=0,$S$6=0,$S$8="NO"),ROUND(C10*N10,2),0)</f>
        <v>0</v>
      </c>
      <c r="AA10" s="27"/>
      <c r="AB10" s="27"/>
      <c r="AC10" s="33"/>
      <c r="AD10" s="33"/>
      <c r="AE10" s="29"/>
      <c r="AF10" s="29"/>
    </row>
    <row r="11" spans="2:32" ht="15" customHeight="1" x14ac:dyDescent="0.25">
      <c r="B11" s="141" t="s">
        <v>53</v>
      </c>
      <c r="C11" s="144">
        <f>ROUND('% DEDICACIÓN TRABAJADOR'!M46,4)</f>
        <v>0</v>
      </c>
      <c r="D11" s="152">
        <f>'GASTOS TRABAJADOR'!F21+'GASTOS TRABAJADOR'!L21-'GASTOS TRABAJADOR'!X21-'GASTOS TRABAJADOR'!Y21</f>
        <v>0</v>
      </c>
      <c r="E11" s="39" t="str">
        <f>IF('GASTOS TRABAJADOR'!AA21="","",'GASTOS TRABAJADOR'!AA21)</f>
        <v/>
      </c>
      <c r="F11" s="153">
        <f>IF(E11&lt;=EXPEDIENTE!$H$29,D11,0)</f>
        <v>0</v>
      </c>
      <c r="G11" s="152">
        <f>'GASTOS TRABAJADOR'!Y21</f>
        <v>0</v>
      </c>
      <c r="H11" s="39" t="str">
        <f>IF('GASTOS TRABAJADOR'!AB21="","",'GASTOS TRABAJADOR'!AB21)</f>
        <v/>
      </c>
      <c r="I11" s="153">
        <f>IF(H11&lt;=EXPEDIENTE!$H$29,G11,0)</f>
        <v>0</v>
      </c>
      <c r="J11" s="158">
        <f>AUXILIAR!BW20</f>
        <v>0</v>
      </c>
      <c r="K11" s="152">
        <f>AUXILIAR!CJ20</f>
        <v>0</v>
      </c>
      <c r="L11" s="39" t="str">
        <f>IF('GASTOS TRABAJADOR'!I49="","",'GASTOS TRABAJADOR'!I49)</f>
        <v/>
      </c>
      <c r="M11" s="153">
        <f>IF(L11&lt;=EXPEDIENTE!$H$29,K11,0)</f>
        <v>0</v>
      </c>
      <c r="N11" s="158">
        <f t="shared" ref="N11:N21" si="0">ROUND((F11+J11+M11+I11)*32.72/30,2)</f>
        <v>0</v>
      </c>
      <c r="O11" s="161">
        <f t="shared" ref="O11:O21" si="1">IF(AND($S$4=0,$S$6=0,$S$8="NO"),ROUND(C11*N11,2),0)</f>
        <v>0</v>
      </c>
      <c r="AA11" s="27"/>
      <c r="AB11" s="27"/>
      <c r="AC11" s="33"/>
      <c r="AD11" s="33"/>
      <c r="AE11" s="29"/>
      <c r="AF11" s="29"/>
    </row>
    <row r="12" spans="2:32" ht="15" customHeight="1" x14ac:dyDescent="0.25">
      <c r="B12" s="141" t="s">
        <v>54</v>
      </c>
      <c r="C12" s="144">
        <f>ROUND('% DEDICACIÓN TRABAJADOR'!N46,4)</f>
        <v>0</v>
      </c>
      <c r="D12" s="152">
        <f>'GASTOS TRABAJADOR'!F22+'GASTOS TRABAJADOR'!L22-'GASTOS TRABAJADOR'!X22-'GASTOS TRABAJADOR'!Y22</f>
        <v>0</v>
      </c>
      <c r="E12" s="39" t="str">
        <f>IF('GASTOS TRABAJADOR'!AA22="","",'GASTOS TRABAJADOR'!AA22)</f>
        <v/>
      </c>
      <c r="F12" s="153">
        <f>IF(E12&lt;=EXPEDIENTE!$H$29,D12,0)</f>
        <v>0</v>
      </c>
      <c r="G12" s="152">
        <f>'GASTOS TRABAJADOR'!Y22</f>
        <v>0</v>
      </c>
      <c r="H12" s="39" t="str">
        <f>IF('GASTOS TRABAJADOR'!AB22="","",'GASTOS TRABAJADOR'!AB22)</f>
        <v/>
      </c>
      <c r="I12" s="153">
        <f>IF(H12&lt;=EXPEDIENTE!$H$29,G12,0)</f>
        <v>0</v>
      </c>
      <c r="J12" s="158">
        <f>AUXILIAR!BW21</f>
        <v>0</v>
      </c>
      <c r="K12" s="152">
        <f>AUXILIAR!CJ21</f>
        <v>0</v>
      </c>
      <c r="L12" s="39" t="str">
        <f>IF('GASTOS TRABAJADOR'!I50="","",'GASTOS TRABAJADOR'!I50)</f>
        <v/>
      </c>
      <c r="M12" s="153">
        <f>IF(L12&lt;=EXPEDIENTE!$H$29,K12,0)</f>
        <v>0</v>
      </c>
      <c r="N12" s="158">
        <f t="shared" si="0"/>
        <v>0</v>
      </c>
      <c r="O12" s="161">
        <f t="shared" si="1"/>
        <v>0</v>
      </c>
      <c r="AA12" s="27"/>
      <c r="AB12" s="27"/>
      <c r="AC12" s="33"/>
      <c r="AD12" s="33"/>
      <c r="AE12" s="29"/>
      <c r="AF12" s="29"/>
    </row>
    <row r="13" spans="2:32" ht="15" customHeight="1" x14ac:dyDescent="0.25">
      <c r="B13" s="141" t="s">
        <v>55</v>
      </c>
      <c r="C13" s="144">
        <f>ROUND('% DEDICACIÓN TRABAJADOR'!O46,4)</f>
        <v>0</v>
      </c>
      <c r="D13" s="152">
        <f>'GASTOS TRABAJADOR'!F23+'GASTOS TRABAJADOR'!L23-'GASTOS TRABAJADOR'!X23-'GASTOS TRABAJADOR'!Y23</f>
        <v>0</v>
      </c>
      <c r="E13" s="39" t="str">
        <f>IF('GASTOS TRABAJADOR'!AA23="","",'GASTOS TRABAJADOR'!AA23)</f>
        <v/>
      </c>
      <c r="F13" s="153">
        <f>IF(E13&lt;=EXPEDIENTE!$H$29,D13,0)</f>
        <v>0</v>
      </c>
      <c r="G13" s="152">
        <f>'GASTOS TRABAJADOR'!Y23</f>
        <v>0</v>
      </c>
      <c r="H13" s="39" t="str">
        <f>IF('GASTOS TRABAJADOR'!AB23="","",'GASTOS TRABAJADOR'!AB23)</f>
        <v/>
      </c>
      <c r="I13" s="153">
        <f>IF(H13&lt;=EXPEDIENTE!$H$29,G13,0)</f>
        <v>0</v>
      </c>
      <c r="J13" s="158">
        <f>AUXILIAR!BW22</f>
        <v>0</v>
      </c>
      <c r="K13" s="152">
        <f>AUXILIAR!CJ22</f>
        <v>0</v>
      </c>
      <c r="L13" s="39" t="str">
        <f>IF('GASTOS TRABAJADOR'!I51="","",'GASTOS TRABAJADOR'!I51)</f>
        <v/>
      </c>
      <c r="M13" s="153">
        <f>IF(L13&lt;=EXPEDIENTE!$H$29,K13,0)</f>
        <v>0</v>
      </c>
      <c r="N13" s="158">
        <f t="shared" si="0"/>
        <v>0</v>
      </c>
      <c r="O13" s="161">
        <f t="shared" si="1"/>
        <v>0</v>
      </c>
      <c r="AA13" s="27"/>
      <c r="AB13" s="27"/>
      <c r="AC13" s="33"/>
      <c r="AD13" s="33"/>
      <c r="AE13" s="29"/>
      <c r="AF13" s="29"/>
    </row>
    <row r="14" spans="2:32" ht="15" customHeight="1" x14ac:dyDescent="0.25">
      <c r="B14" s="141" t="s">
        <v>56</v>
      </c>
      <c r="C14" s="144">
        <f>ROUND('% DEDICACIÓN TRABAJADOR'!P46,4)</f>
        <v>0</v>
      </c>
      <c r="D14" s="152">
        <f>'GASTOS TRABAJADOR'!F24+'GASTOS TRABAJADOR'!L24-'GASTOS TRABAJADOR'!X24-'GASTOS TRABAJADOR'!Y24</f>
        <v>0</v>
      </c>
      <c r="E14" s="39" t="str">
        <f>IF('GASTOS TRABAJADOR'!AA24="","",'GASTOS TRABAJADOR'!AA24)</f>
        <v/>
      </c>
      <c r="F14" s="153">
        <f>IF(E14&lt;=EXPEDIENTE!$H$29,D14,0)</f>
        <v>0</v>
      </c>
      <c r="G14" s="152">
        <f>'GASTOS TRABAJADOR'!Y24</f>
        <v>0</v>
      </c>
      <c r="H14" s="39" t="str">
        <f>IF('GASTOS TRABAJADOR'!AB24="","",'GASTOS TRABAJADOR'!AB24)</f>
        <v/>
      </c>
      <c r="I14" s="153">
        <f>IF(H14&lt;=EXPEDIENTE!$H$29,G14,0)</f>
        <v>0</v>
      </c>
      <c r="J14" s="158">
        <f>AUXILIAR!BW23</f>
        <v>0</v>
      </c>
      <c r="K14" s="152">
        <f>AUXILIAR!CJ23</f>
        <v>0</v>
      </c>
      <c r="L14" s="39" t="str">
        <f>IF('GASTOS TRABAJADOR'!I52="","",'GASTOS TRABAJADOR'!I52)</f>
        <v/>
      </c>
      <c r="M14" s="153">
        <f>IF(L14&lt;=EXPEDIENTE!$H$29,K14,0)</f>
        <v>0</v>
      </c>
      <c r="N14" s="158">
        <f t="shared" si="0"/>
        <v>0</v>
      </c>
      <c r="O14" s="161">
        <f t="shared" si="1"/>
        <v>0</v>
      </c>
      <c r="AA14" s="27"/>
      <c r="AB14" s="27"/>
      <c r="AC14" s="33"/>
      <c r="AD14" s="33"/>
      <c r="AE14" s="29"/>
      <c r="AF14" s="29"/>
    </row>
    <row r="15" spans="2:32" ht="15" customHeight="1" x14ac:dyDescent="0.25">
      <c r="B15" s="141" t="s">
        <v>57</v>
      </c>
      <c r="C15" s="144">
        <f>ROUND('% DEDICACIÓN TRABAJADOR'!Q46,4)</f>
        <v>0</v>
      </c>
      <c r="D15" s="152">
        <f>'GASTOS TRABAJADOR'!F25+'GASTOS TRABAJADOR'!L25-'GASTOS TRABAJADOR'!X25-'GASTOS TRABAJADOR'!Y25</f>
        <v>0</v>
      </c>
      <c r="E15" s="39" t="str">
        <f>IF('GASTOS TRABAJADOR'!AA25="","",'GASTOS TRABAJADOR'!AA25)</f>
        <v/>
      </c>
      <c r="F15" s="153">
        <f>IF(E15&lt;=EXPEDIENTE!$H$29,D15,0)</f>
        <v>0</v>
      </c>
      <c r="G15" s="152">
        <f>'GASTOS TRABAJADOR'!Y25</f>
        <v>0</v>
      </c>
      <c r="H15" s="39" t="str">
        <f>IF('GASTOS TRABAJADOR'!AB25="","",'GASTOS TRABAJADOR'!AB25)</f>
        <v/>
      </c>
      <c r="I15" s="153">
        <f>IF(H15&lt;=EXPEDIENTE!$H$29,G15,0)</f>
        <v>0</v>
      </c>
      <c r="J15" s="158">
        <f>AUXILIAR!BW24</f>
        <v>0</v>
      </c>
      <c r="K15" s="152">
        <f>AUXILIAR!CJ24</f>
        <v>0</v>
      </c>
      <c r="L15" s="39" t="str">
        <f>IF('GASTOS TRABAJADOR'!I53="","",'GASTOS TRABAJADOR'!I53)</f>
        <v/>
      </c>
      <c r="M15" s="153">
        <f>IF(L15&lt;=EXPEDIENTE!$H$29,K15,0)</f>
        <v>0</v>
      </c>
      <c r="N15" s="158">
        <f t="shared" si="0"/>
        <v>0</v>
      </c>
      <c r="O15" s="161">
        <f t="shared" si="1"/>
        <v>0</v>
      </c>
      <c r="AA15" s="27"/>
      <c r="AB15" s="27"/>
      <c r="AD15" s="27"/>
    </row>
    <row r="16" spans="2:32" ht="15" customHeight="1" x14ac:dyDescent="0.25">
      <c r="B16" s="141" t="s">
        <v>58</v>
      </c>
      <c r="C16" s="144">
        <f>ROUND('% DEDICACIÓN TRABAJADOR'!R46,4)</f>
        <v>0</v>
      </c>
      <c r="D16" s="152">
        <f>'GASTOS TRABAJADOR'!F26+'GASTOS TRABAJADOR'!L26-'GASTOS TRABAJADOR'!X26-'GASTOS TRABAJADOR'!Y26</f>
        <v>0</v>
      </c>
      <c r="E16" s="39" t="str">
        <f>IF('GASTOS TRABAJADOR'!AA26="","",'GASTOS TRABAJADOR'!AA26)</f>
        <v/>
      </c>
      <c r="F16" s="153">
        <f>IF(E16&lt;=EXPEDIENTE!$H$29,D16,0)</f>
        <v>0</v>
      </c>
      <c r="G16" s="152">
        <f>'GASTOS TRABAJADOR'!Y26</f>
        <v>0</v>
      </c>
      <c r="H16" s="39" t="str">
        <f>IF('GASTOS TRABAJADOR'!AB26="","",'GASTOS TRABAJADOR'!AB26)</f>
        <v/>
      </c>
      <c r="I16" s="153">
        <f>IF(H16&lt;=EXPEDIENTE!$H$29,G16,0)</f>
        <v>0</v>
      </c>
      <c r="J16" s="158">
        <f>AUXILIAR!BW25</f>
        <v>0</v>
      </c>
      <c r="K16" s="152">
        <f>AUXILIAR!CJ25</f>
        <v>0</v>
      </c>
      <c r="L16" s="39" t="str">
        <f>IF('GASTOS TRABAJADOR'!I54="","",'GASTOS TRABAJADOR'!I54)</f>
        <v/>
      </c>
      <c r="M16" s="153">
        <f>IF(L16&lt;=EXPEDIENTE!$H$29,K16,0)</f>
        <v>0</v>
      </c>
      <c r="N16" s="158">
        <f t="shared" si="0"/>
        <v>0</v>
      </c>
      <c r="O16" s="161">
        <f t="shared" si="1"/>
        <v>0</v>
      </c>
      <c r="AA16" s="27"/>
      <c r="AB16" s="27"/>
      <c r="AD16" s="27"/>
    </row>
    <row r="17" spans="2:32" ht="15" customHeight="1" x14ac:dyDescent="0.25">
      <c r="B17" s="141" t="s">
        <v>59</v>
      </c>
      <c r="C17" s="144">
        <f>ROUND('% DEDICACIÓN TRABAJADOR'!S46,4)</f>
        <v>0</v>
      </c>
      <c r="D17" s="152">
        <f>'GASTOS TRABAJADOR'!F27+'GASTOS TRABAJADOR'!L27-'GASTOS TRABAJADOR'!X27-'GASTOS TRABAJADOR'!Y27</f>
        <v>0</v>
      </c>
      <c r="E17" s="39" t="str">
        <f>IF('GASTOS TRABAJADOR'!AA27="","",'GASTOS TRABAJADOR'!AA27)</f>
        <v/>
      </c>
      <c r="F17" s="153">
        <f>IF(E17&lt;=EXPEDIENTE!$H$29,D17,0)</f>
        <v>0</v>
      </c>
      <c r="G17" s="152">
        <f>'GASTOS TRABAJADOR'!Y27</f>
        <v>0</v>
      </c>
      <c r="H17" s="39" t="str">
        <f>IF('GASTOS TRABAJADOR'!AB27="","",'GASTOS TRABAJADOR'!AB27)</f>
        <v/>
      </c>
      <c r="I17" s="153">
        <f>IF(H17&lt;=EXPEDIENTE!$H$29,G17,0)</f>
        <v>0</v>
      </c>
      <c r="J17" s="158">
        <f>AUXILIAR!BW26</f>
        <v>0</v>
      </c>
      <c r="K17" s="152">
        <f>AUXILIAR!CJ26</f>
        <v>0</v>
      </c>
      <c r="L17" s="39" t="str">
        <f>IF('GASTOS TRABAJADOR'!I55="","",'GASTOS TRABAJADOR'!I55)</f>
        <v/>
      </c>
      <c r="M17" s="153">
        <f>IF(L17&lt;=EXPEDIENTE!$H$29,K17,0)</f>
        <v>0</v>
      </c>
      <c r="N17" s="158">
        <f t="shared" si="0"/>
        <v>0</v>
      </c>
      <c r="O17" s="161">
        <f t="shared" si="1"/>
        <v>0</v>
      </c>
      <c r="AA17" s="27"/>
      <c r="AB17" s="27"/>
      <c r="AD17" s="27"/>
    </row>
    <row r="18" spans="2:32" ht="15" customHeight="1" x14ac:dyDescent="0.25">
      <c r="B18" s="141" t="s">
        <v>60</v>
      </c>
      <c r="C18" s="144">
        <f>ROUND('% DEDICACIÓN TRABAJADOR'!T46,4)</f>
        <v>0</v>
      </c>
      <c r="D18" s="152">
        <f>'GASTOS TRABAJADOR'!F28+'GASTOS TRABAJADOR'!L28-'GASTOS TRABAJADOR'!X28-'GASTOS TRABAJADOR'!Y28</f>
        <v>0</v>
      </c>
      <c r="E18" s="39" t="str">
        <f>IF('GASTOS TRABAJADOR'!AA28="","",'GASTOS TRABAJADOR'!AA28)</f>
        <v/>
      </c>
      <c r="F18" s="153">
        <f>IF(E18&lt;=EXPEDIENTE!$H$29,D18,0)</f>
        <v>0</v>
      </c>
      <c r="G18" s="152">
        <f>'GASTOS TRABAJADOR'!Y28</f>
        <v>0</v>
      </c>
      <c r="H18" s="39" t="str">
        <f>IF('GASTOS TRABAJADOR'!AB28="","",'GASTOS TRABAJADOR'!AB28)</f>
        <v/>
      </c>
      <c r="I18" s="153">
        <f>IF(H18&lt;=EXPEDIENTE!$H$29,G18,0)</f>
        <v>0</v>
      </c>
      <c r="J18" s="158">
        <f>AUXILIAR!BW27</f>
        <v>0</v>
      </c>
      <c r="K18" s="152">
        <f>AUXILIAR!CJ27</f>
        <v>0</v>
      </c>
      <c r="L18" s="39" t="str">
        <f>IF('GASTOS TRABAJADOR'!I56="","",'GASTOS TRABAJADOR'!I56)</f>
        <v/>
      </c>
      <c r="M18" s="153">
        <f>IF(L18&lt;=EXPEDIENTE!$H$29,K18,0)</f>
        <v>0</v>
      </c>
      <c r="N18" s="158">
        <f t="shared" si="0"/>
        <v>0</v>
      </c>
      <c r="O18" s="161">
        <f t="shared" si="1"/>
        <v>0</v>
      </c>
      <c r="AA18" s="27"/>
      <c r="AB18" s="27"/>
      <c r="AD18" s="27"/>
    </row>
    <row r="19" spans="2:32" ht="15" customHeight="1" x14ac:dyDescent="0.25">
      <c r="B19" s="141" t="s">
        <v>61</v>
      </c>
      <c r="C19" s="144">
        <f>ROUND('% DEDICACIÓN TRABAJADOR'!U46,4)</f>
        <v>0</v>
      </c>
      <c r="D19" s="152">
        <f>'GASTOS TRABAJADOR'!F29+'GASTOS TRABAJADOR'!L29-'GASTOS TRABAJADOR'!X29-'GASTOS TRABAJADOR'!Y29</f>
        <v>0</v>
      </c>
      <c r="E19" s="39" t="str">
        <f>IF('GASTOS TRABAJADOR'!AA29="","",'GASTOS TRABAJADOR'!AA29)</f>
        <v/>
      </c>
      <c r="F19" s="153">
        <f>IF(E19&lt;=EXPEDIENTE!$H$29,D19,0)</f>
        <v>0</v>
      </c>
      <c r="G19" s="152">
        <f>'GASTOS TRABAJADOR'!Y29</f>
        <v>0</v>
      </c>
      <c r="H19" s="39" t="str">
        <f>IF('GASTOS TRABAJADOR'!AB29="","",'GASTOS TRABAJADOR'!AB29)</f>
        <v/>
      </c>
      <c r="I19" s="153">
        <f>IF(H19&lt;=EXPEDIENTE!$H$29,G19,0)</f>
        <v>0</v>
      </c>
      <c r="J19" s="158">
        <f>AUXILIAR!BW28</f>
        <v>0</v>
      </c>
      <c r="K19" s="152">
        <f>AUXILIAR!CJ28</f>
        <v>0</v>
      </c>
      <c r="L19" s="39" t="str">
        <f>IF('GASTOS TRABAJADOR'!I57="","",'GASTOS TRABAJADOR'!I57)</f>
        <v/>
      </c>
      <c r="M19" s="153">
        <f>IF(L19&lt;=EXPEDIENTE!$H$29,K19,0)</f>
        <v>0</v>
      </c>
      <c r="N19" s="158">
        <f t="shared" si="0"/>
        <v>0</v>
      </c>
      <c r="O19" s="161">
        <f t="shared" si="1"/>
        <v>0</v>
      </c>
      <c r="AA19" s="27"/>
      <c r="AB19" s="27"/>
      <c r="AD19" s="27"/>
    </row>
    <row r="20" spans="2:32" ht="15" customHeight="1" x14ac:dyDescent="0.25">
      <c r="B20" s="141" t="s">
        <v>62</v>
      </c>
      <c r="C20" s="144">
        <f>ROUND('% DEDICACIÓN TRABAJADOR'!V46,4)</f>
        <v>0</v>
      </c>
      <c r="D20" s="152">
        <f>'GASTOS TRABAJADOR'!F30+'GASTOS TRABAJADOR'!L30-'GASTOS TRABAJADOR'!X30-'GASTOS TRABAJADOR'!Y30</f>
        <v>0</v>
      </c>
      <c r="E20" s="39" t="str">
        <f>IF('GASTOS TRABAJADOR'!AA30="","",'GASTOS TRABAJADOR'!AA30)</f>
        <v/>
      </c>
      <c r="F20" s="153">
        <f>IF(E20&lt;=EXPEDIENTE!$H$29,D20,0)</f>
        <v>0</v>
      </c>
      <c r="G20" s="152">
        <f>'GASTOS TRABAJADOR'!Y30</f>
        <v>0</v>
      </c>
      <c r="H20" s="39" t="str">
        <f>IF('GASTOS TRABAJADOR'!AB30="","",'GASTOS TRABAJADOR'!AB30)</f>
        <v/>
      </c>
      <c r="I20" s="153">
        <f>IF(H20&lt;=EXPEDIENTE!$H$29,G20,0)</f>
        <v>0</v>
      </c>
      <c r="J20" s="158">
        <f>AUXILIAR!BW29</f>
        <v>0</v>
      </c>
      <c r="K20" s="152">
        <f>AUXILIAR!CJ29</f>
        <v>0</v>
      </c>
      <c r="L20" s="39" t="str">
        <f>IF('GASTOS TRABAJADOR'!I58="","",'GASTOS TRABAJADOR'!I58)</f>
        <v/>
      </c>
      <c r="M20" s="153">
        <f>IF(L20&lt;=EXPEDIENTE!$H$29,K20,0)</f>
        <v>0</v>
      </c>
      <c r="N20" s="158">
        <f t="shared" si="0"/>
        <v>0</v>
      </c>
      <c r="O20" s="161">
        <f t="shared" si="1"/>
        <v>0</v>
      </c>
      <c r="AA20" s="27"/>
      <c r="AB20" s="27"/>
      <c r="AD20" s="27"/>
    </row>
    <row r="21" spans="2:32" ht="15" customHeight="1" thickBot="1" x14ac:dyDescent="0.3">
      <c r="B21" s="142" t="s">
        <v>63</v>
      </c>
      <c r="C21" s="145">
        <f>ROUND('% DEDICACIÓN TRABAJADOR'!W46,4)</f>
        <v>0</v>
      </c>
      <c r="D21" s="154">
        <f>'GASTOS TRABAJADOR'!F31+'GASTOS TRABAJADOR'!L31-'GASTOS TRABAJADOR'!X31-'GASTOS TRABAJADOR'!Y31</f>
        <v>0</v>
      </c>
      <c r="E21" s="40" t="str">
        <f>IF('GASTOS TRABAJADOR'!AA31="","",'GASTOS TRABAJADOR'!AA31)</f>
        <v/>
      </c>
      <c r="F21" s="155">
        <f>IF(E21&lt;=EXPEDIENTE!$H$29,D21,0)</f>
        <v>0</v>
      </c>
      <c r="G21" s="154">
        <f>'GASTOS TRABAJADOR'!Y31</f>
        <v>0</v>
      </c>
      <c r="H21" s="40" t="str">
        <f>IF('GASTOS TRABAJADOR'!AB31="","",'GASTOS TRABAJADOR'!AB31)</f>
        <v/>
      </c>
      <c r="I21" s="155">
        <f>IF(H21&lt;=EXPEDIENTE!$H$29,G21,0)</f>
        <v>0</v>
      </c>
      <c r="J21" s="159">
        <f>AUXILIAR!BW30</f>
        <v>0</v>
      </c>
      <c r="K21" s="154">
        <f>AUXILIAR!CJ30</f>
        <v>0</v>
      </c>
      <c r="L21" s="40" t="str">
        <f>IF('GASTOS TRABAJADOR'!I59="","",'GASTOS TRABAJADOR'!I59)</f>
        <v/>
      </c>
      <c r="M21" s="155">
        <f>IF(L21&lt;=EXPEDIENTE!$H$29,K21,0)</f>
        <v>0</v>
      </c>
      <c r="N21" s="159">
        <f t="shared" si="0"/>
        <v>0</v>
      </c>
      <c r="O21" s="162">
        <f t="shared" si="1"/>
        <v>0</v>
      </c>
      <c r="Z21" s="27"/>
      <c r="AA21" s="27"/>
      <c r="AC21" s="27"/>
    </row>
    <row r="22" spans="2:32" ht="14.25" thickBot="1" x14ac:dyDescent="0.3">
      <c r="M22" s="167"/>
      <c r="N22" s="167"/>
      <c r="O22" s="167"/>
      <c r="Z22" s="27"/>
      <c r="AA22" s="27"/>
      <c r="AC22" s="27"/>
    </row>
    <row r="23" spans="2:32" ht="20.100000000000001" customHeight="1" thickBot="1" x14ac:dyDescent="0.3">
      <c r="G23" s="28"/>
      <c r="M23" s="278"/>
      <c r="N23" s="180" t="s">
        <v>228</v>
      </c>
      <c r="O23" s="163">
        <f>SUM(O25:O39)</f>
        <v>0</v>
      </c>
      <c r="Q23" s="26" t="str">
        <f>IF($S$4&gt;0,"ERROR: ALGUNA LÍNEA DE ESTA ACTUACIÓN TIENE UN % DE DEDICACIÓN SUPERIOR AL 100%",IF($S$6&gt;0,"ERROR: EL % DE DEDICACIÓN ACUMULADO PARA ALGÚN MES ES SUPERIOR AL 100%",IF(S8="SI","EXISTEN LÍNEAS REPETIDAS EN ESTA ACTUACIÓN","")))</f>
        <v/>
      </c>
      <c r="S23" s="44" t="s">
        <v>216</v>
      </c>
      <c r="T23" s="44" t="s">
        <v>243</v>
      </c>
      <c r="U23" s="26">
        <v>9</v>
      </c>
      <c r="V23" s="26">
        <v>10</v>
      </c>
      <c r="W23" s="26">
        <v>11</v>
      </c>
      <c r="X23" s="26">
        <v>12</v>
      </c>
      <c r="Y23" s="26">
        <v>13</v>
      </c>
      <c r="Z23" s="26">
        <v>14</v>
      </c>
      <c r="AA23" s="26">
        <v>15</v>
      </c>
      <c r="AB23" s="26">
        <v>16</v>
      </c>
      <c r="AC23" s="26">
        <v>17</v>
      </c>
      <c r="AD23" s="26">
        <v>18</v>
      </c>
      <c r="AE23" s="26">
        <v>19</v>
      </c>
      <c r="AF23" s="26">
        <v>20</v>
      </c>
    </row>
    <row r="24" spans="2:32" x14ac:dyDescent="0.25">
      <c r="M24" s="167"/>
      <c r="O24" s="167"/>
      <c r="Z24" s="27"/>
      <c r="AA24" s="27"/>
    </row>
    <row r="25" spans="2:32" s="230" customFormat="1" ht="15" customHeight="1" x14ac:dyDescent="0.25">
      <c r="N25" s="230" t="str">
        <f>IF(AUXILIAR!AM34="x","",CONCATENATE("SUBTOTAL ",AUXILIAR!AM34))</f>
        <v/>
      </c>
      <c r="O25" s="232" t="str">
        <f>IF(N25="","",IF($S$4&gt;0,0,IF($S$6&gt;0,0,IF($S$8="SI",0,IFERROR(ROUND(U25*$N$10+V25*$N$11+W25*$N$12+X25*$N$13+Y25*$N$14+Z25*$N$15+AA25*$N$16+AB25*$N$17+AC25*$N$18+AD25*$N$19+AE25*$N$20+AF25*$N$21,2),"")))))</f>
        <v/>
      </c>
      <c r="Q25" s="230" t="str">
        <f t="shared" ref="Q25:Q39" si="2">IF(N25="","",IF(AND(N25&lt;&gt;"",OR($S$4&gt;0,$S$8="SI")),"",IF(AND(N25&lt;&gt;"",O25=""),"SE DIO DE ALTA LA LÍNEA PERO NO SE LE ASIGNÓ % DE DEDICACIÓN",IF(T25&gt;1,"LA LÍNEA SE HA DADO DE ALTA MÁS DE UNA VEZ",IF(SUM(U25:AF25)=0,CONCATENATE("LA SUMA DE LOS % DE DEDICACIÓN DE LA LÍNEA SON DEL 0%"),"")))))</f>
        <v/>
      </c>
      <c r="S25" s="230" t="str">
        <f t="shared" ref="S25:S39" si="3">IF(N25="","",IF(MID(N25,19,1)=":",VALUE(CONCATENATE(MID(N25,16,1),MID(N25,18,1))),VALUE(CONCATENATE(MID(N25,16,1),MID(N25,18,2)))))</f>
        <v/>
      </c>
      <c r="T25" s="230">
        <f>COUNTIF('% DEDICACIÓN TRABAJADOR'!$D$49:$D$108,S25)</f>
        <v>0</v>
      </c>
      <c r="U25" s="233" t="str">
        <f>IFERROR(ROUND(VLOOKUP($S$25,'% DEDICACIÓN TRABAJADOR'!$D$49:$W$108,U$23,FALSE),4),"")</f>
        <v/>
      </c>
      <c r="V25" s="233" t="str">
        <f>IFERROR(ROUND(VLOOKUP($S$25,'% DEDICACIÓN TRABAJADOR'!$D$49:$W$108,V$23,FALSE),4),"")</f>
        <v/>
      </c>
      <c r="W25" s="233" t="str">
        <f>IFERROR(ROUND(VLOOKUP($S$25,'% DEDICACIÓN TRABAJADOR'!$D$49:$W$108,W$23,FALSE),4),"")</f>
        <v/>
      </c>
      <c r="X25" s="233" t="str">
        <f>IFERROR(ROUND(VLOOKUP($S$25,'% DEDICACIÓN TRABAJADOR'!$D$49:$W$108,X$23,FALSE),4),"")</f>
        <v/>
      </c>
      <c r="Y25" s="233" t="str">
        <f>IFERROR(ROUND(VLOOKUP($S$25,'% DEDICACIÓN TRABAJADOR'!$D$49:$W$108,Y$23,FALSE),4),"")</f>
        <v/>
      </c>
      <c r="Z25" s="233" t="str">
        <f>IFERROR(ROUND(VLOOKUP($S$25,'% DEDICACIÓN TRABAJADOR'!$D$49:$W$108,Z$23,FALSE),4),"")</f>
        <v/>
      </c>
      <c r="AA25" s="233" t="str">
        <f>IFERROR(ROUND(VLOOKUP($S$25,'% DEDICACIÓN TRABAJADOR'!$D$49:$W$108,AA$23,FALSE),4),"")</f>
        <v/>
      </c>
      <c r="AB25" s="233" t="str">
        <f>IFERROR(ROUND(VLOOKUP($S$25,'% DEDICACIÓN TRABAJADOR'!$D$49:$W$108,AB$23,FALSE),4),"")</f>
        <v/>
      </c>
      <c r="AC25" s="233" t="str">
        <f>IFERROR(ROUND(VLOOKUP($S$25,'% DEDICACIÓN TRABAJADOR'!$D$49:$W$108,AC$23,FALSE),4),"")</f>
        <v/>
      </c>
      <c r="AD25" s="233" t="str">
        <f>IFERROR(ROUND(VLOOKUP($S$25,'% DEDICACIÓN TRABAJADOR'!$D$49:$W$108,AD$23,FALSE),4),"")</f>
        <v/>
      </c>
      <c r="AE25" s="233" t="str">
        <f>IFERROR(ROUND(VLOOKUP($S$25,'% DEDICACIÓN TRABAJADOR'!$D$49:$W$108,AE$23,FALSE),4),"")</f>
        <v/>
      </c>
      <c r="AF25" s="233" t="str">
        <f>IFERROR(ROUND(VLOOKUP($S$25,'% DEDICACIÓN TRABAJADOR'!$D$49:$W$108,AF$23,FALSE),4),"")</f>
        <v/>
      </c>
    </row>
    <row r="26" spans="2:32" s="230" customFormat="1" ht="15" customHeight="1" x14ac:dyDescent="0.25">
      <c r="N26" s="230" t="str">
        <f>IF(AUXILIAR!AM35="x","",CONCATENATE("SUBTOTAL ",AUXILIAR!AM35))</f>
        <v/>
      </c>
      <c r="O26" s="232" t="str">
        <f t="shared" ref="O26:O38" si="4">IF(N26="","",IF($S$4&gt;0,0,IF($S$6&gt;0,0,IF($S$8="SI",0,IFERROR(ROUND(U26*$N$10+V26*$N$11+W26*$N$12+X26*$N$13+Y26*$N$14+Z26*$N$15+AA26*$N$16+AB26*$N$17+AC26*$N$18+AD26*$N$19+AE26*$N$20+AF26*$N$21,2),"")))))</f>
        <v/>
      </c>
      <c r="Q26" s="230" t="str">
        <f t="shared" si="2"/>
        <v/>
      </c>
      <c r="S26" s="230" t="str">
        <f t="shared" si="3"/>
        <v/>
      </c>
      <c r="T26" s="230">
        <f>COUNTIF('% DEDICACIÓN TRABAJADOR'!$D$49:$D$108,S26)</f>
        <v>0</v>
      </c>
      <c r="U26" s="233" t="str">
        <f>IFERROR(ROUND(VLOOKUP($S$26,'% DEDICACIÓN TRABAJADOR'!$D$49:$W$108,U$23,FALSE),4),"")</f>
        <v/>
      </c>
      <c r="V26" s="233" t="str">
        <f>IFERROR(ROUND(VLOOKUP($S$26,'% DEDICACIÓN TRABAJADOR'!$D$49:$W$108,V$23,FALSE),4),"")</f>
        <v/>
      </c>
      <c r="W26" s="233" t="str">
        <f>IFERROR(ROUND(VLOOKUP($S$26,'% DEDICACIÓN TRABAJADOR'!$D$49:$W$108,W$23,FALSE),4),"")</f>
        <v/>
      </c>
      <c r="X26" s="233" t="str">
        <f>IFERROR(ROUND(VLOOKUP($S$26,'% DEDICACIÓN TRABAJADOR'!$D$49:$W$108,X$23,FALSE),4),"")</f>
        <v/>
      </c>
      <c r="Y26" s="233" t="str">
        <f>IFERROR(ROUND(VLOOKUP($S$26,'% DEDICACIÓN TRABAJADOR'!$D$49:$W$108,Y$23,FALSE),4),"")</f>
        <v/>
      </c>
      <c r="Z26" s="233" t="str">
        <f>IFERROR(ROUND(VLOOKUP($S$26,'% DEDICACIÓN TRABAJADOR'!$D$49:$W$108,Z$23,FALSE),4),"")</f>
        <v/>
      </c>
      <c r="AA26" s="233" t="str">
        <f>IFERROR(ROUND(VLOOKUP($S$26,'% DEDICACIÓN TRABAJADOR'!$D$49:$W$108,AA$23,FALSE),4),"")</f>
        <v/>
      </c>
      <c r="AB26" s="233" t="str">
        <f>IFERROR(ROUND(VLOOKUP($S$26,'% DEDICACIÓN TRABAJADOR'!$D$49:$W$108,AB$23,FALSE),4),"")</f>
        <v/>
      </c>
      <c r="AC26" s="233" t="str">
        <f>IFERROR(ROUND(VLOOKUP($S$26,'% DEDICACIÓN TRABAJADOR'!$D$49:$W$108,AC$23,FALSE),4),"")</f>
        <v/>
      </c>
      <c r="AD26" s="233" t="str">
        <f>IFERROR(ROUND(VLOOKUP($S$26,'% DEDICACIÓN TRABAJADOR'!$D$49:$W$108,AD$23,FALSE),4),"")</f>
        <v/>
      </c>
      <c r="AE26" s="233" t="str">
        <f>IFERROR(ROUND(VLOOKUP($S$26,'% DEDICACIÓN TRABAJADOR'!$D$49:$W$108,AE$23,FALSE),4),"")</f>
        <v/>
      </c>
      <c r="AF26" s="233" t="str">
        <f>IFERROR(ROUND(VLOOKUP($S$26,'% DEDICACIÓN TRABAJADOR'!$D$49:$W$108,AF$23,FALSE),4),"")</f>
        <v/>
      </c>
    </row>
    <row r="27" spans="2:32" s="230" customFormat="1" ht="15" customHeight="1" x14ac:dyDescent="0.25">
      <c r="N27" s="230" t="str">
        <f>IF(AUXILIAR!AM36="x","",CONCATENATE("SUBTOTAL ",AUXILIAR!AM36))</f>
        <v/>
      </c>
      <c r="O27" s="232" t="str">
        <f t="shared" si="4"/>
        <v/>
      </c>
      <c r="Q27" s="230" t="str">
        <f t="shared" si="2"/>
        <v/>
      </c>
      <c r="S27" s="230" t="str">
        <f t="shared" si="3"/>
        <v/>
      </c>
      <c r="T27" s="230">
        <f>COUNTIF('% DEDICACIÓN TRABAJADOR'!$D$49:$D$108,S27)</f>
        <v>0</v>
      </c>
      <c r="U27" s="233" t="str">
        <f>IFERROR(ROUND(VLOOKUP($S$27,'% DEDICACIÓN TRABAJADOR'!$D$49:$W$108,U$23,FALSE),4),"")</f>
        <v/>
      </c>
      <c r="V27" s="233" t="str">
        <f>IFERROR(ROUND(VLOOKUP($S$27,'% DEDICACIÓN TRABAJADOR'!$D$49:$W$108,V$23,FALSE),4),"")</f>
        <v/>
      </c>
      <c r="W27" s="233" t="str">
        <f>IFERROR(ROUND(VLOOKUP($S$27,'% DEDICACIÓN TRABAJADOR'!$D$49:$W$108,W$23,FALSE),4),"")</f>
        <v/>
      </c>
      <c r="X27" s="233" t="str">
        <f>IFERROR(ROUND(VLOOKUP($S$27,'% DEDICACIÓN TRABAJADOR'!$D$49:$W$108,X$23,FALSE),4),"")</f>
        <v/>
      </c>
      <c r="Y27" s="233" t="str">
        <f>IFERROR(ROUND(VLOOKUP($S$27,'% DEDICACIÓN TRABAJADOR'!$D$49:$W$108,Y$23,FALSE),4),"")</f>
        <v/>
      </c>
      <c r="Z27" s="233" t="str">
        <f>IFERROR(ROUND(VLOOKUP($S$27,'% DEDICACIÓN TRABAJADOR'!$D$49:$W$108,Z$23,FALSE),4),"")</f>
        <v/>
      </c>
      <c r="AA27" s="233" t="str">
        <f>IFERROR(ROUND(VLOOKUP($S$27,'% DEDICACIÓN TRABAJADOR'!$D$49:$W$108,AA$23,FALSE),4),"")</f>
        <v/>
      </c>
      <c r="AB27" s="233" t="str">
        <f>IFERROR(ROUND(VLOOKUP($S$27,'% DEDICACIÓN TRABAJADOR'!$D$49:$W$108,AB$23,FALSE),4),"")</f>
        <v/>
      </c>
      <c r="AC27" s="233" t="str">
        <f>IFERROR(ROUND(VLOOKUP($S$27,'% DEDICACIÓN TRABAJADOR'!$D$49:$W$108,AC$23,FALSE),4),"")</f>
        <v/>
      </c>
      <c r="AD27" s="233" t="str">
        <f>IFERROR(ROUND(VLOOKUP($S$27,'% DEDICACIÓN TRABAJADOR'!$D$49:$W$108,AD$23,FALSE),4),"")</f>
        <v/>
      </c>
      <c r="AE27" s="233" t="str">
        <f>IFERROR(ROUND(VLOOKUP($S$27,'% DEDICACIÓN TRABAJADOR'!$D$49:$W$108,AE$23,FALSE),4),"")</f>
        <v/>
      </c>
      <c r="AF27" s="233" t="str">
        <f>IFERROR(ROUND(VLOOKUP($S$27,'% DEDICACIÓN TRABAJADOR'!$D$49:$W$108,AF$23,FALSE),4),"")</f>
        <v/>
      </c>
    </row>
    <row r="28" spans="2:32" s="230" customFormat="1" ht="15" customHeight="1" x14ac:dyDescent="0.25">
      <c r="N28" s="230" t="str">
        <f>IF(AUXILIAR!AM37="x","",CONCATENATE("SUBTOTAL ",AUXILIAR!AM37))</f>
        <v/>
      </c>
      <c r="O28" s="232" t="str">
        <f t="shared" si="4"/>
        <v/>
      </c>
      <c r="Q28" s="230" t="str">
        <f t="shared" si="2"/>
        <v/>
      </c>
      <c r="S28" s="230" t="str">
        <f t="shared" si="3"/>
        <v/>
      </c>
      <c r="T28" s="230">
        <f>COUNTIF('% DEDICACIÓN TRABAJADOR'!$D$49:$D$108,S28)</f>
        <v>0</v>
      </c>
      <c r="U28" s="233" t="str">
        <f>IFERROR(ROUND(VLOOKUP($S$28,'% DEDICACIÓN TRABAJADOR'!$D$49:$W$108,U$23,FALSE),4),"")</f>
        <v/>
      </c>
      <c r="V28" s="233" t="str">
        <f>IFERROR(ROUND(VLOOKUP($S$28,'% DEDICACIÓN TRABAJADOR'!$D$49:$W$108,V$23,FALSE),4),"")</f>
        <v/>
      </c>
      <c r="W28" s="233" t="str">
        <f>IFERROR(ROUND(VLOOKUP($S$28,'% DEDICACIÓN TRABAJADOR'!$D$49:$W$108,W$23,FALSE),4),"")</f>
        <v/>
      </c>
      <c r="X28" s="233" t="str">
        <f>IFERROR(ROUND(VLOOKUP($S$28,'% DEDICACIÓN TRABAJADOR'!$D$49:$W$108,X$23,FALSE),4),"")</f>
        <v/>
      </c>
      <c r="Y28" s="233" t="str">
        <f>IFERROR(ROUND(VLOOKUP($S$28,'% DEDICACIÓN TRABAJADOR'!$D$49:$W$108,Y$23,FALSE),4),"")</f>
        <v/>
      </c>
      <c r="Z28" s="233" t="str">
        <f>IFERROR(ROUND(VLOOKUP($S$28,'% DEDICACIÓN TRABAJADOR'!$D$49:$W$108,Z$23,FALSE),4),"")</f>
        <v/>
      </c>
      <c r="AA28" s="233" t="str">
        <f>IFERROR(ROUND(VLOOKUP($S$28,'% DEDICACIÓN TRABAJADOR'!$D$49:$W$108,AA$23,FALSE),4),"")</f>
        <v/>
      </c>
      <c r="AB28" s="233" t="str">
        <f>IFERROR(ROUND(VLOOKUP($S$28,'% DEDICACIÓN TRABAJADOR'!$D$49:$W$108,AB$23,FALSE),4),"")</f>
        <v/>
      </c>
      <c r="AC28" s="233" t="str">
        <f>IFERROR(ROUND(VLOOKUP($S$28,'% DEDICACIÓN TRABAJADOR'!$D$49:$W$108,AC$23,FALSE),4),"")</f>
        <v/>
      </c>
      <c r="AD28" s="233" t="str">
        <f>IFERROR(ROUND(VLOOKUP($S$28,'% DEDICACIÓN TRABAJADOR'!$D$49:$W$108,AD$23,FALSE),4),"")</f>
        <v/>
      </c>
      <c r="AE28" s="233" t="str">
        <f>IFERROR(ROUND(VLOOKUP($S$28,'% DEDICACIÓN TRABAJADOR'!$D$49:$W$108,AE$23,FALSE),4),"")</f>
        <v/>
      </c>
      <c r="AF28" s="233" t="str">
        <f>IFERROR(ROUND(VLOOKUP($S$28,'% DEDICACIÓN TRABAJADOR'!$D$49:$W$108,AF$23,FALSE),4),"")</f>
        <v/>
      </c>
    </row>
    <row r="29" spans="2:32" s="230" customFormat="1" ht="15" customHeight="1" x14ac:dyDescent="0.25">
      <c r="N29" s="230" t="str">
        <f>IF(AUXILIAR!AM38="x","",CONCATENATE("SUBTOTAL ",AUXILIAR!AM38))</f>
        <v/>
      </c>
      <c r="O29" s="232" t="str">
        <f t="shared" si="4"/>
        <v/>
      </c>
      <c r="Q29" s="230" t="str">
        <f t="shared" si="2"/>
        <v/>
      </c>
      <c r="S29" s="230" t="str">
        <f t="shared" si="3"/>
        <v/>
      </c>
      <c r="T29" s="230">
        <f>COUNTIF('% DEDICACIÓN TRABAJADOR'!$D$49:$D$108,S29)</f>
        <v>0</v>
      </c>
      <c r="U29" s="233" t="str">
        <f>IFERROR(ROUND(VLOOKUP($S$29,'% DEDICACIÓN TRABAJADOR'!$D$49:$W$108,U$23,FALSE),4),"")</f>
        <v/>
      </c>
      <c r="V29" s="233" t="str">
        <f>IFERROR(ROUND(VLOOKUP($S$29,'% DEDICACIÓN TRABAJADOR'!$D$49:$W$108,V$23,FALSE),4),"")</f>
        <v/>
      </c>
      <c r="W29" s="233" t="str">
        <f>IFERROR(ROUND(VLOOKUP($S$29,'% DEDICACIÓN TRABAJADOR'!$D$49:$W$108,W$23,FALSE),4),"")</f>
        <v/>
      </c>
      <c r="X29" s="233" t="str">
        <f>IFERROR(ROUND(VLOOKUP($S$29,'% DEDICACIÓN TRABAJADOR'!$D$49:$W$108,X$23,FALSE),4),"")</f>
        <v/>
      </c>
      <c r="Y29" s="233" t="str">
        <f>IFERROR(ROUND(VLOOKUP($S$29,'% DEDICACIÓN TRABAJADOR'!$D$49:$W$108,Y$23,FALSE),4),"")</f>
        <v/>
      </c>
      <c r="Z29" s="233" t="str">
        <f>IFERROR(ROUND(VLOOKUP($S$29,'% DEDICACIÓN TRABAJADOR'!$D$49:$W$108,Z$23,FALSE),4),"")</f>
        <v/>
      </c>
      <c r="AA29" s="233" t="str">
        <f>IFERROR(ROUND(VLOOKUP($S$29,'% DEDICACIÓN TRABAJADOR'!$D$49:$W$108,AA$23,FALSE),4),"")</f>
        <v/>
      </c>
      <c r="AB29" s="233" t="str">
        <f>IFERROR(ROUND(VLOOKUP($S$29,'% DEDICACIÓN TRABAJADOR'!$D$49:$W$108,AB$23,FALSE),4),"")</f>
        <v/>
      </c>
      <c r="AC29" s="233" t="str">
        <f>IFERROR(ROUND(VLOOKUP($S$29,'% DEDICACIÓN TRABAJADOR'!$D$49:$W$108,AC$23,FALSE),4),"")</f>
        <v/>
      </c>
      <c r="AD29" s="233" t="str">
        <f>IFERROR(ROUND(VLOOKUP($S$29,'% DEDICACIÓN TRABAJADOR'!$D$49:$W$108,AD$23,FALSE),4),"")</f>
        <v/>
      </c>
      <c r="AE29" s="233" t="str">
        <f>IFERROR(ROUND(VLOOKUP($S$29,'% DEDICACIÓN TRABAJADOR'!$D$49:$W$108,AE$23,FALSE),4),"")</f>
        <v/>
      </c>
      <c r="AF29" s="233" t="str">
        <f>IFERROR(ROUND(VLOOKUP($S$29,'% DEDICACIÓN TRABAJADOR'!$D$49:$W$108,AF$23,FALSE),4),"")</f>
        <v/>
      </c>
    </row>
    <row r="30" spans="2:32" s="230" customFormat="1" ht="15" customHeight="1" x14ac:dyDescent="0.25">
      <c r="N30" s="230" t="str">
        <f>IF(AUXILIAR!AM39="x","",CONCATENATE("SUBTOTAL ",AUXILIAR!AM39))</f>
        <v/>
      </c>
      <c r="O30" s="232" t="str">
        <f t="shared" si="4"/>
        <v/>
      </c>
      <c r="Q30" s="230" t="str">
        <f t="shared" si="2"/>
        <v/>
      </c>
      <c r="S30" s="230" t="str">
        <f t="shared" si="3"/>
        <v/>
      </c>
      <c r="T30" s="230">
        <f>COUNTIF('% DEDICACIÓN TRABAJADOR'!$D$49:$D$108,S30)</f>
        <v>0</v>
      </c>
      <c r="U30" s="233" t="str">
        <f>IFERROR(ROUND(VLOOKUP($S$30,'% DEDICACIÓN TRABAJADOR'!$D$49:$W$108,U$23,FALSE),4),"")</f>
        <v/>
      </c>
      <c r="V30" s="233" t="str">
        <f>IFERROR(ROUND(VLOOKUP($S$30,'% DEDICACIÓN TRABAJADOR'!$D$49:$W$108,V$23,FALSE),4),"")</f>
        <v/>
      </c>
      <c r="W30" s="233" t="str">
        <f>IFERROR(ROUND(VLOOKUP($S$30,'% DEDICACIÓN TRABAJADOR'!$D$49:$W$108,W$23,FALSE),4),"")</f>
        <v/>
      </c>
      <c r="X30" s="233" t="str">
        <f>IFERROR(ROUND(VLOOKUP($S$30,'% DEDICACIÓN TRABAJADOR'!$D$49:$W$108,X$23,FALSE),4),"")</f>
        <v/>
      </c>
      <c r="Y30" s="233" t="str">
        <f>IFERROR(ROUND(VLOOKUP($S$30,'% DEDICACIÓN TRABAJADOR'!$D$49:$W$108,Y$23,FALSE),4),"")</f>
        <v/>
      </c>
      <c r="Z30" s="233" t="str">
        <f>IFERROR(ROUND(VLOOKUP($S$30,'% DEDICACIÓN TRABAJADOR'!$D$49:$W$108,Z$23,FALSE),4),"")</f>
        <v/>
      </c>
      <c r="AA30" s="233" t="str">
        <f>IFERROR(ROUND(VLOOKUP($S$30,'% DEDICACIÓN TRABAJADOR'!$D$49:$W$108,AA$23,FALSE),4),"")</f>
        <v/>
      </c>
      <c r="AB30" s="233" t="str">
        <f>IFERROR(ROUND(VLOOKUP($S$30,'% DEDICACIÓN TRABAJADOR'!$D$49:$W$108,AB$23,FALSE),4),"")</f>
        <v/>
      </c>
      <c r="AC30" s="233" t="str">
        <f>IFERROR(ROUND(VLOOKUP($S$30,'% DEDICACIÓN TRABAJADOR'!$D$49:$W$108,AC$23,FALSE),4),"")</f>
        <v/>
      </c>
      <c r="AD30" s="233" t="str">
        <f>IFERROR(ROUND(VLOOKUP($S$30,'% DEDICACIÓN TRABAJADOR'!$D$49:$W$108,AD$23,FALSE),4),"")</f>
        <v/>
      </c>
      <c r="AE30" s="233" t="str">
        <f>IFERROR(ROUND(VLOOKUP($S$30,'% DEDICACIÓN TRABAJADOR'!$D$49:$W$108,AE$23,FALSE),4),"")</f>
        <v/>
      </c>
      <c r="AF30" s="233" t="str">
        <f>IFERROR(ROUND(VLOOKUP($S$30,'% DEDICACIÓN TRABAJADOR'!$D$49:$W$108,AF$23,FALSE),4),"")</f>
        <v/>
      </c>
    </row>
    <row r="31" spans="2:32" s="230" customFormat="1" ht="15" customHeight="1" x14ac:dyDescent="0.25">
      <c r="N31" s="230" t="str">
        <f>IF(AUXILIAR!AM40="x","",CONCATENATE("SUBTOTAL ",AUXILIAR!AM40))</f>
        <v/>
      </c>
      <c r="O31" s="232" t="str">
        <f t="shared" si="4"/>
        <v/>
      </c>
      <c r="Q31" s="230" t="str">
        <f t="shared" si="2"/>
        <v/>
      </c>
      <c r="S31" s="230" t="str">
        <f t="shared" si="3"/>
        <v/>
      </c>
      <c r="T31" s="230">
        <f>COUNTIF('% DEDICACIÓN TRABAJADOR'!$D$49:$D$108,S31)</f>
        <v>0</v>
      </c>
      <c r="U31" s="233" t="str">
        <f>IFERROR(ROUND(VLOOKUP($S$31,'% DEDICACIÓN TRABAJADOR'!$D$49:$W$108,U$23,FALSE),4),"")</f>
        <v/>
      </c>
      <c r="V31" s="233" t="str">
        <f>IFERROR(ROUND(VLOOKUP($S$31,'% DEDICACIÓN TRABAJADOR'!$D$49:$W$108,V$23,FALSE),4),"")</f>
        <v/>
      </c>
      <c r="W31" s="233" t="str">
        <f>IFERROR(ROUND(VLOOKUP($S$31,'% DEDICACIÓN TRABAJADOR'!$D$49:$W$108,W$23,FALSE),4),"")</f>
        <v/>
      </c>
      <c r="X31" s="233" t="str">
        <f>IFERROR(ROUND(VLOOKUP($S$31,'% DEDICACIÓN TRABAJADOR'!$D$49:$W$108,X$23,FALSE),4),"")</f>
        <v/>
      </c>
      <c r="Y31" s="233" t="str">
        <f>IFERROR(ROUND(VLOOKUP($S$31,'% DEDICACIÓN TRABAJADOR'!$D$49:$W$108,Y$23,FALSE),4),"")</f>
        <v/>
      </c>
      <c r="Z31" s="233" t="str">
        <f>IFERROR(ROUND(VLOOKUP($S$31,'% DEDICACIÓN TRABAJADOR'!$D$49:$W$108,Z$23,FALSE),4),"")</f>
        <v/>
      </c>
      <c r="AA31" s="233" t="str">
        <f>IFERROR(ROUND(VLOOKUP($S$31,'% DEDICACIÓN TRABAJADOR'!$D$49:$W$108,AA$23,FALSE),4),"")</f>
        <v/>
      </c>
      <c r="AB31" s="233" t="str">
        <f>IFERROR(ROUND(VLOOKUP($S$31,'% DEDICACIÓN TRABAJADOR'!$D$49:$W$108,AB$23,FALSE),4),"")</f>
        <v/>
      </c>
      <c r="AC31" s="233" t="str">
        <f>IFERROR(ROUND(VLOOKUP($S$31,'% DEDICACIÓN TRABAJADOR'!$D$49:$W$108,AC$23,FALSE),4),"")</f>
        <v/>
      </c>
      <c r="AD31" s="233" t="str">
        <f>IFERROR(ROUND(VLOOKUP($S$31,'% DEDICACIÓN TRABAJADOR'!$D$49:$W$108,AD$23,FALSE),4),"")</f>
        <v/>
      </c>
      <c r="AE31" s="233" t="str">
        <f>IFERROR(ROUND(VLOOKUP($S$31,'% DEDICACIÓN TRABAJADOR'!$D$49:$W$108,AE$23,FALSE),4),"")</f>
        <v/>
      </c>
      <c r="AF31" s="233" t="str">
        <f>IFERROR(ROUND(VLOOKUP($S$31,'% DEDICACIÓN TRABAJADOR'!$D$49:$W$108,AF$23,FALSE),4),"")</f>
        <v/>
      </c>
    </row>
    <row r="32" spans="2:32" s="230" customFormat="1" ht="15" customHeight="1" x14ac:dyDescent="0.25">
      <c r="N32" s="230" t="str">
        <f>IF(AUXILIAR!AM41="x","",CONCATENATE("SUBTOTAL ",AUXILIAR!AM41))</f>
        <v/>
      </c>
      <c r="O32" s="232" t="str">
        <f t="shared" si="4"/>
        <v/>
      </c>
      <c r="Q32" s="230" t="str">
        <f t="shared" si="2"/>
        <v/>
      </c>
      <c r="S32" s="230" t="str">
        <f t="shared" si="3"/>
        <v/>
      </c>
      <c r="T32" s="230">
        <f>COUNTIF('% DEDICACIÓN TRABAJADOR'!$D$49:$D$108,S32)</f>
        <v>0</v>
      </c>
      <c r="U32" s="233" t="str">
        <f>IFERROR(ROUND(VLOOKUP($S$32,'% DEDICACIÓN TRABAJADOR'!$D$49:$W$108,U$23,FALSE),4),"")</f>
        <v/>
      </c>
      <c r="V32" s="233" t="str">
        <f>IFERROR(ROUND(VLOOKUP($S$32,'% DEDICACIÓN TRABAJADOR'!$D$49:$W$108,V$23,FALSE),4),"")</f>
        <v/>
      </c>
      <c r="W32" s="233" t="str">
        <f>IFERROR(ROUND(VLOOKUP($S$32,'% DEDICACIÓN TRABAJADOR'!$D$49:$W$108,W$23,FALSE),4),"")</f>
        <v/>
      </c>
      <c r="X32" s="233" t="str">
        <f>IFERROR(ROUND(VLOOKUP($S$32,'% DEDICACIÓN TRABAJADOR'!$D$49:$W$108,X$23,FALSE),4),"")</f>
        <v/>
      </c>
      <c r="Y32" s="233" t="str">
        <f>IFERROR(ROUND(VLOOKUP($S$32,'% DEDICACIÓN TRABAJADOR'!$D$49:$W$108,Y$23,FALSE),4),"")</f>
        <v/>
      </c>
      <c r="Z32" s="233" t="str">
        <f>IFERROR(ROUND(VLOOKUP($S$32,'% DEDICACIÓN TRABAJADOR'!$D$49:$W$108,Z$23,FALSE),4),"")</f>
        <v/>
      </c>
      <c r="AA32" s="233" t="str">
        <f>IFERROR(ROUND(VLOOKUP($S$32,'% DEDICACIÓN TRABAJADOR'!$D$49:$W$108,AA$23,FALSE),4),"")</f>
        <v/>
      </c>
      <c r="AB32" s="233" t="str">
        <f>IFERROR(ROUND(VLOOKUP($S$32,'% DEDICACIÓN TRABAJADOR'!$D$49:$W$108,AB$23,FALSE),4),"")</f>
        <v/>
      </c>
      <c r="AC32" s="233" t="str">
        <f>IFERROR(ROUND(VLOOKUP($S$32,'% DEDICACIÓN TRABAJADOR'!$D$49:$W$108,AC$23,FALSE),4),"")</f>
        <v/>
      </c>
      <c r="AD32" s="233" t="str">
        <f>IFERROR(ROUND(VLOOKUP($S$32,'% DEDICACIÓN TRABAJADOR'!$D$49:$W$108,AD$23,FALSE),4),"")</f>
        <v/>
      </c>
      <c r="AE32" s="233" t="str">
        <f>IFERROR(ROUND(VLOOKUP($S$32,'% DEDICACIÓN TRABAJADOR'!$D$49:$W$108,AE$23,FALSE),4),"")</f>
        <v/>
      </c>
      <c r="AF32" s="233" t="str">
        <f>IFERROR(ROUND(VLOOKUP($S$32,'% DEDICACIÓN TRABAJADOR'!$D$49:$W$108,AF$23,FALSE),4),"")</f>
        <v/>
      </c>
    </row>
    <row r="33" spans="14:32" s="230" customFormat="1" ht="15" customHeight="1" x14ac:dyDescent="0.25">
      <c r="N33" s="230" t="str">
        <f>IF(AUXILIAR!AM42="x","",CONCATENATE("SUBTOTAL ",AUXILIAR!AM42))</f>
        <v/>
      </c>
      <c r="O33" s="232" t="str">
        <f t="shared" si="4"/>
        <v/>
      </c>
      <c r="Q33" s="230" t="str">
        <f t="shared" si="2"/>
        <v/>
      </c>
      <c r="S33" s="230" t="str">
        <f t="shared" si="3"/>
        <v/>
      </c>
      <c r="T33" s="230">
        <f>COUNTIF('% DEDICACIÓN TRABAJADOR'!$D$49:$D$108,S33)</f>
        <v>0</v>
      </c>
      <c r="U33" s="233" t="str">
        <f>IFERROR(ROUND(VLOOKUP($S$33,'% DEDICACIÓN TRABAJADOR'!$D$49:$W$108,U$23,FALSE),4),"")</f>
        <v/>
      </c>
      <c r="V33" s="233" t="str">
        <f>IFERROR(ROUND(VLOOKUP($S$33,'% DEDICACIÓN TRABAJADOR'!$D$49:$W$108,V$23,FALSE),4),"")</f>
        <v/>
      </c>
      <c r="W33" s="233" t="str">
        <f>IFERROR(ROUND(VLOOKUP($S$33,'% DEDICACIÓN TRABAJADOR'!$D$49:$W$108,W$23,FALSE),4),"")</f>
        <v/>
      </c>
      <c r="X33" s="233" t="str">
        <f>IFERROR(ROUND(VLOOKUP($S$33,'% DEDICACIÓN TRABAJADOR'!$D$49:$W$108,X$23,FALSE),4),"")</f>
        <v/>
      </c>
      <c r="Y33" s="233" t="str">
        <f>IFERROR(ROUND(VLOOKUP($S$33,'% DEDICACIÓN TRABAJADOR'!$D$49:$W$108,Y$23,FALSE),4),"")</f>
        <v/>
      </c>
      <c r="Z33" s="233" t="str">
        <f>IFERROR(ROUND(VLOOKUP($S$33,'% DEDICACIÓN TRABAJADOR'!$D$49:$W$108,Z$23,FALSE),4),"")</f>
        <v/>
      </c>
      <c r="AA33" s="233" t="str">
        <f>IFERROR(ROUND(VLOOKUP($S$33,'% DEDICACIÓN TRABAJADOR'!$D$49:$W$108,AA$23,FALSE),4),"")</f>
        <v/>
      </c>
      <c r="AB33" s="233" t="str">
        <f>IFERROR(ROUND(VLOOKUP($S$33,'% DEDICACIÓN TRABAJADOR'!$D$49:$W$108,AB$23,FALSE),4),"")</f>
        <v/>
      </c>
      <c r="AC33" s="233" t="str">
        <f>IFERROR(ROUND(VLOOKUP($S$33,'% DEDICACIÓN TRABAJADOR'!$D$49:$W$108,AC$23,FALSE),4),"")</f>
        <v/>
      </c>
      <c r="AD33" s="233" t="str">
        <f>IFERROR(ROUND(VLOOKUP($S$33,'% DEDICACIÓN TRABAJADOR'!$D$49:$W$108,AD$23,FALSE),4),"")</f>
        <v/>
      </c>
      <c r="AE33" s="233" t="str">
        <f>IFERROR(ROUND(VLOOKUP($S$33,'% DEDICACIÓN TRABAJADOR'!$D$49:$W$108,AE$23,FALSE),4),"")</f>
        <v/>
      </c>
      <c r="AF33" s="233" t="str">
        <f>IFERROR(ROUND(VLOOKUP($S$33,'% DEDICACIÓN TRABAJADOR'!$D$49:$W$108,AF$23,FALSE),4),"")</f>
        <v/>
      </c>
    </row>
    <row r="34" spans="14:32" s="230" customFormat="1" ht="15" customHeight="1" x14ac:dyDescent="0.25">
      <c r="N34" s="230" t="str">
        <f>IF(AUXILIAR!AM43="x","",CONCATENATE("SUBTOTAL ",AUXILIAR!AM43))</f>
        <v/>
      </c>
      <c r="O34" s="232" t="str">
        <f t="shared" si="4"/>
        <v/>
      </c>
      <c r="Q34" s="230" t="str">
        <f t="shared" si="2"/>
        <v/>
      </c>
      <c r="S34" s="230" t="str">
        <f t="shared" si="3"/>
        <v/>
      </c>
      <c r="T34" s="230">
        <f>COUNTIF('% DEDICACIÓN TRABAJADOR'!$D$49:$D$108,S34)</f>
        <v>0</v>
      </c>
      <c r="U34" s="233" t="str">
        <f>IFERROR(ROUND(VLOOKUP($S$34,'% DEDICACIÓN TRABAJADOR'!$D$49:$W$108,U$23,FALSE),4),"")</f>
        <v/>
      </c>
      <c r="V34" s="233" t="str">
        <f>IFERROR(ROUND(VLOOKUP($S$34,'% DEDICACIÓN TRABAJADOR'!$D$49:$W$108,V$23,FALSE),4),"")</f>
        <v/>
      </c>
      <c r="W34" s="233" t="str">
        <f>IFERROR(ROUND(VLOOKUP($S$34,'% DEDICACIÓN TRABAJADOR'!$D$49:$W$108,W$23,FALSE),4),"")</f>
        <v/>
      </c>
      <c r="X34" s="233" t="str">
        <f>IFERROR(ROUND(VLOOKUP($S$34,'% DEDICACIÓN TRABAJADOR'!$D$49:$W$108,X$23,FALSE),4),"")</f>
        <v/>
      </c>
      <c r="Y34" s="233" t="str">
        <f>IFERROR(ROUND(VLOOKUP($S$34,'% DEDICACIÓN TRABAJADOR'!$D$49:$W$108,Y$23,FALSE),4),"")</f>
        <v/>
      </c>
      <c r="Z34" s="233" t="str">
        <f>IFERROR(ROUND(VLOOKUP($S$34,'% DEDICACIÓN TRABAJADOR'!$D$49:$W$108,Z$23,FALSE),4),"")</f>
        <v/>
      </c>
      <c r="AA34" s="233" t="str">
        <f>IFERROR(ROUND(VLOOKUP($S$34,'% DEDICACIÓN TRABAJADOR'!$D$49:$W$108,AA$23,FALSE),4),"")</f>
        <v/>
      </c>
      <c r="AB34" s="233" t="str">
        <f>IFERROR(ROUND(VLOOKUP($S$34,'% DEDICACIÓN TRABAJADOR'!$D$49:$W$108,AB$23,FALSE),4),"")</f>
        <v/>
      </c>
      <c r="AC34" s="233" t="str">
        <f>IFERROR(ROUND(VLOOKUP($S$34,'% DEDICACIÓN TRABAJADOR'!$D$49:$W$108,AC$23,FALSE),4),"")</f>
        <v/>
      </c>
      <c r="AD34" s="233" t="str">
        <f>IFERROR(ROUND(VLOOKUP($S$34,'% DEDICACIÓN TRABAJADOR'!$D$49:$W$108,AD$23,FALSE),4),"")</f>
        <v/>
      </c>
      <c r="AE34" s="233" t="str">
        <f>IFERROR(ROUND(VLOOKUP($S$34,'% DEDICACIÓN TRABAJADOR'!$D$49:$W$108,AE$23,FALSE),4),"")</f>
        <v/>
      </c>
      <c r="AF34" s="233" t="str">
        <f>IFERROR(ROUND(VLOOKUP($S$34,'% DEDICACIÓN TRABAJADOR'!$D$49:$W$108,AF$23,FALSE),4),"")</f>
        <v/>
      </c>
    </row>
    <row r="35" spans="14:32" s="230" customFormat="1" ht="15" customHeight="1" x14ac:dyDescent="0.25">
      <c r="N35" s="230" t="str">
        <f>IF(AUXILIAR!AM44="x","",CONCATENATE("SUBTOTAL ",AUXILIAR!AM44))</f>
        <v/>
      </c>
      <c r="O35" s="232" t="str">
        <f t="shared" si="4"/>
        <v/>
      </c>
      <c r="Q35" s="230" t="str">
        <f t="shared" si="2"/>
        <v/>
      </c>
      <c r="S35" s="230" t="str">
        <f t="shared" si="3"/>
        <v/>
      </c>
      <c r="T35" s="230">
        <f>COUNTIF('% DEDICACIÓN TRABAJADOR'!$D$49:$D$108,S35)</f>
        <v>0</v>
      </c>
      <c r="U35" s="233" t="str">
        <f>IFERROR(ROUND(VLOOKUP($S$35,'% DEDICACIÓN TRABAJADOR'!$D$49:$W$108,U$23,FALSE),4),"")</f>
        <v/>
      </c>
      <c r="V35" s="233" t="str">
        <f>IFERROR(ROUND(VLOOKUP($S$35,'% DEDICACIÓN TRABAJADOR'!$D$49:$W$108,V$23,FALSE),4),"")</f>
        <v/>
      </c>
      <c r="W35" s="233" t="str">
        <f>IFERROR(ROUND(VLOOKUP($S$35,'% DEDICACIÓN TRABAJADOR'!$D$49:$W$108,W$23,FALSE),4),"")</f>
        <v/>
      </c>
      <c r="X35" s="233" t="str">
        <f>IFERROR(ROUND(VLOOKUP($S$35,'% DEDICACIÓN TRABAJADOR'!$D$49:$W$108,X$23,FALSE),4),"")</f>
        <v/>
      </c>
      <c r="Y35" s="233" t="str">
        <f>IFERROR(ROUND(VLOOKUP($S$35,'% DEDICACIÓN TRABAJADOR'!$D$49:$W$108,Y$23,FALSE),4),"")</f>
        <v/>
      </c>
      <c r="Z35" s="233" t="str">
        <f>IFERROR(ROUND(VLOOKUP($S$35,'% DEDICACIÓN TRABAJADOR'!$D$49:$W$108,Z$23,FALSE),4),"")</f>
        <v/>
      </c>
      <c r="AA35" s="233" t="str">
        <f>IFERROR(ROUND(VLOOKUP($S$35,'% DEDICACIÓN TRABAJADOR'!$D$49:$W$108,AA$23,FALSE),4),"")</f>
        <v/>
      </c>
      <c r="AB35" s="233" t="str">
        <f>IFERROR(ROUND(VLOOKUP($S$35,'% DEDICACIÓN TRABAJADOR'!$D$49:$W$108,AB$23,FALSE),4),"")</f>
        <v/>
      </c>
      <c r="AC35" s="233" t="str">
        <f>IFERROR(ROUND(VLOOKUP($S$35,'% DEDICACIÓN TRABAJADOR'!$D$49:$W$108,AC$23,FALSE),4),"")</f>
        <v/>
      </c>
      <c r="AD35" s="233" t="str">
        <f>IFERROR(ROUND(VLOOKUP($S$35,'% DEDICACIÓN TRABAJADOR'!$D$49:$W$108,AD$23,FALSE),4),"")</f>
        <v/>
      </c>
      <c r="AE35" s="233" t="str">
        <f>IFERROR(ROUND(VLOOKUP($S$35,'% DEDICACIÓN TRABAJADOR'!$D$49:$W$108,AE$23,FALSE),4),"")</f>
        <v/>
      </c>
      <c r="AF35" s="233" t="str">
        <f>IFERROR(ROUND(VLOOKUP($S$35,'% DEDICACIÓN TRABAJADOR'!$D$49:$W$108,AF$23,FALSE),4),"")</f>
        <v/>
      </c>
    </row>
    <row r="36" spans="14:32" s="230" customFormat="1" ht="15" customHeight="1" x14ac:dyDescent="0.25">
      <c r="N36" s="230" t="str">
        <f>IF(AUXILIAR!AM45="x","",CONCATENATE("SUBTOTAL ",AUXILIAR!AM45))</f>
        <v/>
      </c>
      <c r="O36" s="232" t="str">
        <f t="shared" si="4"/>
        <v/>
      </c>
      <c r="Q36" s="230" t="str">
        <f t="shared" si="2"/>
        <v/>
      </c>
      <c r="S36" s="230" t="str">
        <f t="shared" si="3"/>
        <v/>
      </c>
      <c r="T36" s="230">
        <f>COUNTIF('% DEDICACIÓN TRABAJADOR'!$D$49:$D$108,S36)</f>
        <v>0</v>
      </c>
      <c r="U36" s="233" t="str">
        <f>IFERROR(ROUND(VLOOKUP($S$36,'% DEDICACIÓN TRABAJADOR'!$D$49:$W$108,U$23,FALSE),4),"")</f>
        <v/>
      </c>
      <c r="V36" s="233" t="str">
        <f>IFERROR(ROUND(VLOOKUP($S$36,'% DEDICACIÓN TRABAJADOR'!$D$49:$W$108,V$23,FALSE),4),"")</f>
        <v/>
      </c>
      <c r="W36" s="233" t="str">
        <f>IFERROR(ROUND(VLOOKUP($S$36,'% DEDICACIÓN TRABAJADOR'!$D$49:$W$108,W$23,FALSE),4),"")</f>
        <v/>
      </c>
      <c r="X36" s="233" t="str">
        <f>IFERROR(ROUND(VLOOKUP($S$36,'% DEDICACIÓN TRABAJADOR'!$D$49:$W$108,X$23,FALSE),4),"")</f>
        <v/>
      </c>
      <c r="Y36" s="233" t="str">
        <f>IFERROR(ROUND(VLOOKUP($S$36,'% DEDICACIÓN TRABAJADOR'!$D$49:$W$108,Y$23,FALSE),4),"")</f>
        <v/>
      </c>
      <c r="Z36" s="233" t="str">
        <f>IFERROR(ROUND(VLOOKUP($S$36,'% DEDICACIÓN TRABAJADOR'!$D$49:$W$108,Z$23,FALSE),4),"")</f>
        <v/>
      </c>
      <c r="AA36" s="233" t="str">
        <f>IFERROR(ROUND(VLOOKUP($S$36,'% DEDICACIÓN TRABAJADOR'!$D$49:$W$108,AA$23,FALSE),4),"")</f>
        <v/>
      </c>
      <c r="AB36" s="233" t="str">
        <f>IFERROR(ROUND(VLOOKUP($S$36,'% DEDICACIÓN TRABAJADOR'!$D$49:$W$108,AB$23,FALSE),4),"")</f>
        <v/>
      </c>
      <c r="AC36" s="233" t="str">
        <f>IFERROR(ROUND(VLOOKUP($S$36,'% DEDICACIÓN TRABAJADOR'!$D$49:$W$108,AC$23,FALSE),4),"")</f>
        <v/>
      </c>
      <c r="AD36" s="233" t="str">
        <f>IFERROR(ROUND(VLOOKUP($S$36,'% DEDICACIÓN TRABAJADOR'!$D$49:$W$108,AD$23,FALSE),4),"")</f>
        <v/>
      </c>
      <c r="AE36" s="233" t="str">
        <f>IFERROR(ROUND(VLOOKUP($S$36,'% DEDICACIÓN TRABAJADOR'!$D$49:$W$108,AE$23,FALSE),4),"")</f>
        <v/>
      </c>
      <c r="AF36" s="233" t="str">
        <f>IFERROR(ROUND(VLOOKUP($S$36,'% DEDICACIÓN TRABAJADOR'!$D$49:$W$108,AF$23,FALSE),4),"")</f>
        <v/>
      </c>
    </row>
    <row r="37" spans="14:32" s="230" customFormat="1" ht="15" customHeight="1" x14ac:dyDescent="0.25">
      <c r="N37" s="230" t="str">
        <f>IF(AUXILIAR!AM46="x","",CONCATENATE("SUBTOTAL ",AUXILIAR!AM46))</f>
        <v/>
      </c>
      <c r="O37" s="232" t="str">
        <f t="shared" si="4"/>
        <v/>
      </c>
      <c r="Q37" s="230" t="str">
        <f t="shared" si="2"/>
        <v/>
      </c>
      <c r="S37" s="230" t="str">
        <f t="shared" si="3"/>
        <v/>
      </c>
      <c r="T37" s="230">
        <f>COUNTIF('% DEDICACIÓN TRABAJADOR'!$D$49:$D$108,S37)</f>
        <v>0</v>
      </c>
      <c r="U37" s="233" t="str">
        <f>IFERROR(ROUND(VLOOKUP($S$37,'% DEDICACIÓN TRABAJADOR'!$D$49:$W$108,U$23,FALSE),4),"")</f>
        <v/>
      </c>
      <c r="V37" s="233" t="str">
        <f>IFERROR(ROUND(VLOOKUP($S$37,'% DEDICACIÓN TRABAJADOR'!$D$49:$W$108,V$23,FALSE),4),"")</f>
        <v/>
      </c>
      <c r="W37" s="233" t="str">
        <f>IFERROR(ROUND(VLOOKUP($S$37,'% DEDICACIÓN TRABAJADOR'!$D$49:$W$108,W$23,FALSE),4),"")</f>
        <v/>
      </c>
      <c r="X37" s="233" t="str">
        <f>IFERROR(ROUND(VLOOKUP($S$37,'% DEDICACIÓN TRABAJADOR'!$D$49:$W$108,X$23,FALSE),4),"")</f>
        <v/>
      </c>
      <c r="Y37" s="233" t="str">
        <f>IFERROR(ROUND(VLOOKUP($S$37,'% DEDICACIÓN TRABAJADOR'!$D$49:$W$108,Y$23,FALSE),4),"")</f>
        <v/>
      </c>
      <c r="Z37" s="233" t="str">
        <f>IFERROR(ROUND(VLOOKUP($S$37,'% DEDICACIÓN TRABAJADOR'!$D$49:$W$108,Z$23,FALSE),4),"")</f>
        <v/>
      </c>
      <c r="AA37" s="233" t="str">
        <f>IFERROR(ROUND(VLOOKUP($S$37,'% DEDICACIÓN TRABAJADOR'!$D$49:$W$108,AA$23,FALSE),4),"")</f>
        <v/>
      </c>
      <c r="AB37" s="233" t="str">
        <f>IFERROR(ROUND(VLOOKUP($S$37,'% DEDICACIÓN TRABAJADOR'!$D$49:$W$108,AB$23,FALSE),4),"")</f>
        <v/>
      </c>
      <c r="AC37" s="233" t="str">
        <f>IFERROR(ROUND(VLOOKUP($S$37,'% DEDICACIÓN TRABAJADOR'!$D$49:$W$108,AC$23,FALSE),4),"")</f>
        <v/>
      </c>
      <c r="AD37" s="233" t="str">
        <f>IFERROR(ROUND(VLOOKUP($S$37,'% DEDICACIÓN TRABAJADOR'!$D$49:$W$108,AD$23,FALSE),4),"")</f>
        <v/>
      </c>
      <c r="AE37" s="233" t="str">
        <f>IFERROR(ROUND(VLOOKUP($S$37,'% DEDICACIÓN TRABAJADOR'!$D$49:$W$108,AE$23,FALSE),4),"")</f>
        <v/>
      </c>
      <c r="AF37" s="233" t="str">
        <f>IFERROR(ROUND(VLOOKUP($S$37,'% DEDICACIÓN TRABAJADOR'!$D$49:$W$108,AF$23,FALSE),4),"")</f>
        <v/>
      </c>
    </row>
    <row r="38" spans="14:32" s="230" customFormat="1" ht="15" customHeight="1" x14ac:dyDescent="0.25">
      <c r="N38" s="230" t="str">
        <f>IF(AUXILIAR!AM47="x","",CONCATENATE("SUBTOTAL ",AUXILIAR!AM47))</f>
        <v/>
      </c>
      <c r="O38" s="232" t="str">
        <f t="shared" si="4"/>
        <v/>
      </c>
      <c r="Q38" s="230" t="str">
        <f t="shared" si="2"/>
        <v/>
      </c>
      <c r="S38" s="230" t="str">
        <f t="shared" si="3"/>
        <v/>
      </c>
      <c r="T38" s="230">
        <f>COUNTIF('% DEDICACIÓN TRABAJADOR'!$D$49:$D$108,S38)</f>
        <v>0</v>
      </c>
      <c r="U38" s="233" t="str">
        <f>IFERROR(ROUND(VLOOKUP($S$38,'% DEDICACIÓN TRABAJADOR'!$D$49:$W$108,U$23,FALSE),4),"")</f>
        <v/>
      </c>
      <c r="V38" s="233" t="str">
        <f>IFERROR(ROUND(VLOOKUP($S$38,'% DEDICACIÓN TRABAJADOR'!$D$49:$W$108,V$23,FALSE),4),"")</f>
        <v/>
      </c>
      <c r="W38" s="233" t="str">
        <f>IFERROR(ROUND(VLOOKUP($S$38,'% DEDICACIÓN TRABAJADOR'!$D$49:$W$108,W$23,FALSE),4),"")</f>
        <v/>
      </c>
      <c r="X38" s="233" t="str">
        <f>IFERROR(ROUND(VLOOKUP($S$38,'% DEDICACIÓN TRABAJADOR'!$D$49:$W$108,X$23,FALSE),4),"")</f>
        <v/>
      </c>
      <c r="Y38" s="233" t="str">
        <f>IFERROR(ROUND(VLOOKUP($S$38,'% DEDICACIÓN TRABAJADOR'!$D$49:$W$108,Y$23,FALSE),4),"")</f>
        <v/>
      </c>
      <c r="Z38" s="233" t="str">
        <f>IFERROR(ROUND(VLOOKUP($S$38,'% DEDICACIÓN TRABAJADOR'!$D$49:$W$108,Z$23,FALSE),4),"")</f>
        <v/>
      </c>
      <c r="AA38" s="233" t="str">
        <f>IFERROR(ROUND(VLOOKUP($S$38,'% DEDICACIÓN TRABAJADOR'!$D$49:$W$108,AA$23,FALSE),4),"")</f>
        <v/>
      </c>
      <c r="AB38" s="233" t="str">
        <f>IFERROR(ROUND(VLOOKUP($S$38,'% DEDICACIÓN TRABAJADOR'!$D$49:$W$108,AB$23,FALSE),4),"")</f>
        <v/>
      </c>
      <c r="AC38" s="233" t="str">
        <f>IFERROR(ROUND(VLOOKUP($S$38,'% DEDICACIÓN TRABAJADOR'!$D$49:$W$108,AC$23,FALSE),4),"")</f>
        <v/>
      </c>
      <c r="AD38" s="233" t="str">
        <f>IFERROR(ROUND(VLOOKUP($S$38,'% DEDICACIÓN TRABAJADOR'!$D$49:$W$108,AD$23,FALSE),4),"")</f>
        <v/>
      </c>
      <c r="AE38" s="233" t="str">
        <f>IFERROR(ROUND(VLOOKUP($S$38,'% DEDICACIÓN TRABAJADOR'!$D$49:$W$108,AE$23,FALSE),4),"")</f>
        <v/>
      </c>
      <c r="AF38" s="233" t="str">
        <f>IFERROR(ROUND(VLOOKUP($S$38,'% DEDICACIÓN TRABAJADOR'!$D$49:$W$108,AF$23,FALSE),4),"")</f>
        <v/>
      </c>
    </row>
    <row r="39" spans="14:32" s="230" customFormat="1" ht="15" customHeight="1" x14ac:dyDescent="0.25">
      <c r="N39" s="230" t="str">
        <f>IF(AUXILIAR!AM48="x","",CONCATENATE("SUBTOTAL ",AUXILIAR!AM48))</f>
        <v/>
      </c>
      <c r="O39" s="232" t="str">
        <f>IF(N39="","",IF($S$4&gt;0,0,IF($S$6&gt;0,0,IF($S$8="SI",0,IFERROR(ROUND(U39*$N$10+V39*$N$11+W39*$N$12+X39*$N$13+Y39*$N$14+Z39*$N$15+AA39*$N$16+AB39*$N$17+AC39*$N$18+AD39*$N$19+AE39*$N$20+AF39*$N$21,2),"")))))</f>
        <v/>
      </c>
      <c r="Q39" s="230" t="str">
        <f t="shared" si="2"/>
        <v/>
      </c>
      <c r="S39" s="230" t="str">
        <f t="shared" si="3"/>
        <v/>
      </c>
      <c r="T39" s="230">
        <f>COUNTIF('% DEDICACIÓN TRABAJADOR'!$D$49:$D$108,S39)</f>
        <v>0</v>
      </c>
      <c r="U39" s="233" t="str">
        <f>IFERROR(ROUND(VLOOKUP($S$39,'% DEDICACIÓN TRABAJADOR'!$D$49:$W$108,U$23,FALSE),4),"")</f>
        <v/>
      </c>
      <c r="V39" s="233" t="str">
        <f>IFERROR(ROUND(VLOOKUP($S$39,'% DEDICACIÓN TRABAJADOR'!$D$49:$W$108,V$23,FALSE),4),"")</f>
        <v/>
      </c>
      <c r="W39" s="233" t="str">
        <f>IFERROR(ROUND(VLOOKUP($S$39,'% DEDICACIÓN TRABAJADOR'!$D$49:$W$108,W$23,FALSE),4),"")</f>
        <v/>
      </c>
      <c r="X39" s="233" t="str">
        <f>IFERROR(ROUND(VLOOKUP($S$39,'% DEDICACIÓN TRABAJADOR'!$D$49:$W$108,X$23,FALSE),4),"")</f>
        <v/>
      </c>
      <c r="Y39" s="233" t="str">
        <f>IFERROR(ROUND(VLOOKUP($S$39,'% DEDICACIÓN TRABAJADOR'!$D$49:$W$108,Y$23,FALSE),4),"")</f>
        <v/>
      </c>
      <c r="Z39" s="233" t="str">
        <f>IFERROR(ROUND(VLOOKUP($S$39,'% DEDICACIÓN TRABAJADOR'!$D$49:$W$108,Z$23,FALSE),4),"")</f>
        <v/>
      </c>
      <c r="AA39" s="233" t="str">
        <f>IFERROR(ROUND(VLOOKUP($S$39,'% DEDICACIÓN TRABAJADOR'!$D$49:$W$108,AA$23,FALSE),4),"")</f>
        <v/>
      </c>
      <c r="AB39" s="233" t="str">
        <f>IFERROR(ROUND(VLOOKUP($S$39,'% DEDICACIÓN TRABAJADOR'!$D$49:$W$108,AB$23,FALSE),4),"")</f>
        <v/>
      </c>
      <c r="AC39" s="233" t="str">
        <f>IFERROR(ROUND(VLOOKUP($S$39,'% DEDICACIÓN TRABAJADOR'!$D$49:$W$108,AC$23,FALSE),4),"")</f>
        <v/>
      </c>
      <c r="AD39" s="233" t="str">
        <f>IFERROR(ROUND(VLOOKUP($S$39,'% DEDICACIÓN TRABAJADOR'!$D$49:$W$108,AD$23,FALSE),4),"")</f>
        <v/>
      </c>
      <c r="AE39" s="233" t="str">
        <f>IFERROR(ROUND(VLOOKUP($S$39,'% DEDICACIÓN TRABAJADOR'!$D$49:$W$108,AE$23,FALSE),4),"")</f>
        <v/>
      </c>
      <c r="AF39" s="233" t="str">
        <f>IFERROR(ROUND(VLOOKUP($S$39,'% DEDICACIÓN TRABAJADOR'!$D$49:$W$108,AF$23,FALSE),4),"")</f>
        <v/>
      </c>
    </row>
  </sheetData>
  <sheetProtection algorithmName="SHA-512" hashValue="OP7whT9kgdbe3yfQnTczsq1HegueExDKtpaX6+9lSKJcTh3X/011mSNQZyfSxl0JNRjUtzty7YT9RjCn+kF/yw==" saltValue="hDCR+4EjYO6z2kya9+OlDg==" spinCount="100000" sheet="1" objects="1" scenarios="1" selectLockedCells="1" selectUnlockedCells="1"/>
  <mergeCells count="7">
    <mergeCell ref="N8:N9"/>
    <mergeCell ref="O8:O9"/>
    <mergeCell ref="B8:B9"/>
    <mergeCell ref="C8:C9"/>
    <mergeCell ref="D8:F8"/>
    <mergeCell ref="G8:I8"/>
    <mergeCell ref="K8:M8"/>
  </mergeCells>
  <conditionalFormatting sqref="O23">
    <cfRule type="expression" dxfId="26" priority="134">
      <formula>OR($S$4&gt;0,$S$6&gt;0,$S$8="SI")</formula>
    </cfRule>
  </conditionalFormatting>
  <conditionalFormatting sqref="Q23">
    <cfRule type="cellIs" dxfId="25" priority="3" operator="notEqual">
      <formula>""</formula>
    </cfRule>
  </conditionalFormatting>
  <conditionalFormatting sqref="Q25:Q39">
    <cfRule type="cellIs" dxfId="24" priority="2" operator="notEqual">
      <formula>""</formula>
    </cfRule>
  </conditionalFormatting>
  <printOptions horizontalCentered="1"/>
  <pageMargins left="0.39370078740157483" right="0.39370078740157483" top="0.59055118110236227" bottom="0.39370078740157483" header="0.19685039370078741" footer="0.19685039370078741"/>
  <pageSetup paperSize="9" scale="6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7" id="{0E8203C6-C206-44EB-8595-D74AA042A8FA}">
            <xm:f>'% DEDICACIÓN TRABAJADOR'!$L46=0</xm:f>
            <x14:dxf>
              <font>
                <color theme="0"/>
              </font>
            </x14:dxf>
          </x14:cfRule>
          <xm:sqref>D10:N10</xm:sqref>
        </x14:conditionalFormatting>
        <x14:conditionalFormatting xmlns:xm="http://schemas.microsoft.com/office/excel/2006/main">
          <x14:cfRule type="expression" priority="8" id="{777254EE-8C73-4096-A909-F6E1921E4A90}">
            <xm:f>'% DEDICACIÓN TRABAJADOR'!$M46=0</xm:f>
            <x14:dxf>
              <font>
                <color theme="0"/>
              </font>
            </x14:dxf>
          </x14:cfRule>
          <xm:sqref>D11:N11</xm:sqref>
        </x14:conditionalFormatting>
        <x14:conditionalFormatting xmlns:xm="http://schemas.microsoft.com/office/excel/2006/main">
          <x14:cfRule type="expression" priority="9" id="{089A83FF-0192-4F69-829C-61B36E537784}">
            <xm:f>'% DEDICACIÓN TRABAJADOR'!$N46=0</xm:f>
            <x14:dxf>
              <font>
                <color theme="0"/>
              </font>
            </x14:dxf>
          </x14:cfRule>
          <xm:sqref>D12:N12</xm:sqref>
        </x14:conditionalFormatting>
        <x14:conditionalFormatting xmlns:xm="http://schemas.microsoft.com/office/excel/2006/main">
          <x14:cfRule type="expression" priority="10" id="{29A3A330-A9E3-4BB9-BAE6-C015CD38D6FB}">
            <xm:f>'% DEDICACIÓN TRABAJADOR'!$O46=0</xm:f>
            <x14:dxf>
              <font>
                <color theme="0"/>
              </font>
            </x14:dxf>
          </x14:cfRule>
          <xm:sqref>D13:N13</xm:sqref>
        </x14:conditionalFormatting>
        <x14:conditionalFormatting xmlns:xm="http://schemas.microsoft.com/office/excel/2006/main">
          <x14:cfRule type="expression" priority="11" id="{86B75204-74AA-41DB-9871-03126D6ADBCD}">
            <xm:f>'% DEDICACIÓN TRABAJADOR'!$P46=0</xm:f>
            <x14:dxf>
              <font>
                <color theme="0"/>
              </font>
            </x14:dxf>
          </x14:cfRule>
          <xm:sqref>D14:N14</xm:sqref>
        </x14:conditionalFormatting>
        <x14:conditionalFormatting xmlns:xm="http://schemas.microsoft.com/office/excel/2006/main">
          <x14:cfRule type="expression" priority="12" id="{85B31F50-4583-4D29-A263-CC0761DD8E30}">
            <xm:f>'% DEDICACIÓN TRABAJADOR'!$Q46=0</xm:f>
            <x14:dxf>
              <font>
                <color theme="0"/>
              </font>
            </x14:dxf>
          </x14:cfRule>
          <xm:sqref>D15:N15</xm:sqref>
        </x14:conditionalFormatting>
        <x14:conditionalFormatting xmlns:xm="http://schemas.microsoft.com/office/excel/2006/main">
          <x14:cfRule type="expression" priority="13" id="{528A1C3B-E05B-41A6-91C7-6E4B7E0DDB4D}">
            <xm:f>'% DEDICACIÓN TRABAJADOR'!$R46=0</xm:f>
            <x14:dxf>
              <font>
                <color theme="0"/>
              </font>
            </x14:dxf>
          </x14:cfRule>
          <xm:sqref>D16:N16</xm:sqref>
        </x14:conditionalFormatting>
        <x14:conditionalFormatting xmlns:xm="http://schemas.microsoft.com/office/excel/2006/main">
          <x14:cfRule type="expression" priority="14" id="{9C127770-6C53-46F1-B513-554E34AFCABC}">
            <xm:f>'% DEDICACIÓN TRABAJADOR'!$S46=0</xm:f>
            <x14:dxf>
              <font>
                <color theme="0"/>
              </font>
            </x14:dxf>
          </x14:cfRule>
          <xm:sqref>D17:N17</xm:sqref>
        </x14:conditionalFormatting>
        <x14:conditionalFormatting xmlns:xm="http://schemas.microsoft.com/office/excel/2006/main">
          <x14:cfRule type="expression" priority="15" id="{AAE9B964-06F9-47F5-AA80-8B2EE068FEEF}">
            <xm:f>'% DEDICACIÓN TRABAJADOR'!$T46=0</xm:f>
            <x14:dxf>
              <font>
                <color theme="0"/>
              </font>
            </x14:dxf>
          </x14:cfRule>
          <xm:sqref>D18:N18</xm:sqref>
        </x14:conditionalFormatting>
        <x14:conditionalFormatting xmlns:xm="http://schemas.microsoft.com/office/excel/2006/main">
          <x14:cfRule type="expression" priority="16" id="{616CBFB4-1303-4123-9B49-B7955BBDC452}">
            <xm:f>'% DEDICACIÓN TRABAJADOR'!$U46=0</xm:f>
            <x14:dxf>
              <font>
                <color theme="0"/>
              </font>
            </x14:dxf>
          </x14:cfRule>
          <xm:sqref>D19:N19</xm:sqref>
        </x14:conditionalFormatting>
        <x14:conditionalFormatting xmlns:xm="http://schemas.microsoft.com/office/excel/2006/main">
          <x14:cfRule type="expression" priority="17" id="{09CF3398-E33F-40F4-9643-F5A68C1510F6}">
            <xm:f>'% DEDICACIÓN TRABAJADOR'!$V46=0</xm:f>
            <x14:dxf>
              <font>
                <color theme="0"/>
              </font>
            </x14:dxf>
          </x14:cfRule>
          <xm:sqref>D20:N20</xm:sqref>
        </x14:conditionalFormatting>
        <x14:conditionalFormatting xmlns:xm="http://schemas.microsoft.com/office/excel/2006/main">
          <x14:cfRule type="expression" priority="18" id="{F5D8958C-31DA-42DA-8513-5D498F258CEA}">
            <xm:f>'% DEDICACIÓN TRABAJADOR'!$W46=0</xm:f>
            <x14:dxf>
              <font>
                <color theme="0"/>
              </font>
            </x14:dxf>
          </x14:cfRule>
          <xm:sqref>D21:N21</xm:sqref>
        </x14:conditionalFormatting>
        <x14:conditionalFormatting xmlns:xm="http://schemas.microsoft.com/office/excel/2006/main">
          <x14:cfRule type="expression" priority="1" id="{4FE10E41-68DD-4B29-A2B8-3C99D626F25A}">
            <xm:f>EXPEDIENTE!$A$1&lt;&gt;1</xm:f>
            <x14:dxf>
              <font>
                <color theme="0"/>
              </font>
            </x14:dxf>
          </x14:cfRule>
          <xm:sqref>S3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A4FAF2-C503-4007-9762-C4211A6C086E}">
  <ds:schemaRefs>
    <ds:schemaRef ds:uri="http://schemas.microsoft.com/sharepoint/v3/contenttype/forms"/>
  </ds:schemaRefs>
</ds:datastoreItem>
</file>

<file path=customXml/itemProps2.xml><?xml version="1.0" encoding="utf-8"?>
<ds:datastoreItem xmlns:ds="http://schemas.openxmlformats.org/officeDocument/2006/customXml" ds:itemID="{4E3C4CA7-531E-409F-B664-F30525E14492}"/>
</file>

<file path=customXml/itemProps3.xml><?xml version="1.0" encoding="utf-8"?>
<ds:datastoreItem xmlns:ds="http://schemas.openxmlformats.org/officeDocument/2006/customXml" ds:itemID="{B0DE91E8-1C23-4F39-AE3B-C392C62347FC}">
  <ds:schemaRefs>
    <ds:schemaRef ds:uri="http://schemas.microsoft.com/office/2006/metadata/properties"/>
    <ds:schemaRef ds:uri="http://schemas.microsoft.com/office/infopath/2007/PartnerControls"/>
    <ds:schemaRef ds:uri="bc934ed1-fc6e-40dc-8eb3-366867545b6c"/>
    <ds:schemaRef ds:uri="ba600c26-20e0-433c-877d-adf8e183668e"/>
    <ds:schemaRef ds:uri="d0f1999e-fb46-4be1-aa14-5c6f3ecfb51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INSTRUCCIONES</vt:lpstr>
      <vt:lpstr>EXPEDIENTE</vt:lpstr>
      <vt:lpstr>IDENTIFICACIÓN TRABAJADOR</vt:lpstr>
      <vt:lpstr>LINEAS CON DEDICACIÓN</vt:lpstr>
      <vt:lpstr>% DEDICACIÓN TRABAJADOR</vt:lpstr>
      <vt:lpstr>GASTOS TRABAJADOR</vt:lpstr>
      <vt:lpstr>RESUMEN TRABAJADOR ACTUACIÓN 1</vt:lpstr>
      <vt:lpstr>RESUMEN TRABAJADOR ACTUACIÓN 2</vt:lpstr>
      <vt:lpstr>RESUMEN TRABAJADOR ACTUACIÓN 3</vt:lpstr>
      <vt:lpstr>RESUMEN TRABAJADOR ACTUACIÓN 4</vt:lpstr>
      <vt:lpstr>DATOS A INCORPORAR AL MOD-66</vt:lpstr>
      <vt:lpstr>AUXILIAR</vt:lpstr>
      <vt:lpstr>'% DEDICACIÓN TRABAJADOR'!Área_de_impresión</vt:lpstr>
      <vt:lpstr>AUXILIAR!Área_de_impresión</vt:lpstr>
      <vt:lpstr>'DATOS A INCORPORAR AL MOD-66'!Área_de_impresión</vt:lpstr>
      <vt:lpstr>EXPEDIENTE!Área_de_impresión</vt:lpstr>
      <vt:lpstr>'GASTOS TRABAJADOR'!Área_de_impresión</vt:lpstr>
      <vt:lpstr>'IDENTIFICACIÓN TRABAJADOR'!Área_de_impresión</vt:lpstr>
      <vt:lpstr>'LINEAS CON DEDICACIÓN'!Área_de_impresión</vt:lpstr>
      <vt:lpstr>'RESUMEN TRABAJADOR ACTUACIÓN 1'!Área_de_impresión</vt:lpstr>
      <vt:lpstr>'RESUMEN TRABAJADOR ACTUACIÓN 2'!Área_de_impresión</vt:lpstr>
      <vt:lpstr>'RESUMEN TRABAJADOR ACTUACIÓN 3'!Área_de_impresión</vt:lpstr>
      <vt:lpstr>'RESUMEN TRABAJADOR ACTUACIÓN 4'!Área_de_impresión</vt:lpstr>
      <vt:lpstr>Lineas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Marco Adrián</dc:creator>
  <cp:lastModifiedBy>Vicente Marco Adrián</cp:lastModifiedBy>
  <cp:lastPrinted>2024-02-16T18:17:54Z</cp:lastPrinted>
  <dcterms:created xsi:type="dcterms:W3CDTF">2023-12-14T12:28:36Z</dcterms:created>
  <dcterms:modified xsi:type="dcterms:W3CDTF">2025-01-23T11:56:52Z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0x010100B5D8345CE9BD914C9D01226D63129445</vt:lpwstr>
  </property>
</Properties>
</file>