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4-1-TRAMITACIÓN/2024-EPTE/24.EPTE-5-COBRO-Formularios - CORRECCION/"/>
    </mc:Choice>
  </mc:AlternateContent>
  <xr:revisionPtr revIDLastSave="52" documentId="13_ncr:1_{F2F41545-5F4A-4120-BA07-2ECB9238856C}" xr6:coauthVersionLast="47" xr6:coauthVersionMax="47" xr10:uidLastSave="{A85A2751-546D-486C-AC6E-CF3F3580BDAE}"/>
  <bookViews>
    <workbookView xWindow="-120" yWindow="-120" windowWidth="29040" windowHeight="15720" tabRatio="804" xr2:uid="{011CC5B4-78A3-49C7-B223-B56C5D4F27C3}"/>
  </bookViews>
  <sheets>
    <sheet name="INSTRUCCIONES" sheetId="2" r:id="rId1"/>
    <sheet name="EXPEDIENTE" sheetId="1" r:id="rId2"/>
    <sheet name="IDENTIFICACIÓN TRABAJADOR" sheetId="13" r:id="rId3"/>
    <sheet name="% DEDICACIÓN TRABAJADOR" sheetId="4" r:id="rId4"/>
    <sheet name="GASTOS EJER. 1" sheetId="6" r:id="rId5"/>
    <sheet name="GASTOS EJER. 2" sheetId="14" r:id="rId6"/>
    <sheet name="GASTOS EJER. 3" sheetId="15" r:id="rId7"/>
    <sheet name="GASTOS EJER. 4" sheetId="16" r:id="rId8"/>
    <sheet name="RESUMEN TRABAJADOR " sheetId="7" r:id="rId9"/>
    <sheet name="DATOS A INCORPORAR AL MOD-61" sheetId="8" r:id="rId10"/>
    <sheet name="INFORME" sheetId="20" r:id="rId11"/>
    <sheet name="AUXILIAR" sheetId="3" r:id="rId12"/>
    <sheet name="USUARIO" sheetId="18" r:id="rId13"/>
  </sheets>
  <definedNames>
    <definedName name="_xlnm.Print_Area" localSheetId="3">'% DEDICACIÓN TRABAJADOR'!$A$1:$S$48</definedName>
    <definedName name="_xlnm.Print_Area" localSheetId="9">'DATOS A INCORPORAR AL MOD-61'!$A$1:$F$15</definedName>
    <definedName name="_xlnm.Print_Area" localSheetId="1">EXPEDIENTE!$B$1:$I$35</definedName>
    <definedName name="_xlnm.Print_Area" localSheetId="4">'GASTOS EJER. 1'!$A$1:$CY$61</definedName>
    <definedName name="_xlnm.Print_Area" localSheetId="5">'GASTOS EJER. 2'!$A$1:$CY$61</definedName>
    <definedName name="_xlnm.Print_Area" localSheetId="7">'GASTOS EJER. 4'!$A$1:$CY$62</definedName>
    <definedName name="_xlnm.Print_Area" localSheetId="2">'IDENTIFICACIÓN TRABAJADOR'!$A$1:$Y$62</definedName>
    <definedName name="_xlnm.Print_Area" localSheetId="10">INFORME!$A$1:$R$40</definedName>
    <definedName name="_xlnm.Print_Area" localSheetId="8">'RESUMEN TRABAJADOR '!$A$1:$P$97</definedName>
    <definedName name="LÍNEA">AUXILIAR!$M$7:$M$36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1" l="1"/>
  <c r="BR23" i="3"/>
  <c r="BR24" i="3"/>
  <c r="BQ23" i="3"/>
  <c r="BQ24" i="3"/>
  <c r="BP23" i="3"/>
  <c r="BP24" i="3"/>
  <c r="BO23" i="3"/>
  <c r="BO24" i="3"/>
  <c r="BN23" i="3"/>
  <c r="BN24" i="3"/>
  <c r="BM23" i="3"/>
  <c r="BM24" i="3"/>
  <c r="BL23" i="3"/>
  <c r="BL24" i="3"/>
  <c r="BK23" i="3"/>
  <c r="BK24" i="3"/>
  <c r="B39" i="13"/>
  <c r="B35" i="13"/>
  <c r="B31" i="13"/>
  <c r="B27" i="13"/>
  <c r="BF50" i="3"/>
  <c r="BF49" i="3"/>
  <c r="BF48" i="3"/>
  <c r="BF47" i="3"/>
  <c r="BF46" i="3"/>
  <c r="BF45" i="3"/>
  <c r="BF44" i="3"/>
  <c r="BF43" i="3"/>
  <c r="BF42" i="3"/>
  <c r="BF41" i="3"/>
  <c r="BF40" i="3"/>
  <c r="BF39" i="3"/>
  <c r="BD60" i="14"/>
  <c r="BD59" i="14"/>
  <c r="BD58" i="14"/>
  <c r="BD57" i="14"/>
  <c r="BD56" i="14"/>
  <c r="BD55" i="14"/>
  <c r="BD54" i="14"/>
  <c r="BD53" i="14"/>
  <c r="BD52" i="14"/>
  <c r="BD51" i="14"/>
  <c r="AX60" i="14"/>
  <c r="AX59" i="14"/>
  <c r="AX58" i="14"/>
  <c r="AX57" i="14"/>
  <c r="AX56" i="14"/>
  <c r="AX55" i="14"/>
  <c r="AX54" i="14"/>
  <c r="AX53" i="14"/>
  <c r="AX52" i="14"/>
  <c r="AX51" i="14"/>
  <c r="AU60" i="14"/>
  <c r="AU59" i="14"/>
  <c r="AU58" i="14"/>
  <c r="AU57" i="14"/>
  <c r="AU56" i="14"/>
  <c r="AU55" i="14"/>
  <c r="AU54" i="14"/>
  <c r="AU53" i="14"/>
  <c r="AU52" i="14"/>
  <c r="AU51" i="14"/>
  <c r="AO60" i="14"/>
  <c r="AO59" i="14"/>
  <c r="AO58" i="14"/>
  <c r="AO57" i="14"/>
  <c r="AO56" i="14"/>
  <c r="AO55" i="14"/>
  <c r="AO54" i="14"/>
  <c r="AO53" i="14"/>
  <c r="AO52" i="14"/>
  <c r="AO51" i="14"/>
  <c r="AO50" i="14"/>
  <c r="AU50" i="14"/>
  <c r="AX50" i="14"/>
  <c r="BD50" i="14"/>
  <c r="BD49" i="14"/>
  <c r="AX49" i="14"/>
  <c r="AU49" i="14"/>
  <c r="AO49" i="14"/>
  <c r="B45" i="13"/>
  <c r="H19" i="13"/>
  <c r="N49" i="14"/>
  <c r="N49" i="15"/>
  <c r="D47" i="14"/>
  <c r="D47" i="15"/>
  <c r="HX9" i="3"/>
  <c r="HX8" i="3"/>
  <c r="HX7" i="3"/>
  <c r="AX60" i="16"/>
  <c r="AX59" i="16"/>
  <c r="AX58" i="16"/>
  <c r="AX57" i="16"/>
  <c r="AX56" i="16"/>
  <c r="AX55" i="16"/>
  <c r="AX54" i="16"/>
  <c r="AX53" i="16"/>
  <c r="AX52" i="16"/>
  <c r="AX51" i="16"/>
  <c r="AX50" i="16"/>
  <c r="AX49" i="16"/>
  <c r="AU60" i="16"/>
  <c r="AU59" i="16"/>
  <c r="AU58" i="16"/>
  <c r="AU57" i="16"/>
  <c r="AU56" i="16"/>
  <c r="AU55" i="16"/>
  <c r="AU54" i="16"/>
  <c r="AU53" i="16"/>
  <c r="AU52" i="16"/>
  <c r="AU51" i="16"/>
  <c r="AU50" i="16"/>
  <c r="AU49" i="16"/>
  <c r="AO60" i="16"/>
  <c r="AO59" i="16"/>
  <c r="AO58" i="16"/>
  <c r="AO57" i="16"/>
  <c r="AO56" i="16"/>
  <c r="AO55" i="16"/>
  <c r="AO54" i="16"/>
  <c r="AO53" i="16"/>
  <c r="AO52" i="16"/>
  <c r="AO51" i="16"/>
  <c r="AO50" i="16"/>
  <c r="AO49" i="16"/>
  <c r="AX60" i="15"/>
  <c r="AX59" i="15"/>
  <c r="AX58" i="15"/>
  <c r="AX57" i="15"/>
  <c r="AX56" i="15"/>
  <c r="AX55" i="15"/>
  <c r="AX54" i="15"/>
  <c r="AX53" i="15"/>
  <c r="AX52" i="15"/>
  <c r="AX51" i="15"/>
  <c r="AX50" i="15"/>
  <c r="AU60" i="15"/>
  <c r="AU59" i="15"/>
  <c r="AU58" i="15"/>
  <c r="AU57" i="15"/>
  <c r="AU56" i="15"/>
  <c r="AU55" i="15"/>
  <c r="AU54" i="15"/>
  <c r="AU53" i="15"/>
  <c r="AU52" i="15"/>
  <c r="AU51" i="15"/>
  <c r="AU50" i="15"/>
  <c r="AO60" i="15"/>
  <c r="AO59" i="15"/>
  <c r="AO58" i="15"/>
  <c r="AO57" i="15"/>
  <c r="AO56" i="15"/>
  <c r="AO55" i="15"/>
  <c r="AO54" i="15"/>
  <c r="AO53" i="15"/>
  <c r="AO52" i="15"/>
  <c r="AO51" i="15"/>
  <c r="AO50" i="15"/>
  <c r="AX49" i="15"/>
  <c r="AU49" i="15"/>
  <c r="AO49" i="15"/>
  <c r="AX60" i="6"/>
  <c r="AX59" i="6"/>
  <c r="AX58" i="6"/>
  <c r="AX57" i="6"/>
  <c r="AX56" i="6"/>
  <c r="AX55" i="6"/>
  <c r="AX54" i="6"/>
  <c r="AX53" i="6"/>
  <c r="AX52" i="6"/>
  <c r="AX51" i="6"/>
  <c r="AX50" i="6"/>
  <c r="AU60" i="6"/>
  <c r="AU59" i="6"/>
  <c r="AU58" i="6"/>
  <c r="AU57" i="6"/>
  <c r="AU56" i="6"/>
  <c r="AU55" i="6"/>
  <c r="AU54" i="6"/>
  <c r="AU53" i="6"/>
  <c r="AU52" i="6"/>
  <c r="AU51" i="6"/>
  <c r="AU50" i="6"/>
  <c r="AO60" i="6"/>
  <c r="AO59" i="6"/>
  <c r="AO58" i="6"/>
  <c r="AO57" i="6"/>
  <c r="AO56" i="6"/>
  <c r="AO55" i="6"/>
  <c r="AO54" i="6"/>
  <c r="AO53" i="6"/>
  <c r="AO52" i="6"/>
  <c r="AO51" i="6"/>
  <c r="AO50" i="6"/>
  <c r="AX49" i="6"/>
  <c r="AU49" i="6"/>
  <c r="AO49" i="6"/>
  <c r="D5" i="20"/>
  <c r="BS23" i="3" l="1"/>
  <c r="BS24" i="3"/>
  <c r="AG94" i="7"/>
  <c r="AG93" i="7"/>
  <c r="AG92" i="7"/>
  <c r="AG91" i="7"/>
  <c r="AG90" i="7"/>
  <c r="AG89" i="7"/>
  <c r="AG88" i="7"/>
  <c r="AG87" i="7"/>
  <c r="AG86" i="7"/>
  <c r="AG85" i="7"/>
  <c r="AC94" i="7"/>
  <c r="AC93" i="7"/>
  <c r="AC92" i="7"/>
  <c r="AC91" i="7"/>
  <c r="AC90" i="7"/>
  <c r="AC89" i="7"/>
  <c r="AC88" i="7"/>
  <c r="AC87" i="7"/>
  <c r="AC86" i="7"/>
  <c r="AC85" i="7"/>
  <c r="AB94" i="7"/>
  <c r="AB93" i="7"/>
  <c r="AB92" i="7"/>
  <c r="AB91" i="7"/>
  <c r="AB90" i="7"/>
  <c r="AB89" i="7"/>
  <c r="AB88" i="7"/>
  <c r="AB87" i="7"/>
  <c r="AB86" i="7"/>
  <c r="AB85" i="7"/>
  <c r="AB84" i="7"/>
  <c r="Z94" i="7"/>
  <c r="Z93" i="7"/>
  <c r="Z92" i="7"/>
  <c r="Z91" i="7"/>
  <c r="Z90" i="7"/>
  <c r="Z89" i="7"/>
  <c r="Z88" i="7"/>
  <c r="Z87" i="7"/>
  <c r="Z86" i="7"/>
  <c r="Z85" i="7"/>
  <c r="Z83" i="7"/>
  <c r="Y94" i="7"/>
  <c r="Y93" i="7"/>
  <c r="Y92" i="7"/>
  <c r="Y91" i="7"/>
  <c r="Y90" i="7"/>
  <c r="Y89" i="7"/>
  <c r="Y88" i="7"/>
  <c r="Y87" i="7"/>
  <c r="Y86" i="7"/>
  <c r="Y85" i="7"/>
  <c r="AG70" i="7"/>
  <c r="AG69" i="7"/>
  <c r="AG68" i="7"/>
  <c r="AG67" i="7"/>
  <c r="AG66" i="7"/>
  <c r="AG65" i="7"/>
  <c r="AG64" i="7"/>
  <c r="AG63" i="7"/>
  <c r="AG62" i="7"/>
  <c r="AG61" i="7"/>
  <c r="AC70" i="7"/>
  <c r="AC69" i="7"/>
  <c r="AC68" i="7"/>
  <c r="AC67" i="7"/>
  <c r="AC66" i="7"/>
  <c r="AC65" i="7"/>
  <c r="AC64" i="7"/>
  <c r="AC63" i="7"/>
  <c r="AC62" i="7"/>
  <c r="AC61" i="7"/>
  <c r="AB70" i="7"/>
  <c r="AB69" i="7"/>
  <c r="AB68" i="7"/>
  <c r="AB67" i="7"/>
  <c r="AB66" i="7"/>
  <c r="AB65" i="7"/>
  <c r="AB64" i="7"/>
  <c r="AB63" i="7"/>
  <c r="AB62" i="7"/>
  <c r="AB61" i="7"/>
  <c r="AB60" i="7"/>
  <c r="Z70" i="7"/>
  <c r="Z69" i="7"/>
  <c r="Z68" i="7"/>
  <c r="Z67" i="7"/>
  <c r="Z66" i="7"/>
  <c r="Z65" i="7"/>
  <c r="Z64" i="7"/>
  <c r="Z63" i="7"/>
  <c r="Z62" i="7"/>
  <c r="Z61" i="7"/>
  <c r="Z59" i="7"/>
  <c r="Y70" i="7"/>
  <c r="Y69" i="7"/>
  <c r="Y68" i="7"/>
  <c r="Y67" i="7"/>
  <c r="Y66" i="7"/>
  <c r="Y65" i="7"/>
  <c r="Y64" i="7"/>
  <c r="Y63" i="7"/>
  <c r="Y62" i="7"/>
  <c r="Y61" i="7"/>
  <c r="AC46" i="7"/>
  <c r="AC45" i="7"/>
  <c r="AC44" i="7"/>
  <c r="AC43" i="7"/>
  <c r="AC42" i="7"/>
  <c r="AC41" i="7"/>
  <c r="AC40" i="7"/>
  <c r="AC39" i="7"/>
  <c r="AC38" i="7"/>
  <c r="AC37" i="7"/>
  <c r="AB46" i="7"/>
  <c r="AB45" i="7"/>
  <c r="AB44" i="7"/>
  <c r="AB43" i="7"/>
  <c r="AB42" i="7"/>
  <c r="AB41" i="7"/>
  <c r="AB40" i="7"/>
  <c r="AB39" i="7"/>
  <c r="AB38" i="7"/>
  <c r="AB37" i="7"/>
  <c r="AB36" i="7"/>
  <c r="Z46" i="7"/>
  <c r="Z45" i="7"/>
  <c r="Z44" i="7"/>
  <c r="Z43" i="7"/>
  <c r="Z42" i="7"/>
  <c r="Z41" i="7"/>
  <c r="Z40" i="7"/>
  <c r="Z39" i="7"/>
  <c r="Z38" i="7"/>
  <c r="Z37" i="7"/>
  <c r="Z35" i="7"/>
  <c r="Y46" i="7"/>
  <c r="Y45" i="7"/>
  <c r="Y44" i="7"/>
  <c r="Y43" i="7"/>
  <c r="Y42" i="7"/>
  <c r="Y41" i="7"/>
  <c r="Y40" i="7"/>
  <c r="Y39" i="7"/>
  <c r="Y38" i="7"/>
  <c r="Y37" i="7"/>
  <c r="HR82" i="3"/>
  <c r="HR81" i="3"/>
  <c r="HR80" i="3"/>
  <c r="HR79" i="3"/>
  <c r="HR78" i="3"/>
  <c r="HR77" i="3"/>
  <c r="HR76" i="3"/>
  <c r="HR75" i="3"/>
  <c r="HR74" i="3"/>
  <c r="HR73" i="3"/>
  <c r="HR66" i="3"/>
  <c r="HR65" i="3"/>
  <c r="HR64" i="3"/>
  <c r="HR63" i="3"/>
  <c r="HR62" i="3"/>
  <c r="HR61" i="3"/>
  <c r="HR60" i="3"/>
  <c r="HR59" i="3"/>
  <c r="HR58" i="3"/>
  <c r="HR57" i="3"/>
  <c r="HR50" i="3"/>
  <c r="HR49" i="3"/>
  <c r="HR48" i="3"/>
  <c r="HR47" i="3"/>
  <c r="HR46" i="3"/>
  <c r="HR45" i="3"/>
  <c r="HR44" i="3"/>
  <c r="HR43" i="3"/>
  <c r="HR42" i="3"/>
  <c r="HR41" i="3"/>
  <c r="HQ82" i="3"/>
  <c r="HQ81" i="3"/>
  <c r="HQ80" i="3"/>
  <c r="HQ79" i="3"/>
  <c r="HQ78" i="3"/>
  <c r="HQ77" i="3"/>
  <c r="HQ76" i="3"/>
  <c r="HQ75" i="3"/>
  <c r="HQ74" i="3"/>
  <c r="HQ73" i="3"/>
  <c r="HQ66" i="3"/>
  <c r="HQ65" i="3"/>
  <c r="HQ64" i="3"/>
  <c r="HQ63" i="3"/>
  <c r="HQ62" i="3"/>
  <c r="HQ61" i="3"/>
  <c r="HQ60" i="3"/>
  <c r="HQ59" i="3"/>
  <c r="HQ58" i="3"/>
  <c r="HQ57" i="3"/>
  <c r="HP82" i="3" l="1"/>
  <c r="FS78" i="3"/>
  <c r="HP81" i="3"/>
  <c r="FS77" i="3"/>
  <c r="HP80" i="3"/>
  <c r="FS76" i="3"/>
  <c r="HP79" i="3"/>
  <c r="FS75" i="3"/>
  <c r="HP78" i="3"/>
  <c r="FS74" i="3"/>
  <c r="HP77" i="3"/>
  <c r="FS73" i="3"/>
  <c r="HP76" i="3"/>
  <c r="FS72" i="3"/>
  <c r="HP75" i="3"/>
  <c r="FS71" i="3"/>
  <c r="HP74" i="3"/>
  <c r="HP73" i="3"/>
  <c r="HP72" i="3"/>
  <c r="HP71" i="3"/>
  <c r="HP66" i="3"/>
  <c r="HP65" i="3"/>
  <c r="HP64" i="3"/>
  <c r="FS62" i="3"/>
  <c r="HP63" i="3"/>
  <c r="FS61" i="3"/>
  <c r="HP62" i="3"/>
  <c r="FS60" i="3"/>
  <c r="HP61" i="3"/>
  <c r="FS59" i="3"/>
  <c r="HP60" i="3"/>
  <c r="FS58" i="3"/>
  <c r="HP59" i="3"/>
  <c r="FS57" i="3"/>
  <c r="HP58" i="3"/>
  <c r="FS56" i="3"/>
  <c r="HP57" i="3"/>
  <c r="FS55" i="3"/>
  <c r="HP56" i="3"/>
  <c r="HP55" i="3"/>
  <c r="HP50" i="3"/>
  <c r="HP49" i="3"/>
  <c r="HP48" i="3"/>
  <c r="HP47" i="3"/>
  <c r="HP46" i="3"/>
  <c r="FS46" i="3"/>
  <c r="HP45" i="3"/>
  <c r="FS45" i="3"/>
  <c r="HP44" i="3"/>
  <c r="FS44" i="3"/>
  <c r="HP43" i="3"/>
  <c r="FS43" i="3"/>
  <c r="HP42" i="3"/>
  <c r="FS42" i="3"/>
  <c r="HP41" i="3"/>
  <c r="FS41" i="3"/>
  <c r="HP40" i="3"/>
  <c r="FS40" i="3"/>
  <c r="HP39" i="3"/>
  <c r="FS39" i="3"/>
  <c r="HP34" i="3"/>
  <c r="HP33" i="3"/>
  <c r="HP32" i="3"/>
  <c r="HP31" i="3"/>
  <c r="HP30" i="3"/>
  <c r="FS30" i="3"/>
  <c r="HP29" i="3"/>
  <c r="FS29" i="3"/>
  <c r="HP28" i="3"/>
  <c r="FS28" i="3"/>
  <c r="HP27" i="3"/>
  <c r="FS27" i="3"/>
  <c r="HP26" i="3"/>
  <c r="FS26" i="3"/>
  <c r="HP25" i="3"/>
  <c r="FS25" i="3"/>
  <c r="HP24" i="3"/>
  <c r="FS24" i="3"/>
  <c r="HP23" i="3"/>
  <c r="FS23" i="3"/>
  <c r="GD20" i="3"/>
  <c r="GD19" i="3" s="1"/>
  <c r="GC20" i="3"/>
  <c r="FL82" i="3"/>
  <c r="FL81" i="3"/>
  <c r="FL80" i="3"/>
  <c r="FL79" i="3"/>
  <c r="FL78" i="3"/>
  <c r="FL77" i="3"/>
  <c r="FL76" i="3"/>
  <c r="FL75" i="3"/>
  <c r="FL74" i="3"/>
  <c r="FL73" i="3"/>
  <c r="FL72" i="3"/>
  <c r="FL71" i="3"/>
  <c r="FL66" i="3"/>
  <c r="FL65" i="3"/>
  <c r="FL64" i="3"/>
  <c r="FL63" i="3"/>
  <c r="FL62" i="3"/>
  <c r="FL61" i="3"/>
  <c r="FL60" i="3"/>
  <c r="FL59" i="3"/>
  <c r="FL58" i="3"/>
  <c r="FL57" i="3"/>
  <c r="FL56" i="3"/>
  <c r="FL55" i="3"/>
  <c r="FK82" i="3"/>
  <c r="FK81" i="3"/>
  <c r="FK80" i="3"/>
  <c r="FK79" i="3"/>
  <c r="FK78" i="3"/>
  <c r="FK77" i="3"/>
  <c r="FK76" i="3"/>
  <c r="FK75" i="3"/>
  <c r="FK74" i="3"/>
  <c r="FK73" i="3"/>
  <c r="FK72" i="3"/>
  <c r="FK71" i="3"/>
  <c r="FK66" i="3"/>
  <c r="FK65" i="3"/>
  <c r="FK64" i="3"/>
  <c r="FK63" i="3"/>
  <c r="FK62" i="3"/>
  <c r="FK61" i="3"/>
  <c r="FK60" i="3"/>
  <c r="FK59" i="3"/>
  <c r="FK58" i="3"/>
  <c r="FK57" i="3"/>
  <c r="FK56" i="3"/>
  <c r="FK55" i="3"/>
  <c r="FL50" i="3"/>
  <c r="FL49" i="3"/>
  <c r="FL48" i="3"/>
  <c r="FL47" i="3"/>
  <c r="FL46" i="3"/>
  <c r="FL45" i="3"/>
  <c r="FL44" i="3"/>
  <c r="FL43" i="3"/>
  <c r="FL42" i="3"/>
  <c r="FL41" i="3"/>
  <c r="FL40" i="3"/>
  <c r="FL39" i="3"/>
  <c r="FK50" i="3"/>
  <c r="FK49" i="3"/>
  <c r="FK48" i="3"/>
  <c r="FK47" i="3"/>
  <c r="FK46" i="3"/>
  <c r="FK45" i="3"/>
  <c r="FK44" i="3"/>
  <c r="FK43" i="3"/>
  <c r="FK42" i="3"/>
  <c r="FK41" i="3"/>
  <c r="FK40" i="3"/>
  <c r="FK39" i="3"/>
  <c r="DO78" i="3"/>
  <c r="DO77" i="3"/>
  <c r="DO76" i="3"/>
  <c r="DO75" i="3"/>
  <c r="DO74" i="3"/>
  <c r="DO73" i="3"/>
  <c r="DO72" i="3"/>
  <c r="DO71" i="3"/>
  <c r="DO62" i="3"/>
  <c r="DO61" i="3"/>
  <c r="DO60" i="3"/>
  <c r="DO59" i="3"/>
  <c r="DO58" i="3"/>
  <c r="DO57" i="3"/>
  <c r="DO56" i="3"/>
  <c r="DO55" i="3"/>
  <c r="DS46" i="3"/>
  <c r="DT62" i="3" s="1"/>
  <c r="DS45" i="3"/>
  <c r="DT61" i="3" s="1"/>
  <c r="DS44" i="3"/>
  <c r="DT60" i="3" s="1"/>
  <c r="DS43" i="3"/>
  <c r="DT59" i="3" s="1"/>
  <c r="DS42" i="3"/>
  <c r="DT58" i="3" s="1"/>
  <c r="DS41" i="3"/>
  <c r="DT57" i="3" s="1"/>
  <c r="DS40" i="3"/>
  <c r="DT56" i="3" s="1"/>
  <c r="DS39" i="3"/>
  <c r="DT55" i="3" s="1"/>
  <c r="DU71" i="3" s="1"/>
  <c r="DO40" i="3"/>
  <c r="DO41" i="3"/>
  <c r="DO42" i="3"/>
  <c r="DO43" i="3"/>
  <c r="DO44" i="3"/>
  <c r="DO45" i="3"/>
  <c r="DO46" i="3"/>
  <c r="DO39" i="3"/>
  <c r="FK24" i="3"/>
  <c r="FK25" i="3"/>
  <c r="FK26" i="3"/>
  <c r="FK27" i="3"/>
  <c r="FK28" i="3"/>
  <c r="FK29" i="3"/>
  <c r="FK30" i="3"/>
  <c r="FK31" i="3"/>
  <c r="FK32" i="3"/>
  <c r="FK33" i="3"/>
  <c r="FK34" i="3"/>
  <c r="FK23" i="3"/>
  <c r="DY20" i="3"/>
  <c r="FL24" i="3"/>
  <c r="FL25" i="3"/>
  <c r="FL26" i="3"/>
  <c r="FL27" i="3"/>
  <c r="FL28" i="3"/>
  <c r="FL29" i="3"/>
  <c r="FL30" i="3"/>
  <c r="FL31" i="3"/>
  <c r="FL32" i="3"/>
  <c r="FL33" i="3"/>
  <c r="FL34" i="3"/>
  <c r="FL23" i="3"/>
  <c r="DZ20" i="3"/>
  <c r="DZ19" i="3" s="1"/>
  <c r="DZ18" i="3" s="1"/>
  <c r="DZ17" i="3" s="1"/>
  <c r="DZ16" i="3" s="1"/>
  <c r="DZ15" i="3" s="1"/>
  <c r="DZ14" i="3" s="1"/>
  <c r="DZ13" i="3" s="1"/>
  <c r="DZ12" i="3" s="1"/>
  <c r="DZ11" i="3" s="1"/>
  <c r="DZ10" i="3" s="1"/>
  <c r="DZ9" i="3" s="1"/>
  <c r="DZ8" i="3" s="1"/>
  <c r="DS24" i="3"/>
  <c r="DT24" i="3" s="1"/>
  <c r="DU24" i="3" s="1"/>
  <c r="DS25" i="3"/>
  <c r="DT25" i="3" s="1"/>
  <c r="DU25" i="3" s="1"/>
  <c r="DS26" i="3"/>
  <c r="DT26" i="3" s="1"/>
  <c r="DU26" i="3" s="1"/>
  <c r="DS27" i="3"/>
  <c r="DT27" i="3" s="1"/>
  <c r="DU27" i="3" s="1"/>
  <c r="DS28" i="3"/>
  <c r="DT28" i="3" s="1"/>
  <c r="DU28" i="3" s="1"/>
  <c r="DS29" i="3"/>
  <c r="DT29" i="3" s="1"/>
  <c r="DU29" i="3" s="1"/>
  <c r="DS30" i="3"/>
  <c r="DT30" i="3" s="1"/>
  <c r="DU30" i="3" s="1"/>
  <c r="DO24" i="3"/>
  <c r="DO25" i="3"/>
  <c r="DO26" i="3"/>
  <c r="DO27" i="3"/>
  <c r="DO28" i="3"/>
  <c r="DO29" i="3"/>
  <c r="DO30" i="3"/>
  <c r="DO23" i="3"/>
  <c r="CY69" i="3"/>
  <c r="CX69" i="3"/>
  <c r="CW69" i="3"/>
  <c r="CV69" i="3"/>
  <c r="CU69" i="3"/>
  <c r="CT69" i="3"/>
  <c r="CS69" i="3"/>
  <c r="CR69" i="3"/>
  <c r="DI53" i="3"/>
  <c r="DH53" i="3"/>
  <c r="DG53" i="3"/>
  <c r="DF53" i="3"/>
  <c r="DE53" i="3"/>
  <c r="DD53" i="3"/>
  <c r="DC53" i="3"/>
  <c r="DB53" i="3"/>
  <c r="CY53" i="3"/>
  <c r="CX53" i="3"/>
  <c r="CW53" i="3"/>
  <c r="CV53" i="3"/>
  <c r="CU53" i="3"/>
  <c r="CT53" i="3"/>
  <c r="CS53" i="3"/>
  <c r="CR53" i="3"/>
  <c r="DI37" i="3"/>
  <c r="DH37" i="3"/>
  <c r="DG37" i="3"/>
  <c r="DF37" i="3"/>
  <c r="DE37" i="3"/>
  <c r="DD37" i="3"/>
  <c r="DC37" i="3"/>
  <c r="DB37" i="3"/>
  <c r="CY37" i="3"/>
  <c r="CX37" i="3"/>
  <c r="CW37" i="3"/>
  <c r="CV37" i="3"/>
  <c r="CU37" i="3"/>
  <c r="CT37" i="3"/>
  <c r="CS37" i="3"/>
  <c r="CR37" i="3"/>
  <c r="DI21" i="3"/>
  <c r="DH21" i="3"/>
  <c r="DG21" i="3"/>
  <c r="DF21" i="3"/>
  <c r="DE21" i="3"/>
  <c r="DD21" i="3"/>
  <c r="DC21" i="3"/>
  <c r="DB21" i="3"/>
  <c r="CY21" i="3"/>
  <c r="CX21" i="3"/>
  <c r="CW21" i="3"/>
  <c r="CV21" i="3"/>
  <c r="CU21" i="3"/>
  <c r="CT21" i="3"/>
  <c r="CS21" i="3"/>
  <c r="CR21" i="3"/>
  <c r="DI5" i="3"/>
  <c r="DH5" i="3"/>
  <c r="DG5" i="3"/>
  <c r="DF5" i="3"/>
  <c r="DE5" i="3"/>
  <c r="DD5" i="3"/>
  <c r="DC5" i="3"/>
  <c r="DB5" i="3"/>
  <c r="BR53" i="3"/>
  <c r="BQ53" i="3"/>
  <c r="BP53" i="3"/>
  <c r="BO53" i="3"/>
  <c r="BN53" i="3"/>
  <c r="BM53" i="3"/>
  <c r="BL53" i="3"/>
  <c r="BK53" i="3"/>
  <c r="BR37" i="3"/>
  <c r="BQ37" i="3"/>
  <c r="BP37" i="3"/>
  <c r="BO37" i="3"/>
  <c r="BN37" i="3"/>
  <c r="BM37" i="3"/>
  <c r="BL37" i="3"/>
  <c r="BK37" i="3"/>
  <c r="BR21" i="3"/>
  <c r="BQ21" i="3"/>
  <c r="BP21" i="3"/>
  <c r="BO21" i="3"/>
  <c r="BN21" i="3"/>
  <c r="BM21" i="3"/>
  <c r="BL21" i="3"/>
  <c r="BK21" i="3"/>
  <c r="BH69" i="3"/>
  <c r="BG69" i="3"/>
  <c r="BF69" i="3"/>
  <c r="BE69" i="3"/>
  <c r="BD69" i="3"/>
  <c r="BC69" i="3"/>
  <c r="BB69" i="3"/>
  <c r="BA69" i="3"/>
  <c r="BH53" i="3"/>
  <c r="BG53" i="3"/>
  <c r="BF53" i="3"/>
  <c r="BE53" i="3"/>
  <c r="BD53" i="3"/>
  <c r="BC53" i="3"/>
  <c r="BB53" i="3"/>
  <c r="BA53" i="3"/>
  <c r="BH37" i="3"/>
  <c r="BG37" i="3"/>
  <c r="BF37" i="3"/>
  <c r="BE37" i="3"/>
  <c r="BD37" i="3"/>
  <c r="BC37" i="3"/>
  <c r="BB37" i="3"/>
  <c r="BA37" i="3"/>
  <c r="BA21" i="3"/>
  <c r="BH21" i="3"/>
  <c r="BG21" i="3"/>
  <c r="BF21" i="3"/>
  <c r="BE21" i="3"/>
  <c r="BD21" i="3"/>
  <c r="BC21" i="3"/>
  <c r="BB21" i="3"/>
  <c r="BR5" i="3"/>
  <c r="BQ5" i="3"/>
  <c r="BP5" i="3"/>
  <c r="BO5" i="3"/>
  <c r="BN5" i="3"/>
  <c r="BM5" i="3"/>
  <c r="BL5" i="3"/>
  <c r="BK5" i="3"/>
  <c r="AO78" i="3"/>
  <c r="AO77" i="3"/>
  <c r="AO76" i="3"/>
  <c r="AO75" i="3"/>
  <c r="AO74" i="3"/>
  <c r="AO73" i="3"/>
  <c r="AO72" i="3"/>
  <c r="AO71" i="3"/>
  <c r="AM78" i="3"/>
  <c r="AM77" i="3"/>
  <c r="AM76" i="3"/>
  <c r="AM75" i="3"/>
  <c r="AM74" i="3"/>
  <c r="AM73" i="3"/>
  <c r="AM72" i="3"/>
  <c r="AM71" i="3"/>
  <c r="AO62" i="3"/>
  <c r="AO61" i="3"/>
  <c r="AO60" i="3"/>
  <c r="AO59" i="3"/>
  <c r="AO58" i="3"/>
  <c r="AO57" i="3"/>
  <c r="AO56" i="3"/>
  <c r="AO55" i="3"/>
  <c r="AM62" i="3"/>
  <c r="AM61" i="3"/>
  <c r="AM60" i="3"/>
  <c r="AM59" i="3"/>
  <c r="AM58" i="3"/>
  <c r="AM57" i="3"/>
  <c r="AM56" i="3"/>
  <c r="AM55" i="3"/>
  <c r="AO46" i="3"/>
  <c r="AO45" i="3"/>
  <c r="AO44" i="3"/>
  <c r="AO43" i="3"/>
  <c r="AO42" i="3"/>
  <c r="AO41" i="3"/>
  <c r="AO40" i="3"/>
  <c r="AO39" i="3"/>
  <c r="AM46" i="3"/>
  <c r="AM45" i="3"/>
  <c r="AM44" i="3"/>
  <c r="AM43" i="3"/>
  <c r="AM42" i="3"/>
  <c r="AM41" i="3"/>
  <c r="AM40" i="3"/>
  <c r="AM39" i="3"/>
  <c r="AO30" i="3"/>
  <c r="AO29" i="3"/>
  <c r="AO28" i="3"/>
  <c r="AO27" i="3"/>
  <c r="AO26" i="3"/>
  <c r="AO25" i="3"/>
  <c r="AO24" i="3"/>
  <c r="AO23" i="3"/>
  <c r="AM30" i="3"/>
  <c r="AM29" i="3"/>
  <c r="AM28" i="3"/>
  <c r="AM27" i="3"/>
  <c r="AM26" i="3"/>
  <c r="AM25" i="3"/>
  <c r="AM24" i="3"/>
  <c r="AM23" i="3"/>
  <c r="AF23" i="3"/>
  <c r="BU22" i="3" s="1"/>
  <c r="AI23" i="3"/>
  <c r="AI24" i="3"/>
  <c r="AI25" i="3"/>
  <c r="AI26" i="3"/>
  <c r="AI27" i="3"/>
  <c r="AI28" i="3"/>
  <c r="AI29" i="3"/>
  <c r="AI30" i="3"/>
  <c r="AI39" i="3"/>
  <c r="AI40" i="3"/>
  <c r="AI41" i="3"/>
  <c r="AI42" i="3"/>
  <c r="AI43" i="3"/>
  <c r="AI44" i="3"/>
  <c r="AI45" i="3"/>
  <c r="AI46" i="3"/>
  <c r="AI55" i="3"/>
  <c r="AI56" i="3"/>
  <c r="AI57" i="3"/>
  <c r="AI58" i="3"/>
  <c r="AI59" i="3"/>
  <c r="AI60" i="3"/>
  <c r="AI61" i="3"/>
  <c r="AI62" i="3"/>
  <c r="AI71" i="3"/>
  <c r="AI72" i="3"/>
  <c r="AI73" i="3"/>
  <c r="AI74" i="3"/>
  <c r="AI75" i="3"/>
  <c r="AI76" i="3"/>
  <c r="AI77" i="3"/>
  <c r="AI78" i="3"/>
  <c r="GC21" i="3" l="1"/>
  <c r="GC19" i="3"/>
  <c r="GD18" i="3"/>
  <c r="GD21" i="3"/>
  <c r="DT40" i="3"/>
  <c r="DU40" i="3" s="1"/>
  <c r="DY21" i="3"/>
  <c r="DT41" i="3"/>
  <c r="DU41" i="3" s="1"/>
  <c r="DT42" i="3"/>
  <c r="DU42" i="3" s="1"/>
  <c r="DT43" i="3"/>
  <c r="DU43" i="3" s="1"/>
  <c r="DT44" i="3"/>
  <c r="DU44" i="3" s="1"/>
  <c r="DU72" i="3"/>
  <c r="DU56" i="3"/>
  <c r="DT45" i="3"/>
  <c r="DU45" i="3" s="1"/>
  <c r="DU73" i="3"/>
  <c r="DU57" i="3"/>
  <c r="DT46" i="3"/>
  <c r="DU46" i="3" s="1"/>
  <c r="DT39" i="3"/>
  <c r="DU39" i="3" s="1"/>
  <c r="DU74" i="3"/>
  <c r="DU58" i="3"/>
  <c r="DU75" i="3"/>
  <c r="DU59" i="3"/>
  <c r="DU76" i="3"/>
  <c r="DU60" i="3"/>
  <c r="DU77" i="3"/>
  <c r="DU61" i="3"/>
  <c r="DU55" i="3"/>
  <c r="DU78" i="3"/>
  <c r="DU62" i="3"/>
  <c r="DY19" i="3"/>
  <c r="FJ22" i="3"/>
  <c r="DO19" i="3"/>
  <c r="DZ7" i="3"/>
  <c r="DZ21" i="3"/>
  <c r="AZ22" i="3"/>
  <c r="AV22" i="3"/>
  <c r="AQ88" i="7"/>
  <c r="AQ64" i="7"/>
  <c r="AQ40" i="7"/>
  <c r="AQ16" i="7"/>
  <c r="U88" i="7"/>
  <c r="U64" i="7"/>
  <c r="U40" i="7"/>
  <c r="U16" i="7"/>
  <c r="E11" i="7"/>
  <c r="W9" i="7"/>
  <c r="AI24" i="7" s="1"/>
  <c r="B9" i="7"/>
  <c r="AN46" i="16"/>
  <c r="AN16" i="16"/>
  <c r="AN8" i="16"/>
  <c r="DW60" i="16"/>
  <c r="DX60" i="16" s="1"/>
  <c r="DH60" i="16"/>
  <c r="DG60" i="16"/>
  <c r="DF60" i="16"/>
  <c r="DE60" i="16"/>
  <c r="DD60" i="16"/>
  <c r="BG60" i="16" s="1"/>
  <c r="BD60" i="16"/>
  <c r="BF60" i="16" s="1"/>
  <c r="AZ60" i="16"/>
  <c r="AW60" i="16"/>
  <c r="AQ60" i="16"/>
  <c r="DW59" i="16"/>
  <c r="DX59" i="16" s="1"/>
  <c r="DH59" i="16"/>
  <c r="DG59" i="16"/>
  <c r="DF59" i="16"/>
  <c r="DD59" i="16" s="1"/>
  <c r="BG59" i="16" s="1"/>
  <c r="DE59" i="16"/>
  <c r="BD59" i="16"/>
  <c r="BF59" i="16" s="1"/>
  <c r="AZ59" i="16"/>
  <c r="AW59" i="16"/>
  <c r="AQ59" i="16"/>
  <c r="DW58" i="16"/>
  <c r="DX58" i="16" s="1"/>
  <c r="DH58" i="16"/>
  <c r="DG58" i="16"/>
  <c r="DF58" i="16"/>
  <c r="DD58" i="16" s="1"/>
  <c r="BG58" i="16" s="1"/>
  <c r="DE58" i="16"/>
  <c r="BF58" i="16"/>
  <c r="BD58" i="16"/>
  <c r="AZ58" i="16"/>
  <c r="AW58" i="16"/>
  <c r="AQ58" i="16"/>
  <c r="DW57" i="16"/>
  <c r="DX57" i="16" s="1"/>
  <c r="DH57" i="16"/>
  <c r="DD57" i="16" s="1"/>
  <c r="BG57" i="16" s="1"/>
  <c r="DG57" i="16"/>
  <c r="DF57" i="16"/>
  <c r="DE57" i="16"/>
  <c r="BF57" i="16"/>
  <c r="BD57" i="16"/>
  <c r="AZ57" i="16"/>
  <c r="AW57" i="16"/>
  <c r="AQ57" i="16"/>
  <c r="DW56" i="16"/>
  <c r="DX56" i="16" s="1"/>
  <c r="DH56" i="16"/>
  <c r="DD56" i="16" s="1"/>
  <c r="BG56" i="16" s="1"/>
  <c r="DG56" i="16"/>
  <c r="DF56" i="16"/>
  <c r="DE56" i="16"/>
  <c r="BD56" i="16"/>
  <c r="BF56" i="16" s="1"/>
  <c r="AZ56" i="16"/>
  <c r="AW56" i="16"/>
  <c r="AQ56" i="16"/>
  <c r="DW55" i="16"/>
  <c r="DX55" i="16" s="1"/>
  <c r="DH55" i="16"/>
  <c r="DG55" i="16"/>
  <c r="DF55" i="16"/>
  <c r="DE55" i="16"/>
  <c r="DD55" i="16" s="1"/>
  <c r="BG55" i="16" s="1"/>
  <c r="BD55" i="16"/>
  <c r="BF55" i="16" s="1"/>
  <c r="AZ55" i="16"/>
  <c r="AW55" i="16"/>
  <c r="AQ55" i="16"/>
  <c r="DH54" i="16"/>
  <c r="DG54" i="16"/>
  <c r="DF54" i="16"/>
  <c r="DE54" i="16"/>
  <c r="DD54" i="16" s="1"/>
  <c r="BG54" i="16" s="1"/>
  <c r="BD54" i="16"/>
  <c r="BF54" i="16" s="1"/>
  <c r="AZ54" i="16"/>
  <c r="AW54" i="16"/>
  <c r="AQ54" i="16"/>
  <c r="DW53" i="16"/>
  <c r="DX53" i="16" s="1"/>
  <c r="DH53" i="16"/>
  <c r="DG53" i="16"/>
  <c r="DF53" i="16"/>
  <c r="DE53" i="16"/>
  <c r="DD53" i="16" s="1"/>
  <c r="BG53" i="16" s="1"/>
  <c r="BD53" i="16"/>
  <c r="BF53" i="16" s="1"/>
  <c r="AZ53" i="16"/>
  <c r="AW53" i="16"/>
  <c r="AQ53" i="16"/>
  <c r="DW52" i="16"/>
  <c r="DX52" i="16" s="1"/>
  <c r="DH52" i="16"/>
  <c r="DG52" i="16"/>
  <c r="DF52" i="16"/>
  <c r="DE52" i="16"/>
  <c r="DD52" i="16" s="1"/>
  <c r="BG52" i="16" s="1"/>
  <c r="BD52" i="16"/>
  <c r="BF52" i="16" s="1"/>
  <c r="AZ52" i="16"/>
  <c r="AW52" i="16"/>
  <c r="AQ52" i="16"/>
  <c r="DW51" i="16"/>
  <c r="DX51" i="16" s="1"/>
  <c r="DH51" i="16"/>
  <c r="DG51" i="16"/>
  <c r="DF51" i="16"/>
  <c r="DE51" i="16"/>
  <c r="DD51" i="16" s="1"/>
  <c r="BG51" i="16" s="1"/>
  <c r="BD51" i="16"/>
  <c r="BF51" i="16" s="1"/>
  <c r="AZ51" i="16"/>
  <c r="AW51" i="16"/>
  <c r="AQ51" i="16"/>
  <c r="DW50" i="16"/>
  <c r="DX50" i="16" s="1"/>
  <c r="DH50" i="16"/>
  <c r="DG50" i="16"/>
  <c r="DF50" i="16"/>
  <c r="DE50" i="16"/>
  <c r="BF50" i="16"/>
  <c r="BD50" i="16"/>
  <c r="AZ50" i="16"/>
  <c r="AW50" i="16"/>
  <c r="AQ50" i="16"/>
  <c r="DH49" i="16"/>
  <c r="DG49" i="16"/>
  <c r="DF49" i="16"/>
  <c r="DE49" i="16"/>
  <c r="DD49" i="16"/>
  <c r="BG49" i="16" s="1"/>
  <c r="BF49" i="16"/>
  <c r="BD49" i="16"/>
  <c r="AZ49" i="16"/>
  <c r="AW49" i="16"/>
  <c r="AQ49" i="16"/>
  <c r="DW44" i="16"/>
  <c r="DX44" i="16" s="1"/>
  <c r="DU44" i="16"/>
  <c r="DT44" i="16"/>
  <c r="DS44" i="16"/>
  <c r="DR44" i="16"/>
  <c r="DQ44" i="16"/>
  <c r="DP44" i="16"/>
  <c r="DO44" i="16"/>
  <c r="DN44" i="16"/>
  <c r="DM44" i="16"/>
  <c r="DL44" i="16"/>
  <c r="DK44" i="16"/>
  <c r="DJ44" i="16"/>
  <c r="DI44" i="16"/>
  <c r="DH44" i="16"/>
  <c r="DG44" i="16"/>
  <c r="DF44" i="16"/>
  <c r="DE44" i="16"/>
  <c r="DD44" i="16" s="1"/>
  <c r="CX44" i="16" s="1"/>
  <c r="CU44" i="16"/>
  <c r="CW44" i="16" s="1"/>
  <c r="CF78" i="3" s="1"/>
  <c r="CR44" i="16"/>
  <c r="CT44" i="16" s="1"/>
  <c r="CD78" i="3" s="1"/>
  <c r="CN44" i="16"/>
  <c r="CP44" i="16" s="1"/>
  <c r="CE78" i="3" s="1"/>
  <c r="CK44" i="16"/>
  <c r="CM44" i="16" s="1"/>
  <c r="CF44" i="16"/>
  <c r="CH44" i="16" s="1"/>
  <c r="CB44" i="16"/>
  <c r="CD44" i="16" s="1"/>
  <c r="BY44" i="16"/>
  <c r="CA44" i="16" s="1"/>
  <c r="BV44" i="16"/>
  <c r="BX44" i="16" s="1"/>
  <c r="BU44" i="16"/>
  <c r="BS44" i="16"/>
  <c r="BP44" i="16"/>
  <c r="BR44" i="16" s="1"/>
  <c r="BL44" i="16"/>
  <c r="BJ44" i="16"/>
  <c r="BG44" i="16"/>
  <c r="BI44" i="16" s="1"/>
  <c r="BD44" i="16"/>
  <c r="BF44" i="16" s="1"/>
  <c r="BA44" i="16"/>
  <c r="BC44" i="16" s="1"/>
  <c r="AX44" i="16"/>
  <c r="AZ44" i="16" s="1"/>
  <c r="AU44" i="16"/>
  <c r="AW44" i="16" s="1"/>
  <c r="AR44" i="16"/>
  <c r="AO44" i="16"/>
  <c r="AQ44" i="16" s="1"/>
  <c r="CJ78" i="3" s="1"/>
  <c r="FT78" i="3" s="1"/>
  <c r="AN44" i="16"/>
  <c r="DW43" i="16"/>
  <c r="DX43" i="16" s="1"/>
  <c r="DU43" i="16"/>
  <c r="DT43" i="16"/>
  <c r="DS43" i="16"/>
  <c r="DR43" i="16"/>
  <c r="DQ43" i="16"/>
  <c r="DP43" i="16"/>
  <c r="DO43" i="16"/>
  <c r="DN43" i="16"/>
  <c r="DM43" i="16"/>
  <c r="DL43" i="16"/>
  <c r="DK43" i="16"/>
  <c r="DJ43" i="16"/>
  <c r="DI43" i="16"/>
  <c r="DH43" i="16"/>
  <c r="DG43" i="16"/>
  <c r="DF43" i="16"/>
  <c r="DE43" i="16"/>
  <c r="DD43" i="16" s="1"/>
  <c r="CX43" i="16" s="1"/>
  <c r="CU43" i="16"/>
  <c r="CW43" i="16" s="1"/>
  <c r="CF77" i="3" s="1"/>
  <c r="CR43" i="16"/>
  <c r="CT43" i="16" s="1"/>
  <c r="CD77" i="3" s="1"/>
  <c r="CN43" i="16"/>
  <c r="CP43" i="16" s="1"/>
  <c r="CE77" i="3" s="1"/>
  <c r="CK43" i="16"/>
  <c r="CM43" i="16" s="1"/>
  <c r="CF43" i="16"/>
  <c r="CH43" i="16" s="1"/>
  <c r="CD43" i="16"/>
  <c r="CB43" i="16"/>
  <c r="CA43" i="16"/>
  <c r="BY43" i="16"/>
  <c r="BV43" i="16"/>
  <c r="BX43" i="16" s="1"/>
  <c r="BU43" i="16"/>
  <c r="CE43" i="16" s="1"/>
  <c r="BS43" i="16"/>
  <c r="BR43" i="16"/>
  <c r="BP43" i="16"/>
  <c r="BL43" i="16"/>
  <c r="BJ43" i="16"/>
  <c r="BG43" i="16"/>
  <c r="BI43" i="16" s="1"/>
  <c r="BD43" i="16"/>
  <c r="BF43" i="16" s="1"/>
  <c r="BC43" i="16"/>
  <c r="BA43" i="16"/>
  <c r="AX43" i="16"/>
  <c r="AZ43" i="16" s="1"/>
  <c r="BM43" i="16" s="1"/>
  <c r="AU43" i="16"/>
  <c r="AW43" i="16" s="1"/>
  <c r="AR43" i="16"/>
  <c r="AO43" i="16"/>
  <c r="AQ43" i="16" s="1"/>
  <c r="CJ77" i="3" s="1"/>
  <c r="FT77" i="3" s="1"/>
  <c r="AN43" i="16"/>
  <c r="DW42" i="16"/>
  <c r="DX42" i="16" s="1"/>
  <c r="DU42" i="16"/>
  <c r="DT42" i="16"/>
  <c r="DS42" i="16"/>
  <c r="DR42" i="16"/>
  <c r="DQ42" i="16"/>
  <c r="DP42" i="16"/>
  <c r="DO42" i="16"/>
  <c r="DN42" i="16"/>
  <c r="DM42" i="16"/>
  <c r="DL42" i="16"/>
  <c r="DK42" i="16"/>
  <c r="DD42" i="16" s="1"/>
  <c r="CX42" i="16" s="1"/>
  <c r="DJ42" i="16"/>
  <c r="DI42" i="16"/>
  <c r="DH42" i="16"/>
  <c r="DG42" i="16"/>
  <c r="DF42" i="16"/>
  <c r="DE42" i="16"/>
  <c r="CU42" i="16"/>
  <c r="CW42" i="16" s="1"/>
  <c r="CF76" i="3" s="1"/>
  <c r="CR42" i="16"/>
  <c r="CT42" i="16" s="1"/>
  <c r="CD76" i="3" s="1"/>
  <c r="CN42" i="16"/>
  <c r="CP42" i="16" s="1"/>
  <c r="CE76" i="3" s="1"/>
  <c r="CK42" i="16"/>
  <c r="CM42" i="16" s="1"/>
  <c r="CF42" i="16"/>
  <c r="CH42" i="16" s="1"/>
  <c r="CD42" i="16"/>
  <c r="CB42" i="16"/>
  <c r="CA42" i="16"/>
  <c r="BY42" i="16"/>
  <c r="BV42" i="16"/>
  <c r="BX42" i="16" s="1"/>
  <c r="BS42" i="16"/>
  <c r="BU42" i="16" s="1"/>
  <c r="BP42" i="16"/>
  <c r="BR42" i="16" s="1"/>
  <c r="BL42" i="16"/>
  <c r="BJ42" i="16"/>
  <c r="BG42" i="16"/>
  <c r="BI42" i="16" s="1"/>
  <c r="BD42" i="16"/>
  <c r="BF42" i="16" s="1"/>
  <c r="BA42" i="16"/>
  <c r="BC42" i="16" s="1"/>
  <c r="AX42" i="16"/>
  <c r="AZ42" i="16" s="1"/>
  <c r="AU42" i="16"/>
  <c r="AW42" i="16" s="1"/>
  <c r="AR42" i="16"/>
  <c r="AO42" i="16"/>
  <c r="AQ42" i="16" s="1"/>
  <c r="CJ76" i="3" s="1"/>
  <c r="FT76" i="3" s="1"/>
  <c r="AN42" i="16"/>
  <c r="DW41" i="16"/>
  <c r="DX41" i="16" s="1"/>
  <c r="DU41" i="16"/>
  <c r="DT41" i="16"/>
  <c r="DS41" i="16"/>
  <c r="DR41" i="16"/>
  <c r="DQ41" i="16"/>
  <c r="DP41" i="16"/>
  <c r="DO41" i="16"/>
  <c r="DN41" i="16"/>
  <c r="DM41" i="16"/>
  <c r="DL41" i="16"/>
  <c r="DK41" i="16"/>
  <c r="DJ41" i="16"/>
  <c r="DI41" i="16"/>
  <c r="DH41" i="16"/>
  <c r="DG41" i="16"/>
  <c r="DF41" i="16"/>
  <c r="DE41" i="16"/>
  <c r="DD41" i="16"/>
  <c r="CX41" i="16" s="1"/>
  <c r="CU41" i="16"/>
  <c r="CW41" i="16" s="1"/>
  <c r="CF75" i="3" s="1"/>
  <c r="CR41" i="16"/>
  <c r="CT41" i="16" s="1"/>
  <c r="CD75" i="3" s="1"/>
  <c r="CN41" i="16"/>
  <c r="CP41" i="16" s="1"/>
  <c r="CE75" i="3" s="1"/>
  <c r="CK41" i="16"/>
  <c r="CM41" i="16" s="1"/>
  <c r="CF41" i="16"/>
  <c r="CH41" i="16" s="1"/>
  <c r="CD41" i="16"/>
  <c r="CB41" i="16"/>
  <c r="CA41" i="16"/>
  <c r="BY41" i="16"/>
  <c r="BV41" i="16"/>
  <c r="BX41" i="16" s="1"/>
  <c r="BS41" i="16"/>
  <c r="BU41" i="16" s="1"/>
  <c r="BR41" i="16"/>
  <c r="CE41" i="16" s="1"/>
  <c r="BP41" i="16"/>
  <c r="BL41" i="16"/>
  <c r="BJ41" i="16"/>
  <c r="BI41" i="16"/>
  <c r="BG41" i="16"/>
  <c r="BD41" i="16"/>
  <c r="BF41" i="16" s="1"/>
  <c r="BA41" i="16"/>
  <c r="BC41" i="16" s="1"/>
  <c r="AZ41" i="16"/>
  <c r="BM41" i="16" s="1"/>
  <c r="AX41" i="16"/>
  <c r="AU41" i="16"/>
  <c r="AW41" i="16" s="1"/>
  <c r="AR41" i="16"/>
  <c r="AO41" i="16"/>
  <c r="AQ41" i="16" s="1"/>
  <c r="CJ75" i="3" s="1"/>
  <c r="FT75" i="3" s="1"/>
  <c r="AN41" i="16"/>
  <c r="DU40" i="16"/>
  <c r="DT40" i="16"/>
  <c r="DS40" i="16"/>
  <c r="DR40" i="16"/>
  <c r="DQ40" i="16"/>
  <c r="DP40" i="16"/>
  <c r="DO40" i="16"/>
  <c r="DN40" i="16"/>
  <c r="DM40" i="16"/>
  <c r="DL40" i="16"/>
  <c r="DK40" i="16"/>
  <c r="DJ40" i="16"/>
  <c r="DI40" i="16"/>
  <c r="DH40" i="16"/>
  <c r="DG40" i="16"/>
  <c r="DD40" i="16" s="1"/>
  <c r="CX40" i="16" s="1"/>
  <c r="DF40" i="16"/>
  <c r="DE40" i="16"/>
  <c r="CU40" i="16"/>
  <c r="CW40" i="16" s="1"/>
  <c r="CF74" i="3" s="1"/>
  <c r="CR40" i="16"/>
  <c r="CT40" i="16" s="1"/>
  <c r="CD74" i="3" s="1"/>
  <c r="CN40" i="16"/>
  <c r="CP40" i="16" s="1"/>
  <c r="CE74" i="3" s="1"/>
  <c r="CK40" i="16"/>
  <c r="CM40" i="16" s="1"/>
  <c r="CH40" i="16"/>
  <c r="CF40" i="16"/>
  <c r="CB40" i="16"/>
  <c r="CD40" i="16" s="1"/>
  <c r="CA40" i="16"/>
  <c r="BY40" i="16"/>
  <c r="BX40" i="16"/>
  <c r="BV40" i="16"/>
  <c r="BS40" i="16"/>
  <c r="BU40" i="16" s="1"/>
  <c r="BP40" i="16"/>
  <c r="BR40" i="16" s="1"/>
  <c r="BJ40" i="16"/>
  <c r="BL40" i="16" s="1"/>
  <c r="BI40" i="16"/>
  <c r="BG40" i="16"/>
  <c r="BD40" i="16"/>
  <c r="BF40" i="16" s="1"/>
  <c r="BA40" i="16"/>
  <c r="BC40" i="16" s="1"/>
  <c r="AX40" i="16"/>
  <c r="AZ40" i="16" s="1"/>
  <c r="AU40" i="16"/>
  <c r="AW40" i="16" s="1"/>
  <c r="AR40" i="16"/>
  <c r="AO40" i="16"/>
  <c r="AQ40" i="16" s="1"/>
  <c r="CJ74" i="3" s="1"/>
  <c r="FT74" i="3" s="1"/>
  <c r="AN40" i="16"/>
  <c r="DW39" i="16"/>
  <c r="DX39" i="16" s="1"/>
  <c r="DU39" i="16"/>
  <c r="DT39" i="16"/>
  <c r="DS39" i="16"/>
  <c r="DR39" i="16"/>
  <c r="DQ39" i="16"/>
  <c r="DP39" i="16"/>
  <c r="DO39" i="16"/>
  <c r="DN39" i="16"/>
  <c r="DM39" i="16"/>
  <c r="DL39" i="16"/>
  <c r="DK39" i="16"/>
  <c r="DJ39" i="16"/>
  <c r="DI39" i="16"/>
  <c r="DH39" i="16"/>
  <c r="DG39" i="16"/>
  <c r="DD39" i="16" s="1"/>
  <c r="CX39" i="16" s="1"/>
  <c r="DF39" i="16"/>
  <c r="DE39" i="16"/>
  <c r="CU39" i="16"/>
  <c r="CW39" i="16" s="1"/>
  <c r="CF73" i="3" s="1"/>
  <c r="CR39" i="16"/>
  <c r="CT39" i="16" s="1"/>
  <c r="CD73" i="3" s="1"/>
  <c r="CN39" i="16"/>
  <c r="CP39" i="16" s="1"/>
  <c r="CE73" i="3" s="1"/>
  <c r="CK39" i="16"/>
  <c r="CM39" i="16" s="1"/>
  <c r="CH39" i="16"/>
  <c r="CF39" i="16"/>
  <c r="CB39" i="16"/>
  <c r="CD39" i="16" s="1"/>
  <c r="BY39" i="16"/>
  <c r="CA39" i="16" s="1"/>
  <c r="BX39" i="16"/>
  <c r="BV39" i="16"/>
  <c r="BS39" i="16"/>
  <c r="BU39" i="16" s="1"/>
  <c r="BP39" i="16"/>
  <c r="BR39" i="16" s="1"/>
  <c r="BJ39" i="16"/>
  <c r="BL39" i="16" s="1"/>
  <c r="BG39" i="16"/>
  <c r="BI39" i="16" s="1"/>
  <c r="BF39" i="16"/>
  <c r="BD39" i="16"/>
  <c r="BA39" i="16"/>
  <c r="BC39" i="16" s="1"/>
  <c r="AX39" i="16"/>
  <c r="AZ39" i="16" s="1"/>
  <c r="AU39" i="16"/>
  <c r="AW39" i="16" s="1"/>
  <c r="AR39" i="16"/>
  <c r="AO39" i="16"/>
  <c r="AQ39" i="16" s="1"/>
  <c r="CJ73" i="3" s="1"/>
  <c r="FT73" i="3" s="1"/>
  <c r="AN39" i="16"/>
  <c r="DW38" i="16"/>
  <c r="DX38" i="16" s="1"/>
  <c r="DU38" i="16"/>
  <c r="DT38" i="16"/>
  <c r="DS38" i="16"/>
  <c r="DR38" i="16"/>
  <c r="DQ38" i="16"/>
  <c r="DP38" i="16"/>
  <c r="DO38" i="16"/>
  <c r="DN38" i="16"/>
  <c r="DM38" i="16"/>
  <c r="DL38" i="16"/>
  <c r="DK38" i="16"/>
  <c r="DJ38" i="16"/>
  <c r="DI38" i="16"/>
  <c r="DH38" i="16"/>
  <c r="DG38" i="16"/>
  <c r="DF38" i="16"/>
  <c r="DE38" i="16"/>
  <c r="CU38" i="16"/>
  <c r="CW38" i="16" s="1"/>
  <c r="CF72" i="3" s="1"/>
  <c r="CR38" i="16"/>
  <c r="CT38" i="16" s="1"/>
  <c r="CD72" i="3" s="1"/>
  <c r="CP38" i="16"/>
  <c r="CE72" i="3" s="1"/>
  <c r="CN38" i="16"/>
  <c r="CK38" i="16"/>
  <c r="CM38" i="16" s="1"/>
  <c r="CH38" i="16"/>
  <c r="CF38" i="16"/>
  <c r="CD38" i="16"/>
  <c r="CB38" i="16"/>
  <c r="CA38" i="16"/>
  <c r="BY38" i="16"/>
  <c r="BX38" i="16"/>
  <c r="CE38" i="16" s="1"/>
  <c r="BV38" i="16"/>
  <c r="BU38" i="16"/>
  <c r="BS38" i="16"/>
  <c r="BR38" i="16"/>
  <c r="BP38" i="16"/>
  <c r="BL38" i="16"/>
  <c r="BJ38" i="16"/>
  <c r="BI38" i="16"/>
  <c r="BG38" i="16"/>
  <c r="BF38" i="16"/>
  <c r="BD38" i="16"/>
  <c r="BC38" i="16"/>
  <c r="BA38" i="16"/>
  <c r="AZ38" i="16"/>
  <c r="AX38" i="16"/>
  <c r="AU38" i="16"/>
  <c r="AW38" i="16" s="1"/>
  <c r="AR38" i="16"/>
  <c r="AO38" i="16"/>
  <c r="AQ38" i="16" s="1"/>
  <c r="CJ72" i="3" s="1"/>
  <c r="FT72" i="3" s="1"/>
  <c r="AN38" i="16"/>
  <c r="DU37" i="16"/>
  <c r="DT37" i="16"/>
  <c r="DS37" i="16"/>
  <c r="DR37" i="16"/>
  <c r="DQ37" i="16"/>
  <c r="DP37" i="16"/>
  <c r="DO37" i="16"/>
  <c r="DN37" i="16"/>
  <c r="DM37" i="16"/>
  <c r="DL37" i="16"/>
  <c r="DK37" i="16"/>
  <c r="DJ37" i="16"/>
  <c r="DI37" i="16"/>
  <c r="DH37" i="16"/>
  <c r="DG37" i="16"/>
  <c r="DF37" i="16"/>
  <c r="DE37" i="16"/>
  <c r="CU37" i="16"/>
  <c r="CW37" i="16" s="1"/>
  <c r="CF71" i="3" s="1"/>
  <c r="CR37" i="16"/>
  <c r="CT37" i="16" s="1"/>
  <c r="CD71" i="3" s="1"/>
  <c r="CN37" i="16"/>
  <c r="CP37" i="16" s="1"/>
  <c r="CE71" i="3" s="1"/>
  <c r="CM37" i="16"/>
  <c r="CK37" i="16"/>
  <c r="CH37" i="16"/>
  <c r="CF37" i="16"/>
  <c r="CD37" i="16"/>
  <c r="CB37" i="16"/>
  <c r="CA37" i="16"/>
  <c r="BY37" i="16"/>
  <c r="BX37" i="16"/>
  <c r="BV37" i="16"/>
  <c r="BU37" i="16"/>
  <c r="BS37" i="16"/>
  <c r="BR37" i="16"/>
  <c r="BP37" i="16"/>
  <c r="BL37" i="16"/>
  <c r="BJ37" i="16"/>
  <c r="BI37" i="16"/>
  <c r="BG37" i="16"/>
  <c r="BF37" i="16"/>
  <c r="BD37" i="16"/>
  <c r="BC37" i="16"/>
  <c r="BA37" i="16"/>
  <c r="AZ37" i="16"/>
  <c r="AX37" i="16"/>
  <c r="AW37" i="16"/>
  <c r="AU37" i="16"/>
  <c r="AR37" i="16"/>
  <c r="AT37" i="16" s="1"/>
  <c r="CK71" i="3" s="1"/>
  <c r="FU71" i="3" s="1"/>
  <c r="AQ37" i="16"/>
  <c r="CJ71" i="3" s="1"/>
  <c r="FT71" i="3" s="1"/>
  <c r="AO37" i="16"/>
  <c r="AN37" i="16"/>
  <c r="DW31" i="16"/>
  <c r="DX31" i="16" s="1"/>
  <c r="DU31" i="16"/>
  <c r="DT31" i="16"/>
  <c r="DS31" i="16"/>
  <c r="DR31" i="16"/>
  <c r="DQ31" i="16"/>
  <c r="DP31" i="16"/>
  <c r="DO31" i="16"/>
  <c r="DN31" i="16"/>
  <c r="DM31" i="16"/>
  <c r="DL31" i="16"/>
  <c r="DK31" i="16"/>
  <c r="DJ31" i="16"/>
  <c r="DI31" i="16"/>
  <c r="DH31" i="16"/>
  <c r="DG31" i="16"/>
  <c r="DF31" i="16"/>
  <c r="DE31" i="16"/>
  <c r="DD31" i="16" s="1"/>
  <c r="CX31" i="16" s="1"/>
  <c r="CU31" i="16"/>
  <c r="CW31" i="16" s="1"/>
  <c r="CT31" i="16"/>
  <c r="CR31" i="16"/>
  <c r="CN31" i="16"/>
  <c r="CP31" i="16" s="1"/>
  <c r="CM31" i="16"/>
  <c r="CK31" i="16"/>
  <c r="CF31" i="16"/>
  <c r="CH31" i="16" s="1"/>
  <c r="CB31" i="16"/>
  <c r="CD31" i="16" s="1"/>
  <c r="CA31" i="16"/>
  <c r="BY31" i="16"/>
  <c r="BV31" i="16"/>
  <c r="BX31" i="16" s="1"/>
  <c r="BU31" i="16"/>
  <c r="BS31" i="16"/>
  <c r="BP31" i="16"/>
  <c r="BR31" i="16" s="1"/>
  <c r="BJ31" i="16"/>
  <c r="BL31" i="16" s="1"/>
  <c r="BI31" i="16"/>
  <c r="BG31" i="16"/>
  <c r="BF31" i="16"/>
  <c r="BD31" i="16"/>
  <c r="BC31" i="16"/>
  <c r="BA31" i="16"/>
  <c r="AZ31" i="16"/>
  <c r="AX31" i="16"/>
  <c r="AW31" i="16"/>
  <c r="AU31" i="16"/>
  <c r="AR31" i="16"/>
  <c r="AT31" i="16" s="1"/>
  <c r="DW30" i="16"/>
  <c r="DX30" i="16" s="1"/>
  <c r="DU30" i="16"/>
  <c r="DT30" i="16"/>
  <c r="DS30" i="16"/>
  <c r="DR30" i="16"/>
  <c r="DQ30" i="16"/>
  <c r="DP30" i="16"/>
  <c r="DO30" i="16"/>
  <c r="DN30" i="16"/>
  <c r="DM30" i="16"/>
  <c r="DL30" i="16"/>
  <c r="DK30" i="16"/>
  <c r="DJ30" i="16"/>
  <c r="DI30" i="16"/>
  <c r="DH30" i="16"/>
  <c r="DG30" i="16"/>
  <c r="DF30" i="16"/>
  <c r="DE30" i="16"/>
  <c r="DD30" i="16" s="1"/>
  <c r="CX30" i="16" s="1"/>
  <c r="CW30" i="16"/>
  <c r="CU30" i="16"/>
  <c r="CT30" i="16"/>
  <c r="CR30" i="16"/>
  <c r="CP30" i="16"/>
  <c r="CN30" i="16"/>
  <c r="CM30" i="16"/>
  <c r="CK30" i="16"/>
  <c r="CF30" i="16"/>
  <c r="CH30" i="16" s="1"/>
  <c r="CB30" i="16"/>
  <c r="CD30" i="16" s="1"/>
  <c r="CA30" i="16"/>
  <c r="BY30" i="16"/>
  <c r="BX30" i="16"/>
  <c r="BV30" i="16"/>
  <c r="BU30" i="16"/>
  <c r="BS30" i="16"/>
  <c r="BP30" i="16"/>
  <c r="BR30" i="16" s="1"/>
  <c r="BJ30" i="16"/>
  <c r="BL30" i="16" s="1"/>
  <c r="BI30" i="16"/>
  <c r="BG30" i="16"/>
  <c r="BF30" i="16"/>
  <c r="BD30" i="16"/>
  <c r="BC30" i="16"/>
  <c r="BA30" i="16"/>
  <c r="AX30" i="16"/>
  <c r="AZ30" i="16" s="1"/>
  <c r="AU30" i="16"/>
  <c r="AW30" i="16" s="1"/>
  <c r="AR30" i="16"/>
  <c r="AT30" i="16" s="1"/>
  <c r="DW29" i="16"/>
  <c r="DX29" i="16" s="1"/>
  <c r="DU29" i="16"/>
  <c r="DT29" i="16"/>
  <c r="DS29" i="16"/>
  <c r="DR29" i="16"/>
  <c r="DQ29" i="16"/>
  <c r="DP29" i="16"/>
  <c r="DO29" i="16"/>
  <c r="DN29" i="16"/>
  <c r="DM29" i="16"/>
  <c r="DL29" i="16"/>
  <c r="DK29" i="16"/>
  <c r="DJ29" i="16"/>
  <c r="DI29" i="16"/>
  <c r="DH29" i="16"/>
  <c r="DG29" i="16"/>
  <c r="DF29" i="16"/>
  <c r="DE29" i="16"/>
  <c r="DD29" i="16" s="1"/>
  <c r="CX29" i="16" s="1"/>
  <c r="CW29" i="16"/>
  <c r="CU29" i="16"/>
  <c r="CR29" i="16"/>
  <c r="CT29" i="16" s="1"/>
  <c r="CP29" i="16"/>
  <c r="CN29" i="16"/>
  <c r="CK29" i="16"/>
  <c r="CM29" i="16" s="1"/>
  <c r="CH29" i="16"/>
  <c r="CF29" i="16"/>
  <c r="CB29" i="16"/>
  <c r="CD29" i="16" s="1"/>
  <c r="CA29" i="16"/>
  <c r="BY29" i="16"/>
  <c r="BX29" i="16"/>
  <c r="BV29" i="16"/>
  <c r="BU29" i="16"/>
  <c r="BS29" i="16"/>
  <c r="BP29" i="16"/>
  <c r="BR29" i="16" s="1"/>
  <c r="BJ29" i="16"/>
  <c r="BL29" i="16" s="1"/>
  <c r="BI29" i="16"/>
  <c r="BG29" i="16"/>
  <c r="BF29" i="16"/>
  <c r="BD29" i="16"/>
  <c r="BC29" i="16"/>
  <c r="BA29" i="16"/>
  <c r="AX29" i="16"/>
  <c r="AZ29" i="16" s="1"/>
  <c r="AU29" i="16"/>
  <c r="AW29" i="16" s="1"/>
  <c r="AR29" i="16"/>
  <c r="AT29" i="16" s="1"/>
  <c r="DU28" i="16"/>
  <c r="DT28" i="16"/>
  <c r="DS28" i="16"/>
  <c r="DR28" i="16"/>
  <c r="DQ28" i="16"/>
  <c r="DP28" i="16"/>
  <c r="DO28" i="16"/>
  <c r="DN28" i="16"/>
  <c r="DM28" i="16"/>
  <c r="DL28" i="16"/>
  <c r="DK28" i="16"/>
  <c r="DD28" i="16" s="1"/>
  <c r="CX28" i="16" s="1"/>
  <c r="DJ28" i="16"/>
  <c r="DI28" i="16"/>
  <c r="DH28" i="16"/>
  <c r="DG28" i="16"/>
  <c r="DF28" i="16"/>
  <c r="DE28" i="16"/>
  <c r="CU28" i="16"/>
  <c r="CW28" i="16" s="1"/>
  <c r="CT28" i="16"/>
  <c r="CR28" i="16"/>
  <c r="CN28" i="16"/>
  <c r="CP28" i="16" s="1"/>
  <c r="CK28" i="16"/>
  <c r="CM28" i="16" s="1"/>
  <c r="CH28" i="16"/>
  <c r="CF28" i="16"/>
  <c r="CD28" i="16"/>
  <c r="CB28" i="16"/>
  <c r="CA28" i="16"/>
  <c r="BY28" i="16"/>
  <c r="BV28" i="16"/>
  <c r="BX28" i="16" s="1"/>
  <c r="BS28" i="16"/>
  <c r="BU28" i="16" s="1"/>
  <c r="BR28" i="16"/>
  <c r="CE28" i="16" s="1"/>
  <c r="BP28" i="16"/>
  <c r="BL28" i="16"/>
  <c r="BJ28" i="16"/>
  <c r="BI28" i="16"/>
  <c r="BG28" i="16"/>
  <c r="BD28" i="16"/>
  <c r="BF28" i="16" s="1"/>
  <c r="BA28" i="16"/>
  <c r="BC28" i="16" s="1"/>
  <c r="AZ28" i="16"/>
  <c r="BM28" i="16" s="1"/>
  <c r="AX28" i="16"/>
  <c r="AU28" i="16"/>
  <c r="AW28" i="16" s="1"/>
  <c r="AT28" i="16"/>
  <c r="AR28" i="16"/>
  <c r="DW27" i="16"/>
  <c r="DX27" i="16" s="1"/>
  <c r="DU27" i="16"/>
  <c r="DT27" i="16"/>
  <c r="DS27" i="16"/>
  <c r="DR27" i="16"/>
  <c r="DQ27" i="16"/>
  <c r="DP27" i="16"/>
  <c r="DO27" i="16"/>
  <c r="DN27" i="16"/>
  <c r="DM27" i="16"/>
  <c r="DL27" i="16"/>
  <c r="DK27" i="16"/>
  <c r="DJ27" i="16"/>
  <c r="DI27" i="16"/>
  <c r="DH27" i="16"/>
  <c r="DG27" i="16"/>
  <c r="DF27" i="16"/>
  <c r="DE27" i="16"/>
  <c r="DD27" i="16" s="1"/>
  <c r="CX27" i="16" s="1"/>
  <c r="CW27" i="16"/>
  <c r="CU27" i="16"/>
  <c r="CR27" i="16"/>
  <c r="CT27" i="16" s="1"/>
  <c r="CN27" i="16"/>
  <c r="CP27" i="16" s="1"/>
  <c r="CM27" i="16"/>
  <c r="CK27" i="16"/>
  <c r="CF27" i="16"/>
  <c r="CH27" i="16" s="1"/>
  <c r="CB27" i="16"/>
  <c r="CD27" i="16" s="1"/>
  <c r="CA27" i="16"/>
  <c r="BY27" i="16"/>
  <c r="BV27" i="16"/>
  <c r="BX27" i="16" s="1"/>
  <c r="CE27" i="16" s="1"/>
  <c r="BU27" i="16"/>
  <c r="BS27" i="16"/>
  <c r="BR27" i="16"/>
  <c r="BP27" i="16"/>
  <c r="BJ27" i="16"/>
  <c r="BL27" i="16" s="1"/>
  <c r="BI27" i="16"/>
  <c r="BG27" i="16"/>
  <c r="BD27" i="16"/>
  <c r="BF27" i="16" s="1"/>
  <c r="BC27" i="16"/>
  <c r="BA27" i="16"/>
  <c r="AZ27" i="16"/>
  <c r="AX27" i="16"/>
  <c r="AW27" i="16"/>
  <c r="AU27" i="16"/>
  <c r="AT27" i="16"/>
  <c r="AR27" i="16"/>
  <c r="DW26" i="16"/>
  <c r="DX26" i="16" s="1"/>
  <c r="DU26" i="16"/>
  <c r="DT26" i="16"/>
  <c r="DS26" i="16"/>
  <c r="DR26" i="16"/>
  <c r="DQ26" i="16"/>
  <c r="DP26" i="16"/>
  <c r="DO26" i="16"/>
  <c r="DN26" i="16"/>
  <c r="DM26" i="16"/>
  <c r="DL26" i="16"/>
  <c r="DK26" i="16"/>
  <c r="DJ26" i="16"/>
  <c r="DI26" i="16"/>
  <c r="DH26" i="16"/>
  <c r="DG26" i="16"/>
  <c r="DF26" i="16"/>
  <c r="DE26" i="16"/>
  <c r="DD26" i="16" s="1"/>
  <c r="CX26" i="16" s="1"/>
  <c r="CU26" i="16"/>
  <c r="CW26" i="16" s="1"/>
  <c r="CR26" i="16"/>
  <c r="CT26" i="16" s="1"/>
  <c r="CP26" i="16"/>
  <c r="CN26" i="16"/>
  <c r="CM26" i="16"/>
  <c r="CK26" i="16"/>
  <c r="CH26" i="16"/>
  <c r="CF26" i="16"/>
  <c r="CB26" i="16"/>
  <c r="CD26" i="16" s="1"/>
  <c r="BY26" i="16"/>
  <c r="CA26" i="16" s="1"/>
  <c r="BX26" i="16"/>
  <c r="BV26" i="16"/>
  <c r="BU26" i="16"/>
  <c r="BS26" i="16"/>
  <c r="BR26" i="16"/>
  <c r="BP26" i="16"/>
  <c r="BJ26" i="16"/>
  <c r="BL26" i="16" s="1"/>
  <c r="BG26" i="16"/>
  <c r="BI26" i="16" s="1"/>
  <c r="BF26" i="16"/>
  <c r="BD26" i="16"/>
  <c r="BC26" i="16"/>
  <c r="BA26" i="16"/>
  <c r="AZ26" i="16"/>
  <c r="AX26" i="16"/>
  <c r="AU26" i="16"/>
  <c r="AW26" i="16" s="1"/>
  <c r="AR26" i="16"/>
  <c r="AT26" i="16" s="1"/>
  <c r="DW25" i="16"/>
  <c r="DX25" i="16" s="1"/>
  <c r="DU25" i="16"/>
  <c r="DT25" i="16"/>
  <c r="DS25" i="16"/>
  <c r="DR25" i="16"/>
  <c r="DQ25" i="16"/>
  <c r="DP25" i="16"/>
  <c r="DO25" i="16"/>
  <c r="DN25" i="16"/>
  <c r="DM25" i="16"/>
  <c r="DL25" i="16"/>
  <c r="DK25" i="16"/>
  <c r="DJ25" i="16"/>
  <c r="DI25" i="16"/>
  <c r="DH25" i="16"/>
  <c r="DG25" i="16"/>
  <c r="DF25" i="16"/>
  <c r="DE25" i="16"/>
  <c r="DD25" i="16" s="1"/>
  <c r="CX25" i="16" s="1"/>
  <c r="CU25" i="16"/>
  <c r="CW25" i="16" s="1"/>
  <c r="CT25" i="16"/>
  <c r="CR25" i="16"/>
  <c r="CN25" i="16"/>
  <c r="CP25" i="16" s="1"/>
  <c r="CM25" i="16"/>
  <c r="CK25" i="16"/>
  <c r="CF25" i="16"/>
  <c r="CH25" i="16" s="1"/>
  <c r="CB25" i="16"/>
  <c r="CD25" i="16" s="1"/>
  <c r="CA25" i="16"/>
  <c r="BY25" i="16"/>
  <c r="BV25" i="16"/>
  <c r="BX25" i="16" s="1"/>
  <c r="BU25" i="16"/>
  <c r="BS25" i="16"/>
  <c r="BR25" i="16"/>
  <c r="CE25" i="16" s="1"/>
  <c r="BP25" i="16"/>
  <c r="BJ25" i="16"/>
  <c r="BL25" i="16" s="1"/>
  <c r="BI25" i="16"/>
  <c r="BG25" i="16"/>
  <c r="BD25" i="16"/>
  <c r="BF25" i="16" s="1"/>
  <c r="BC25" i="16"/>
  <c r="BA25" i="16"/>
  <c r="AZ25" i="16"/>
  <c r="BM25" i="16" s="1"/>
  <c r="AX25" i="16"/>
  <c r="AW25" i="16"/>
  <c r="AU25" i="16"/>
  <c r="AR25" i="16"/>
  <c r="AT25" i="16" s="1"/>
  <c r="DW24" i="16"/>
  <c r="DX24" i="16" s="1"/>
  <c r="DU24" i="16"/>
  <c r="DT24" i="16"/>
  <c r="DS24" i="16"/>
  <c r="DR24" i="16"/>
  <c r="DQ24" i="16"/>
  <c r="DP24" i="16"/>
  <c r="DO24" i="16"/>
  <c r="DN24" i="16"/>
  <c r="DM24" i="16"/>
  <c r="DL24" i="16"/>
  <c r="DK24" i="16"/>
  <c r="DJ24" i="16"/>
  <c r="DI24" i="16"/>
  <c r="DH24" i="16"/>
  <c r="DG24" i="16"/>
  <c r="DF24" i="16"/>
  <c r="DE24" i="16"/>
  <c r="DD24" i="16" s="1"/>
  <c r="CX24" i="16" s="1"/>
  <c r="CW24" i="16"/>
  <c r="CU24" i="16"/>
  <c r="CR24" i="16"/>
  <c r="CT24" i="16" s="1"/>
  <c r="CP24" i="16"/>
  <c r="CN24" i="16"/>
  <c r="CM24" i="16"/>
  <c r="CK24" i="16"/>
  <c r="CF24" i="16"/>
  <c r="CH24" i="16" s="1"/>
  <c r="CB24" i="16"/>
  <c r="CD24" i="16" s="1"/>
  <c r="BY24" i="16"/>
  <c r="CA24" i="16" s="1"/>
  <c r="BX24" i="16"/>
  <c r="BV24" i="16"/>
  <c r="BU24" i="16"/>
  <c r="BS24" i="16"/>
  <c r="BP24" i="16"/>
  <c r="BR24" i="16" s="1"/>
  <c r="BL24" i="16"/>
  <c r="BJ24" i="16"/>
  <c r="BG24" i="16"/>
  <c r="BI24" i="16" s="1"/>
  <c r="BF24" i="16"/>
  <c r="BD24" i="16"/>
  <c r="BA24" i="16"/>
  <c r="BC24" i="16" s="1"/>
  <c r="AX24" i="16"/>
  <c r="AZ24" i="16" s="1"/>
  <c r="AU24" i="16"/>
  <c r="AW24" i="16" s="1"/>
  <c r="AT24" i="16"/>
  <c r="AR24" i="16"/>
  <c r="DW23" i="16"/>
  <c r="DX23" i="16" s="1"/>
  <c r="DU23" i="16"/>
  <c r="DT23" i="16"/>
  <c r="DS23" i="16"/>
  <c r="DR23" i="16"/>
  <c r="DQ23" i="16"/>
  <c r="DP23" i="16"/>
  <c r="DO23" i="16"/>
  <c r="DN23" i="16"/>
  <c r="DM23" i="16"/>
  <c r="DL23" i="16"/>
  <c r="DK23" i="16"/>
  <c r="DJ23" i="16"/>
  <c r="DI23" i="16"/>
  <c r="DH23" i="16"/>
  <c r="DG23" i="16"/>
  <c r="DF23" i="16"/>
  <c r="DE23" i="16"/>
  <c r="DD23" i="16" s="1"/>
  <c r="CX23" i="16" s="1"/>
  <c r="CU23" i="16"/>
  <c r="CW23" i="16" s="1"/>
  <c r="CR23" i="16"/>
  <c r="CT23" i="16" s="1"/>
  <c r="CN23" i="16"/>
  <c r="CP23" i="16" s="1"/>
  <c r="CM23" i="16"/>
  <c r="CK23" i="16"/>
  <c r="CH23" i="16"/>
  <c r="CF23" i="16"/>
  <c r="CD23" i="16"/>
  <c r="CB23" i="16"/>
  <c r="CA23" i="16"/>
  <c r="BY23" i="16"/>
  <c r="BX23" i="16"/>
  <c r="BV23" i="16"/>
  <c r="BU23" i="16"/>
  <c r="BS23" i="16"/>
  <c r="BP23" i="16"/>
  <c r="BR23" i="16" s="1"/>
  <c r="CE23" i="16" s="1"/>
  <c r="BL23" i="16"/>
  <c r="BJ23" i="16"/>
  <c r="BI23" i="16"/>
  <c r="BG23" i="16"/>
  <c r="BF23" i="16"/>
  <c r="BD23" i="16"/>
  <c r="BC23" i="16"/>
  <c r="BA23" i="16"/>
  <c r="AX23" i="16"/>
  <c r="AZ23" i="16" s="1"/>
  <c r="BM23" i="16" s="1"/>
  <c r="AU23" i="16"/>
  <c r="AW23" i="16" s="1"/>
  <c r="AT23" i="16"/>
  <c r="AR23" i="16"/>
  <c r="DW22" i="16"/>
  <c r="DX22" i="16" s="1"/>
  <c r="DU22" i="16"/>
  <c r="DT22" i="16"/>
  <c r="DS22" i="16"/>
  <c r="DR22" i="16"/>
  <c r="DQ22" i="16"/>
  <c r="DP22" i="16"/>
  <c r="DO22" i="16"/>
  <c r="DN22" i="16"/>
  <c r="DM22" i="16"/>
  <c r="DL22" i="16"/>
  <c r="DK22" i="16"/>
  <c r="DD22" i="16" s="1"/>
  <c r="CX22" i="16" s="1"/>
  <c r="DJ22" i="16"/>
  <c r="DI22" i="16"/>
  <c r="DH22" i="16"/>
  <c r="DG22" i="16"/>
  <c r="DF22" i="16"/>
  <c r="DE22" i="16"/>
  <c r="CU22" i="16"/>
  <c r="CW22" i="16" s="1"/>
  <c r="CT22" i="16"/>
  <c r="CR22" i="16"/>
  <c r="CP22" i="16"/>
  <c r="CN22" i="16"/>
  <c r="CK22" i="16"/>
  <c r="CM22" i="16" s="1"/>
  <c r="CH22" i="16"/>
  <c r="CF22" i="16"/>
  <c r="CD22" i="16"/>
  <c r="CB22" i="16"/>
  <c r="CA22" i="16"/>
  <c r="BY22" i="16"/>
  <c r="BX22" i="16"/>
  <c r="BV22" i="16"/>
  <c r="BS22" i="16"/>
  <c r="BU22" i="16" s="1"/>
  <c r="BP22" i="16"/>
  <c r="BR22" i="16" s="1"/>
  <c r="BL22" i="16"/>
  <c r="BJ22" i="16"/>
  <c r="BI22" i="16"/>
  <c r="BG22" i="16"/>
  <c r="BF22" i="16"/>
  <c r="BD22" i="16"/>
  <c r="BA22" i="16"/>
  <c r="BC22" i="16" s="1"/>
  <c r="AZ22" i="16"/>
  <c r="AX22" i="16"/>
  <c r="AU22" i="16"/>
  <c r="AW22" i="16" s="1"/>
  <c r="AT22" i="16"/>
  <c r="AR22" i="16"/>
  <c r="DW21" i="16"/>
  <c r="DX21" i="16" s="1"/>
  <c r="DU21" i="16"/>
  <c r="DT21" i="16"/>
  <c r="DS21" i="16"/>
  <c r="DR21" i="16"/>
  <c r="DQ21" i="16"/>
  <c r="DP21" i="16"/>
  <c r="DO21" i="16"/>
  <c r="DN21" i="16"/>
  <c r="DM21" i="16"/>
  <c r="DL21" i="16"/>
  <c r="DK21" i="16"/>
  <c r="DJ21" i="16"/>
  <c r="DI21" i="16"/>
  <c r="DH21" i="16"/>
  <c r="DG21" i="16"/>
  <c r="DF21" i="16"/>
  <c r="DE21" i="16"/>
  <c r="CW21" i="16"/>
  <c r="AC84" i="7" s="1"/>
  <c r="CU21" i="16"/>
  <c r="CT21" i="16"/>
  <c r="Z84" i="7" s="1"/>
  <c r="CR21" i="16"/>
  <c r="CN21" i="16"/>
  <c r="CP21" i="16" s="1"/>
  <c r="CM21" i="16"/>
  <c r="HR72" i="3" s="1"/>
  <c r="CK21" i="16"/>
  <c r="CH21" i="16"/>
  <c r="CF21" i="16"/>
  <c r="CD21" i="16"/>
  <c r="CB21" i="16"/>
  <c r="CA21" i="16"/>
  <c r="BY21" i="16"/>
  <c r="BX21" i="16"/>
  <c r="BV21" i="16"/>
  <c r="BU21" i="16"/>
  <c r="BS21" i="16"/>
  <c r="BR21" i="16"/>
  <c r="BP21" i="16"/>
  <c r="BL21" i="16"/>
  <c r="BJ21" i="16"/>
  <c r="BI21" i="16"/>
  <c r="BG21" i="16"/>
  <c r="BF21" i="16"/>
  <c r="BD21" i="16"/>
  <c r="BC21" i="16"/>
  <c r="BA21" i="16"/>
  <c r="AZ21" i="16"/>
  <c r="AX21" i="16"/>
  <c r="AW21" i="16"/>
  <c r="AU21" i="16"/>
  <c r="AT21" i="16"/>
  <c r="AR21" i="16"/>
  <c r="DU20" i="16"/>
  <c r="DT20" i="16"/>
  <c r="DS20" i="16"/>
  <c r="DR20" i="16"/>
  <c r="DQ20" i="16"/>
  <c r="DP20" i="16"/>
  <c r="DO20" i="16"/>
  <c r="DN20" i="16"/>
  <c r="DM20" i="16"/>
  <c r="DL20" i="16"/>
  <c r="DK20" i="16"/>
  <c r="DJ20" i="16"/>
  <c r="DI20" i="16"/>
  <c r="DH20" i="16"/>
  <c r="DG20" i="16"/>
  <c r="DF20" i="16"/>
  <c r="DE20" i="16"/>
  <c r="CW20" i="16"/>
  <c r="AC83" i="7" s="1"/>
  <c r="CU20" i="16"/>
  <c r="CT20" i="16"/>
  <c r="CR20" i="16"/>
  <c r="CP20" i="16"/>
  <c r="AB83" i="7" s="1"/>
  <c r="CN20" i="16"/>
  <c r="CM20" i="16"/>
  <c r="HR71" i="3" s="1"/>
  <c r="CK20" i="16"/>
  <c r="CH20" i="16"/>
  <c r="CF20" i="16"/>
  <c r="CD20" i="16"/>
  <c r="CB20" i="16"/>
  <c r="CA20" i="16"/>
  <c r="BY20" i="16"/>
  <c r="BX20" i="16"/>
  <c r="BV20" i="16"/>
  <c r="BU20" i="16"/>
  <c r="BS20" i="16"/>
  <c r="BR20" i="16"/>
  <c r="BP20" i="16"/>
  <c r="BL20" i="16"/>
  <c r="BJ20" i="16"/>
  <c r="BI20" i="16"/>
  <c r="BG20" i="16"/>
  <c r="BF20" i="16"/>
  <c r="BD20" i="16"/>
  <c r="BC20" i="16"/>
  <c r="BA20" i="16"/>
  <c r="AZ20" i="16"/>
  <c r="AX20" i="16"/>
  <c r="AW20" i="16"/>
  <c r="AU20" i="16"/>
  <c r="AT20" i="16"/>
  <c r="AR20" i="16"/>
  <c r="DW14" i="16"/>
  <c r="DX14" i="16" s="1"/>
  <c r="DE13" i="16"/>
  <c r="DD13" i="16"/>
  <c r="AR13" i="16"/>
  <c r="AT13" i="16" s="1"/>
  <c r="DW12" i="16"/>
  <c r="DX12" i="16" s="1"/>
  <c r="DE12" i="16"/>
  <c r="DD12" i="16" s="1"/>
  <c r="AR12" i="16"/>
  <c r="AT12" i="16" s="1"/>
  <c r="DE11" i="16"/>
  <c r="DD11" i="16"/>
  <c r="AR11" i="16"/>
  <c r="AT11" i="16" s="1"/>
  <c r="DW10" i="16"/>
  <c r="DX10" i="16" s="1"/>
  <c r="DE10" i="16"/>
  <c r="DD10" i="16" s="1"/>
  <c r="AR10" i="16"/>
  <c r="AR14" i="16" s="1"/>
  <c r="DW9" i="16"/>
  <c r="DE9" i="16"/>
  <c r="DD9" i="16" s="1"/>
  <c r="AT9" i="16"/>
  <c r="AR9" i="16"/>
  <c r="C46" i="15"/>
  <c r="C46" i="16"/>
  <c r="AN46" i="15"/>
  <c r="AN16" i="15"/>
  <c r="AN8" i="15"/>
  <c r="DW60" i="15"/>
  <c r="DX60" i="15" s="1"/>
  <c r="DH60" i="15"/>
  <c r="DG60" i="15"/>
  <c r="DF60" i="15"/>
  <c r="DE60" i="15"/>
  <c r="DD60" i="15"/>
  <c r="BG60" i="15" s="1"/>
  <c r="BF60" i="15"/>
  <c r="BD60" i="15"/>
  <c r="AZ60" i="15"/>
  <c r="AW60" i="15"/>
  <c r="AQ60" i="15"/>
  <c r="DW59" i="15"/>
  <c r="DX59" i="15" s="1"/>
  <c r="DH59" i="15"/>
  <c r="DG59" i="15"/>
  <c r="DF59" i="15"/>
  <c r="DD59" i="15" s="1"/>
  <c r="BG59" i="15" s="1"/>
  <c r="DE59" i="15"/>
  <c r="BD59" i="15"/>
  <c r="BF59" i="15" s="1"/>
  <c r="AZ59" i="15"/>
  <c r="AW59" i="15"/>
  <c r="AQ59" i="15"/>
  <c r="DW58" i="15"/>
  <c r="DX58" i="15" s="1"/>
  <c r="DH58" i="15"/>
  <c r="DG58" i="15"/>
  <c r="DF58" i="15"/>
  <c r="DE58" i="15"/>
  <c r="DD58" i="15" s="1"/>
  <c r="BG58" i="15" s="1"/>
  <c r="BF58" i="15"/>
  <c r="BD58" i="15"/>
  <c r="AZ58" i="15"/>
  <c r="AW58" i="15"/>
  <c r="AQ58" i="15"/>
  <c r="DW57" i="15"/>
  <c r="DX57" i="15" s="1"/>
  <c r="DH57" i="15"/>
  <c r="DG57" i="15"/>
  <c r="DF57" i="15"/>
  <c r="DE57" i="15"/>
  <c r="DD57" i="15" s="1"/>
  <c r="BG57" i="15" s="1"/>
  <c r="BD57" i="15"/>
  <c r="BF57" i="15" s="1"/>
  <c r="AZ57" i="15"/>
  <c r="AW57" i="15"/>
  <c r="AQ57" i="15"/>
  <c r="DW56" i="15"/>
  <c r="DX56" i="15" s="1"/>
  <c r="DH56" i="15"/>
  <c r="DG56" i="15"/>
  <c r="DF56" i="15"/>
  <c r="DE56" i="15"/>
  <c r="DD56" i="15" s="1"/>
  <c r="BG56" i="15" s="1"/>
  <c r="BD56" i="15"/>
  <c r="BF56" i="15" s="1"/>
  <c r="AZ56" i="15"/>
  <c r="AW56" i="15"/>
  <c r="AQ56" i="15"/>
  <c r="DW55" i="15"/>
  <c r="DX55" i="15" s="1"/>
  <c r="DH55" i="15"/>
  <c r="DG55" i="15"/>
  <c r="DF55" i="15"/>
  <c r="DE55" i="15"/>
  <c r="DD55" i="15" s="1"/>
  <c r="BG55" i="15" s="1"/>
  <c r="BD55" i="15"/>
  <c r="BF55" i="15" s="1"/>
  <c r="AZ55" i="15"/>
  <c r="AW55" i="15"/>
  <c r="AQ55" i="15"/>
  <c r="DH54" i="15"/>
  <c r="DG54" i="15"/>
  <c r="DF54" i="15"/>
  <c r="DE54" i="15"/>
  <c r="DD54" i="15" s="1"/>
  <c r="BG54" i="15" s="1"/>
  <c r="BD54" i="15"/>
  <c r="BF54" i="15" s="1"/>
  <c r="AZ54" i="15"/>
  <c r="AW54" i="15"/>
  <c r="AQ54" i="15"/>
  <c r="DW53" i="15"/>
  <c r="DX53" i="15" s="1"/>
  <c r="DH53" i="15"/>
  <c r="DG53" i="15"/>
  <c r="DF53" i="15"/>
  <c r="DE53" i="15"/>
  <c r="DD53" i="15"/>
  <c r="BG53" i="15" s="1"/>
  <c r="BD53" i="15"/>
  <c r="BF53" i="15" s="1"/>
  <c r="AZ53" i="15"/>
  <c r="AW53" i="15"/>
  <c r="AQ53" i="15"/>
  <c r="DW52" i="15"/>
  <c r="DX52" i="15" s="1"/>
  <c r="DH52" i="15"/>
  <c r="DG52" i="15"/>
  <c r="DD52" i="15" s="1"/>
  <c r="BG52" i="15" s="1"/>
  <c r="DF52" i="15"/>
  <c r="DE52" i="15"/>
  <c r="BD52" i="15"/>
  <c r="BF52" i="15" s="1"/>
  <c r="AZ52" i="15"/>
  <c r="AW52" i="15"/>
  <c r="AQ52" i="15"/>
  <c r="DW51" i="15"/>
  <c r="DX51" i="15" s="1"/>
  <c r="DH51" i="15"/>
  <c r="DG51" i="15"/>
  <c r="DF51" i="15"/>
  <c r="DE51" i="15"/>
  <c r="DD51" i="15"/>
  <c r="BG51" i="15"/>
  <c r="BD51" i="15"/>
  <c r="BF51" i="15" s="1"/>
  <c r="AZ51" i="15"/>
  <c r="AW51" i="15"/>
  <c r="AQ51" i="15"/>
  <c r="DW50" i="15"/>
  <c r="DX50" i="15" s="1"/>
  <c r="DH50" i="15"/>
  <c r="DG50" i="15"/>
  <c r="DF50" i="15"/>
  <c r="DD50" i="15" s="1"/>
  <c r="BG50" i="15" s="1"/>
  <c r="DE50" i="15"/>
  <c r="BF50" i="15"/>
  <c r="BD50" i="15"/>
  <c r="AZ50" i="15"/>
  <c r="AW50" i="15"/>
  <c r="AQ50" i="15"/>
  <c r="DH49" i="15"/>
  <c r="DG49" i="15"/>
  <c r="DF49" i="15"/>
  <c r="DE49" i="15"/>
  <c r="BF49" i="15"/>
  <c r="BD49" i="15"/>
  <c r="AZ49" i="15"/>
  <c r="AW49" i="15"/>
  <c r="AQ49" i="15"/>
  <c r="DW44" i="15"/>
  <c r="DX44" i="15" s="1"/>
  <c r="DU44" i="15"/>
  <c r="DT44" i="15"/>
  <c r="DS44" i="15"/>
  <c r="DR44" i="15"/>
  <c r="DQ44" i="15"/>
  <c r="DP44" i="15"/>
  <c r="DO44" i="15"/>
  <c r="DN44" i="15"/>
  <c r="DM44" i="15"/>
  <c r="DL44" i="15"/>
  <c r="DK44" i="15"/>
  <c r="DJ44" i="15"/>
  <c r="DI44" i="15"/>
  <c r="DH44" i="15"/>
  <c r="DG44" i="15"/>
  <c r="DF44" i="15"/>
  <c r="DE44" i="15"/>
  <c r="CU44" i="15"/>
  <c r="CW44" i="15" s="1"/>
  <c r="CF62" i="3" s="1"/>
  <c r="CR44" i="15"/>
  <c r="CT44" i="15" s="1"/>
  <c r="CD62" i="3" s="1"/>
  <c r="CN44" i="15"/>
  <c r="CP44" i="15" s="1"/>
  <c r="CE62" i="3" s="1"/>
  <c r="CK44" i="15"/>
  <c r="CM44" i="15" s="1"/>
  <c r="CF44" i="15"/>
  <c r="CH44" i="15" s="1"/>
  <c r="CB44" i="15"/>
  <c r="CD44" i="15" s="1"/>
  <c r="BY44" i="15"/>
  <c r="CA44" i="15" s="1"/>
  <c r="BV44" i="15"/>
  <c r="BX44" i="15" s="1"/>
  <c r="CE44" i="15" s="1"/>
  <c r="BU44" i="15"/>
  <c r="BS44" i="15"/>
  <c r="BR44" i="15"/>
  <c r="BP44" i="15"/>
  <c r="BJ44" i="15"/>
  <c r="BL44" i="15" s="1"/>
  <c r="BG44" i="15"/>
  <c r="BI44" i="15" s="1"/>
  <c r="BD44" i="15"/>
  <c r="BF44" i="15" s="1"/>
  <c r="BC44" i="15"/>
  <c r="BA44" i="15"/>
  <c r="AZ44" i="15"/>
  <c r="AX44" i="15"/>
  <c r="AU44" i="15"/>
  <c r="AW44" i="15" s="1"/>
  <c r="AR44" i="15"/>
  <c r="AO44" i="15"/>
  <c r="AQ44" i="15" s="1"/>
  <c r="CJ62" i="3" s="1"/>
  <c r="FT62" i="3" s="1"/>
  <c r="AN44" i="15"/>
  <c r="DW43" i="15"/>
  <c r="DX43" i="15" s="1"/>
  <c r="DU43" i="15"/>
  <c r="DT43" i="15"/>
  <c r="DS43" i="15"/>
  <c r="DR43" i="15"/>
  <c r="DQ43" i="15"/>
  <c r="DP43" i="15"/>
  <c r="DO43" i="15"/>
  <c r="DN43" i="15"/>
  <c r="DM43" i="15"/>
  <c r="DL43" i="15"/>
  <c r="DK43" i="15"/>
  <c r="DJ43" i="15"/>
  <c r="DI43" i="15"/>
  <c r="DH43" i="15"/>
  <c r="DG43" i="15"/>
  <c r="DF43" i="15"/>
  <c r="DE43" i="15"/>
  <c r="CU43" i="15"/>
  <c r="CW43" i="15" s="1"/>
  <c r="CF61" i="3" s="1"/>
  <c r="CR43" i="15"/>
  <c r="CT43" i="15" s="1"/>
  <c r="CD61" i="3" s="1"/>
  <c r="CN43" i="15"/>
  <c r="CP43" i="15" s="1"/>
  <c r="CE61" i="3" s="1"/>
  <c r="CK43" i="15"/>
  <c r="CM43" i="15" s="1"/>
  <c r="CF43" i="15"/>
  <c r="CH43" i="15" s="1"/>
  <c r="CB43" i="15"/>
  <c r="CD43" i="15" s="1"/>
  <c r="BY43" i="15"/>
  <c r="CA43" i="15" s="1"/>
  <c r="BV43" i="15"/>
  <c r="BX43" i="15" s="1"/>
  <c r="BU43" i="15"/>
  <c r="BS43" i="15"/>
  <c r="BR43" i="15"/>
  <c r="CE43" i="15" s="1"/>
  <c r="BP43" i="15"/>
  <c r="BJ43" i="15"/>
  <c r="BL43" i="15" s="1"/>
  <c r="BG43" i="15"/>
  <c r="BI43" i="15" s="1"/>
  <c r="BD43" i="15"/>
  <c r="BF43" i="15" s="1"/>
  <c r="BC43" i="15"/>
  <c r="BA43" i="15"/>
  <c r="AZ43" i="15"/>
  <c r="AX43" i="15"/>
  <c r="AW43" i="15"/>
  <c r="AU43" i="15"/>
  <c r="AR43" i="15"/>
  <c r="AO43" i="15"/>
  <c r="AQ43" i="15" s="1"/>
  <c r="CJ61" i="3" s="1"/>
  <c r="FT61" i="3" s="1"/>
  <c r="AN43" i="15"/>
  <c r="DW42" i="15"/>
  <c r="DX42" i="15" s="1"/>
  <c r="DU42" i="15"/>
  <c r="DT42" i="15"/>
  <c r="DS42" i="15"/>
  <c r="DR42" i="15"/>
  <c r="DQ42" i="15"/>
  <c r="DP42" i="15"/>
  <c r="DO42" i="15"/>
  <c r="DN42" i="15"/>
  <c r="DM42" i="15"/>
  <c r="DL42" i="15"/>
  <c r="DK42" i="15"/>
  <c r="DJ42" i="15"/>
  <c r="DI42" i="15"/>
  <c r="DH42" i="15"/>
  <c r="DG42" i="15"/>
  <c r="DF42" i="15"/>
  <c r="DD42" i="15" s="1"/>
  <c r="CX42" i="15" s="1"/>
  <c r="DE42" i="15"/>
  <c r="CU42" i="15"/>
  <c r="CW42" i="15" s="1"/>
  <c r="CF60" i="3" s="1"/>
  <c r="CR42" i="15"/>
  <c r="CT42" i="15" s="1"/>
  <c r="CD60" i="3" s="1"/>
  <c r="CN42" i="15"/>
  <c r="CP42" i="15" s="1"/>
  <c r="CE60" i="3" s="1"/>
  <c r="CK42" i="15"/>
  <c r="CM42" i="15" s="1"/>
  <c r="CF42" i="15"/>
  <c r="CH42" i="15" s="1"/>
  <c r="CD42" i="15"/>
  <c r="CB42" i="15"/>
  <c r="BY42" i="15"/>
  <c r="CA42" i="15" s="1"/>
  <c r="BV42" i="15"/>
  <c r="BX42" i="15" s="1"/>
  <c r="BS42" i="15"/>
  <c r="BU42" i="15" s="1"/>
  <c r="BR42" i="15"/>
  <c r="BP42" i="15"/>
  <c r="BL42" i="15"/>
  <c r="BJ42" i="15"/>
  <c r="BG42" i="15"/>
  <c r="BI42" i="15" s="1"/>
  <c r="BD42" i="15"/>
  <c r="BF42" i="15" s="1"/>
  <c r="BA42" i="15"/>
  <c r="BC42" i="15" s="1"/>
  <c r="AZ42" i="15"/>
  <c r="AX42" i="15"/>
  <c r="AU42" i="15"/>
  <c r="AW42" i="15" s="1"/>
  <c r="AR42" i="15"/>
  <c r="AO42" i="15"/>
  <c r="AQ42" i="15" s="1"/>
  <c r="CJ60" i="3" s="1"/>
  <c r="FT60" i="3" s="1"/>
  <c r="AN42" i="15"/>
  <c r="DW41" i="15"/>
  <c r="DX41" i="15" s="1"/>
  <c r="DU41" i="15"/>
  <c r="DT41" i="15"/>
  <c r="DS41" i="15"/>
  <c r="DR41" i="15"/>
  <c r="DQ41" i="15"/>
  <c r="DP41" i="15"/>
  <c r="DO41" i="15"/>
  <c r="DN41" i="15"/>
  <c r="DM41" i="15"/>
  <c r="DL41" i="15"/>
  <c r="DK41" i="15"/>
  <c r="DJ41" i="15"/>
  <c r="DI41" i="15"/>
  <c r="DH41" i="15"/>
  <c r="DG41" i="15"/>
  <c r="DF41" i="15"/>
  <c r="DD41" i="15" s="1"/>
  <c r="CX41" i="15" s="1"/>
  <c r="DE41" i="15"/>
  <c r="CU41" i="15"/>
  <c r="CW41" i="15" s="1"/>
  <c r="CF59" i="3" s="1"/>
  <c r="CR41" i="15"/>
  <c r="CT41" i="15" s="1"/>
  <c r="CD59" i="3" s="1"/>
  <c r="CN41" i="15"/>
  <c r="CP41" i="15" s="1"/>
  <c r="CE59" i="3" s="1"/>
  <c r="CK41" i="15"/>
  <c r="CM41" i="15" s="1"/>
  <c r="CF41" i="15"/>
  <c r="CH41" i="15" s="1"/>
  <c r="CD41" i="15"/>
  <c r="CB41" i="15"/>
  <c r="BY41" i="15"/>
  <c r="CA41" i="15" s="1"/>
  <c r="BV41" i="15"/>
  <c r="BX41" i="15" s="1"/>
  <c r="BS41" i="15"/>
  <c r="BU41" i="15" s="1"/>
  <c r="BR41" i="15"/>
  <c r="BP41" i="15"/>
  <c r="BL41" i="15"/>
  <c r="BJ41" i="15"/>
  <c r="BG41" i="15"/>
  <c r="BI41" i="15" s="1"/>
  <c r="BD41" i="15"/>
  <c r="BF41" i="15" s="1"/>
  <c r="BA41" i="15"/>
  <c r="BC41" i="15" s="1"/>
  <c r="AZ41" i="15"/>
  <c r="AX41" i="15"/>
  <c r="AU41" i="15"/>
  <c r="AW41" i="15" s="1"/>
  <c r="AR41" i="15"/>
  <c r="AO41" i="15"/>
  <c r="AQ41" i="15" s="1"/>
  <c r="CJ59" i="3" s="1"/>
  <c r="FT59" i="3" s="1"/>
  <c r="AN41" i="15"/>
  <c r="DU40" i="15"/>
  <c r="DT40" i="15"/>
  <c r="DS40" i="15"/>
  <c r="DR40" i="15"/>
  <c r="DQ40" i="15"/>
  <c r="DP40" i="15"/>
  <c r="DO40" i="15"/>
  <c r="DN40" i="15"/>
  <c r="DM40" i="15"/>
  <c r="DL40" i="15"/>
  <c r="DK40" i="15"/>
  <c r="DJ40" i="15"/>
  <c r="DI40" i="15"/>
  <c r="DH40" i="15"/>
  <c r="DG40" i="15"/>
  <c r="DF40" i="15"/>
  <c r="DE40" i="15"/>
  <c r="CU40" i="15"/>
  <c r="CW40" i="15" s="1"/>
  <c r="CF58" i="3" s="1"/>
  <c r="CR40" i="15"/>
  <c r="CT40" i="15" s="1"/>
  <c r="CD58" i="3" s="1"/>
  <c r="CN40" i="15"/>
  <c r="CP40" i="15" s="1"/>
  <c r="CE58" i="3" s="1"/>
  <c r="CK40" i="15"/>
  <c r="CM40" i="15" s="1"/>
  <c r="CF40" i="15"/>
  <c r="CH40" i="15" s="1"/>
  <c r="CD40" i="15"/>
  <c r="CB40" i="15"/>
  <c r="CA40" i="15"/>
  <c r="BY40" i="15"/>
  <c r="BV40" i="15"/>
  <c r="BX40" i="15" s="1"/>
  <c r="BS40" i="15"/>
  <c r="BU40" i="15" s="1"/>
  <c r="BP40" i="15"/>
  <c r="BR40" i="15" s="1"/>
  <c r="BL40" i="15"/>
  <c r="BJ40" i="15"/>
  <c r="BI40" i="15"/>
  <c r="BG40" i="15"/>
  <c r="BD40" i="15"/>
  <c r="BF40" i="15" s="1"/>
  <c r="BA40" i="15"/>
  <c r="BC40" i="15" s="1"/>
  <c r="AX40" i="15"/>
  <c r="AZ40" i="15" s="1"/>
  <c r="AU40" i="15"/>
  <c r="AW40" i="15" s="1"/>
  <c r="AR40" i="15"/>
  <c r="AO40" i="15"/>
  <c r="AQ40" i="15" s="1"/>
  <c r="CJ58" i="3" s="1"/>
  <c r="FT58" i="3" s="1"/>
  <c r="AN40" i="15"/>
  <c r="DW39" i="15"/>
  <c r="DX39" i="15" s="1"/>
  <c r="DU39" i="15"/>
  <c r="DT39" i="15"/>
  <c r="DS39" i="15"/>
  <c r="DR39" i="15"/>
  <c r="DQ39" i="15"/>
  <c r="DP39" i="15"/>
  <c r="DO39" i="15"/>
  <c r="DN39" i="15"/>
  <c r="DD39" i="15" s="1"/>
  <c r="CX39" i="15" s="1"/>
  <c r="DM39" i="15"/>
  <c r="DL39" i="15"/>
  <c r="DK39" i="15"/>
  <c r="DJ39" i="15"/>
  <c r="DI39" i="15"/>
  <c r="DH39" i="15"/>
  <c r="DG39" i="15"/>
  <c r="DF39" i="15"/>
  <c r="DE39" i="15"/>
  <c r="CU39" i="15"/>
  <c r="CW39" i="15" s="1"/>
  <c r="CF57" i="3" s="1"/>
  <c r="CR39" i="15"/>
  <c r="CT39" i="15" s="1"/>
  <c r="CD57" i="3" s="1"/>
  <c r="CN39" i="15"/>
  <c r="CP39" i="15" s="1"/>
  <c r="CE57" i="3" s="1"/>
  <c r="CK39" i="15"/>
  <c r="CM39" i="15" s="1"/>
  <c r="CH39" i="15"/>
  <c r="CF39" i="15"/>
  <c r="CD39" i="15"/>
  <c r="CB39" i="15"/>
  <c r="BY39" i="15"/>
  <c r="CA39" i="15" s="1"/>
  <c r="BV39" i="15"/>
  <c r="BX39" i="15" s="1"/>
  <c r="BS39" i="15"/>
  <c r="BU39" i="15" s="1"/>
  <c r="BP39" i="15"/>
  <c r="BR39" i="15" s="1"/>
  <c r="BJ39" i="15"/>
  <c r="BL39" i="15" s="1"/>
  <c r="BG39" i="15"/>
  <c r="BI39" i="15" s="1"/>
  <c r="BD39" i="15"/>
  <c r="BF39" i="15" s="1"/>
  <c r="BA39" i="15"/>
  <c r="BC39" i="15" s="1"/>
  <c r="AX39" i="15"/>
  <c r="AZ39" i="15" s="1"/>
  <c r="BM39" i="15" s="1"/>
  <c r="AU39" i="15"/>
  <c r="AW39" i="15" s="1"/>
  <c r="AR39" i="15"/>
  <c r="AO39" i="15"/>
  <c r="AQ39" i="15" s="1"/>
  <c r="CJ57" i="3" s="1"/>
  <c r="FT57" i="3" s="1"/>
  <c r="AN39" i="15"/>
  <c r="DW38" i="15"/>
  <c r="DX38" i="15" s="1"/>
  <c r="DU38" i="15"/>
  <c r="DT38" i="15"/>
  <c r="DS38" i="15"/>
  <c r="DR38" i="15"/>
  <c r="DQ38" i="15"/>
  <c r="DP38" i="15"/>
  <c r="DO38" i="15"/>
  <c r="DN38" i="15"/>
  <c r="DM38" i="15"/>
  <c r="DL38" i="15"/>
  <c r="DK38" i="15"/>
  <c r="DJ38" i="15"/>
  <c r="DI38" i="15"/>
  <c r="DH38" i="15"/>
  <c r="DG38" i="15"/>
  <c r="DF38" i="15"/>
  <c r="DE38" i="15"/>
  <c r="CU38" i="15"/>
  <c r="CW38" i="15" s="1"/>
  <c r="CF56" i="3" s="1"/>
  <c r="CT38" i="15"/>
  <c r="CD56" i="3" s="1"/>
  <c r="CR38" i="15"/>
  <c r="CN38" i="15"/>
  <c r="CP38" i="15" s="1"/>
  <c r="CE56" i="3" s="1"/>
  <c r="CM38" i="15"/>
  <c r="CK38" i="15"/>
  <c r="CH38" i="15"/>
  <c r="CF38" i="15"/>
  <c r="CD38" i="15"/>
  <c r="CB38" i="15"/>
  <c r="CA38" i="15"/>
  <c r="BY38" i="15"/>
  <c r="BX38" i="15"/>
  <c r="BV38" i="15"/>
  <c r="BU38" i="15"/>
  <c r="BS38" i="15"/>
  <c r="BR38" i="15"/>
  <c r="BP38" i="15"/>
  <c r="BL38" i="15"/>
  <c r="BJ38" i="15"/>
  <c r="BI38" i="15"/>
  <c r="BG38" i="15"/>
  <c r="BF38" i="15"/>
  <c r="BD38" i="15"/>
  <c r="BC38" i="15"/>
  <c r="BA38" i="15"/>
  <c r="AZ38" i="15"/>
  <c r="BM38" i="15" s="1"/>
  <c r="AX38" i="15"/>
  <c r="AU38" i="15"/>
  <c r="AW38" i="15" s="1"/>
  <c r="AT38" i="15"/>
  <c r="CK56" i="3" s="1"/>
  <c r="FU56" i="3" s="1"/>
  <c r="AR38" i="15"/>
  <c r="AQ38" i="15"/>
  <c r="CJ56" i="3" s="1"/>
  <c r="FT56" i="3" s="1"/>
  <c r="AO38" i="15"/>
  <c r="AN38" i="15"/>
  <c r="DU37" i="15"/>
  <c r="DT37" i="15"/>
  <c r="DS37" i="15"/>
  <c r="DR37" i="15"/>
  <c r="DQ37" i="15"/>
  <c r="DP37" i="15"/>
  <c r="DO37" i="15"/>
  <c r="DN37" i="15"/>
  <c r="DM37" i="15"/>
  <c r="DL37" i="15"/>
  <c r="DK37" i="15"/>
  <c r="DJ37" i="15"/>
  <c r="DI37" i="15"/>
  <c r="DH37" i="15"/>
  <c r="DG37" i="15"/>
  <c r="DF37" i="15"/>
  <c r="DE37" i="15"/>
  <c r="CW37" i="15"/>
  <c r="CF55" i="3" s="1"/>
  <c r="CU37" i="15"/>
  <c r="CR37" i="15"/>
  <c r="CT37" i="15" s="1"/>
  <c r="CD55" i="3" s="1"/>
  <c r="CN37" i="15"/>
  <c r="CP37" i="15" s="1"/>
  <c r="CE55" i="3" s="1"/>
  <c r="CM37" i="15"/>
  <c r="CK37" i="15"/>
  <c r="CH37" i="15"/>
  <c r="CF37" i="15"/>
  <c r="CD37" i="15"/>
  <c r="CB37" i="15"/>
  <c r="CA37" i="15"/>
  <c r="BY37" i="15"/>
  <c r="BX37" i="15"/>
  <c r="BV37" i="15"/>
  <c r="BU37" i="15"/>
  <c r="BS37" i="15"/>
  <c r="BR37" i="15"/>
  <c r="BP37" i="15"/>
  <c r="BL37" i="15"/>
  <c r="BJ37" i="15"/>
  <c r="BI37" i="15"/>
  <c r="BG37" i="15"/>
  <c r="BF37" i="15"/>
  <c r="BD37" i="15"/>
  <c r="BC37" i="15"/>
  <c r="BA37" i="15"/>
  <c r="AZ37" i="15"/>
  <c r="AX37" i="15"/>
  <c r="AW37" i="15"/>
  <c r="AU37" i="15"/>
  <c r="AR37" i="15"/>
  <c r="AT37" i="15" s="1"/>
  <c r="CK55" i="3" s="1"/>
  <c r="FU55" i="3" s="1"/>
  <c r="AO37" i="15"/>
  <c r="AQ37" i="15" s="1"/>
  <c r="CJ55" i="3" s="1"/>
  <c r="FT55" i="3" s="1"/>
  <c r="AN37" i="15"/>
  <c r="DW31" i="15"/>
  <c r="DX31" i="15" s="1"/>
  <c r="DU31" i="15"/>
  <c r="DT31" i="15"/>
  <c r="DS31" i="15"/>
  <c r="DR31" i="15"/>
  <c r="DQ31" i="15"/>
  <c r="DP31" i="15"/>
  <c r="DO31" i="15"/>
  <c r="DN31" i="15"/>
  <c r="DM31" i="15"/>
  <c r="DL31" i="15"/>
  <c r="DK31" i="15"/>
  <c r="DJ31" i="15"/>
  <c r="DI31" i="15"/>
  <c r="DH31" i="15"/>
  <c r="DG31" i="15"/>
  <c r="DF31" i="15"/>
  <c r="DE31" i="15"/>
  <c r="DD31" i="15" s="1"/>
  <c r="CX31" i="15" s="1"/>
  <c r="CU31" i="15"/>
  <c r="CW31" i="15" s="1"/>
  <c r="CR31" i="15"/>
  <c r="CT31" i="15" s="1"/>
  <c r="CP31" i="15"/>
  <c r="CN31" i="15"/>
  <c r="CM31" i="15"/>
  <c r="CK31" i="15"/>
  <c r="CF31" i="15"/>
  <c r="CH31" i="15" s="1"/>
  <c r="CD31" i="15"/>
  <c r="CB31" i="15"/>
  <c r="CA31" i="15"/>
  <c r="BY31" i="15"/>
  <c r="BX31" i="15"/>
  <c r="BV31" i="15"/>
  <c r="BU31" i="15"/>
  <c r="BS31" i="15"/>
  <c r="BP31" i="15"/>
  <c r="BR31" i="15" s="1"/>
  <c r="CE31" i="15" s="1"/>
  <c r="BL31" i="15"/>
  <c r="BJ31" i="15"/>
  <c r="BG31" i="15"/>
  <c r="BI31" i="15" s="1"/>
  <c r="BF31" i="15"/>
  <c r="BD31" i="15"/>
  <c r="BC31" i="15"/>
  <c r="BA31" i="15"/>
  <c r="AZ31" i="15"/>
  <c r="BM31" i="15" s="1"/>
  <c r="AX31" i="15"/>
  <c r="AU31" i="15"/>
  <c r="AW31" i="15" s="1"/>
  <c r="AR31" i="15"/>
  <c r="AT31" i="15" s="1"/>
  <c r="DW30" i="15"/>
  <c r="DX30" i="15" s="1"/>
  <c r="DU30" i="15"/>
  <c r="DT30" i="15"/>
  <c r="DS30" i="15"/>
  <c r="DR30" i="15"/>
  <c r="DQ30" i="15"/>
  <c r="DP30" i="15"/>
  <c r="DO30" i="15"/>
  <c r="DN30" i="15"/>
  <c r="DM30" i="15"/>
  <c r="DL30" i="15"/>
  <c r="DK30" i="15"/>
  <c r="DJ30" i="15"/>
  <c r="DI30" i="15"/>
  <c r="DH30" i="15"/>
  <c r="DG30" i="15"/>
  <c r="DF30" i="15"/>
  <c r="DE30" i="15"/>
  <c r="DD30" i="15" s="1"/>
  <c r="CX30" i="15" s="1"/>
  <c r="CW30" i="15"/>
  <c r="CU30" i="15"/>
  <c r="CR30" i="15"/>
  <c r="CT30" i="15" s="1"/>
  <c r="CP30" i="15"/>
  <c r="CN30" i="15"/>
  <c r="CM30" i="15"/>
  <c r="CK30" i="15"/>
  <c r="CF30" i="15"/>
  <c r="CH30" i="15" s="1"/>
  <c r="CB30" i="15"/>
  <c r="CD30" i="15" s="1"/>
  <c r="CA30" i="15"/>
  <c r="BY30" i="15"/>
  <c r="BX30" i="15"/>
  <c r="BV30" i="15"/>
  <c r="BU30" i="15"/>
  <c r="BS30" i="15"/>
  <c r="BP30" i="15"/>
  <c r="BR30" i="15" s="1"/>
  <c r="CE30" i="15" s="1"/>
  <c r="BJ30" i="15"/>
  <c r="BL30" i="15" s="1"/>
  <c r="BI30" i="15"/>
  <c r="BG30" i="15"/>
  <c r="BF30" i="15"/>
  <c r="BD30" i="15"/>
  <c r="BC30" i="15"/>
  <c r="BA30" i="15"/>
  <c r="AX30" i="15"/>
  <c r="AZ30" i="15" s="1"/>
  <c r="BM30" i="15" s="1"/>
  <c r="AU30" i="15"/>
  <c r="AW30" i="15" s="1"/>
  <c r="AR30" i="15"/>
  <c r="AT30" i="15" s="1"/>
  <c r="DW29" i="15"/>
  <c r="DX29" i="15" s="1"/>
  <c r="DU29" i="15"/>
  <c r="DT29" i="15"/>
  <c r="DS29" i="15"/>
  <c r="DR29" i="15"/>
  <c r="DQ29" i="15"/>
  <c r="DP29" i="15"/>
  <c r="DO29" i="15"/>
  <c r="DN29" i="15"/>
  <c r="DM29" i="15"/>
  <c r="DL29" i="15"/>
  <c r="DK29" i="15"/>
  <c r="DJ29" i="15"/>
  <c r="DI29" i="15"/>
  <c r="DH29" i="15"/>
  <c r="DG29" i="15"/>
  <c r="DD29" i="15" s="1"/>
  <c r="CX29" i="15" s="1"/>
  <c r="DF29" i="15"/>
  <c r="DE29" i="15"/>
  <c r="CU29" i="15"/>
  <c r="CW29" i="15" s="1"/>
  <c r="CR29" i="15"/>
  <c r="CT29" i="15" s="1"/>
  <c r="CP29" i="15"/>
  <c r="CN29" i="15"/>
  <c r="CK29" i="15"/>
  <c r="CM29" i="15" s="1"/>
  <c r="CH29" i="15"/>
  <c r="CF29" i="15"/>
  <c r="CD29" i="15"/>
  <c r="CB29" i="15"/>
  <c r="CA29" i="15"/>
  <c r="BY29" i="15"/>
  <c r="BV29" i="15"/>
  <c r="BX29" i="15" s="1"/>
  <c r="BS29" i="15"/>
  <c r="BU29" i="15" s="1"/>
  <c r="BR29" i="15"/>
  <c r="CE29" i="15" s="1"/>
  <c r="BP29" i="15"/>
  <c r="BJ29" i="15"/>
  <c r="BL29" i="15" s="1"/>
  <c r="BI29" i="15"/>
  <c r="BG29" i="15"/>
  <c r="BF29" i="15"/>
  <c r="BD29" i="15"/>
  <c r="BC29" i="15"/>
  <c r="BA29" i="15"/>
  <c r="AZ29" i="15"/>
  <c r="AX29" i="15"/>
  <c r="AU29" i="15"/>
  <c r="AW29" i="15" s="1"/>
  <c r="AR29" i="15"/>
  <c r="AT29" i="15" s="1"/>
  <c r="DU28" i="15"/>
  <c r="DT28" i="15"/>
  <c r="DS28" i="15"/>
  <c r="DR28" i="15"/>
  <c r="DQ28" i="15"/>
  <c r="DP28" i="15"/>
  <c r="DO28" i="15"/>
  <c r="DN28" i="15"/>
  <c r="DM28" i="15"/>
  <c r="DL28" i="15"/>
  <c r="DK28" i="15"/>
  <c r="DJ28" i="15"/>
  <c r="DI28" i="15"/>
  <c r="DH28" i="15"/>
  <c r="DG28" i="15"/>
  <c r="DF28" i="15"/>
  <c r="DE28" i="15"/>
  <c r="DD28" i="15" s="1"/>
  <c r="CX28" i="15" s="1"/>
  <c r="CU28" i="15"/>
  <c r="CW28" i="15" s="1"/>
  <c r="CR28" i="15"/>
  <c r="CT28" i="15" s="1"/>
  <c r="CN28" i="15"/>
  <c r="CP28" i="15" s="1"/>
  <c r="CK28" i="15"/>
  <c r="CM28" i="15" s="1"/>
  <c r="CF28" i="15"/>
  <c r="CH28" i="15" s="1"/>
  <c r="CD28" i="15"/>
  <c r="CB28" i="15"/>
  <c r="BY28" i="15"/>
  <c r="CA28" i="15" s="1"/>
  <c r="BX28" i="15"/>
  <c r="BV28" i="15"/>
  <c r="BS28" i="15"/>
  <c r="BU28" i="15" s="1"/>
  <c r="BP28" i="15"/>
  <c r="BR28" i="15" s="1"/>
  <c r="CE28" i="15" s="1"/>
  <c r="BL28" i="15"/>
  <c r="BJ28" i="15"/>
  <c r="BG28" i="15"/>
  <c r="BI28" i="15" s="1"/>
  <c r="BD28" i="15"/>
  <c r="BF28" i="15" s="1"/>
  <c r="BA28" i="15"/>
  <c r="BC28" i="15" s="1"/>
  <c r="AX28" i="15"/>
  <c r="AZ28" i="15" s="1"/>
  <c r="BM28" i="15" s="1"/>
  <c r="AU28" i="15"/>
  <c r="AW28" i="15" s="1"/>
  <c r="AT28" i="15"/>
  <c r="AR28" i="15"/>
  <c r="DW27" i="15"/>
  <c r="DX27" i="15" s="1"/>
  <c r="DU27" i="15"/>
  <c r="DT27" i="15"/>
  <c r="DS27" i="15"/>
  <c r="DR27" i="15"/>
  <c r="DQ27" i="15"/>
  <c r="DP27" i="15"/>
  <c r="DO27" i="15"/>
  <c r="DN27" i="15"/>
  <c r="DM27" i="15"/>
  <c r="DD27" i="15" s="1"/>
  <c r="CX27" i="15" s="1"/>
  <c r="DL27" i="15"/>
  <c r="DK27" i="15"/>
  <c r="DJ27" i="15"/>
  <c r="DI27" i="15"/>
  <c r="DH27" i="15"/>
  <c r="DG27" i="15"/>
  <c r="DF27" i="15"/>
  <c r="DE27" i="15"/>
  <c r="CU27" i="15"/>
  <c r="CW27" i="15" s="1"/>
  <c r="CT27" i="15"/>
  <c r="CR27" i="15"/>
  <c r="CN27" i="15"/>
  <c r="CP27" i="15" s="1"/>
  <c r="CK27" i="15"/>
  <c r="CM27" i="15" s="1"/>
  <c r="CF27" i="15"/>
  <c r="CH27" i="15" s="1"/>
  <c r="CB27" i="15"/>
  <c r="CD27" i="15" s="1"/>
  <c r="BY27" i="15"/>
  <c r="CA27" i="15" s="1"/>
  <c r="BV27" i="15"/>
  <c r="BX27" i="15" s="1"/>
  <c r="BS27" i="15"/>
  <c r="BU27" i="15" s="1"/>
  <c r="BP27" i="15"/>
  <c r="BR27" i="15" s="1"/>
  <c r="BJ27" i="15"/>
  <c r="BL27" i="15" s="1"/>
  <c r="BG27" i="15"/>
  <c r="BI27" i="15" s="1"/>
  <c r="BD27" i="15"/>
  <c r="BF27" i="15" s="1"/>
  <c r="BA27" i="15"/>
  <c r="BC27" i="15" s="1"/>
  <c r="AX27" i="15"/>
  <c r="AZ27" i="15" s="1"/>
  <c r="BM27" i="15" s="1"/>
  <c r="BN27" i="15" s="1"/>
  <c r="AW27" i="15"/>
  <c r="AU27" i="15"/>
  <c r="AR27" i="15"/>
  <c r="AT27" i="15" s="1"/>
  <c r="DW26" i="15"/>
  <c r="DX26" i="15" s="1"/>
  <c r="DU26" i="15"/>
  <c r="DT26" i="15"/>
  <c r="DS26" i="15"/>
  <c r="DR26" i="15"/>
  <c r="DQ26" i="15"/>
  <c r="DP26" i="15"/>
  <c r="DO26" i="15"/>
  <c r="DD26" i="15" s="1"/>
  <c r="CX26" i="15" s="1"/>
  <c r="DN26" i="15"/>
  <c r="DM26" i="15"/>
  <c r="DL26" i="15"/>
  <c r="DK26" i="15"/>
  <c r="DJ26" i="15"/>
  <c r="DI26" i="15"/>
  <c r="DH26" i="15"/>
  <c r="DG26" i="15"/>
  <c r="DF26" i="15"/>
  <c r="DE26" i="15"/>
  <c r="CU26" i="15"/>
  <c r="CW26" i="15" s="1"/>
  <c r="CR26" i="15"/>
  <c r="CT26" i="15" s="1"/>
  <c r="CN26" i="15"/>
  <c r="CP26" i="15" s="1"/>
  <c r="CK26" i="15"/>
  <c r="CM26" i="15" s="1"/>
  <c r="CF26" i="15"/>
  <c r="CH26" i="15" s="1"/>
  <c r="CB26" i="15"/>
  <c r="CD26" i="15" s="1"/>
  <c r="BY26" i="15"/>
  <c r="CA26" i="15" s="1"/>
  <c r="BV26" i="15"/>
  <c r="BX26" i="15" s="1"/>
  <c r="BS26" i="15"/>
  <c r="BU26" i="15" s="1"/>
  <c r="BR26" i="15"/>
  <c r="BP26" i="15"/>
  <c r="BJ26" i="15"/>
  <c r="BL26" i="15" s="1"/>
  <c r="BG26" i="15"/>
  <c r="BI26" i="15" s="1"/>
  <c r="BF26" i="15"/>
  <c r="BD26" i="15"/>
  <c r="BA26" i="15"/>
  <c r="BC26" i="15" s="1"/>
  <c r="AZ26" i="15"/>
  <c r="AX26" i="15"/>
  <c r="AU26" i="15"/>
  <c r="AW26" i="15" s="1"/>
  <c r="AR26" i="15"/>
  <c r="AT26" i="15" s="1"/>
  <c r="DW25" i="15"/>
  <c r="DX25" i="15" s="1"/>
  <c r="DU25" i="15"/>
  <c r="DT25" i="15"/>
  <c r="DS25" i="15"/>
  <c r="DR25" i="15"/>
  <c r="DQ25" i="15"/>
  <c r="DP25" i="15"/>
  <c r="DO25" i="15"/>
  <c r="DN25" i="15"/>
  <c r="DM25" i="15"/>
  <c r="DL25" i="15"/>
  <c r="DK25" i="15"/>
  <c r="DJ25" i="15"/>
  <c r="DI25" i="15"/>
  <c r="DH25" i="15"/>
  <c r="DG25" i="15"/>
  <c r="DF25" i="15"/>
  <c r="DE25" i="15"/>
  <c r="DD25" i="15" s="1"/>
  <c r="CX25" i="15" s="1"/>
  <c r="CU25" i="15"/>
  <c r="CW25" i="15" s="1"/>
  <c r="CR25" i="15"/>
  <c r="CT25" i="15" s="1"/>
  <c r="CN25" i="15"/>
  <c r="CP25" i="15" s="1"/>
  <c r="CM25" i="15"/>
  <c r="CK25" i="15"/>
  <c r="CF25" i="15"/>
  <c r="CH25" i="15" s="1"/>
  <c r="CD25" i="15"/>
  <c r="CB25" i="15"/>
  <c r="CA25" i="15"/>
  <c r="BY25" i="15"/>
  <c r="BV25" i="15"/>
  <c r="BX25" i="15" s="1"/>
  <c r="BU25" i="15"/>
  <c r="BS25" i="15"/>
  <c r="BP25" i="15"/>
  <c r="BR25" i="15" s="1"/>
  <c r="CE25" i="15" s="1"/>
  <c r="BL25" i="15"/>
  <c r="BJ25" i="15"/>
  <c r="BI25" i="15"/>
  <c r="BG25" i="15"/>
  <c r="BD25" i="15"/>
  <c r="BF25" i="15" s="1"/>
  <c r="BC25" i="15"/>
  <c r="BA25" i="15"/>
  <c r="AX25" i="15"/>
  <c r="AZ25" i="15" s="1"/>
  <c r="BM25" i="15" s="1"/>
  <c r="AW25" i="15"/>
  <c r="BN25" i="15" s="1"/>
  <c r="AU25" i="15"/>
  <c r="AT25" i="15"/>
  <c r="AR25" i="15"/>
  <c r="DW24" i="15"/>
  <c r="DX24" i="15" s="1"/>
  <c r="DU24" i="15"/>
  <c r="DT24" i="15"/>
  <c r="DS24" i="15"/>
  <c r="DR24" i="15"/>
  <c r="DQ24" i="15"/>
  <c r="DP24" i="15"/>
  <c r="DO24" i="15"/>
  <c r="DN24" i="15"/>
  <c r="DM24" i="15"/>
  <c r="DL24" i="15"/>
  <c r="DK24" i="15"/>
  <c r="DJ24" i="15"/>
  <c r="DI24" i="15"/>
  <c r="DH24" i="15"/>
  <c r="DG24" i="15"/>
  <c r="DD24" i="15" s="1"/>
  <c r="CX24" i="15" s="1"/>
  <c r="DF24" i="15"/>
  <c r="DE24" i="15"/>
  <c r="CU24" i="15"/>
  <c r="CW24" i="15" s="1"/>
  <c r="CR24" i="15"/>
  <c r="CT24" i="15" s="1"/>
  <c r="CP24" i="15"/>
  <c r="CN24" i="15"/>
  <c r="CK24" i="15"/>
  <c r="CM24" i="15" s="1"/>
  <c r="CF24" i="15"/>
  <c r="CH24" i="15" s="1"/>
  <c r="CB24" i="15"/>
  <c r="CD24" i="15" s="1"/>
  <c r="BY24" i="15"/>
  <c r="CA24" i="15" s="1"/>
  <c r="BX24" i="15"/>
  <c r="BV24" i="15"/>
  <c r="BS24" i="15"/>
  <c r="BU24" i="15" s="1"/>
  <c r="BP24" i="15"/>
  <c r="BR24" i="15" s="1"/>
  <c r="BJ24" i="15"/>
  <c r="BL24" i="15" s="1"/>
  <c r="BG24" i="15"/>
  <c r="BI24" i="15" s="1"/>
  <c r="BF24" i="15"/>
  <c r="BD24" i="15"/>
  <c r="BA24" i="15"/>
  <c r="BC24" i="15" s="1"/>
  <c r="AX24" i="15"/>
  <c r="AZ24" i="15" s="1"/>
  <c r="AU24" i="15"/>
  <c r="AW24" i="15" s="1"/>
  <c r="AR24" i="15"/>
  <c r="AT24" i="15" s="1"/>
  <c r="DW23" i="15"/>
  <c r="DX23" i="15" s="1"/>
  <c r="DU23" i="15"/>
  <c r="DT23" i="15"/>
  <c r="DS23" i="15"/>
  <c r="DR23" i="15"/>
  <c r="DQ23" i="15"/>
  <c r="DP23" i="15"/>
  <c r="DO23" i="15"/>
  <c r="DN23" i="15"/>
  <c r="DM23" i="15"/>
  <c r="DL23" i="15"/>
  <c r="DK23" i="15"/>
  <c r="DJ23" i="15"/>
  <c r="DI23" i="15"/>
  <c r="DH23" i="15"/>
  <c r="DG23" i="15"/>
  <c r="DF23" i="15"/>
  <c r="DD23" i="15" s="1"/>
  <c r="CX23" i="15" s="1"/>
  <c r="DE23" i="15"/>
  <c r="CU23" i="15"/>
  <c r="CW23" i="15" s="1"/>
  <c r="CR23" i="15"/>
  <c r="CT23" i="15" s="1"/>
  <c r="CN23" i="15"/>
  <c r="CP23" i="15" s="1"/>
  <c r="CM23" i="15"/>
  <c r="CK23" i="15"/>
  <c r="CF23" i="15"/>
  <c r="CH23" i="15" s="1"/>
  <c r="CB23" i="15"/>
  <c r="CD23" i="15" s="1"/>
  <c r="CA23" i="15"/>
  <c r="BY23" i="15"/>
  <c r="BV23" i="15"/>
  <c r="BX23" i="15" s="1"/>
  <c r="BS23" i="15"/>
  <c r="BU23" i="15" s="1"/>
  <c r="BP23" i="15"/>
  <c r="BR23" i="15" s="1"/>
  <c r="BJ23" i="15"/>
  <c r="BL23" i="15" s="1"/>
  <c r="BI23" i="15"/>
  <c r="BG23" i="15"/>
  <c r="BD23" i="15"/>
  <c r="BF23" i="15" s="1"/>
  <c r="BA23" i="15"/>
  <c r="BC23" i="15" s="1"/>
  <c r="AX23" i="15"/>
  <c r="AZ23" i="15" s="1"/>
  <c r="BM23" i="15" s="1"/>
  <c r="AU23" i="15"/>
  <c r="AW23" i="15" s="1"/>
  <c r="AR23" i="15"/>
  <c r="AT23" i="15" s="1"/>
  <c r="DW22" i="15"/>
  <c r="DX22" i="15" s="1"/>
  <c r="DU22" i="15"/>
  <c r="DT22" i="15"/>
  <c r="DS22" i="15"/>
  <c r="DR22" i="15"/>
  <c r="DQ22" i="15"/>
  <c r="DP22" i="15"/>
  <c r="DO22" i="15"/>
  <c r="DN22" i="15"/>
  <c r="DM22" i="15"/>
  <c r="DL22" i="15"/>
  <c r="DK22" i="15"/>
  <c r="DJ22" i="15"/>
  <c r="DI22" i="15"/>
  <c r="DH22" i="15"/>
  <c r="DG22" i="15"/>
  <c r="DF22" i="15"/>
  <c r="DE22" i="15"/>
  <c r="DD22" i="15" s="1"/>
  <c r="CX22" i="15" s="1"/>
  <c r="CU22" i="15"/>
  <c r="CW22" i="15" s="1"/>
  <c r="CR22" i="15"/>
  <c r="CT22" i="15" s="1"/>
  <c r="CN22" i="15"/>
  <c r="CP22" i="15" s="1"/>
  <c r="CK22" i="15"/>
  <c r="CM22" i="15" s="1"/>
  <c r="CF22" i="15"/>
  <c r="CH22" i="15" s="1"/>
  <c r="CD22" i="15"/>
  <c r="CB22" i="15"/>
  <c r="CA22" i="15"/>
  <c r="BY22" i="15"/>
  <c r="BV22" i="15"/>
  <c r="BX22" i="15" s="1"/>
  <c r="BS22" i="15"/>
  <c r="BU22" i="15" s="1"/>
  <c r="BP22" i="15"/>
  <c r="BR22" i="15" s="1"/>
  <c r="CE22" i="15" s="1"/>
  <c r="BL22" i="15"/>
  <c r="BJ22" i="15"/>
  <c r="BG22" i="15"/>
  <c r="BI22" i="15" s="1"/>
  <c r="BD22" i="15"/>
  <c r="BF22" i="15" s="1"/>
  <c r="BA22" i="15"/>
  <c r="BC22" i="15" s="1"/>
  <c r="AX22" i="15"/>
  <c r="AZ22" i="15" s="1"/>
  <c r="AU22" i="15"/>
  <c r="AW22" i="15" s="1"/>
  <c r="AT22" i="15"/>
  <c r="AR22" i="15"/>
  <c r="DW21" i="15"/>
  <c r="DX21" i="15" s="1"/>
  <c r="DU21" i="15"/>
  <c r="DT21" i="15"/>
  <c r="DS21" i="15"/>
  <c r="DR21" i="15"/>
  <c r="DQ21" i="15"/>
  <c r="DP21" i="15"/>
  <c r="DO21" i="15"/>
  <c r="DN21" i="15"/>
  <c r="DM21" i="15"/>
  <c r="DL21" i="15"/>
  <c r="DK21" i="15"/>
  <c r="DJ21" i="15"/>
  <c r="DI21" i="15"/>
  <c r="DH21" i="15"/>
  <c r="DG21" i="15"/>
  <c r="DF21" i="15"/>
  <c r="DE21" i="15"/>
  <c r="CW21" i="15"/>
  <c r="AC60" i="7" s="1"/>
  <c r="CU21" i="15"/>
  <c r="CT21" i="15"/>
  <c r="Z60" i="7" s="1"/>
  <c r="CR21" i="15"/>
  <c r="CP21" i="15"/>
  <c r="CN21" i="15"/>
  <c r="CM21" i="15"/>
  <c r="HR56" i="3" s="1"/>
  <c r="CK21" i="15"/>
  <c r="CH21" i="15"/>
  <c r="CF21" i="15"/>
  <c r="CD21" i="15"/>
  <c r="CB21" i="15"/>
  <c r="CA21" i="15"/>
  <c r="BY21" i="15"/>
  <c r="BX21" i="15"/>
  <c r="BV21" i="15"/>
  <c r="BU21" i="15"/>
  <c r="BS21" i="15"/>
  <c r="BR21" i="15"/>
  <c r="BP21" i="15"/>
  <c r="BL21" i="15"/>
  <c r="BJ21" i="15"/>
  <c r="BI21" i="15"/>
  <c r="BG21" i="15"/>
  <c r="BF21" i="15"/>
  <c r="BD21" i="15"/>
  <c r="BC21" i="15"/>
  <c r="BA21" i="15"/>
  <c r="AZ21" i="15"/>
  <c r="AX21" i="15"/>
  <c r="AW21" i="15"/>
  <c r="AU21" i="15"/>
  <c r="AR21" i="15"/>
  <c r="AT21" i="15" s="1"/>
  <c r="DU20" i="15"/>
  <c r="DT20" i="15"/>
  <c r="DS20" i="15"/>
  <c r="DR20" i="15"/>
  <c r="DQ20" i="15"/>
  <c r="DP20" i="15"/>
  <c r="DO20" i="15"/>
  <c r="DN20" i="15"/>
  <c r="DM20" i="15"/>
  <c r="DL20" i="15"/>
  <c r="DK20" i="15"/>
  <c r="DJ20" i="15"/>
  <c r="DI20" i="15"/>
  <c r="DH20" i="15"/>
  <c r="DG20" i="15"/>
  <c r="DF20" i="15"/>
  <c r="DE20" i="15"/>
  <c r="CW20" i="15"/>
  <c r="AC59" i="7" s="1"/>
  <c r="CU20" i="15"/>
  <c r="CT20" i="15"/>
  <c r="CR20" i="15"/>
  <c r="CP20" i="15"/>
  <c r="AB59" i="7" s="1"/>
  <c r="CN20" i="15"/>
  <c r="CM20" i="15"/>
  <c r="HR55" i="3" s="1"/>
  <c r="CK20" i="15"/>
  <c r="CH20" i="15"/>
  <c r="CF20" i="15"/>
  <c r="CD20" i="15"/>
  <c r="CB20" i="15"/>
  <c r="CA20" i="15"/>
  <c r="BY20" i="15"/>
  <c r="BX20" i="15"/>
  <c r="BV20" i="15"/>
  <c r="BU20" i="15"/>
  <c r="BS20" i="15"/>
  <c r="BR20" i="15"/>
  <c r="BP20" i="15"/>
  <c r="BL20" i="15"/>
  <c r="BJ20" i="15"/>
  <c r="BI20" i="15"/>
  <c r="BG20" i="15"/>
  <c r="BF20" i="15"/>
  <c r="BD20" i="15"/>
  <c r="BC20" i="15"/>
  <c r="BA20" i="15"/>
  <c r="AZ20" i="15"/>
  <c r="AX20" i="15"/>
  <c r="AU20" i="15"/>
  <c r="AW20" i="15" s="1"/>
  <c r="AT20" i="15"/>
  <c r="AR20" i="15"/>
  <c r="DW14" i="15"/>
  <c r="DX14" i="15" s="1"/>
  <c r="DW13" i="15"/>
  <c r="DX13" i="15" s="1"/>
  <c r="DE13" i="15"/>
  <c r="DD13" i="15"/>
  <c r="AR13" i="15"/>
  <c r="AT13" i="15" s="1"/>
  <c r="DW12" i="15"/>
  <c r="DX12" i="15" s="1"/>
  <c r="DE12" i="15"/>
  <c r="DD12" i="15" s="1"/>
  <c r="AR12" i="15"/>
  <c r="AT12" i="15" s="1"/>
  <c r="DE11" i="15"/>
  <c r="DD11" i="15"/>
  <c r="AR11" i="15"/>
  <c r="AT11" i="15" s="1"/>
  <c r="DW10" i="15"/>
  <c r="DX10" i="15" s="1"/>
  <c r="DE10" i="15"/>
  <c r="DD10" i="15" s="1"/>
  <c r="AR10" i="15"/>
  <c r="AT10" i="15" s="1"/>
  <c r="DW9" i="15"/>
  <c r="DE9" i="15"/>
  <c r="DD9" i="15"/>
  <c r="AT9" i="15"/>
  <c r="AR9" i="15"/>
  <c r="CE44" i="16" l="1"/>
  <c r="CC61" i="3"/>
  <c r="FW58" i="3"/>
  <c r="BZ58" i="3"/>
  <c r="CC59" i="3"/>
  <c r="FW60" i="3"/>
  <c r="BZ60" i="3"/>
  <c r="FW61" i="3"/>
  <c r="BZ61" i="3"/>
  <c r="FW59" i="3"/>
  <c r="BZ59" i="3"/>
  <c r="CC62" i="3"/>
  <c r="CC57" i="3"/>
  <c r="CC60" i="3"/>
  <c r="FW57" i="3"/>
  <c r="BZ57" i="3"/>
  <c r="CC58" i="3"/>
  <c r="FW62" i="3"/>
  <c r="BZ62" i="3"/>
  <c r="CL61" i="3"/>
  <c r="FV61" i="3" s="1"/>
  <c r="HQ56" i="3"/>
  <c r="AG60" i="7"/>
  <c r="AG59" i="7"/>
  <c r="HQ55" i="3"/>
  <c r="DD49" i="15"/>
  <c r="BG49" i="15" s="1"/>
  <c r="CC56" i="3"/>
  <c r="BZ56" i="3"/>
  <c r="FW56" i="3"/>
  <c r="BZ55" i="3"/>
  <c r="FW55" i="3"/>
  <c r="DD37" i="15"/>
  <c r="CX37" i="15" s="1"/>
  <c r="CE38" i="15"/>
  <c r="CQ38" i="15" s="1"/>
  <c r="CE37" i="15"/>
  <c r="BM37" i="15"/>
  <c r="CC55" i="3" s="1"/>
  <c r="CL56" i="3"/>
  <c r="FV56" i="3" s="1"/>
  <c r="CL55" i="3"/>
  <c r="FV55" i="3" s="1"/>
  <c r="CE20" i="15"/>
  <c r="CE21" i="15"/>
  <c r="CQ21" i="15" s="1"/>
  <c r="BM21" i="15"/>
  <c r="BM20" i="15"/>
  <c r="BN20" i="15" s="1"/>
  <c r="CJ20" i="15" s="1"/>
  <c r="DD21" i="15"/>
  <c r="CX21" i="15" s="1"/>
  <c r="BN21" i="15"/>
  <c r="Y60" i="7"/>
  <c r="DD20" i="15"/>
  <c r="CX20" i="15" s="1"/>
  <c r="BZ74" i="3"/>
  <c r="FW74" i="3"/>
  <c r="FX74" i="3" s="1"/>
  <c r="CC75" i="3"/>
  <c r="CC77" i="3"/>
  <c r="CC73" i="3"/>
  <c r="FW78" i="3"/>
  <c r="FX78" i="3" s="1"/>
  <c r="BZ78" i="3"/>
  <c r="BZ75" i="3"/>
  <c r="FW75" i="3"/>
  <c r="FX75" i="3" s="1"/>
  <c r="BZ77" i="3"/>
  <c r="FW77" i="3"/>
  <c r="FX77" i="3" s="1"/>
  <c r="BZ73" i="3"/>
  <c r="FW73" i="3"/>
  <c r="FX73" i="3" s="1"/>
  <c r="CC78" i="3"/>
  <c r="BZ76" i="3"/>
  <c r="FW76" i="3"/>
  <c r="FX76" i="3" s="1"/>
  <c r="CC74" i="3"/>
  <c r="CC76" i="3"/>
  <c r="CL78" i="3"/>
  <c r="FV78" i="3" s="1"/>
  <c r="HQ72" i="3"/>
  <c r="AG84" i="7"/>
  <c r="DD50" i="16"/>
  <c r="BG50" i="16" s="1"/>
  <c r="HQ71" i="3"/>
  <c r="AG83" i="7"/>
  <c r="FW72" i="3"/>
  <c r="FX72" i="3" s="1"/>
  <c r="BZ72" i="3"/>
  <c r="FW71" i="3"/>
  <c r="FX71" i="3" s="1"/>
  <c r="BZ71" i="3"/>
  <c r="CE37" i="16"/>
  <c r="CL71" i="3"/>
  <c r="FV71" i="3" s="1"/>
  <c r="CE21" i="16"/>
  <c r="CE20" i="16"/>
  <c r="DD21" i="16"/>
  <c r="CX21" i="16" s="1"/>
  <c r="BM21" i="16"/>
  <c r="Y84" i="7" s="1"/>
  <c r="BM20" i="16"/>
  <c r="BN20" i="16" s="1"/>
  <c r="DD20" i="16"/>
  <c r="CX20" i="16" s="1"/>
  <c r="GC22" i="3"/>
  <c r="HK21" i="3"/>
  <c r="GC18" i="3"/>
  <c r="HJ19" i="3"/>
  <c r="HK19" i="3"/>
  <c r="GD17" i="3"/>
  <c r="GD22" i="3"/>
  <c r="DY22" i="3"/>
  <c r="DY18" i="3"/>
  <c r="DZ22" i="3"/>
  <c r="CM71" i="3"/>
  <c r="CM61" i="3"/>
  <c r="CM74" i="3"/>
  <c r="CM76" i="3"/>
  <c r="CM78" i="3"/>
  <c r="DD38" i="15"/>
  <c r="CX38" i="15" s="1"/>
  <c r="DD40" i="15"/>
  <c r="CX40" i="15" s="1"/>
  <c r="DD43" i="15"/>
  <c r="CX43" i="15" s="1"/>
  <c r="BM44" i="15"/>
  <c r="BN44" i="15" s="1"/>
  <c r="BY62" i="3" s="1"/>
  <c r="BN39" i="15"/>
  <c r="BY57" i="3" s="1"/>
  <c r="DD44" i="15"/>
  <c r="CX44" i="15" s="1"/>
  <c r="BM38" i="16"/>
  <c r="CC72" i="3" s="1"/>
  <c r="DD38" i="16"/>
  <c r="CX38" i="16" s="1"/>
  <c r="BM37" i="16"/>
  <c r="DD37" i="16"/>
  <c r="CX37" i="16" s="1"/>
  <c r="AT44" i="16"/>
  <c r="CK78" i="3" s="1"/>
  <c r="FU78" i="3" s="1"/>
  <c r="HK20" i="3" s="1"/>
  <c r="AT41" i="16"/>
  <c r="CK75" i="3" s="1"/>
  <c r="FU75" i="3" s="1"/>
  <c r="HH20" i="3" s="1"/>
  <c r="AT43" i="16"/>
  <c r="CK77" i="3" s="1"/>
  <c r="FU77" i="3" s="1"/>
  <c r="HJ20" i="3" s="1"/>
  <c r="AT40" i="16"/>
  <c r="CK74" i="3" s="1"/>
  <c r="FU74" i="3" s="1"/>
  <c r="HG20" i="3" s="1"/>
  <c r="AT38" i="16"/>
  <c r="CK72" i="3" s="1"/>
  <c r="FU72" i="3" s="1"/>
  <c r="AT42" i="16"/>
  <c r="CK76" i="3" s="1"/>
  <c r="AT39" i="16"/>
  <c r="CK73" i="3" s="1"/>
  <c r="AT40" i="15"/>
  <c r="CK58" i="3" s="1"/>
  <c r="AT43" i="15"/>
  <c r="CK61" i="3" s="1"/>
  <c r="FU61" i="3" s="1"/>
  <c r="HB20" i="3" s="1"/>
  <c r="AT42" i="15"/>
  <c r="CK60" i="3" s="1"/>
  <c r="FU60" i="3" s="1"/>
  <c r="HA20" i="3" s="1"/>
  <c r="AT39" i="15"/>
  <c r="CK57" i="3" s="1"/>
  <c r="FU57" i="3" s="1"/>
  <c r="GX20" i="3" s="1"/>
  <c r="AT41" i="15"/>
  <c r="CK59" i="3" s="1"/>
  <c r="FU59" i="3" s="1"/>
  <c r="GZ20" i="3" s="1"/>
  <c r="AT44" i="15"/>
  <c r="CK62" i="3" s="1"/>
  <c r="FU62" i="3" s="1"/>
  <c r="HC20" i="3" s="1"/>
  <c r="X9" i="7"/>
  <c r="W57" i="7"/>
  <c r="W81" i="7"/>
  <c r="W33" i="7"/>
  <c r="BM29" i="16"/>
  <c r="BN29" i="16" s="1"/>
  <c r="CJ29" i="16" s="1"/>
  <c r="BN38" i="16"/>
  <c r="BY72" i="3" s="1"/>
  <c r="CE39" i="16"/>
  <c r="BM40" i="16"/>
  <c r="BM26" i="16"/>
  <c r="BM22" i="16"/>
  <c r="CQ22" i="16" s="1"/>
  <c r="BM27" i="16"/>
  <c r="BN27" i="16" s="1"/>
  <c r="CJ27" i="16" s="1"/>
  <c r="CQ23" i="16"/>
  <c r="BN23" i="16"/>
  <c r="CJ23" i="16" s="1"/>
  <c r="BN26" i="16"/>
  <c r="CQ40" i="16"/>
  <c r="BN40" i="16"/>
  <c r="BY74" i="3" s="1"/>
  <c r="CA74" i="3" s="1"/>
  <c r="BN25" i="16"/>
  <c r="CJ25" i="16" s="1"/>
  <c r="CE30" i="16"/>
  <c r="CQ30" i="16" s="1"/>
  <c r="CE31" i="16"/>
  <c r="BM42" i="16"/>
  <c r="CE24" i="16"/>
  <c r="CQ28" i="16"/>
  <c r="BN28" i="16"/>
  <c r="CJ28" i="16" s="1"/>
  <c r="BN39" i="16"/>
  <c r="BY73" i="3" s="1"/>
  <c r="BN41" i="16"/>
  <c r="BY75" i="3" s="1"/>
  <c r="CA75" i="3" s="1"/>
  <c r="CQ41" i="16"/>
  <c r="BM39" i="16"/>
  <c r="CE40" i="16"/>
  <c r="BN30" i="16"/>
  <c r="CE29" i="16"/>
  <c r="BM30" i="16"/>
  <c r="BM31" i="16"/>
  <c r="CQ31" i="16" s="1"/>
  <c r="BN44" i="16"/>
  <c r="BY78" i="3" s="1"/>
  <c r="CA78" i="3" s="1"/>
  <c r="CQ29" i="16"/>
  <c r="CE26" i="16"/>
  <c r="CQ26" i="16" s="1"/>
  <c r="BM44" i="16"/>
  <c r="CQ44" i="16" s="1"/>
  <c r="CE22" i="16"/>
  <c r="BM24" i="16"/>
  <c r="BN24" i="16" s="1"/>
  <c r="CJ24" i="16" s="1"/>
  <c r="CE42" i="16"/>
  <c r="CQ42" i="16" s="1"/>
  <c r="BN43" i="16"/>
  <c r="BY77" i="3" s="1"/>
  <c r="CA77" i="3" s="1"/>
  <c r="CQ43" i="16"/>
  <c r="AT10" i="16"/>
  <c r="AT14" i="16" s="1"/>
  <c r="BN42" i="16"/>
  <c r="BY76" i="3" s="1"/>
  <c r="CA76" i="3" s="1"/>
  <c r="CQ25" i="16"/>
  <c r="CQ39" i="16"/>
  <c r="DW11" i="16"/>
  <c r="DX9" i="16"/>
  <c r="CE41" i="15"/>
  <c r="BN23" i="15"/>
  <c r="BM42" i="15"/>
  <c r="BN42" i="15" s="1"/>
  <c r="BY60" i="3" s="1"/>
  <c r="BN30" i="15"/>
  <c r="CJ30" i="15" s="1"/>
  <c r="CQ30" i="15"/>
  <c r="BN24" i="15"/>
  <c r="CJ24" i="15" s="1"/>
  <c r="BM26" i="15"/>
  <c r="BN26" i="15" s="1"/>
  <c r="CJ26" i="15" s="1"/>
  <c r="BM24" i="15"/>
  <c r="AT14" i="15"/>
  <c r="AR49" i="15" s="1"/>
  <c r="BA49" i="15" s="1"/>
  <c r="HS55" i="3" s="1"/>
  <c r="CQ28" i="15"/>
  <c r="BN28" i="15"/>
  <c r="CJ28" i="15" s="1"/>
  <c r="CE40" i="15"/>
  <c r="BM41" i="15"/>
  <c r="CQ41" i="15" s="1"/>
  <c r="BN29" i="15"/>
  <c r="CJ29" i="15" s="1"/>
  <c r="CJ25" i="15"/>
  <c r="CE23" i="15"/>
  <c r="CQ23" i="15" s="1"/>
  <c r="BM29" i="15"/>
  <c r="CQ29" i="15" s="1"/>
  <c r="CE42" i="15"/>
  <c r="BN38" i="15"/>
  <c r="BY56" i="3" s="1"/>
  <c r="CE39" i="15"/>
  <c r="BM43" i="15"/>
  <c r="CQ43" i="15" s="1"/>
  <c r="BN22" i="15"/>
  <c r="CJ22" i="15" s="1"/>
  <c r="CE24" i="15"/>
  <c r="CQ24" i="15" s="1"/>
  <c r="CE26" i="15"/>
  <c r="CE27" i="15"/>
  <c r="CQ27" i="15" s="1"/>
  <c r="BN31" i="15"/>
  <c r="CJ31" i="15" s="1"/>
  <c r="CQ31" i="15"/>
  <c r="BM40" i="15"/>
  <c r="CQ40" i="15" s="1"/>
  <c r="AR52" i="15"/>
  <c r="BA52" i="15" s="1"/>
  <c r="HS58" i="3" s="1"/>
  <c r="BM22" i="15"/>
  <c r="CQ22" i="15" s="1"/>
  <c r="CQ42" i="15"/>
  <c r="AR14" i="15"/>
  <c r="CQ25" i="15"/>
  <c r="DW11" i="15"/>
  <c r="DX11" i="15" s="1"/>
  <c r="DX9" i="15"/>
  <c r="AN46" i="14"/>
  <c r="C46" i="14"/>
  <c r="AN46" i="6"/>
  <c r="C46" i="6"/>
  <c r="AO44" i="6"/>
  <c r="AO43" i="6"/>
  <c r="AO42" i="6"/>
  <c r="AO41" i="6"/>
  <c r="AO40" i="6"/>
  <c r="AO39" i="6"/>
  <c r="AO38" i="6"/>
  <c r="AO37" i="6"/>
  <c r="AO44" i="14"/>
  <c r="AQ44" i="14" s="1"/>
  <c r="CJ46" i="3" s="1"/>
  <c r="AO43" i="14"/>
  <c r="AQ43" i="14" s="1"/>
  <c r="CJ45" i="3" s="1"/>
  <c r="AO42" i="14"/>
  <c r="AQ42" i="14" s="1"/>
  <c r="CJ44" i="3" s="1"/>
  <c r="AO41" i="14"/>
  <c r="AQ41" i="14" s="1"/>
  <c r="CJ43" i="3" s="1"/>
  <c r="AO40" i="14"/>
  <c r="AQ40" i="14" s="1"/>
  <c r="CJ42" i="3" s="1"/>
  <c r="AO39" i="14"/>
  <c r="AO38" i="14"/>
  <c r="AO37" i="14"/>
  <c r="AN16" i="14"/>
  <c r="AN8" i="14"/>
  <c r="DW60" i="14"/>
  <c r="DX60" i="14" s="1"/>
  <c r="DH60" i="14"/>
  <c r="DG60" i="14"/>
  <c r="DF60" i="14"/>
  <c r="DE60" i="14"/>
  <c r="BF60" i="14"/>
  <c r="AZ60" i="14"/>
  <c r="AW60" i="14"/>
  <c r="AQ60" i="14"/>
  <c r="DW59" i="14"/>
  <c r="DX59" i="14" s="1"/>
  <c r="DH59" i="14"/>
  <c r="DG59" i="14"/>
  <c r="DF59" i="14"/>
  <c r="DE59" i="14"/>
  <c r="BF59" i="14"/>
  <c r="AZ59" i="14"/>
  <c r="AW59" i="14"/>
  <c r="AQ59" i="14"/>
  <c r="DW58" i="14"/>
  <c r="DX58" i="14" s="1"/>
  <c r="DH58" i="14"/>
  <c r="DG58" i="14"/>
  <c r="DF58" i="14"/>
  <c r="DE58" i="14"/>
  <c r="BF58" i="14"/>
  <c r="AZ58" i="14"/>
  <c r="AW58" i="14"/>
  <c r="AQ58" i="14"/>
  <c r="DW57" i="14"/>
  <c r="DX57" i="14" s="1"/>
  <c r="DH57" i="14"/>
  <c r="DG57" i="14"/>
  <c r="DF57" i="14"/>
  <c r="DE57" i="14"/>
  <c r="BF57" i="14"/>
  <c r="AZ57" i="14"/>
  <c r="AW57" i="14"/>
  <c r="AQ57" i="14"/>
  <c r="DW56" i="14"/>
  <c r="DX56" i="14" s="1"/>
  <c r="DH56" i="14"/>
  <c r="DG56" i="14"/>
  <c r="DF56" i="14"/>
  <c r="DE56" i="14"/>
  <c r="DD56" i="14" s="1"/>
  <c r="BG56" i="14" s="1"/>
  <c r="BF56" i="14"/>
  <c r="AZ56" i="14"/>
  <c r="AW56" i="14"/>
  <c r="AQ56" i="14"/>
  <c r="DW55" i="14"/>
  <c r="DX55" i="14" s="1"/>
  <c r="DH55" i="14"/>
  <c r="DG55" i="14"/>
  <c r="DF55" i="14"/>
  <c r="DE55" i="14"/>
  <c r="BF55" i="14"/>
  <c r="AZ55" i="14"/>
  <c r="AW55" i="14"/>
  <c r="AQ55" i="14"/>
  <c r="DH54" i="14"/>
  <c r="DG54" i="14"/>
  <c r="DF54" i="14"/>
  <c r="DE54" i="14"/>
  <c r="BF54" i="14"/>
  <c r="AZ54" i="14"/>
  <c r="AW54" i="14"/>
  <c r="AQ54" i="14"/>
  <c r="DW53" i="14"/>
  <c r="DX53" i="14" s="1"/>
  <c r="DH53" i="14"/>
  <c r="DG53" i="14"/>
  <c r="DF53" i="14"/>
  <c r="DD53" i="14" s="1"/>
  <c r="BG53" i="14" s="1"/>
  <c r="DE53" i="14"/>
  <c r="BF53" i="14"/>
  <c r="AZ53" i="14"/>
  <c r="AW53" i="14"/>
  <c r="AQ53" i="14"/>
  <c r="DW52" i="14"/>
  <c r="DX52" i="14" s="1"/>
  <c r="DH52" i="14"/>
  <c r="DG52" i="14"/>
  <c r="DF52" i="14"/>
  <c r="DE52" i="14"/>
  <c r="BF52" i="14"/>
  <c r="AZ52" i="14"/>
  <c r="AW52" i="14"/>
  <c r="AQ52" i="14"/>
  <c r="DW51" i="14"/>
  <c r="DX51" i="14" s="1"/>
  <c r="DH51" i="14"/>
  <c r="DG51" i="14"/>
  <c r="DF51" i="14"/>
  <c r="DE51" i="14"/>
  <c r="BF51" i="14"/>
  <c r="AZ51" i="14"/>
  <c r="AW51" i="14"/>
  <c r="AQ51" i="14"/>
  <c r="DW50" i="14"/>
  <c r="DX50" i="14" s="1"/>
  <c r="DH50" i="14"/>
  <c r="DG50" i="14"/>
  <c r="DF50" i="14"/>
  <c r="DD50" i="14" s="1"/>
  <c r="BG50" i="14" s="1"/>
  <c r="DE50" i="14"/>
  <c r="BF50" i="14"/>
  <c r="AZ50" i="14"/>
  <c r="AW50" i="14"/>
  <c r="AQ50" i="14"/>
  <c r="DH49" i="14"/>
  <c r="DG49" i="14"/>
  <c r="DF49" i="14"/>
  <c r="DE49" i="14"/>
  <c r="BF49" i="14"/>
  <c r="AZ49" i="14"/>
  <c r="AW49" i="14"/>
  <c r="AQ49" i="14"/>
  <c r="DW44" i="14"/>
  <c r="DX44" i="14" s="1"/>
  <c r="DU44" i="14"/>
  <c r="DT44" i="14"/>
  <c r="DS44" i="14"/>
  <c r="DR44" i="14"/>
  <c r="DQ44" i="14"/>
  <c r="DP44" i="14"/>
  <c r="DO44" i="14"/>
  <c r="DN44" i="14"/>
  <c r="DM44" i="14"/>
  <c r="DL44" i="14"/>
  <c r="DK44" i="14"/>
  <c r="DJ44" i="14"/>
  <c r="DI44" i="14"/>
  <c r="DH44" i="14"/>
  <c r="DG44" i="14"/>
  <c r="DF44" i="14"/>
  <c r="DE44" i="14"/>
  <c r="CU44" i="14"/>
  <c r="CW44" i="14" s="1"/>
  <c r="CF46" i="3" s="1"/>
  <c r="CR44" i="14"/>
  <c r="CT44" i="14" s="1"/>
  <c r="CD46" i="3" s="1"/>
  <c r="CN44" i="14"/>
  <c r="CP44" i="14" s="1"/>
  <c r="CE46" i="3" s="1"/>
  <c r="CK44" i="14"/>
  <c r="CM44" i="14" s="1"/>
  <c r="CF44" i="14"/>
  <c r="CH44" i="14" s="1"/>
  <c r="CB44" i="14"/>
  <c r="CD44" i="14" s="1"/>
  <c r="BY44" i="14"/>
  <c r="CA44" i="14" s="1"/>
  <c r="BV44" i="14"/>
  <c r="BX44" i="14" s="1"/>
  <c r="BS44" i="14"/>
  <c r="BU44" i="14" s="1"/>
  <c r="BP44" i="14"/>
  <c r="BR44" i="14" s="1"/>
  <c r="BJ44" i="14"/>
  <c r="BL44" i="14" s="1"/>
  <c r="BG44" i="14"/>
  <c r="BI44" i="14" s="1"/>
  <c r="BD44" i="14"/>
  <c r="BF44" i="14" s="1"/>
  <c r="BA44" i="14"/>
  <c r="BC44" i="14" s="1"/>
  <c r="AX44" i="14"/>
  <c r="AZ44" i="14" s="1"/>
  <c r="AU44" i="14"/>
  <c r="AW44" i="14" s="1"/>
  <c r="CC46" i="3" s="1"/>
  <c r="AR44" i="14"/>
  <c r="AN44" i="14"/>
  <c r="DW43" i="14"/>
  <c r="DX43" i="14" s="1"/>
  <c r="DU43" i="14"/>
  <c r="DT43" i="14"/>
  <c r="DS43" i="14"/>
  <c r="DR43" i="14"/>
  <c r="DQ43" i="14"/>
  <c r="DP43" i="14"/>
  <c r="DO43" i="14"/>
  <c r="DN43" i="14"/>
  <c r="DM43" i="14"/>
  <c r="DL43" i="14"/>
  <c r="DK43" i="14"/>
  <c r="DJ43" i="14"/>
  <c r="DI43" i="14"/>
  <c r="DH43" i="14"/>
  <c r="DG43" i="14"/>
  <c r="DF43" i="14"/>
  <c r="DE43" i="14"/>
  <c r="CU43" i="14"/>
  <c r="CW43" i="14" s="1"/>
  <c r="CF45" i="3" s="1"/>
  <c r="CR43" i="14"/>
  <c r="CT43" i="14" s="1"/>
  <c r="CD45" i="3" s="1"/>
  <c r="CN43" i="14"/>
  <c r="CP43" i="14" s="1"/>
  <c r="CE45" i="3" s="1"/>
  <c r="CK43" i="14"/>
  <c r="CM43" i="14" s="1"/>
  <c r="CH43" i="14"/>
  <c r="CF43" i="14"/>
  <c r="CB43" i="14"/>
  <c r="CD43" i="14" s="1"/>
  <c r="CA43" i="14"/>
  <c r="BY43" i="14"/>
  <c r="BV43" i="14"/>
  <c r="BX43" i="14" s="1"/>
  <c r="BS43" i="14"/>
  <c r="BU43" i="14" s="1"/>
  <c r="BP43" i="14"/>
  <c r="BR43" i="14" s="1"/>
  <c r="BJ43" i="14"/>
  <c r="BL43" i="14" s="1"/>
  <c r="BG43" i="14"/>
  <c r="BI43" i="14" s="1"/>
  <c r="BD43" i="14"/>
  <c r="BF43" i="14" s="1"/>
  <c r="BA43" i="14"/>
  <c r="BC43" i="14" s="1"/>
  <c r="AX43" i="14"/>
  <c r="AZ43" i="14" s="1"/>
  <c r="AU43" i="14"/>
  <c r="AW43" i="14" s="1"/>
  <c r="AR43" i="14"/>
  <c r="AN43" i="14"/>
  <c r="DW42" i="14"/>
  <c r="DX42" i="14" s="1"/>
  <c r="DU42" i="14"/>
  <c r="DT42" i="14"/>
  <c r="DS42" i="14"/>
  <c r="DR42" i="14"/>
  <c r="DQ42" i="14"/>
  <c r="DP42" i="14"/>
  <c r="DO42" i="14"/>
  <c r="DN42" i="14"/>
  <c r="DM42" i="14"/>
  <c r="DL42" i="14"/>
  <c r="DK42" i="14"/>
  <c r="DJ42" i="14"/>
  <c r="DI42" i="14"/>
  <c r="DH42" i="14"/>
  <c r="DG42" i="14"/>
  <c r="DF42" i="14"/>
  <c r="DE42" i="14"/>
  <c r="CU42" i="14"/>
  <c r="CW42" i="14" s="1"/>
  <c r="CF44" i="3" s="1"/>
  <c r="CR42" i="14"/>
  <c r="CT42" i="14" s="1"/>
  <c r="CD44" i="3" s="1"/>
  <c r="CN42" i="14"/>
  <c r="CP42" i="14" s="1"/>
  <c r="CE44" i="3" s="1"/>
  <c r="CK42" i="14"/>
  <c r="CM42" i="14" s="1"/>
  <c r="CF42" i="14"/>
  <c r="CH42" i="14" s="1"/>
  <c r="CB42" i="14"/>
  <c r="CD42" i="14" s="1"/>
  <c r="BY42" i="14"/>
  <c r="CA42" i="14" s="1"/>
  <c r="BV42" i="14"/>
  <c r="BX42" i="14" s="1"/>
  <c r="BS42" i="14"/>
  <c r="BU42" i="14" s="1"/>
  <c r="BP42" i="14"/>
  <c r="BR42" i="14" s="1"/>
  <c r="BJ42" i="14"/>
  <c r="BL42" i="14" s="1"/>
  <c r="BG42" i="14"/>
  <c r="BI42" i="14" s="1"/>
  <c r="BD42" i="14"/>
  <c r="BF42" i="14" s="1"/>
  <c r="BA42" i="14"/>
  <c r="BC42" i="14" s="1"/>
  <c r="AX42" i="14"/>
  <c r="AZ42" i="14" s="1"/>
  <c r="AU42" i="14"/>
  <c r="AW42" i="14" s="1"/>
  <c r="AR42" i="14"/>
  <c r="AN42" i="14"/>
  <c r="DW41" i="14"/>
  <c r="DX41" i="14" s="1"/>
  <c r="DU41" i="14"/>
  <c r="DT41" i="14"/>
  <c r="DS41" i="14"/>
  <c r="DR41" i="14"/>
  <c r="DQ41" i="14"/>
  <c r="DP41" i="14"/>
  <c r="DO41" i="14"/>
  <c r="DN41" i="14"/>
  <c r="DM41" i="14"/>
  <c r="DL41" i="14"/>
  <c r="DK41" i="14"/>
  <c r="DJ41" i="14"/>
  <c r="DI41" i="14"/>
  <c r="DH41" i="14"/>
  <c r="DG41" i="14"/>
  <c r="DF41" i="14"/>
  <c r="DE41" i="14"/>
  <c r="CU41" i="14"/>
  <c r="CW41" i="14" s="1"/>
  <c r="CF43" i="3" s="1"/>
  <c r="CR41" i="14"/>
  <c r="CT41" i="14" s="1"/>
  <c r="CD43" i="3" s="1"/>
  <c r="CN41" i="14"/>
  <c r="CP41" i="14" s="1"/>
  <c r="CE43" i="3" s="1"/>
  <c r="CK41" i="14"/>
  <c r="CM41" i="14" s="1"/>
  <c r="CH41" i="14"/>
  <c r="CF41" i="14"/>
  <c r="CB41" i="14"/>
  <c r="CD41" i="14" s="1"/>
  <c r="BY41" i="14"/>
  <c r="CA41" i="14" s="1"/>
  <c r="BX41" i="14"/>
  <c r="BV41" i="14"/>
  <c r="BS41" i="14"/>
  <c r="BU41" i="14" s="1"/>
  <c r="BP41" i="14"/>
  <c r="BR41" i="14" s="1"/>
  <c r="CE41" i="14" s="1"/>
  <c r="BJ41" i="14"/>
  <c r="BL41" i="14" s="1"/>
  <c r="BG41" i="14"/>
  <c r="BI41" i="14" s="1"/>
  <c r="BD41" i="14"/>
  <c r="BF41" i="14" s="1"/>
  <c r="BA41" i="14"/>
  <c r="BC41" i="14" s="1"/>
  <c r="AX41" i="14"/>
  <c r="AZ41" i="14" s="1"/>
  <c r="AU41" i="14"/>
  <c r="AW41" i="14" s="1"/>
  <c r="AR41" i="14"/>
  <c r="AN41" i="14"/>
  <c r="DU40" i="14"/>
  <c r="DT40" i="14"/>
  <c r="DS40" i="14"/>
  <c r="DR40" i="14"/>
  <c r="DQ40" i="14"/>
  <c r="DP40" i="14"/>
  <c r="DO40" i="14"/>
  <c r="DN40" i="14"/>
  <c r="DM40" i="14"/>
  <c r="DL40" i="14"/>
  <c r="DK40" i="14"/>
  <c r="DJ40" i="14"/>
  <c r="DI40" i="14"/>
  <c r="DH40" i="14"/>
  <c r="DG40" i="14"/>
  <c r="DF40" i="14"/>
  <c r="DE40" i="14"/>
  <c r="CU40" i="14"/>
  <c r="CW40" i="14" s="1"/>
  <c r="CF42" i="3" s="1"/>
  <c r="CR40" i="14"/>
  <c r="CT40" i="14" s="1"/>
  <c r="CD42" i="3" s="1"/>
  <c r="CN40" i="14"/>
  <c r="CP40" i="14" s="1"/>
  <c r="CE42" i="3" s="1"/>
  <c r="CK40" i="14"/>
  <c r="CM40" i="14" s="1"/>
  <c r="CF40" i="14"/>
  <c r="CH40" i="14" s="1"/>
  <c r="CB40" i="14"/>
  <c r="CD40" i="14" s="1"/>
  <c r="BY40" i="14"/>
  <c r="CA40" i="14" s="1"/>
  <c r="BV40" i="14"/>
  <c r="BX40" i="14" s="1"/>
  <c r="BS40" i="14"/>
  <c r="BU40" i="14" s="1"/>
  <c r="BP40" i="14"/>
  <c r="BR40" i="14" s="1"/>
  <c r="BJ40" i="14"/>
  <c r="BL40" i="14" s="1"/>
  <c r="BG40" i="14"/>
  <c r="BI40" i="14" s="1"/>
  <c r="BD40" i="14"/>
  <c r="BF40" i="14" s="1"/>
  <c r="BA40" i="14"/>
  <c r="BC40" i="14" s="1"/>
  <c r="AX40" i="14"/>
  <c r="AZ40" i="14" s="1"/>
  <c r="AU40" i="14"/>
  <c r="AW40" i="14" s="1"/>
  <c r="CC42" i="3" s="1"/>
  <c r="AR40" i="14"/>
  <c r="AN40" i="14"/>
  <c r="DW39" i="14"/>
  <c r="DX39" i="14" s="1"/>
  <c r="DU39" i="14"/>
  <c r="DT39" i="14"/>
  <c r="DS39" i="14"/>
  <c r="DR39" i="14"/>
  <c r="DQ39" i="14"/>
  <c r="DP39" i="14"/>
  <c r="DO39" i="14"/>
  <c r="DN39" i="14"/>
  <c r="DM39" i="14"/>
  <c r="DL39" i="14"/>
  <c r="DK39" i="14"/>
  <c r="DJ39" i="14"/>
  <c r="DI39" i="14"/>
  <c r="DH39" i="14"/>
  <c r="DG39" i="14"/>
  <c r="DF39" i="14"/>
  <c r="DE39" i="14"/>
  <c r="CU39" i="14"/>
  <c r="CW39" i="14" s="1"/>
  <c r="CF41" i="3" s="1"/>
  <c r="CR39" i="14"/>
  <c r="CT39" i="14" s="1"/>
  <c r="CD41" i="3" s="1"/>
  <c r="CN39" i="14"/>
  <c r="CP39" i="14" s="1"/>
  <c r="CE41" i="3" s="1"/>
  <c r="CM39" i="14"/>
  <c r="CK39" i="14"/>
  <c r="CF39" i="14"/>
  <c r="CH39" i="14" s="1"/>
  <c r="CB39" i="14"/>
  <c r="CD39" i="14" s="1"/>
  <c r="BY39" i="14"/>
  <c r="CA39" i="14" s="1"/>
  <c r="BV39" i="14"/>
  <c r="BX39" i="14" s="1"/>
  <c r="BU39" i="14"/>
  <c r="BS39" i="14"/>
  <c r="BP39" i="14"/>
  <c r="BR39" i="14" s="1"/>
  <c r="BL39" i="14"/>
  <c r="BJ39" i="14"/>
  <c r="BG39" i="14"/>
  <c r="BI39" i="14" s="1"/>
  <c r="BD39" i="14"/>
  <c r="BF39" i="14" s="1"/>
  <c r="BA39" i="14"/>
  <c r="BC39" i="14" s="1"/>
  <c r="AX39" i="14"/>
  <c r="AZ39" i="14" s="1"/>
  <c r="AU39" i="14"/>
  <c r="AW39" i="14" s="1"/>
  <c r="AR39" i="14"/>
  <c r="AQ39" i="14"/>
  <c r="CJ41" i="3" s="1"/>
  <c r="AN39" i="14"/>
  <c r="DW38" i="14"/>
  <c r="DX38" i="14" s="1"/>
  <c r="DU38" i="14"/>
  <c r="DT38" i="14"/>
  <c r="DS38" i="14"/>
  <c r="DR38" i="14"/>
  <c r="DQ38" i="14"/>
  <c r="DP38" i="14"/>
  <c r="DO38" i="14"/>
  <c r="DN38" i="14"/>
  <c r="DM38" i="14"/>
  <c r="DL38" i="14"/>
  <c r="DK38" i="14"/>
  <c r="DJ38" i="14"/>
  <c r="DI38" i="14"/>
  <c r="DH38" i="14"/>
  <c r="DG38" i="14"/>
  <c r="DF38" i="14"/>
  <c r="DE38" i="14"/>
  <c r="CU38" i="14"/>
  <c r="CW38" i="14" s="1"/>
  <c r="CF40" i="3" s="1"/>
  <c r="CR38" i="14"/>
  <c r="CT38" i="14" s="1"/>
  <c r="CD40" i="3" s="1"/>
  <c r="CN38" i="14"/>
  <c r="CP38" i="14" s="1"/>
  <c r="CE40" i="3" s="1"/>
  <c r="CK38" i="14"/>
  <c r="CM38" i="14" s="1"/>
  <c r="CH38" i="14"/>
  <c r="CF38" i="14"/>
  <c r="CD38" i="14"/>
  <c r="CB38" i="14"/>
  <c r="CA38" i="14"/>
  <c r="BY38" i="14"/>
  <c r="BX38" i="14"/>
  <c r="BV38" i="14"/>
  <c r="BU38" i="14"/>
  <c r="BS38" i="14"/>
  <c r="BR38" i="14"/>
  <c r="BP38" i="14"/>
  <c r="BL38" i="14"/>
  <c r="BJ38" i="14"/>
  <c r="BI38" i="14"/>
  <c r="BG38" i="14"/>
  <c r="BF38" i="14"/>
  <c r="BD38" i="14"/>
  <c r="BC38" i="14"/>
  <c r="BA38" i="14"/>
  <c r="AZ38" i="14"/>
  <c r="AX38" i="14"/>
  <c r="AW38" i="14"/>
  <c r="AU38" i="14"/>
  <c r="AR38" i="14"/>
  <c r="AQ38" i="14"/>
  <c r="CJ40" i="3" s="1"/>
  <c r="AN38" i="14"/>
  <c r="DU37" i="14"/>
  <c r="DT37" i="14"/>
  <c r="DS37" i="14"/>
  <c r="DR37" i="14"/>
  <c r="DQ37" i="14"/>
  <c r="DP37" i="14"/>
  <c r="DO37" i="14"/>
  <c r="DN37" i="14"/>
  <c r="DM37" i="14"/>
  <c r="DL37" i="14"/>
  <c r="DK37" i="14"/>
  <c r="DJ37" i="14"/>
  <c r="DI37" i="14"/>
  <c r="DH37" i="14"/>
  <c r="DG37" i="14"/>
  <c r="DF37" i="14"/>
  <c r="DE37" i="14"/>
  <c r="CU37" i="14"/>
  <c r="CW37" i="14" s="1"/>
  <c r="CF39" i="3" s="1"/>
  <c r="CT37" i="14"/>
  <c r="CD39" i="3" s="1"/>
  <c r="CR37" i="14"/>
  <c r="CN37" i="14"/>
  <c r="CP37" i="14" s="1"/>
  <c r="CE39" i="3" s="1"/>
  <c r="CK37" i="14"/>
  <c r="CM37" i="14" s="1"/>
  <c r="CH37" i="14"/>
  <c r="CF37" i="14"/>
  <c r="CD37" i="14"/>
  <c r="CB37" i="14"/>
  <c r="CA37" i="14"/>
  <c r="BY37" i="14"/>
  <c r="BX37" i="14"/>
  <c r="BV37" i="14"/>
  <c r="BU37" i="14"/>
  <c r="BS37" i="14"/>
  <c r="BR37" i="14"/>
  <c r="BP37" i="14"/>
  <c r="BL37" i="14"/>
  <c r="BJ37" i="14"/>
  <c r="BI37" i="14"/>
  <c r="BG37" i="14"/>
  <c r="BF37" i="14"/>
  <c r="BD37" i="14"/>
  <c r="BC37" i="14"/>
  <c r="BA37" i="14"/>
  <c r="AZ37" i="14"/>
  <c r="AX37" i="14"/>
  <c r="AW37" i="14"/>
  <c r="AU37" i="14"/>
  <c r="AT37" i="14"/>
  <c r="CK39" i="3" s="1"/>
  <c r="FU39" i="3" s="1"/>
  <c r="AR37" i="14"/>
  <c r="AQ37" i="14"/>
  <c r="CJ39" i="3" s="1"/>
  <c r="AN37" i="14"/>
  <c r="DW31" i="14"/>
  <c r="DX31" i="14" s="1"/>
  <c r="DU31" i="14"/>
  <c r="DT31" i="14"/>
  <c r="DS31" i="14"/>
  <c r="DR31" i="14"/>
  <c r="DQ31" i="14"/>
  <c r="DP31" i="14"/>
  <c r="DO31" i="14"/>
  <c r="DN31" i="14"/>
  <c r="DM31" i="14"/>
  <c r="DL31" i="14"/>
  <c r="DK31" i="14"/>
  <c r="DJ31" i="14"/>
  <c r="DI31" i="14"/>
  <c r="DH31" i="14"/>
  <c r="DG31" i="14"/>
  <c r="DF31" i="14"/>
  <c r="DE31" i="14"/>
  <c r="DD31" i="14"/>
  <c r="CX31" i="14" s="1"/>
  <c r="CU31" i="14"/>
  <c r="CW31" i="14" s="1"/>
  <c r="CT31" i="14"/>
  <c r="CR31" i="14"/>
  <c r="CN31" i="14"/>
  <c r="CP31" i="14" s="1"/>
  <c r="CK31" i="14"/>
  <c r="CM31" i="14" s="1"/>
  <c r="CF31" i="14"/>
  <c r="CH31" i="14" s="1"/>
  <c r="CB31" i="14"/>
  <c r="CD31" i="14" s="1"/>
  <c r="BY31" i="14"/>
  <c r="CA31" i="14" s="1"/>
  <c r="BV31" i="14"/>
  <c r="BX31" i="14" s="1"/>
  <c r="BS31" i="14"/>
  <c r="BU31" i="14" s="1"/>
  <c r="BP31" i="14"/>
  <c r="BR31" i="14" s="1"/>
  <c r="CE31" i="14" s="1"/>
  <c r="BJ31" i="14"/>
  <c r="BL31" i="14" s="1"/>
  <c r="BG31" i="14"/>
  <c r="BI31" i="14" s="1"/>
  <c r="BD31" i="14"/>
  <c r="BF31" i="14" s="1"/>
  <c r="BA31" i="14"/>
  <c r="BC31" i="14" s="1"/>
  <c r="AX31" i="14"/>
  <c r="AZ31" i="14" s="1"/>
  <c r="AU31" i="14"/>
  <c r="AW31" i="14" s="1"/>
  <c r="AT31" i="14"/>
  <c r="AR31" i="14"/>
  <c r="DW30" i="14"/>
  <c r="DX30" i="14" s="1"/>
  <c r="DU30" i="14"/>
  <c r="DT30" i="14"/>
  <c r="DS30" i="14"/>
  <c r="DR30" i="14"/>
  <c r="DQ30" i="14"/>
  <c r="DP30" i="14"/>
  <c r="DO30" i="14"/>
  <c r="DN30" i="14"/>
  <c r="DM30" i="14"/>
  <c r="DL30" i="14"/>
  <c r="DK30" i="14"/>
  <c r="DJ30" i="14"/>
  <c r="DI30" i="14"/>
  <c r="DH30" i="14"/>
  <c r="DG30" i="14"/>
  <c r="DF30" i="14"/>
  <c r="DE30" i="14"/>
  <c r="CU30" i="14"/>
  <c r="CW30" i="14" s="1"/>
  <c r="CR30" i="14"/>
  <c r="CT30" i="14" s="1"/>
  <c r="CN30" i="14"/>
  <c r="CP30" i="14" s="1"/>
  <c r="CK30" i="14"/>
  <c r="CM30" i="14" s="1"/>
  <c r="CF30" i="14"/>
  <c r="CH30" i="14" s="1"/>
  <c r="CB30" i="14"/>
  <c r="CD30" i="14" s="1"/>
  <c r="BY30" i="14"/>
  <c r="CA30" i="14" s="1"/>
  <c r="BV30" i="14"/>
  <c r="BX30" i="14" s="1"/>
  <c r="BS30" i="14"/>
  <c r="BU30" i="14" s="1"/>
  <c r="BP30" i="14"/>
  <c r="BR30" i="14" s="1"/>
  <c r="BJ30" i="14"/>
  <c r="BL30" i="14" s="1"/>
  <c r="BG30" i="14"/>
  <c r="BI30" i="14" s="1"/>
  <c r="BD30" i="14"/>
  <c r="BF30" i="14" s="1"/>
  <c r="BA30" i="14"/>
  <c r="BC30" i="14" s="1"/>
  <c r="AX30" i="14"/>
  <c r="AZ30" i="14" s="1"/>
  <c r="AU30" i="14"/>
  <c r="AW30" i="14" s="1"/>
  <c r="AR30" i="14"/>
  <c r="AT30" i="14" s="1"/>
  <c r="DW29" i="14"/>
  <c r="DX29" i="14" s="1"/>
  <c r="DU29" i="14"/>
  <c r="DT29" i="14"/>
  <c r="DS29" i="14"/>
  <c r="DR29" i="14"/>
  <c r="DQ29" i="14"/>
  <c r="DP29" i="14"/>
  <c r="DO29" i="14"/>
  <c r="DN29" i="14"/>
  <c r="DM29" i="14"/>
  <c r="DL29" i="14"/>
  <c r="DK29" i="14"/>
  <c r="DJ29" i="14"/>
  <c r="DI29" i="14"/>
  <c r="DH29" i="14"/>
  <c r="DG29" i="14"/>
  <c r="DF29" i="14"/>
  <c r="DE29" i="14"/>
  <c r="CU29" i="14"/>
  <c r="CW29" i="14" s="1"/>
  <c r="CR29" i="14"/>
  <c r="CT29" i="14" s="1"/>
  <c r="CN29" i="14"/>
  <c r="CP29" i="14" s="1"/>
  <c r="CK29" i="14"/>
  <c r="CM29" i="14" s="1"/>
  <c r="CF29" i="14"/>
  <c r="CH29" i="14" s="1"/>
  <c r="CB29" i="14"/>
  <c r="CD29" i="14" s="1"/>
  <c r="BY29" i="14"/>
  <c r="CA29" i="14" s="1"/>
  <c r="BV29" i="14"/>
  <c r="BX29" i="14" s="1"/>
  <c r="BS29" i="14"/>
  <c r="BU29" i="14" s="1"/>
  <c r="BP29" i="14"/>
  <c r="BR29" i="14" s="1"/>
  <c r="BJ29" i="14"/>
  <c r="BL29" i="14" s="1"/>
  <c r="BG29" i="14"/>
  <c r="BI29" i="14" s="1"/>
  <c r="BD29" i="14"/>
  <c r="BF29" i="14" s="1"/>
  <c r="BA29" i="14"/>
  <c r="BC29" i="14" s="1"/>
  <c r="AX29" i="14"/>
  <c r="AZ29" i="14" s="1"/>
  <c r="AU29" i="14"/>
  <c r="AW29" i="14" s="1"/>
  <c r="AR29" i="14"/>
  <c r="AT29" i="14" s="1"/>
  <c r="DU28" i="14"/>
  <c r="DT28" i="14"/>
  <c r="DS28" i="14"/>
  <c r="DR28" i="14"/>
  <c r="DQ28" i="14"/>
  <c r="DP28" i="14"/>
  <c r="DO28" i="14"/>
  <c r="DN28" i="14"/>
  <c r="DM28" i="14"/>
  <c r="DL28" i="14"/>
  <c r="DK28" i="14"/>
  <c r="DJ28" i="14"/>
  <c r="DI28" i="14"/>
  <c r="DH28" i="14"/>
  <c r="DG28" i="14"/>
  <c r="DF28" i="14"/>
  <c r="DE28" i="14"/>
  <c r="CU28" i="14"/>
  <c r="CW28" i="14" s="1"/>
  <c r="CR28" i="14"/>
  <c r="CT28" i="14" s="1"/>
  <c r="CN28" i="14"/>
  <c r="CP28" i="14" s="1"/>
  <c r="CM28" i="14"/>
  <c r="CK28" i="14"/>
  <c r="CF28" i="14"/>
  <c r="CH28" i="14" s="1"/>
  <c r="CB28" i="14"/>
  <c r="CD28" i="14" s="1"/>
  <c r="BY28" i="14"/>
  <c r="CA28" i="14" s="1"/>
  <c r="BX28" i="14"/>
  <c r="BV28" i="14"/>
  <c r="BU28" i="14"/>
  <c r="BS28" i="14"/>
  <c r="BP28" i="14"/>
  <c r="BR28" i="14" s="1"/>
  <c r="BJ28" i="14"/>
  <c r="BL28" i="14" s="1"/>
  <c r="BG28" i="14"/>
  <c r="BI28" i="14" s="1"/>
  <c r="BF28" i="14"/>
  <c r="BD28" i="14"/>
  <c r="BA28" i="14"/>
  <c r="BC28" i="14" s="1"/>
  <c r="AX28" i="14"/>
  <c r="AZ28" i="14" s="1"/>
  <c r="AW28" i="14"/>
  <c r="AU28" i="14"/>
  <c r="AR28" i="14"/>
  <c r="AT28" i="14" s="1"/>
  <c r="DW27" i="14"/>
  <c r="DX27" i="14" s="1"/>
  <c r="DU27" i="14"/>
  <c r="DT27" i="14"/>
  <c r="DS27" i="14"/>
  <c r="DR27" i="14"/>
  <c r="DQ27" i="14"/>
  <c r="DP27" i="14"/>
  <c r="DO27" i="14"/>
  <c r="DN27" i="14"/>
  <c r="DM27" i="14"/>
  <c r="DL27" i="14"/>
  <c r="DK27" i="14"/>
  <c r="DJ27" i="14"/>
  <c r="DI27" i="14"/>
  <c r="DH27" i="14"/>
  <c r="DG27" i="14"/>
  <c r="DF27" i="14"/>
  <c r="DE27" i="14"/>
  <c r="CU27" i="14"/>
  <c r="CW27" i="14" s="1"/>
  <c r="CR27" i="14"/>
  <c r="CT27" i="14" s="1"/>
  <c r="CP27" i="14"/>
  <c r="CN27" i="14"/>
  <c r="CK27" i="14"/>
  <c r="CM27" i="14" s="1"/>
  <c r="CF27" i="14"/>
  <c r="CH27" i="14" s="1"/>
  <c r="CB27" i="14"/>
  <c r="CD27" i="14" s="1"/>
  <c r="BY27" i="14"/>
  <c r="CA27" i="14" s="1"/>
  <c r="BX27" i="14"/>
  <c r="BV27" i="14"/>
  <c r="BS27" i="14"/>
  <c r="BU27" i="14" s="1"/>
  <c r="BP27" i="14"/>
  <c r="BR27" i="14" s="1"/>
  <c r="BL27" i="14"/>
  <c r="BJ27" i="14"/>
  <c r="BG27" i="14"/>
  <c r="BI27" i="14" s="1"/>
  <c r="BD27" i="14"/>
  <c r="BF27" i="14" s="1"/>
  <c r="BA27" i="14"/>
  <c r="BC27" i="14" s="1"/>
  <c r="AX27" i="14"/>
  <c r="AZ27" i="14" s="1"/>
  <c r="AU27" i="14"/>
  <c r="AW27" i="14" s="1"/>
  <c r="AR27" i="14"/>
  <c r="AT27" i="14" s="1"/>
  <c r="DW26" i="14"/>
  <c r="DX26" i="14" s="1"/>
  <c r="DU26" i="14"/>
  <c r="DT26" i="14"/>
  <c r="DS26" i="14"/>
  <c r="DR26" i="14"/>
  <c r="DQ26" i="14"/>
  <c r="DP26" i="14"/>
  <c r="DO26" i="14"/>
  <c r="DN26" i="14"/>
  <c r="DM26" i="14"/>
  <c r="DL26" i="14"/>
  <c r="DK26" i="14"/>
  <c r="DJ26" i="14"/>
  <c r="DI26" i="14"/>
  <c r="DH26" i="14"/>
  <c r="DG26" i="14"/>
  <c r="DF26" i="14"/>
  <c r="DE26" i="14"/>
  <c r="CU26" i="14"/>
  <c r="CW26" i="14" s="1"/>
  <c r="CR26" i="14"/>
  <c r="CT26" i="14" s="1"/>
  <c r="CN26" i="14"/>
  <c r="CP26" i="14" s="1"/>
  <c r="CK26" i="14"/>
  <c r="CM26" i="14" s="1"/>
  <c r="CF26" i="14"/>
  <c r="CH26" i="14" s="1"/>
  <c r="CB26" i="14"/>
  <c r="CD26" i="14" s="1"/>
  <c r="BY26" i="14"/>
  <c r="CA26" i="14" s="1"/>
  <c r="BV26" i="14"/>
  <c r="BX26" i="14" s="1"/>
  <c r="BS26" i="14"/>
  <c r="BU26" i="14" s="1"/>
  <c r="BP26" i="14"/>
  <c r="BR26" i="14" s="1"/>
  <c r="BJ26" i="14"/>
  <c r="BL26" i="14" s="1"/>
  <c r="BG26" i="14"/>
  <c r="BI26" i="14" s="1"/>
  <c r="BD26" i="14"/>
  <c r="BF26" i="14" s="1"/>
  <c r="BA26" i="14"/>
  <c r="BC26" i="14" s="1"/>
  <c r="AX26" i="14"/>
  <c r="AZ26" i="14" s="1"/>
  <c r="AU26" i="14"/>
  <c r="AW26" i="14" s="1"/>
  <c r="AT26" i="14"/>
  <c r="AR26" i="14"/>
  <c r="DW25" i="14"/>
  <c r="DX25" i="14" s="1"/>
  <c r="DU25" i="14"/>
  <c r="DT25" i="14"/>
  <c r="DS25" i="14"/>
  <c r="DR25" i="14"/>
  <c r="DQ25" i="14"/>
  <c r="DP25" i="14"/>
  <c r="DO25" i="14"/>
  <c r="DN25" i="14"/>
  <c r="DM25" i="14"/>
  <c r="DL25" i="14"/>
  <c r="DK25" i="14"/>
  <c r="DJ25" i="14"/>
  <c r="DI25" i="14"/>
  <c r="DH25" i="14"/>
  <c r="DG25" i="14"/>
  <c r="DF25" i="14"/>
  <c r="DE25" i="14"/>
  <c r="CU25" i="14"/>
  <c r="CW25" i="14" s="1"/>
  <c r="CT25" i="14"/>
  <c r="CR25" i="14"/>
  <c r="CN25" i="14"/>
  <c r="CP25" i="14" s="1"/>
  <c r="CK25" i="14"/>
  <c r="CM25" i="14" s="1"/>
  <c r="CF25" i="14"/>
  <c r="CH25" i="14" s="1"/>
  <c r="CB25" i="14"/>
  <c r="CD25" i="14" s="1"/>
  <c r="BY25" i="14"/>
  <c r="CA25" i="14" s="1"/>
  <c r="BV25" i="14"/>
  <c r="BX25" i="14" s="1"/>
  <c r="BS25" i="14"/>
  <c r="BU25" i="14" s="1"/>
  <c r="BP25" i="14"/>
  <c r="BR25" i="14" s="1"/>
  <c r="BJ25" i="14"/>
  <c r="BL25" i="14" s="1"/>
  <c r="BG25" i="14"/>
  <c r="BI25" i="14" s="1"/>
  <c r="BD25" i="14"/>
  <c r="BF25" i="14" s="1"/>
  <c r="BA25" i="14"/>
  <c r="BC25" i="14" s="1"/>
  <c r="AX25" i="14"/>
  <c r="AZ25" i="14" s="1"/>
  <c r="AU25" i="14"/>
  <c r="AW25" i="14" s="1"/>
  <c r="AR25" i="14"/>
  <c r="AT25" i="14" s="1"/>
  <c r="DW24" i="14"/>
  <c r="DX24" i="14" s="1"/>
  <c r="DU24" i="14"/>
  <c r="DT24" i="14"/>
  <c r="DS24" i="14"/>
  <c r="DR24" i="14"/>
  <c r="DQ24" i="14"/>
  <c r="DP24" i="14"/>
  <c r="DO24" i="14"/>
  <c r="DN24" i="14"/>
  <c r="DM24" i="14"/>
  <c r="DL24" i="14"/>
  <c r="DK24" i="14"/>
  <c r="DJ24" i="14"/>
  <c r="DI24" i="14"/>
  <c r="DH24" i="14"/>
  <c r="DG24" i="14"/>
  <c r="DF24" i="14"/>
  <c r="DE24" i="14"/>
  <c r="CU24" i="14"/>
  <c r="CW24" i="14" s="1"/>
  <c r="CR24" i="14"/>
  <c r="CT24" i="14" s="1"/>
  <c r="CN24" i="14"/>
  <c r="CP24" i="14" s="1"/>
  <c r="CK24" i="14"/>
  <c r="CM24" i="14" s="1"/>
  <c r="CF24" i="14"/>
  <c r="CH24" i="14" s="1"/>
  <c r="CB24" i="14"/>
  <c r="CD24" i="14" s="1"/>
  <c r="BY24" i="14"/>
  <c r="CA24" i="14" s="1"/>
  <c r="BV24" i="14"/>
  <c r="BX24" i="14" s="1"/>
  <c r="BS24" i="14"/>
  <c r="BU24" i="14" s="1"/>
  <c r="BR24" i="14"/>
  <c r="BP24" i="14"/>
  <c r="BJ24" i="14"/>
  <c r="BL24" i="14" s="1"/>
  <c r="BG24" i="14"/>
  <c r="BI24" i="14" s="1"/>
  <c r="BD24" i="14"/>
  <c r="BF24" i="14" s="1"/>
  <c r="BA24" i="14"/>
  <c r="BC24" i="14" s="1"/>
  <c r="AZ24" i="14"/>
  <c r="AX24" i="14"/>
  <c r="AW24" i="14"/>
  <c r="AU24" i="14"/>
  <c r="AR24" i="14"/>
  <c r="AT24" i="14" s="1"/>
  <c r="DW23" i="14"/>
  <c r="DX23" i="14" s="1"/>
  <c r="DU23" i="14"/>
  <c r="DT23" i="14"/>
  <c r="DS23" i="14"/>
  <c r="DR23" i="14"/>
  <c r="DQ23" i="14"/>
  <c r="DP23" i="14"/>
  <c r="DO23" i="14"/>
  <c r="DN23" i="14"/>
  <c r="DM23" i="14"/>
  <c r="DL23" i="14"/>
  <c r="DK23" i="14"/>
  <c r="DJ23" i="14"/>
  <c r="DI23" i="14"/>
  <c r="DH23" i="14"/>
  <c r="DG23" i="14"/>
  <c r="DF23" i="14"/>
  <c r="DE23" i="14"/>
  <c r="CU23" i="14"/>
  <c r="CW23" i="14" s="1"/>
  <c r="CR23" i="14"/>
  <c r="CT23" i="14" s="1"/>
  <c r="CN23" i="14"/>
  <c r="CP23" i="14" s="1"/>
  <c r="CK23" i="14"/>
  <c r="CM23" i="14" s="1"/>
  <c r="CH23" i="14"/>
  <c r="CF23" i="14"/>
  <c r="CB23" i="14"/>
  <c r="CD23" i="14" s="1"/>
  <c r="BY23" i="14"/>
  <c r="CA23" i="14" s="1"/>
  <c r="BV23" i="14"/>
  <c r="BX23" i="14" s="1"/>
  <c r="BU23" i="14"/>
  <c r="BS23" i="14"/>
  <c r="BR23" i="14"/>
  <c r="BP23" i="14"/>
  <c r="BJ23" i="14"/>
  <c r="BL23" i="14" s="1"/>
  <c r="BG23" i="14"/>
  <c r="BI23" i="14" s="1"/>
  <c r="BD23" i="14"/>
  <c r="BF23" i="14" s="1"/>
  <c r="BC23" i="14"/>
  <c r="BA23" i="14"/>
  <c r="AX23" i="14"/>
  <c r="AZ23" i="14" s="1"/>
  <c r="AU23" i="14"/>
  <c r="AW23" i="14" s="1"/>
  <c r="AR23" i="14"/>
  <c r="AT23" i="14" s="1"/>
  <c r="DW22" i="14"/>
  <c r="DX22" i="14" s="1"/>
  <c r="DU22" i="14"/>
  <c r="DT22" i="14"/>
  <c r="DS22" i="14"/>
  <c r="DR22" i="14"/>
  <c r="DQ22" i="14"/>
  <c r="DP22" i="14"/>
  <c r="DO22" i="14"/>
  <c r="DN22" i="14"/>
  <c r="DM22" i="14"/>
  <c r="DL22" i="14"/>
  <c r="DK22" i="14"/>
  <c r="DJ22" i="14"/>
  <c r="DI22" i="14"/>
  <c r="DH22" i="14"/>
  <c r="DD22" i="14" s="1"/>
  <c r="CX22" i="14" s="1"/>
  <c r="DG22" i="14"/>
  <c r="DF22" i="14"/>
  <c r="DE22" i="14"/>
  <c r="CU22" i="14"/>
  <c r="CW22" i="14" s="1"/>
  <c r="CT22" i="14"/>
  <c r="CR22" i="14"/>
  <c r="CN22" i="14"/>
  <c r="CP22" i="14" s="1"/>
  <c r="CK22" i="14"/>
  <c r="CM22" i="14" s="1"/>
  <c r="CH22" i="14"/>
  <c r="CF22" i="14"/>
  <c r="CB22" i="14"/>
  <c r="CD22" i="14" s="1"/>
  <c r="BY22" i="14"/>
  <c r="CA22" i="14" s="1"/>
  <c r="BV22" i="14"/>
  <c r="BX22" i="14" s="1"/>
  <c r="BS22" i="14"/>
  <c r="BU22" i="14" s="1"/>
  <c r="BP22" i="14"/>
  <c r="BR22" i="14" s="1"/>
  <c r="BJ22" i="14"/>
  <c r="BL22" i="14" s="1"/>
  <c r="BG22" i="14"/>
  <c r="BI22" i="14" s="1"/>
  <c r="BF22" i="14"/>
  <c r="BD22" i="14"/>
  <c r="BA22" i="14"/>
  <c r="BC22" i="14" s="1"/>
  <c r="AX22" i="14"/>
  <c r="AZ22" i="14" s="1"/>
  <c r="AU22" i="14"/>
  <c r="AW22" i="14" s="1"/>
  <c r="AR22" i="14"/>
  <c r="AT22" i="14" s="1"/>
  <c r="DW21" i="14"/>
  <c r="DX21" i="14" s="1"/>
  <c r="DU21" i="14"/>
  <c r="DT21" i="14"/>
  <c r="DS21" i="14"/>
  <c r="DR21" i="14"/>
  <c r="DQ21" i="14"/>
  <c r="DP21" i="14"/>
  <c r="DO21" i="14"/>
  <c r="DN21" i="14"/>
  <c r="DM21" i="14"/>
  <c r="DL21" i="14"/>
  <c r="DK21" i="14"/>
  <c r="DJ21" i="14"/>
  <c r="DI21" i="14"/>
  <c r="DH21" i="14"/>
  <c r="DG21" i="14"/>
  <c r="DF21" i="14"/>
  <c r="DE21" i="14"/>
  <c r="CW21" i="14"/>
  <c r="AC36" i="7" s="1"/>
  <c r="CU21" i="14"/>
  <c r="CT21" i="14"/>
  <c r="Z36" i="7" s="1"/>
  <c r="CR21" i="14"/>
  <c r="CN21" i="14"/>
  <c r="CP21" i="14" s="1"/>
  <c r="CM21" i="14"/>
  <c r="HR40" i="3" s="1"/>
  <c r="CK21" i="14"/>
  <c r="CH21" i="14"/>
  <c r="CF21" i="14"/>
  <c r="CD21" i="14"/>
  <c r="CB21" i="14"/>
  <c r="CA21" i="14"/>
  <c r="BY21" i="14"/>
  <c r="BX21" i="14"/>
  <c r="BV21" i="14"/>
  <c r="BU21" i="14"/>
  <c r="BS21" i="14"/>
  <c r="BR21" i="14"/>
  <c r="BP21" i="14"/>
  <c r="BL21" i="14"/>
  <c r="BJ21" i="14"/>
  <c r="BI21" i="14"/>
  <c r="BG21" i="14"/>
  <c r="BF21" i="14"/>
  <c r="BD21" i="14"/>
  <c r="BC21" i="14"/>
  <c r="BA21" i="14"/>
  <c r="AZ21" i="14"/>
  <c r="AX21" i="14"/>
  <c r="AW21" i="14"/>
  <c r="AU21" i="14"/>
  <c r="AR21" i="14"/>
  <c r="AT21" i="14" s="1"/>
  <c r="DU20" i="14"/>
  <c r="DT20" i="14"/>
  <c r="DS20" i="14"/>
  <c r="DR20" i="14"/>
  <c r="DQ20" i="14"/>
  <c r="DP20" i="14"/>
  <c r="DO20" i="14"/>
  <c r="DN20" i="14"/>
  <c r="DM20" i="14"/>
  <c r="DL20" i="14"/>
  <c r="DK20" i="14"/>
  <c r="DJ20" i="14"/>
  <c r="DI20" i="14"/>
  <c r="DH20" i="14"/>
  <c r="DG20" i="14"/>
  <c r="DF20" i="14"/>
  <c r="DE20" i="14"/>
  <c r="CW20" i="14"/>
  <c r="AC35" i="7" s="1"/>
  <c r="CU20" i="14"/>
  <c r="CT20" i="14"/>
  <c r="CR20" i="14"/>
  <c r="CP20" i="14"/>
  <c r="AB35" i="7" s="1"/>
  <c r="CN20" i="14"/>
  <c r="CM20" i="14"/>
  <c r="HR39" i="3" s="1"/>
  <c r="CK20" i="14"/>
  <c r="CH20" i="14"/>
  <c r="CF20" i="14"/>
  <c r="CD20" i="14"/>
  <c r="CB20" i="14"/>
  <c r="CA20" i="14"/>
  <c r="BY20" i="14"/>
  <c r="BX20" i="14"/>
  <c r="BV20" i="14"/>
  <c r="BU20" i="14"/>
  <c r="BS20" i="14"/>
  <c r="BR20" i="14"/>
  <c r="BP20" i="14"/>
  <c r="BL20" i="14"/>
  <c r="BJ20" i="14"/>
  <c r="BI20" i="14"/>
  <c r="BG20" i="14"/>
  <c r="BF20" i="14"/>
  <c r="BD20" i="14"/>
  <c r="BC20" i="14"/>
  <c r="BA20" i="14"/>
  <c r="AZ20" i="14"/>
  <c r="AX20" i="14"/>
  <c r="AW20" i="14"/>
  <c r="AU20" i="14"/>
  <c r="AT20" i="14"/>
  <c r="AR20" i="14"/>
  <c r="DW14" i="14"/>
  <c r="DX14" i="14" s="1"/>
  <c r="DW13" i="14"/>
  <c r="DX13" i="14" s="1"/>
  <c r="DE13" i="14"/>
  <c r="DD13" i="14" s="1"/>
  <c r="AR13" i="14"/>
  <c r="AT13" i="14" s="1"/>
  <c r="DW12" i="14"/>
  <c r="DX12" i="14" s="1"/>
  <c r="DE12" i="14"/>
  <c r="DD12" i="14" s="1"/>
  <c r="AR12" i="14"/>
  <c r="AT12" i="14" s="1"/>
  <c r="DE11" i="14"/>
  <c r="DD11" i="14" s="1"/>
  <c r="AR11" i="14"/>
  <c r="AT11" i="14" s="1"/>
  <c r="DW10" i="14"/>
  <c r="DX10" i="14" s="1"/>
  <c r="DE10" i="14"/>
  <c r="DD10" i="14" s="1"/>
  <c r="AR10" i="14"/>
  <c r="AR14" i="14" s="1"/>
  <c r="DW9" i="14"/>
  <c r="DE9" i="14"/>
  <c r="DD9" i="14" s="1"/>
  <c r="AT9" i="14"/>
  <c r="AR9" i="14"/>
  <c r="DW50" i="6"/>
  <c r="DX50" i="6" s="1"/>
  <c r="DW51" i="6"/>
  <c r="DX51" i="6" s="1"/>
  <c r="DW52" i="6"/>
  <c r="DX52" i="6" s="1"/>
  <c r="DW53" i="6"/>
  <c r="DX53" i="6" s="1"/>
  <c r="DW55" i="6"/>
  <c r="DX55" i="6" s="1"/>
  <c r="DW56" i="6"/>
  <c r="DX56" i="6" s="1"/>
  <c r="DW57" i="6"/>
  <c r="DX57" i="6" s="1"/>
  <c r="DW58" i="6"/>
  <c r="DX58" i="6" s="1"/>
  <c r="DW59" i="6"/>
  <c r="DX59" i="6" s="1"/>
  <c r="DW60" i="6"/>
  <c r="DX60" i="6" s="1"/>
  <c r="DW38" i="6"/>
  <c r="DX38" i="6" s="1"/>
  <c r="DW39" i="6"/>
  <c r="DX39" i="6" s="1"/>
  <c r="DW41" i="6"/>
  <c r="DX41" i="6" s="1"/>
  <c r="DW42" i="6"/>
  <c r="DX42" i="6" s="1"/>
  <c r="DW43" i="6"/>
  <c r="DX43" i="6" s="1"/>
  <c r="DW44" i="6"/>
  <c r="DX44" i="6" s="1"/>
  <c r="DW22" i="6"/>
  <c r="DX22" i="6" s="1"/>
  <c r="DW23" i="6"/>
  <c r="DX23" i="6" s="1"/>
  <c r="DW24" i="6"/>
  <c r="DX24" i="6" s="1"/>
  <c r="DW25" i="6"/>
  <c r="DX25" i="6" s="1"/>
  <c r="DW26" i="6"/>
  <c r="DX26" i="6" s="1"/>
  <c r="DW27" i="6"/>
  <c r="DX27" i="6" s="1"/>
  <c r="DW29" i="6"/>
  <c r="DX29" i="6" s="1"/>
  <c r="DW30" i="6"/>
  <c r="DX30" i="6" s="1"/>
  <c r="DW31" i="6"/>
  <c r="DX31" i="6" s="1"/>
  <c r="DW12" i="6"/>
  <c r="DX12" i="6" s="1"/>
  <c r="DW13" i="6"/>
  <c r="DX13" i="6" s="1"/>
  <c r="DW14" i="6"/>
  <c r="DX14" i="6" s="1"/>
  <c r="DW10" i="6"/>
  <c r="DX10" i="6" s="1"/>
  <c r="DW9" i="6"/>
  <c r="AG41" i="7" l="1"/>
  <c r="HQ45" i="3"/>
  <c r="AG45" i="7"/>
  <c r="HQ49" i="3"/>
  <c r="HQ41" i="3"/>
  <c r="AG37" i="7"/>
  <c r="AG38" i="7"/>
  <c r="HQ42" i="3"/>
  <c r="AG44" i="7"/>
  <c r="HQ48" i="3"/>
  <c r="AG40" i="7"/>
  <c r="HQ44" i="3"/>
  <c r="HQ50" i="3"/>
  <c r="AG46" i="7"/>
  <c r="AG43" i="7"/>
  <c r="HQ47" i="3"/>
  <c r="AG42" i="7"/>
  <c r="HQ46" i="3"/>
  <c r="HQ43" i="3"/>
  <c r="AG39" i="7"/>
  <c r="FW45" i="3"/>
  <c r="BZ45" i="3"/>
  <c r="FW46" i="3"/>
  <c r="BZ46" i="3"/>
  <c r="CC41" i="3"/>
  <c r="CC43" i="3"/>
  <c r="BZ41" i="3"/>
  <c r="FW41" i="3"/>
  <c r="BZ42" i="3"/>
  <c r="FW42" i="3"/>
  <c r="BZ43" i="3"/>
  <c r="FW43" i="3"/>
  <c r="CC44" i="3"/>
  <c r="FW44" i="3"/>
  <c r="BZ44" i="3"/>
  <c r="CC45" i="3"/>
  <c r="FT45" i="3"/>
  <c r="FT46" i="3"/>
  <c r="CL46" i="3"/>
  <c r="FV46" i="3" s="1"/>
  <c r="FT41" i="3"/>
  <c r="CL41" i="3"/>
  <c r="FV41" i="3" s="1"/>
  <c r="CM46" i="3"/>
  <c r="FT42" i="3"/>
  <c r="FT43" i="3"/>
  <c r="FT44" i="3"/>
  <c r="BZ40" i="3"/>
  <c r="FW40" i="3"/>
  <c r="FW39" i="3"/>
  <c r="BZ39" i="3"/>
  <c r="CE38" i="14"/>
  <c r="FT40" i="3"/>
  <c r="FT39" i="3"/>
  <c r="CL39" i="3"/>
  <c r="FV39" i="3" s="1"/>
  <c r="AG36" i="7"/>
  <c r="HQ40" i="3"/>
  <c r="HQ39" i="3"/>
  <c r="AG35" i="7"/>
  <c r="DD49" i="14"/>
  <c r="BG49" i="14" s="1"/>
  <c r="CE21" i="14"/>
  <c r="CQ21" i="14" s="1"/>
  <c r="BM21" i="14"/>
  <c r="BM20" i="14"/>
  <c r="BN20" i="14" s="1"/>
  <c r="BN21" i="14"/>
  <c r="Y36" i="7"/>
  <c r="HB19" i="3"/>
  <c r="HC21" i="3"/>
  <c r="CL60" i="3"/>
  <c r="FV60" i="3" s="1"/>
  <c r="CM59" i="3"/>
  <c r="HB21" i="3"/>
  <c r="CL59" i="3"/>
  <c r="FV59" i="3" s="1"/>
  <c r="CL62" i="3"/>
  <c r="FV62" i="3" s="1"/>
  <c r="FU58" i="3"/>
  <c r="CL58" i="3"/>
  <c r="FV58" i="3" s="1"/>
  <c r="HA19" i="3"/>
  <c r="CL57" i="3"/>
  <c r="FV57" i="3" s="1"/>
  <c r="CM58" i="3"/>
  <c r="HA21" i="3"/>
  <c r="CM62" i="3"/>
  <c r="CM60" i="3"/>
  <c r="GZ19" i="3"/>
  <c r="GZ21" i="3"/>
  <c r="GX21" i="3"/>
  <c r="CM57" i="3"/>
  <c r="GX19" i="3"/>
  <c r="HC19" i="3"/>
  <c r="BN37" i="15"/>
  <c r="BY55" i="3" s="1"/>
  <c r="CA55" i="3" s="1"/>
  <c r="CQ37" i="15"/>
  <c r="CM55" i="3"/>
  <c r="CM56" i="3"/>
  <c r="CJ21" i="15"/>
  <c r="Y59" i="7"/>
  <c r="CQ20" i="15"/>
  <c r="AR53" i="15"/>
  <c r="BA53" i="15" s="1"/>
  <c r="HS59" i="3" s="1"/>
  <c r="AR51" i="15"/>
  <c r="BA51" i="15" s="1"/>
  <c r="HS57" i="3" s="1"/>
  <c r="AR57" i="15"/>
  <c r="BA57" i="15" s="1"/>
  <c r="HS63" i="3" s="1"/>
  <c r="AR59" i="15"/>
  <c r="BA59" i="15" s="1"/>
  <c r="HS65" i="3" s="1"/>
  <c r="AR50" i="15"/>
  <c r="BA50" i="15" s="1"/>
  <c r="HS56" i="3" s="1"/>
  <c r="AR60" i="15"/>
  <c r="BA60" i="15" s="1"/>
  <c r="HS66" i="3" s="1"/>
  <c r="AR54" i="15"/>
  <c r="BA54" i="15" s="1"/>
  <c r="HS60" i="3" s="1"/>
  <c r="CA73" i="3"/>
  <c r="FU73" i="3"/>
  <c r="CL73" i="3"/>
  <c r="FV73" i="3" s="1"/>
  <c r="FU76" i="3"/>
  <c r="CL76" i="3"/>
  <c r="FV76" i="3" s="1"/>
  <c r="CM77" i="3"/>
  <c r="HH19" i="3"/>
  <c r="CM73" i="3"/>
  <c r="HG19" i="3"/>
  <c r="HJ21" i="3"/>
  <c r="CL74" i="3"/>
  <c r="FV74" i="3" s="1"/>
  <c r="CL72" i="3"/>
  <c r="FV72" i="3" s="1"/>
  <c r="CL77" i="3"/>
  <c r="FV77" i="3" s="1"/>
  <c r="CM75" i="3"/>
  <c r="HH21" i="3"/>
  <c r="CL75" i="3"/>
  <c r="FV75" i="3" s="1"/>
  <c r="HG21" i="3"/>
  <c r="CQ37" i="16"/>
  <c r="CC71" i="3"/>
  <c r="CQ38" i="16"/>
  <c r="CM72" i="3"/>
  <c r="CJ20" i="16"/>
  <c r="CQ20" i="16"/>
  <c r="Y83" i="7"/>
  <c r="CQ21" i="16"/>
  <c r="BN21" i="16"/>
  <c r="CJ21" i="16" s="1"/>
  <c r="DX11" i="16"/>
  <c r="DW13" i="16"/>
  <c r="DX13" i="16" s="1"/>
  <c r="DW20" i="16"/>
  <c r="DX20" i="16" s="1"/>
  <c r="DX9" i="6"/>
  <c r="DX9" i="14"/>
  <c r="GC17" i="3"/>
  <c r="HJ18" i="3"/>
  <c r="HK18" i="3"/>
  <c r="HI18" i="3"/>
  <c r="HD18" i="3"/>
  <c r="HG18" i="3"/>
  <c r="HH18" i="3"/>
  <c r="GZ18" i="3"/>
  <c r="GR18" i="3"/>
  <c r="HA18" i="3"/>
  <c r="HB18" i="3"/>
  <c r="HC18" i="3"/>
  <c r="GV18" i="3"/>
  <c r="GN18" i="3"/>
  <c r="GX18" i="3"/>
  <c r="GC23" i="3"/>
  <c r="HK22" i="3"/>
  <c r="HJ22" i="3"/>
  <c r="HG22" i="3"/>
  <c r="HH22" i="3"/>
  <c r="HI22" i="3"/>
  <c r="GX22" i="3"/>
  <c r="GY22" i="3"/>
  <c r="GZ22" i="3"/>
  <c r="HA22" i="3"/>
  <c r="HB22" i="3"/>
  <c r="HC22" i="3"/>
  <c r="DY17" i="3"/>
  <c r="GD23" i="3"/>
  <c r="GD16" i="3"/>
  <c r="DY23" i="3"/>
  <c r="DZ23" i="3"/>
  <c r="CA57" i="3"/>
  <c r="CA56" i="3"/>
  <c r="CA62" i="3"/>
  <c r="CA60" i="3"/>
  <c r="CA72" i="3"/>
  <c r="CQ44" i="15"/>
  <c r="BN41" i="15"/>
  <c r="BY59" i="3" s="1"/>
  <c r="CJ39" i="15"/>
  <c r="CJ44" i="15"/>
  <c r="BN37" i="16"/>
  <c r="BY71" i="3" s="1"/>
  <c r="CJ38" i="16"/>
  <c r="CJ40" i="16"/>
  <c r="CJ43" i="16"/>
  <c r="CJ41" i="16"/>
  <c r="CJ39" i="16"/>
  <c r="CJ44" i="16"/>
  <c r="CJ42" i="15"/>
  <c r="CJ38" i="15"/>
  <c r="AT44" i="14"/>
  <c r="CK46" i="3" s="1"/>
  <c r="FU46" i="3" s="1"/>
  <c r="AT39" i="14"/>
  <c r="CK41" i="3" s="1"/>
  <c r="FU41" i="3" s="1"/>
  <c r="AT40" i="14"/>
  <c r="CK42" i="3" s="1"/>
  <c r="FU42" i="3" s="1"/>
  <c r="AT41" i="14"/>
  <c r="CK43" i="3" s="1"/>
  <c r="FU43" i="3" s="1"/>
  <c r="AT38" i="14"/>
  <c r="CK40" i="3" s="1"/>
  <c r="FU40" i="3" s="1"/>
  <c r="AT42" i="14"/>
  <c r="CK44" i="3" s="1"/>
  <c r="FU44" i="3" s="1"/>
  <c r="GS22" i="3" s="1"/>
  <c r="AT43" i="14"/>
  <c r="CK45" i="3" s="1"/>
  <c r="FU45" i="3" s="1"/>
  <c r="AI48" i="7"/>
  <c r="X33" i="7"/>
  <c r="AI72" i="7"/>
  <c r="X57" i="7"/>
  <c r="AI96" i="7"/>
  <c r="X81" i="7"/>
  <c r="AR52" i="16"/>
  <c r="BA52" i="16" s="1"/>
  <c r="HS74" i="3" s="1"/>
  <c r="AR50" i="16"/>
  <c r="BA50" i="16" s="1"/>
  <c r="HS72" i="3" s="1"/>
  <c r="AR53" i="16"/>
  <c r="BA53" i="16" s="1"/>
  <c r="HS75" i="3" s="1"/>
  <c r="AR55" i="16"/>
  <c r="BA55" i="16" s="1"/>
  <c r="HS77" i="3" s="1"/>
  <c r="AR56" i="16"/>
  <c r="BA56" i="16" s="1"/>
  <c r="HS78" i="3" s="1"/>
  <c r="AR49" i="16"/>
  <c r="BA49" i="16" s="1"/>
  <c r="HS71" i="3" s="1"/>
  <c r="AR59" i="16"/>
  <c r="BA59" i="16" s="1"/>
  <c r="HS81" i="3" s="1"/>
  <c r="AR60" i="16"/>
  <c r="BA60" i="16" s="1"/>
  <c r="HS82" i="3" s="1"/>
  <c r="AR54" i="16"/>
  <c r="BA54" i="16" s="1"/>
  <c r="HS76" i="3" s="1"/>
  <c r="AR58" i="16"/>
  <c r="BA58" i="16" s="1"/>
  <c r="HS80" i="3" s="1"/>
  <c r="AR57" i="16"/>
  <c r="BA57" i="16" s="1"/>
  <c r="HS79" i="3" s="1"/>
  <c r="AR51" i="16"/>
  <c r="BA51" i="16" s="1"/>
  <c r="HS73" i="3" s="1"/>
  <c r="CJ42" i="16"/>
  <c r="CQ27" i="16"/>
  <c r="CJ30" i="16"/>
  <c r="CQ24" i="16"/>
  <c r="BN31" i="16"/>
  <c r="CJ31" i="16" s="1"/>
  <c r="CJ26" i="16"/>
  <c r="BN22" i="16"/>
  <c r="CJ22" i="16" s="1"/>
  <c r="DW20" i="15"/>
  <c r="CJ27" i="15"/>
  <c r="CQ26" i="15"/>
  <c r="CQ39" i="15"/>
  <c r="AR56" i="15"/>
  <c r="BA56" i="15" s="1"/>
  <c r="HS62" i="3" s="1"/>
  <c r="CJ23" i="15"/>
  <c r="AR58" i="15"/>
  <c r="BA58" i="15" s="1"/>
  <c r="HS64" i="3" s="1"/>
  <c r="BN40" i="15"/>
  <c r="BY58" i="3" s="1"/>
  <c r="BN43" i="15"/>
  <c r="BY61" i="3" s="1"/>
  <c r="AR55" i="15"/>
  <c r="BA55" i="15" s="1"/>
  <c r="HS61" i="3" s="1"/>
  <c r="BM27" i="14"/>
  <c r="DD40" i="14"/>
  <c r="CX40" i="14" s="1"/>
  <c r="DD43" i="14"/>
  <c r="CX43" i="14" s="1"/>
  <c r="DD23" i="14"/>
  <c r="CX23" i="14" s="1"/>
  <c r="BM38" i="14"/>
  <c r="CC40" i="3" s="1"/>
  <c r="DD42" i="14"/>
  <c r="CX42" i="14" s="1"/>
  <c r="DD20" i="14"/>
  <c r="CX20" i="14" s="1"/>
  <c r="CE37" i="14"/>
  <c r="DD37" i="14"/>
  <c r="CX37" i="14" s="1"/>
  <c r="DD44" i="14"/>
  <c r="CX44" i="14" s="1"/>
  <c r="DD26" i="14"/>
  <c r="CX26" i="14" s="1"/>
  <c r="DD55" i="14"/>
  <c r="BG55" i="14" s="1"/>
  <c r="CE20" i="14"/>
  <c r="DD29" i="14"/>
  <c r="CX29" i="14" s="1"/>
  <c r="BM37" i="14"/>
  <c r="BN37" i="14" s="1"/>
  <c r="BY39" i="3" s="1"/>
  <c r="BM40" i="14"/>
  <c r="DD54" i="14"/>
  <c r="BG54" i="14" s="1"/>
  <c r="DD28" i="14"/>
  <c r="CX28" i="14" s="1"/>
  <c r="DD30" i="14"/>
  <c r="CX30" i="14" s="1"/>
  <c r="DD57" i="14"/>
  <c r="BG57" i="14" s="1"/>
  <c r="DD24" i="14"/>
  <c r="CX24" i="14" s="1"/>
  <c r="DD25" i="14"/>
  <c r="CX25" i="14" s="1"/>
  <c r="CE27" i="14"/>
  <c r="CQ27" i="14" s="1"/>
  <c r="BM28" i="14"/>
  <c r="CQ28" i="14" s="1"/>
  <c r="DD58" i="14"/>
  <c r="BG58" i="14" s="1"/>
  <c r="DD60" i="14"/>
  <c r="BG60" i="14" s="1"/>
  <c r="DD39" i="14"/>
  <c r="CX39" i="14" s="1"/>
  <c r="BM39" i="14"/>
  <c r="BN39" i="14" s="1"/>
  <c r="BY41" i="3" s="1"/>
  <c r="DD52" i="14"/>
  <c r="BG52" i="14" s="1"/>
  <c r="DD41" i="14"/>
  <c r="CX41" i="14" s="1"/>
  <c r="CE44" i="14"/>
  <c r="DD21" i="14"/>
  <c r="CX21" i="14" s="1"/>
  <c r="DD38" i="14"/>
  <c r="CX38" i="14" s="1"/>
  <c r="DD51" i="14"/>
  <c r="BG51" i="14" s="1"/>
  <c r="DD59" i="14"/>
  <c r="BG59" i="14" s="1"/>
  <c r="CE22" i="14"/>
  <c r="BM26" i="14"/>
  <c r="DD27" i="14"/>
  <c r="CX27" i="14" s="1"/>
  <c r="CE25" i="14"/>
  <c r="BN27" i="14"/>
  <c r="BM41" i="14"/>
  <c r="BN41" i="14" s="1"/>
  <c r="BY43" i="3" s="1"/>
  <c r="BM42" i="14"/>
  <c r="CQ42" i="14" s="1"/>
  <c r="BM24" i="14"/>
  <c r="BM30" i="14"/>
  <c r="CQ30" i="14" s="1"/>
  <c r="CE40" i="14"/>
  <c r="CQ40" i="14" s="1"/>
  <c r="BM22" i="14"/>
  <c r="CQ22" i="14" s="1"/>
  <c r="BM29" i="14"/>
  <c r="BN29" i="14" s="1"/>
  <c r="CJ29" i="14" s="1"/>
  <c r="CE26" i="14"/>
  <c r="CQ26" i="14" s="1"/>
  <c r="BM31" i="14"/>
  <c r="CQ31" i="14" s="1"/>
  <c r="CE43" i="14"/>
  <c r="CE23" i="14"/>
  <c r="CE28" i="14"/>
  <c r="BM25" i="14"/>
  <c r="BN25" i="14" s="1"/>
  <c r="CJ25" i="14" s="1"/>
  <c r="BM23" i="14"/>
  <c r="CQ23" i="14" s="1"/>
  <c r="CE30" i="14"/>
  <c r="CE42" i="14"/>
  <c r="BN43" i="14"/>
  <c r="BY45" i="3" s="1"/>
  <c r="CE24" i="14"/>
  <c r="BN26" i="14"/>
  <c r="CE29" i="14"/>
  <c r="CE39" i="14"/>
  <c r="BN40" i="14"/>
  <c r="BY42" i="3" s="1"/>
  <c r="BM43" i="14"/>
  <c r="CQ43" i="14" s="1"/>
  <c r="BM44" i="14"/>
  <c r="CQ44" i="14" s="1"/>
  <c r="AT10" i="14"/>
  <c r="AT14" i="14" s="1"/>
  <c r="CQ25" i="14"/>
  <c r="DW11" i="14"/>
  <c r="DW11" i="6"/>
  <c r="DX11" i="6" s="1"/>
  <c r="FX43" i="3" l="1"/>
  <c r="FY43" i="3" s="1"/>
  <c r="FX59" i="3"/>
  <c r="FX42" i="3"/>
  <c r="FY42" i="3" s="1"/>
  <c r="FX58" i="3"/>
  <c r="FX57" i="3"/>
  <c r="FX41" i="3"/>
  <c r="FY41" i="3" s="1"/>
  <c r="FX46" i="3"/>
  <c r="FY46" i="3" s="1"/>
  <c r="FX62" i="3"/>
  <c r="FX60" i="3"/>
  <c r="FX44" i="3"/>
  <c r="FY44" i="3" s="1"/>
  <c r="FX61" i="3"/>
  <c r="FX45" i="3"/>
  <c r="FY45" i="3" s="1"/>
  <c r="GS18" i="3"/>
  <c r="CM42" i="3"/>
  <c r="CL44" i="3"/>
  <c r="FV44" i="3" s="1"/>
  <c r="CL45" i="3"/>
  <c r="FV45" i="3" s="1"/>
  <c r="GS20" i="3"/>
  <c r="GS19" i="3"/>
  <c r="GS21" i="3"/>
  <c r="CL43" i="3"/>
  <c r="FV43" i="3" s="1"/>
  <c r="CM43" i="3"/>
  <c r="CM40" i="3"/>
  <c r="GR20" i="3"/>
  <c r="GR19" i="3"/>
  <c r="CM44" i="3"/>
  <c r="CM45" i="3"/>
  <c r="CL40" i="3"/>
  <c r="FV40" i="3" s="1"/>
  <c r="CL42" i="3"/>
  <c r="FV42" i="3" s="1"/>
  <c r="CM41" i="3"/>
  <c r="FX40" i="3"/>
  <c r="FY40" i="3" s="1"/>
  <c r="FX56" i="3"/>
  <c r="FX39" i="3"/>
  <c r="FY39" i="3" s="1"/>
  <c r="FX55" i="3"/>
  <c r="CQ38" i="14"/>
  <c r="BN38" i="14"/>
  <c r="BY40" i="3" s="1"/>
  <c r="CA40" i="3" s="1"/>
  <c r="CC39" i="3"/>
  <c r="CM39" i="3"/>
  <c r="CJ21" i="14"/>
  <c r="CJ20" i="14"/>
  <c r="CQ20" i="14"/>
  <c r="Y35" i="7"/>
  <c r="GY21" i="3"/>
  <c r="GY19" i="3"/>
  <c r="GY20" i="3"/>
  <c r="GY18" i="3"/>
  <c r="CJ37" i="15"/>
  <c r="HF20" i="3"/>
  <c r="HF19" i="3"/>
  <c r="HF21" i="3"/>
  <c r="HI20" i="3"/>
  <c r="HI21" i="3"/>
  <c r="HI19" i="3"/>
  <c r="HF22" i="3"/>
  <c r="HF18" i="3"/>
  <c r="DW28" i="16"/>
  <c r="GC24" i="3"/>
  <c r="HF23" i="3"/>
  <c r="HG23" i="3"/>
  <c r="HH23" i="3"/>
  <c r="HI23" i="3"/>
  <c r="HJ23" i="3"/>
  <c r="HK23" i="3"/>
  <c r="GX23" i="3"/>
  <c r="GY23" i="3"/>
  <c r="GZ23" i="3"/>
  <c r="HA23" i="3"/>
  <c r="GS23" i="3"/>
  <c r="HB23" i="3"/>
  <c r="HC23" i="3"/>
  <c r="GC16" i="3"/>
  <c r="HG17" i="3"/>
  <c r="HH17" i="3"/>
  <c r="HI17" i="3"/>
  <c r="HF17" i="3"/>
  <c r="HJ17" i="3"/>
  <c r="HK17" i="3"/>
  <c r="HD17" i="3"/>
  <c r="GV17" i="3"/>
  <c r="GN17" i="3"/>
  <c r="GX17" i="3"/>
  <c r="GY17" i="3"/>
  <c r="GQ17" i="3"/>
  <c r="GZ17" i="3"/>
  <c r="GR17" i="3"/>
  <c r="HA17" i="3"/>
  <c r="GS17" i="3"/>
  <c r="HB17" i="3"/>
  <c r="HC17" i="3"/>
  <c r="GU17" i="3"/>
  <c r="DY16" i="3"/>
  <c r="DY15" i="3" s="1"/>
  <c r="GD15" i="3"/>
  <c r="GD24" i="3"/>
  <c r="DY24" i="3"/>
  <c r="DZ24" i="3"/>
  <c r="CA45" i="3"/>
  <c r="CA71" i="3"/>
  <c r="CA59" i="3"/>
  <c r="CA58" i="3"/>
  <c r="CA61" i="3"/>
  <c r="CA43" i="3"/>
  <c r="CA41" i="3"/>
  <c r="CA42" i="3"/>
  <c r="CA39" i="3"/>
  <c r="CQ37" i="14"/>
  <c r="CJ41" i="15"/>
  <c r="CJ37" i="16"/>
  <c r="CJ43" i="15"/>
  <c r="CJ40" i="15"/>
  <c r="CJ43" i="14"/>
  <c r="CJ39" i="14"/>
  <c r="CJ41" i="14"/>
  <c r="CJ37" i="14"/>
  <c r="DX20" i="15"/>
  <c r="DW28" i="15"/>
  <c r="BN30" i="14"/>
  <c r="CJ27" i="14"/>
  <c r="BN28" i="14"/>
  <c r="CJ28" i="14" s="1"/>
  <c r="CQ29" i="14"/>
  <c r="CQ41" i="14"/>
  <c r="CQ24" i="14"/>
  <c r="CJ40" i="14"/>
  <c r="CQ39" i="14"/>
  <c r="BN22" i="14"/>
  <c r="CJ22" i="14" s="1"/>
  <c r="CJ26" i="14"/>
  <c r="AR53" i="14"/>
  <c r="BA53" i="14" s="1"/>
  <c r="HS43" i="3" s="1"/>
  <c r="AR54" i="14"/>
  <c r="BA54" i="14" s="1"/>
  <c r="HS44" i="3" s="1"/>
  <c r="AR55" i="14"/>
  <c r="BA55" i="14" s="1"/>
  <c r="HS45" i="3" s="1"/>
  <c r="AR56" i="14"/>
  <c r="BA56" i="14" s="1"/>
  <c r="HS46" i="3" s="1"/>
  <c r="AR60" i="14"/>
  <c r="BA60" i="14" s="1"/>
  <c r="HS50" i="3" s="1"/>
  <c r="AR57" i="14"/>
  <c r="BA57" i="14" s="1"/>
  <c r="HS47" i="3" s="1"/>
  <c r="AR58" i="14"/>
  <c r="BA58" i="14" s="1"/>
  <c r="HS48" i="3" s="1"/>
  <c r="AR50" i="14"/>
  <c r="BA50" i="14" s="1"/>
  <c r="HS40" i="3" s="1"/>
  <c r="AR52" i="14"/>
  <c r="BA52" i="14" s="1"/>
  <c r="HS42" i="3" s="1"/>
  <c r="AR49" i="14"/>
  <c r="BA49" i="14" s="1"/>
  <c r="HS39" i="3" s="1"/>
  <c r="AR51" i="14"/>
  <c r="BA51" i="14" s="1"/>
  <c r="HS41" i="3" s="1"/>
  <c r="AR59" i="14"/>
  <c r="BA59" i="14" s="1"/>
  <c r="HS49" i="3" s="1"/>
  <c r="BN42" i="14"/>
  <c r="BY44" i="3" s="1"/>
  <c r="BN31" i="14"/>
  <c r="CJ31" i="14" s="1"/>
  <c r="BN24" i="14"/>
  <c r="CJ24" i="14" s="1"/>
  <c r="DX11" i="14"/>
  <c r="DW20" i="14"/>
  <c r="DW28" i="14" s="1"/>
  <c r="DX28" i="14" s="1"/>
  <c r="BN23" i="14"/>
  <c r="CJ23" i="14" s="1"/>
  <c r="BN44" i="14"/>
  <c r="BY46" i="3" s="1"/>
  <c r="CJ30" i="14"/>
  <c r="DW20" i="6"/>
  <c r="DW21" i="6" s="1"/>
  <c r="DX21" i="6" s="1"/>
  <c r="FY77" i="3" l="1"/>
  <c r="FY61" i="3"/>
  <c r="FY60" i="3"/>
  <c r="FY76" i="3"/>
  <c r="FY78" i="3"/>
  <c r="FY62" i="3"/>
  <c r="FY57" i="3"/>
  <c r="FY73" i="3"/>
  <c r="FY74" i="3"/>
  <c r="FY58" i="3"/>
  <c r="FY75" i="3"/>
  <c r="FY59" i="3"/>
  <c r="FY56" i="3"/>
  <c r="FY72" i="3"/>
  <c r="FY55" i="3"/>
  <c r="FY71" i="3"/>
  <c r="CJ38" i="14"/>
  <c r="DW37" i="16"/>
  <c r="DW40" i="16" s="1"/>
  <c r="DX40" i="16" s="1"/>
  <c r="DX28" i="16"/>
  <c r="DX20" i="6"/>
  <c r="GC15" i="3"/>
  <c r="HD16" i="3"/>
  <c r="HF16" i="3"/>
  <c r="HG16" i="3"/>
  <c r="HH16" i="3"/>
  <c r="HI16" i="3"/>
  <c r="HJ16" i="3"/>
  <c r="HK16" i="3"/>
  <c r="GV16" i="3"/>
  <c r="GN16" i="3"/>
  <c r="GX16" i="3"/>
  <c r="GY16" i="3"/>
  <c r="GQ16" i="3"/>
  <c r="GZ16" i="3"/>
  <c r="GR16" i="3"/>
  <c r="HA16" i="3"/>
  <c r="GS16" i="3"/>
  <c r="GU16" i="3"/>
  <c r="HB16" i="3"/>
  <c r="HC16" i="3"/>
  <c r="GC25" i="3"/>
  <c r="HF24" i="3"/>
  <c r="HG24" i="3"/>
  <c r="HH24" i="3"/>
  <c r="HI24" i="3"/>
  <c r="HJ24" i="3"/>
  <c r="HK24" i="3"/>
  <c r="GZ24" i="3"/>
  <c r="HA24" i="3"/>
  <c r="GS24" i="3"/>
  <c r="HC24" i="3"/>
  <c r="GY24" i="3"/>
  <c r="GD25" i="3"/>
  <c r="GD14" i="3"/>
  <c r="DY25" i="3"/>
  <c r="DY14" i="3"/>
  <c r="DZ25" i="3"/>
  <c r="CA46" i="3"/>
  <c r="CA44" i="3"/>
  <c r="CJ42" i="14"/>
  <c r="CJ44" i="14"/>
  <c r="DX28" i="15"/>
  <c r="DW37" i="15"/>
  <c r="DX37" i="15" s="1"/>
  <c r="DX20" i="14"/>
  <c r="DW37" i="14"/>
  <c r="DW28" i="6"/>
  <c r="DX28" i="6" s="1"/>
  <c r="DW49" i="16" l="1"/>
  <c r="DW54" i="16" s="1"/>
  <c r="DX37" i="16"/>
  <c r="DW40" i="15"/>
  <c r="DW49" i="15" s="1"/>
  <c r="DX49" i="15" s="1"/>
  <c r="DX37" i="14"/>
  <c r="GC26" i="3"/>
  <c r="HI25" i="3"/>
  <c r="HJ25" i="3"/>
  <c r="HK25" i="3"/>
  <c r="HH25" i="3"/>
  <c r="HD25" i="3"/>
  <c r="HF25" i="3"/>
  <c r="HG25" i="3"/>
  <c r="GV25" i="3"/>
  <c r="GN25" i="3"/>
  <c r="GY25" i="3"/>
  <c r="GZ25" i="3"/>
  <c r="HA25" i="3"/>
  <c r="GS25" i="3"/>
  <c r="HC25" i="3"/>
  <c r="GC14" i="3"/>
  <c r="HD15" i="3"/>
  <c r="HF15" i="3"/>
  <c r="HG15" i="3"/>
  <c r="HH15" i="3"/>
  <c r="HI15" i="3"/>
  <c r="HJ15" i="3"/>
  <c r="HK15" i="3"/>
  <c r="GZ15" i="3"/>
  <c r="GR15" i="3"/>
  <c r="HA15" i="3"/>
  <c r="GS15" i="3"/>
  <c r="HB15" i="3"/>
  <c r="HC15" i="3"/>
  <c r="GU15" i="3"/>
  <c r="GV15" i="3"/>
  <c r="GN15" i="3"/>
  <c r="GX15" i="3"/>
  <c r="GY15" i="3"/>
  <c r="GQ15" i="3"/>
  <c r="GD13" i="3"/>
  <c r="GD26" i="3"/>
  <c r="DY26" i="3"/>
  <c r="DY13" i="3"/>
  <c r="DZ26" i="3"/>
  <c r="DW40" i="14"/>
  <c r="DW37" i="6"/>
  <c r="DX37" i="6" l="1"/>
  <c r="O3" i="20"/>
  <c r="N3" i="20" s="1"/>
  <c r="DX54" i="16"/>
  <c r="R13" i="20" s="1"/>
  <c r="Q13" i="20" s="1"/>
  <c r="R9" i="20"/>
  <c r="Q9" i="20" s="1"/>
  <c r="R5" i="20"/>
  <c r="Q5" i="20" s="1"/>
  <c r="R22" i="20"/>
  <c r="Q22" i="20" s="1"/>
  <c r="DX49" i="16"/>
  <c r="R7" i="20"/>
  <c r="Q7" i="20" s="1"/>
  <c r="R28" i="20"/>
  <c r="Q28" i="20" s="1"/>
  <c r="R24" i="20"/>
  <c r="Q24" i="20" s="1"/>
  <c r="R35" i="20"/>
  <c r="Q35" i="20" s="1"/>
  <c r="R29" i="20"/>
  <c r="Q29" i="20" s="1"/>
  <c r="R32" i="20"/>
  <c r="Q32" i="20" s="1"/>
  <c r="R11" i="20"/>
  <c r="Q11" i="20" s="1"/>
  <c r="R20" i="20"/>
  <c r="Q20" i="20" s="1"/>
  <c r="R19" i="20"/>
  <c r="Q19" i="20" s="1"/>
  <c r="R34" i="20"/>
  <c r="Q34" i="20" s="1"/>
  <c r="R33" i="20"/>
  <c r="Q33" i="20" s="1"/>
  <c r="R10" i="20"/>
  <c r="Q10" i="20" s="1"/>
  <c r="R36" i="20"/>
  <c r="Q36" i="20" s="1"/>
  <c r="R30" i="20"/>
  <c r="Q30" i="20" s="1"/>
  <c r="R31" i="20"/>
  <c r="Q31" i="20" s="1"/>
  <c r="R21" i="20"/>
  <c r="Q21" i="20" s="1"/>
  <c r="R40" i="20"/>
  <c r="Q40" i="20" s="1"/>
  <c r="R16" i="20"/>
  <c r="Q16" i="20" s="1"/>
  <c r="R18" i="20"/>
  <c r="Q18" i="20" s="1"/>
  <c r="R39" i="20"/>
  <c r="Q39" i="20" s="1"/>
  <c r="R14" i="20"/>
  <c r="Q14" i="20" s="1"/>
  <c r="R17" i="20"/>
  <c r="Q17" i="20" s="1"/>
  <c r="R25" i="20"/>
  <c r="Q25" i="20" s="1"/>
  <c r="R26" i="20"/>
  <c r="Q26" i="20" s="1"/>
  <c r="R27" i="20"/>
  <c r="Q27" i="20" s="1"/>
  <c r="R38" i="20"/>
  <c r="Q38" i="20" s="1"/>
  <c r="R15" i="20"/>
  <c r="Q15" i="20" s="1"/>
  <c r="R12" i="20"/>
  <c r="Q12" i="20" s="1"/>
  <c r="R23" i="20"/>
  <c r="Q23" i="20" s="1"/>
  <c r="R37" i="20"/>
  <c r="Q37" i="20" s="1"/>
  <c r="DX40" i="15"/>
  <c r="DX40" i="14"/>
  <c r="L3" i="20" s="1"/>
  <c r="K3" i="20" s="1"/>
  <c r="GC27" i="3"/>
  <c r="HD26" i="3"/>
  <c r="HF26" i="3"/>
  <c r="HG26" i="3"/>
  <c r="HH26" i="3"/>
  <c r="HI26" i="3"/>
  <c r="HJ26" i="3"/>
  <c r="HK26" i="3"/>
  <c r="GV26" i="3"/>
  <c r="GN26" i="3"/>
  <c r="GY26" i="3"/>
  <c r="GZ26" i="3"/>
  <c r="HA26" i="3"/>
  <c r="GS26" i="3"/>
  <c r="HC26" i="3"/>
  <c r="GC13" i="3"/>
  <c r="HJ14" i="3"/>
  <c r="HK14" i="3"/>
  <c r="HD14" i="3"/>
  <c r="HI14" i="3"/>
  <c r="HF14" i="3"/>
  <c r="HG14" i="3"/>
  <c r="HH14" i="3"/>
  <c r="GV14" i="3"/>
  <c r="GN14" i="3"/>
  <c r="GX14" i="3"/>
  <c r="GY14" i="3"/>
  <c r="GQ14" i="3"/>
  <c r="GZ14" i="3"/>
  <c r="GR14" i="3"/>
  <c r="HA14" i="3"/>
  <c r="GS14" i="3"/>
  <c r="HB14" i="3"/>
  <c r="HC14" i="3"/>
  <c r="GU14" i="3"/>
  <c r="GD12" i="3"/>
  <c r="GD27" i="3"/>
  <c r="DY27" i="3"/>
  <c r="DY12" i="3"/>
  <c r="DZ27" i="3"/>
  <c r="DW54" i="15"/>
  <c r="DX54" i="15" s="1"/>
  <c r="O40" i="20" s="1"/>
  <c r="N40" i="20" s="1"/>
  <c r="DW49" i="14"/>
  <c r="DW54" i="14" s="1"/>
  <c r="DX54" i="14" s="1"/>
  <c r="L29" i="20" s="1"/>
  <c r="K29" i="20" s="1"/>
  <c r="DW40" i="6"/>
  <c r="L4" i="20" l="1"/>
  <c r="K4" i="20" s="1"/>
  <c r="L13" i="20"/>
  <c r="K13" i="20" s="1"/>
  <c r="L17" i="20"/>
  <c r="K17" i="20" s="1"/>
  <c r="L39" i="20"/>
  <c r="K39" i="20" s="1"/>
  <c r="L24" i="20"/>
  <c r="K24" i="20" s="1"/>
  <c r="L33" i="20"/>
  <c r="K33" i="20" s="1"/>
  <c r="O4" i="20"/>
  <c r="N4" i="20" s="1"/>
  <c r="O5" i="20"/>
  <c r="N5" i="20" s="1"/>
  <c r="O6" i="20"/>
  <c r="N6" i="20" s="1"/>
  <c r="O7" i="20"/>
  <c r="N7" i="20" s="1"/>
  <c r="O8" i="20"/>
  <c r="N8" i="20" s="1"/>
  <c r="R3" i="20"/>
  <c r="Q3" i="20" s="1"/>
  <c r="R8" i="20"/>
  <c r="Q8" i="20" s="1"/>
  <c r="R4" i="20"/>
  <c r="Q4" i="20" s="1"/>
  <c r="R6" i="20"/>
  <c r="Q6" i="20" s="1"/>
  <c r="O9" i="20"/>
  <c r="N9" i="20" s="1"/>
  <c r="O34" i="20"/>
  <c r="N34" i="20" s="1"/>
  <c r="O22" i="20"/>
  <c r="N22" i="20" s="1"/>
  <c r="O11" i="20"/>
  <c r="N11" i="20" s="1"/>
  <c r="O39" i="20"/>
  <c r="N39" i="20" s="1"/>
  <c r="O14" i="20"/>
  <c r="N14" i="20" s="1"/>
  <c r="O27" i="20"/>
  <c r="N27" i="20" s="1"/>
  <c r="O38" i="20"/>
  <c r="N38" i="20" s="1"/>
  <c r="O29" i="20"/>
  <c r="N29" i="20" s="1"/>
  <c r="O10" i="20"/>
  <c r="N10" i="20" s="1"/>
  <c r="O26" i="20"/>
  <c r="N26" i="20" s="1"/>
  <c r="O17" i="20"/>
  <c r="N17" i="20" s="1"/>
  <c r="O25" i="20"/>
  <c r="N25" i="20" s="1"/>
  <c r="O35" i="20"/>
  <c r="N35" i="20" s="1"/>
  <c r="O18" i="20"/>
  <c r="N18" i="20" s="1"/>
  <c r="O16" i="20"/>
  <c r="N16" i="20" s="1"/>
  <c r="O37" i="20"/>
  <c r="N37" i="20" s="1"/>
  <c r="O28" i="20"/>
  <c r="N28" i="20" s="1"/>
  <c r="O13" i="20"/>
  <c r="N13" i="20" s="1"/>
  <c r="O30" i="20"/>
  <c r="N30" i="20" s="1"/>
  <c r="O23" i="20"/>
  <c r="N23" i="20" s="1"/>
  <c r="O21" i="20"/>
  <c r="N21" i="20" s="1"/>
  <c r="O36" i="20"/>
  <c r="N36" i="20" s="1"/>
  <c r="O15" i="20"/>
  <c r="N15" i="20" s="1"/>
  <c r="O33" i="20"/>
  <c r="N33" i="20" s="1"/>
  <c r="O32" i="20"/>
  <c r="N32" i="20" s="1"/>
  <c r="O24" i="20"/>
  <c r="N24" i="20" s="1"/>
  <c r="O31" i="20"/>
  <c r="N31" i="20" s="1"/>
  <c r="O12" i="20"/>
  <c r="N12" i="20" s="1"/>
  <c r="O20" i="20"/>
  <c r="N20" i="20" s="1"/>
  <c r="O19" i="20"/>
  <c r="N19" i="20" s="1"/>
  <c r="L22" i="20"/>
  <c r="K22" i="20" s="1"/>
  <c r="L12" i="20"/>
  <c r="K12" i="20" s="1"/>
  <c r="L19" i="20"/>
  <c r="K19" i="20" s="1"/>
  <c r="L15" i="20"/>
  <c r="K15" i="20" s="1"/>
  <c r="L26" i="20"/>
  <c r="K26" i="20" s="1"/>
  <c r="L8" i="20"/>
  <c r="K8" i="20" s="1"/>
  <c r="L18" i="20"/>
  <c r="K18" i="20" s="1"/>
  <c r="L21" i="20"/>
  <c r="K21" i="20" s="1"/>
  <c r="DX49" i="14"/>
  <c r="L5" i="20" s="1"/>
  <c r="K5" i="20" s="1"/>
  <c r="L27" i="20"/>
  <c r="K27" i="20" s="1"/>
  <c r="L36" i="20"/>
  <c r="K36" i="20" s="1"/>
  <c r="L31" i="20"/>
  <c r="K31" i="20" s="1"/>
  <c r="L28" i="20"/>
  <c r="K28" i="20" s="1"/>
  <c r="L37" i="20"/>
  <c r="K37" i="20" s="1"/>
  <c r="L35" i="20"/>
  <c r="K35" i="20" s="1"/>
  <c r="L20" i="20"/>
  <c r="K20" i="20" s="1"/>
  <c r="L10" i="20"/>
  <c r="K10" i="20" s="1"/>
  <c r="L40" i="20"/>
  <c r="K40" i="20" s="1"/>
  <c r="L34" i="20"/>
  <c r="K34" i="20" s="1"/>
  <c r="L14" i="20"/>
  <c r="K14" i="20" s="1"/>
  <c r="L11" i="20"/>
  <c r="K11" i="20" s="1"/>
  <c r="L25" i="20"/>
  <c r="K25" i="20" s="1"/>
  <c r="L38" i="20"/>
  <c r="K38" i="20" s="1"/>
  <c r="L30" i="20"/>
  <c r="K30" i="20" s="1"/>
  <c r="L32" i="20"/>
  <c r="K32" i="20" s="1"/>
  <c r="L16" i="20"/>
  <c r="K16" i="20" s="1"/>
  <c r="L23" i="20"/>
  <c r="K23" i="20" s="1"/>
  <c r="GC12" i="3"/>
  <c r="HG13" i="3"/>
  <c r="HH13" i="3"/>
  <c r="HI13" i="3"/>
  <c r="HJ13" i="3"/>
  <c r="HK13" i="3"/>
  <c r="HF13" i="3"/>
  <c r="GX13" i="3"/>
  <c r="GY13" i="3"/>
  <c r="GQ13" i="3"/>
  <c r="GZ13" i="3"/>
  <c r="GR13" i="3"/>
  <c r="HA13" i="3"/>
  <c r="GS13" i="3"/>
  <c r="HB13" i="3"/>
  <c r="HC13" i="3"/>
  <c r="GU13" i="3"/>
  <c r="GC28" i="3"/>
  <c r="HF27" i="3"/>
  <c r="HG27" i="3"/>
  <c r="HH27" i="3"/>
  <c r="HI27" i="3"/>
  <c r="HJ27" i="3"/>
  <c r="HK27" i="3"/>
  <c r="HD27" i="3"/>
  <c r="GZ27" i="3"/>
  <c r="GR27" i="3"/>
  <c r="HA27" i="3"/>
  <c r="HC27" i="3"/>
  <c r="GV27" i="3"/>
  <c r="GN27" i="3"/>
  <c r="GY27" i="3"/>
  <c r="GD28" i="3"/>
  <c r="GD11" i="3"/>
  <c r="DY28" i="3"/>
  <c r="DY11" i="3"/>
  <c r="DZ28" i="3"/>
  <c r="DX40" i="6"/>
  <c r="DW49" i="6"/>
  <c r="DX49" i="6" s="1"/>
  <c r="L9" i="20" l="1"/>
  <c r="K9" i="20" s="1"/>
  <c r="L6" i="20"/>
  <c r="K6" i="20" s="1"/>
  <c r="L7" i="20"/>
  <c r="K7" i="20" s="1"/>
  <c r="GC29" i="3"/>
  <c r="HH28" i="3"/>
  <c r="HI28" i="3"/>
  <c r="HJ28" i="3"/>
  <c r="HK28" i="3"/>
  <c r="HG28" i="3"/>
  <c r="HD28" i="3"/>
  <c r="HF28" i="3"/>
  <c r="GV28" i="3"/>
  <c r="GN28" i="3"/>
  <c r="GY28" i="3"/>
  <c r="GZ28" i="3"/>
  <c r="GR28" i="3"/>
  <c r="HA28" i="3"/>
  <c r="HC28" i="3"/>
  <c r="GC11" i="3"/>
  <c r="HF12" i="3"/>
  <c r="HG12" i="3"/>
  <c r="HH12" i="3"/>
  <c r="HI12" i="3"/>
  <c r="HJ12" i="3"/>
  <c r="HK12" i="3"/>
  <c r="GZ12" i="3"/>
  <c r="GR12" i="3"/>
  <c r="HA12" i="3"/>
  <c r="GS12" i="3"/>
  <c r="HB12" i="3"/>
  <c r="HC12" i="3"/>
  <c r="GU12" i="3"/>
  <c r="GX12" i="3"/>
  <c r="GY12" i="3"/>
  <c r="GQ12" i="3"/>
  <c r="GD10" i="3"/>
  <c r="GD29" i="3"/>
  <c r="DY29" i="3"/>
  <c r="DY10" i="3"/>
  <c r="DZ29" i="3"/>
  <c r="DW54" i="6"/>
  <c r="DX54" i="6" l="1"/>
  <c r="I3" i="20" s="1"/>
  <c r="H3" i="20" s="1"/>
  <c r="I5" i="20"/>
  <c r="H5" i="20" s="1"/>
  <c r="I4" i="20"/>
  <c r="H4" i="20" s="1"/>
  <c r="I6" i="20"/>
  <c r="H6" i="20" s="1"/>
  <c r="I7" i="20"/>
  <c r="H7" i="20" s="1"/>
  <c r="I38" i="20"/>
  <c r="H38" i="20" s="1"/>
  <c r="I26" i="20"/>
  <c r="H26" i="20" s="1"/>
  <c r="I13" i="20"/>
  <c r="H13" i="20" s="1"/>
  <c r="I25" i="20"/>
  <c r="H25" i="20" s="1"/>
  <c r="I10" i="20"/>
  <c r="H10" i="20" s="1"/>
  <c r="I36" i="20"/>
  <c r="H36" i="20" s="1"/>
  <c r="I24" i="20"/>
  <c r="H24" i="20" s="1"/>
  <c r="I35" i="20"/>
  <c r="H35" i="20" s="1"/>
  <c r="I9" i="20"/>
  <c r="H9" i="20" s="1"/>
  <c r="I40" i="20"/>
  <c r="H40" i="20" s="1"/>
  <c r="I19" i="20"/>
  <c r="H19" i="20" s="1"/>
  <c r="I30" i="20"/>
  <c r="H30" i="20" s="1"/>
  <c r="I39" i="20"/>
  <c r="H39" i="20" s="1"/>
  <c r="I32" i="20"/>
  <c r="H32" i="20" s="1"/>
  <c r="I27" i="20"/>
  <c r="H27" i="20" s="1"/>
  <c r="I20" i="20"/>
  <c r="H20" i="20" s="1"/>
  <c r="I12" i="20"/>
  <c r="H12" i="20" s="1"/>
  <c r="I28" i="20"/>
  <c r="H28" i="20" s="1"/>
  <c r="I8" i="20"/>
  <c r="H8" i="20" s="1"/>
  <c r="I33" i="20"/>
  <c r="H33" i="20" s="1"/>
  <c r="I23" i="20"/>
  <c r="H23" i="20" s="1"/>
  <c r="I14" i="20"/>
  <c r="H14" i="20" s="1"/>
  <c r="I11" i="20"/>
  <c r="H11" i="20" s="1"/>
  <c r="I22" i="20"/>
  <c r="H22" i="20" s="1"/>
  <c r="I34" i="20"/>
  <c r="H34" i="20" s="1"/>
  <c r="I16" i="20"/>
  <c r="H16" i="20" s="1"/>
  <c r="I37" i="20"/>
  <c r="H37" i="20" s="1"/>
  <c r="I17" i="20"/>
  <c r="H17" i="20" s="1"/>
  <c r="I15" i="20"/>
  <c r="H15" i="20" s="1"/>
  <c r="I18" i="20"/>
  <c r="H18" i="20" s="1"/>
  <c r="I31" i="20"/>
  <c r="H31" i="20" s="1"/>
  <c r="I21" i="20"/>
  <c r="H21" i="20" s="1"/>
  <c r="I29" i="20"/>
  <c r="H29" i="20" s="1"/>
  <c r="GC10" i="3"/>
  <c r="HF11" i="3"/>
  <c r="HG11" i="3"/>
  <c r="HH11" i="3"/>
  <c r="HI11" i="3"/>
  <c r="HJ11" i="3"/>
  <c r="HK11" i="3"/>
  <c r="GX11" i="3"/>
  <c r="GP11" i="3"/>
  <c r="GY11" i="3"/>
  <c r="GQ11" i="3"/>
  <c r="GZ11" i="3"/>
  <c r="GR11" i="3"/>
  <c r="HA11" i="3"/>
  <c r="GS11" i="3"/>
  <c r="HB11" i="3"/>
  <c r="GT11" i="3"/>
  <c r="HC11" i="3"/>
  <c r="GU11" i="3"/>
  <c r="GC30" i="3"/>
  <c r="HK29" i="3"/>
  <c r="HJ29" i="3"/>
  <c r="HD29" i="3"/>
  <c r="HF29" i="3"/>
  <c r="HG29" i="3"/>
  <c r="HH29" i="3"/>
  <c r="HI29" i="3"/>
  <c r="GV29" i="3"/>
  <c r="GN29" i="3"/>
  <c r="GY29" i="3"/>
  <c r="GZ29" i="3"/>
  <c r="GR29" i="3"/>
  <c r="HA29" i="3"/>
  <c r="HC29" i="3"/>
  <c r="GD30" i="3"/>
  <c r="GD9" i="3"/>
  <c r="DY30" i="3"/>
  <c r="DY9" i="3"/>
  <c r="DZ30" i="3"/>
  <c r="DE50" i="6"/>
  <c r="DE51" i="6"/>
  <c r="DE52" i="6"/>
  <c r="DE53" i="6"/>
  <c r="DE54" i="6"/>
  <c r="DE55" i="6"/>
  <c r="DE56" i="6"/>
  <c r="DE57" i="6"/>
  <c r="DE58" i="6"/>
  <c r="DE59" i="6"/>
  <c r="DE60" i="6"/>
  <c r="DE49" i="6"/>
  <c r="DH60" i="6"/>
  <c r="DG60" i="6"/>
  <c r="DF60" i="6"/>
  <c r="DH59" i="6"/>
  <c r="DG59" i="6"/>
  <c r="DF59" i="6"/>
  <c r="DH58" i="6"/>
  <c r="DG58" i="6"/>
  <c r="DF58" i="6"/>
  <c r="DH57" i="6"/>
  <c r="DG57" i="6"/>
  <c r="DF57" i="6"/>
  <c r="DH56" i="6"/>
  <c r="DG56" i="6"/>
  <c r="DF56" i="6"/>
  <c r="DH55" i="6"/>
  <c r="DG55" i="6"/>
  <c r="DF55" i="6"/>
  <c r="DH54" i="6"/>
  <c r="DG54" i="6"/>
  <c r="DF54" i="6"/>
  <c r="DH53" i="6"/>
  <c r="DG53" i="6"/>
  <c r="DF53" i="6"/>
  <c r="DH52" i="6"/>
  <c r="DG52" i="6"/>
  <c r="DF52" i="6"/>
  <c r="DH51" i="6"/>
  <c r="DG51" i="6"/>
  <c r="DF51" i="6"/>
  <c r="DH50" i="6"/>
  <c r="DG50" i="6"/>
  <c r="DF50" i="6"/>
  <c r="DH49" i="6"/>
  <c r="DG49" i="6"/>
  <c r="DF49" i="6"/>
  <c r="DU44" i="6"/>
  <c r="DT44" i="6"/>
  <c r="DS44" i="6"/>
  <c r="DR44" i="6"/>
  <c r="DQ44" i="6"/>
  <c r="DP44" i="6"/>
  <c r="DO44" i="6"/>
  <c r="DN44" i="6"/>
  <c r="DM44" i="6"/>
  <c r="DL44" i="6"/>
  <c r="DK44" i="6"/>
  <c r="DJ44" i="6"/>
  <c r="DI44" i="6"/>
  <c r="DH44" i="6"/>
  <c r="DG44" i="6"/>
  <c r="DF44" i="6"/>
  <c r="DE44" i="6"/>
  <c r="DU43" i="6"/>
  <c r="DT43" i="6"/>
  <c r="DS43" i="6"/>
  <c r="DR43" i="6"/>
  <c r="DQ43" i="6"/>
  <c r="DP43" i="6"/>
  <c r="DO43" i="6"/>
  <c r="DN43" i="6"/>
  <c r="DM43" i="6"/>
  <c r="DL43" i="6"/>
  <c r="DK43" i="6"/>
  <c r="DJ43" i="6"/>
  <c r="DI43" i="6"/>
  <c r="DH43" i="6"/>
  <c r="DG43" i="6"/>
  <c r="DF43" i="6"/>
  <c r="DE43" i="6"/>
  <c r="DU42" i="6"/>
  <c r="DT42" i="6"/>
  <c r="DS42" i="6"/>
  <c r="DR42" i="6"/>
  <c r="DQ42" i="6"/>
  <c r="DP42" i="6"/>
  <c r="DO42" i="6"/>
  <c r="DN42" i="6"/>
  <c r="DM42" i="6"/>
  <c r="DL42" i="6"/>
  <c r="DK42" i="6"/>
  <c r="DJ42" i="6"/>
  <c r="DI42" i="6"/>
  <c r="DH42" i="6"/>
  <c r="DG42" i="6"/>
  <c r="DF42" i="6"/>
  <c r="DE42" i="6"/>
  <c r="DU41" i="6"/>
  <c r="DT41" i="6"/>
  <c r="DS41" i="6"/>
  <c r="DR41" i="6"/>
  <c r="DQ41" i="6"/>
  <c r="DP41" i="6"/>
  <c r="DO41" i="6"/>
  <c r="DN41" i="6"/>
  <c r="DM41" i="6"/>
  <c r="DL41" i="6"/>
  <c r="DK41" i="6"/>
  <c r="DJ41" i="6"/>
  <c r="DI41" i="6"/>
  <c r="DH41" i="6"/>
  <c r="DG41" i="6"/>
  <c r="DF41" i="6"/>
  <c r="DE41" i="6"/>
  <c r="DU40" i="6"/>
  <c r="DT40" i="6"/>
  <c r="DS40" i="6"/>
  <c r="DR40" i="6"/>
  <c r="DQ40" i="6"/>
  <c r="DP40" i="6"/>
  <c r="DO40" i="6"/>
  <c r="DN40" i="6"/>
  <c r="DM40" i="6"/>
  <c r="DL40" i="6"/>
  <c r="DK40" i="6"/>
  <c r="DJ40" i="6"/>
  <c r="DI40" i="6"/>
  <c r="DH40" i="6"/>
  <c r="DG40" i="6"/>
  <c r="DF40" i="6"/>
  <c r="DE40" i="6"/>
  <c r="DU39" i="6"/>
  <c r="DT39" i="6"/>
  <c r="DS39" i="6"/>
  <c r="DR39" i="6"/>
  <c r="DQ39" i="6"/>
  <c r="DP39" i="6"/>
  <c r="DO39" i="6"/>
  <c r="DN39" i="6"/>
  <c r="DM39" i="6"/>
  <c r="DL39" i="6"/>
  <c r="DK39" i="6"/>
  <c r="DJ39" i="6"/>
  <c r="DI39" i="6"/>
  <c r="DH39" i="6"/>
  <c r="DG39" i="6"/>
  <c r="DF39" i="6"/>
  <c r="DE39" i="6"/>
  <c r="DU38" i="6"/>
  <c r="DT38" i="6"/>
  <c r="DS38" i="6"/>
  <c r="DR38" i="6"/>
  <c r="DQ38" i="6"/>
  <c r="DP38" i="6"/>
  <c r="DO38" i="6"/>
  <c r="DN38" i="6"/>
  <c r="DM38" i="6"/>
  <c r="DL38" i="6"/>
  <c r="DK38" i="6"/>
  <c r="DJ38" i="6"/>
  <c r="DI38" i="6"/>
  <c r="DH38" i="6"/>
  <c r="DG38" i="6"/>
  <c r="DF38" i="6"/>
  <c r="DE38" i="6"/>
  <c r="DU37" i="6"/>
  <c r="DT37" i="6"/>
  <c r="DS37" i="6"/>
  <c r="DR37" i="6"/>
  <c r="DQ37" i="6"/>
  <c r="DP37" i="6"/>
  <c r="DO37" i="6"/>
  <c r="DN37" i="6"/>
  <c r="DM37" i="6"/>
  <c r="DL37" i="6"/>
  <c r="DK37" i="6"/>
  <c r="DJ37" i="6"/>
  <c r="DI37" i="6"/>
  <c r="DH37" i="6"/>
  <c r="DG37" i="6"/>
  <c r="DF37" i="6"/>
  <c r="DE37" i="6"/>
  <c r="DU21" i="6"/>
  <c r="DU22" i="6"/>
  <c r="DU23" i="6"/>
  <c r="DU24" i="6"/>
  <c r="DU25" i="6"/>
  <c r="DU26" i="6"/>
  <c r="DU27" i="6"/>
  <c r="DU28" i="6"/>
  <c r="DU29" i="6"/>
  <c r="DU30" i="6"/>
  <c r="DU31" i="6"/>
  <c r="DU20" i="6"/>
  <c r="DE21" i="6"/>
  <c r="DF21" i="6"/>
  <c r="DG21" i="6"/>
  <c r="DH21" i="6"/>
  <c r="DI21" i="6"/>
  <c r="DJ21" i="6"/>
  <c r="DK21" i="6"/>
  <c r="DL21" i="6"/>
  <c r="DM21" i="6"/>
  <c r="DN21" i="6"/>
  <c r="DO21" i="6"/>
  <c r="DP21" i="6"/>
  <c r="DQ21" i="6"/>
  <c r="DR21" i="6"/>
  <c r="DS21" i="6"/>
  <c r="DT21" i="6"/>
  <c r="DE22" i="6"/>
  <c r="DF22" i="6"/>
  <c r="DG22" i="6"/>
  <c r="DH22" i="6"/>
  <c r="DI22" i="6"/>
  <c r="DJ22" i="6"/>
  <c r="DK22" i="6"/>
  <c r="DL22" i="6"/>
  <c r="DM22" i="6"/>
  <c r="DN22" i="6"/>
  <c r="DO22" i="6"/>
  <c r="DP22" i="6"/>
  <c r="DQ22" i="6"/>
  <c r="DR22" i="6"/>
  <c r="DS22" i="6"/>
  <c r="DT22" i="6"/>
  <c r="DE23" i="6"/>
  <c r="DF23" i="6"/>
  <c r="DG23" i="6"/>
  <c r="DH23" i="6"/>
  <c r="DI23" i="6"/>
  <c r="DJ23" i="6"/>
  <c r="DK23" i="6"/>
  <c r="DL23" i="6"/>
  <c r="DM23" i="6"/>
  <c r="DN23" i="6"/>
  <c r="DO23" i="6"/>
  <c r="DP23" i="6"/>
  <c r="DQ23" i="6"/>
  <c r="DR23" i="6"/>
  <c r="DS23" i="6"/>
  <c r="DT23" i="6"/>
  <c r="DE24" i="6"/>
  <c r="DF24" i="6"/>
  <c r="DG24" i="6"/>
  <c r="DH24" i="6"/>
  <c r="DI24" i="6"/>
  <c r="DJ24" i="6"/>
  <c r="DK24" i="6"/>
  <c r="DL24" i="6"/>
  <c r="DM24" i="6"/>
  <c r="DN24" i="6"/>
  <c r="DO24" i="6"/>
  <c r="DP24" i="6"/>
  <c r="DQ24" i="6"/>
  <c r="DR24" i="6"/>
  <c r="DS24" i="6"/>
  <c r="DT24" i="6"/>
  <c r="DE25" i="6"/>
  <c r="DF25" i="6"/>
  <c r="DG25" i="6"/>
  <c r="DH25" i="6"/>
  <c r="DI25" i="6"/>
  <c r="DJ25" i="6"/>
  <c r="DK25" i="6"/>
  <c r="DL25" i="6"/>
  <c r="DM25" i="6"/>
  <c r="DN25" i="6"/>
  <c r="DO25" i="6"/>
  <c r="DP25" i="6"/>
  <c r="DQ25" i="6"/>
  <c r="DR25" i="6"/>
  <c r="DS25" i="6"/>
  <c r="DT25" i="6"/>
  <c r="DE26" i="6"/>
  <c r="DF26" i="6"/>
  <c r="DG26" i="6"/>
  <c r="DH26" i="6"/>
  <c r="DI26" i="6"/>
  <c r="DJ26" i="6"/>
  <c r="DK26" i="6"/>
  <c r="DL26" i="6"/>
  <c r="DM26" i="6"/>
  <c r="DN26" i="6"/>
  <c r="DO26" i="6"/>
  <c r="DP26" i="6"/>
  <c r="DQ26" i="6"/>
  <c r="DR26" i="6"/>
  <c r="DS26" i="6"/>
  <c r="DT26" i="6"/>
  <c r="DE27" i="6"/>
  <c r="DF27" i="6"/>
  <c r="DG27" i="6"/>
  <c r="DH27" i="6"/>
  <c r="DI27" i="6"/>
  <c r="DJ27" i="6"/>
  <c r="DK27" i="6"/>
  <c r="DL27" i="6"/>
  <c r="DM27" i="6"/>
  <c r="DN27" i="6"/>
  <c r="DO27" i="6"/>
  <c r="DP27" i="6"/>
  <c r="DQ27" i="6"/>
  <c r="DR27" i="6"/>
  <c r="DS27" i="6"/>
  <c r="DT27" i="6"/>
  <c r="DE28" i="6"/>
  <c r="DF28" i="6"/>
  <c r="DG28" i="6"/>
  <c r="DH28" i="6"/>
  <c r="DI28" i="6"/>
  <c r="DJ28" i="6"/>
  <c r="DK28" i="6"/>
  <c r="DL28" i="6"/>
  <c r="DM28" i="6"/>
  <c r="DN28" i="6"/>
  <c r="DO28" i="6"/>
  <c r="DP28" i="6"/>
  <c r="DQ28" i="6"/>
  <c r="DR28" i="6"/>
  <c r="DS28" i="6"/>
  <c r="DT28" i="6"/>
  <c r="DE29" i="6"/>
  <c r="DF29" i="6"/>
  <c r="DG29" i="6"/>
  <c r="DH29" i="6"/>
  <c r="DI29" i="6"/>
  <c r="DJ29" i="6"/>
  <c r="DK29" i="6"/>
  <c r="DL29" i="6"/>
  <c r="DM29" i="6"/>
  <c r="DN29" i="6"/>
  <c r="DO29" i="6"/>
  <c r="DP29" i="6"/>
  <c r="DQ29" i="6"/>
  <c r="DR29" i="6"/>
  <c r="DS29" i="6"/>
  <c r="DT29" i="6"/>
  <c r="DE30" i="6"/>
  <c r="DF30" i="6"/>
  <c r="DG30" i="6"/>
  <c r="DH30" i="6"/>
  <c r="DI30" i="6"/>
  <c r="DJ30" i="6"/>
  <c r="DK30" i="6"/>
  <c r="DL30" i="6"/>
  <c r="DM30" i="6"/>
  <c r="DN30" i="6"/>
  <c r="DO30" i="6"/>
  <c r="DP30" i="6"/>
  <c r="DQ30" i="6"/>
  <c r="DR30" i="6"/>
  <c r="DS30" i="6"/>
  <c r="DT30" i="6"/>
  <c r="DE31" i="6"/>
  <c r="DF31" i="6"/>
  <c r="DG31" i="6"/>
  <c r="DH31" i="6"/>
  <c r="DI31" i="6"/>
  <c r="DJ31" i="6"/>
  <c r="DK31" i="6"/>
  <c r="DL31" i="6"/>
  <c r="DM31" i="6"/>
  <c r="DN31" i="6"/>
  <c r="DO31" i="6"/>
  <c r="DP31" i="6"/>
  <c r="DQ31" i="6"/>
  <c r="DR31" i="6"/>
  <c r="DS31" i="6"/>
  <c r="DT31" i="6"/>
  <c r="DT20" i="6"/>
  <c r="DS20" i="6"/>
  <c r="DR20" i="6"/>
  <c r="DQ20" i="6"/>
  <c r="DP20" i="6"/>
  <c r="DO20" i="6"/>
  <c r="DN20" i="6"/>
  <c r="DM20" i="6"/>
  <c r="DL20" i="6"/>
  <c r="DK20" i="6"/>
  <c r="DJ20" i="6"/>
  <c r="DI20" i="6"/>
  <c r="DH20" i="6"/>
  <c r="DG20" i="6"/>
  <c r="DF20" i="6"/>
  <c r="DE20" i="6"/>
  <c r="DE10" i="6"/>
  <c r="DD10" i="6" s="1"/>
  <c r="DE11" i="6"/>
  <c r="DD11" i="6" s="1"/>
  <c r="DE12" i="6"/>
  <c r="DD12" i="6" s="1"/>
  <c r="DE13" i="6"/>
  <c r="DD13" i="6" s="1"/>
  <c r="DE9" i="6"/>
  <c r="DD9" i="6" s="1"/>
  <c r="CU44" i="6"/>
  <c r="CW44" i="6" s="1"/>
  <c r="CF30" i="3" s="1"/>
  <c r="CU43" i="6"/>
  <c r="CW43" i="6" s="1"/>
  <c r="CF29" i="3" s="1"/>
  <c r="CU42" i="6"/>
  <c r="CW42" i="6" s="1"/>
  <c r="CF28" i="3" s="1"/>
  <c r="CU41" i="6"/>
  <c r="CW41" i="6" s="1"/>
  <c r="CF27" i="3" s="1"/>
  <c r="CU40" i="6"/>
  <c r="CW40" i="6" s="1"/>
  <c r="CF26" i="3" s="1"/>
  <c r="CU39" i="6"/>
  <c r="CW39" i="6" s="1"/>
  <c r="CF25" i="3" s="1"/>
  <c r="CU38" i="6"/>
  <c r="CW38" i="6" s="1"/>
  <c r="CF24" i="3" s="1"/>
  <c r="CU37" i="6"/>
  <c r="CW37" i="6" s="1"/>
  <c r="CF23" i="3" s="1"/>
  <c r="CR44" i="6"/>
  <c r="CT44" i="6" s="1"/>
  <c r="CD30" i="3" s="1"/>
  <c r="CR43" i="6"/>
  <c r="CR42" i="6"/>
  <c r="CT42" i="6" s="1"/>
  <c r="CD28" i="3" s="1"/>
  <c r="CR41" i="6"/>
  <c r="CT41" i="6" s="1"/>
  <c r="CD27" i="3" s="1"/>
  <c r="CR40" i="6"/>
  <c r="CT40" i="6" s="1"/>
  <c r="CD26" i="3" s="1"/>
  <c r="CR39" i="6"/>
  <c r="CT39" i="6" s="1"/>
  <c r="CD25" i="3" s="1"/>
  <c r="CR38" i="6"/>
  <c r="CT38" i="6" s="1"/>
  <c r="CD24" i="3" s="1"/>
  <c r="CR37" i="6"/>
  <c r="CT37" i="6" s="1"/>
  <c r="CU31" i="6"/>
  <c r="CW31" i="6" s="1"/>
  <c r="AC22" i="7" s="1"/>
  <c r="CU30" i="6"/>
  <c r="CW30" i="6" s="1"/>
  <c r="AC21" i="7" s="1"/>
  <c r="CU29" i="6"/>
  <c r="CW29" i="6" s="1"/>
  <c r="AC20" i="7" s="1"/>
  <c r="CU28" i="6"/>
  <c r="CW28" i="6" s="1"/>
  <c r="AC19" i="7" s="1"/>
  <c r="CU27" i="6"/>
  <c r="CW27" i="6" s="1"/>
  <c r="AC18" i="7" s="1"/>
  <c r="CU26" i="6"/>
  <c r="CW26" i="6" s="1"/>
  <c r="AC17" i="7" s="1"/>
  <c r="CU25" i="6"/>
  <c r="CW25" i="6" s="1"/>
  <c r="AC16" i="7" s="1"/>
  <c r="CU24" i="6"/>
  <c r="CW24" i="6" s="1"/>
  <c r="AC15" i="7" s="1"/>
  <c r="CU23" i="6"/>
  <c r="CW23" i="6" s="1"/>
  <c r="AC14" i="7" s="1"/>
  <c r="CU22" i="6"/>
  <c r="CW22" i="6" s="1"/>
  <c r="AC13" i="7" s="1"/>
  <c r="CU21" i="6"/>
  <c r="CW21" i="6" s="1"/>
  <c r="AC12" i="7" s="1"/>
  <c r="CU20" i="6"/>
  <c r="CW20" i="6" s="1"/>
  <c r="AC11" i="7" s="1"/>
  <c r="CR31" i="6"/>
  <c r="CT31" i="6" s="1"/>
  <c r="Z22" i="7" s="1"/>
  <c r="CR30" i="6"/>
  <c r="CT30" i="6" s="1"/>
  <c r="Z21" i="7" s="1"/>
  <c r="CR29" i="6"/>
  <c r="CT29" i="6" s="1"/>
  <c r="Z20" i="7" s="1"/>
  <c r="CR28" i="6"/>
  <c r="CT28" i="6" s="1"/>
  <c r="Z19" i="7" s="1"/>
  <c r="CR27" i="6"/>
  <c r="CT27" i="6" s="1"/>
  <c r="Z18" i="7" s="1"/>
  <c r="CR26" i="6"/>
  <c r="CT26" i="6" s="1"/>
  <c r="Z17" i="7" s="1"/>
  <c r="CR25" i="6"/>
  <c r="CT25" i="6" s="1"/>
  <c r="Z16" i="7" s="1"/>
  <c r="CR24" i="6"/>
  <c r="CT24" i="6" s="1"/>
  <c r="Z15" i="7" s="1"/>
  <c r="CR23" i="6"/>
  <c r="CT23" i="6" s="1"/>
  <c r="Z14" i="7" s="1"/>
  <c r="CR22" i="6"/>
  <c r="CT22" i="6" s="1"/>
  <c r="Z13" i="7" s="1"/>
  <c r="CR21" i="6"/>
  <c r="CT21" i="6" s="1"/>
  <c r="Z12" i="7" s="1"/>
  <c r="CR20" i="6"/>
  <c r="CT20" i="6" s="1"/>
  <c r="Z11" i="7" s="1"/>
  <c r="CN44" i="6"/>
  <c r="CP44" i="6" s="1"/>
  <c r="CE30" i="3" s="1"/>
  <c r="CN43" i="6"/>
  <c r="CP43" i="6" s="1"/>
  <c r="CE29" i="3" s="1"/>
  <c r="CN42" i="6"/>
  <c r="CP42" i="6" s="1"/>
  <c r="CE28" i="3" s="1"/>
  <c r="CN41" i="6"/>
  <c r="CP41" i="6" s="1"/>
  <c r="CE27" i="3" s="1"/>
  <c r="CN40" i="6"/>
  <c r="CP40" i="6" s="1"/>
  <c r="CE26" i="3" s="1"/>
  <c r="CN39" i="6"/>
  <c r="CP39" i="6" s="1"/>
  <c r="CE25" i="3" s="1"/>
  <c r="CN38" i="6"/>
  <c r="CP38" i="6" s="1"/>
  <c r="CE24" i="3" s="1"/>
  <c r="CN37" i="6"/>
  <c r="CP37" i="6" s="1"/>
  <c r="CE23" i="3" s="1"/>
  <c r="AN8" i="6"/>
  <c r="CK44" i="6"/>
  <c r="CM44" i="6" s="1"/>
  <c r="FW30" i="3" s="1"/>
  <c r="FX30" i="3" s="1"/>
  <c r="FY30" i="3" s="1"/>
  <c r="CK43" i="6"/>
  <c r="CM43" i="6" s="1"/>
  <c r="FW29" i="3" s="1"/>
  <c r="FX29" i="3" s="1"/>
  <c r="FY29" i="3" s="1"/>
  <c r="CK42" i="6"/>
  <c r="CM42" i="6" s="1"/>
  <c r="FW28" i="3" s="1"/>
  <c r="FX28" i="3" s="1"/>
  <c r="FY28" i="3" s="1"/>
  <c r="CK41" i="6"/>
  <c r="CM41" i="6" s="1"/>
  <c r="FW27" i="3" s="1"/>
  <c r="FX27" i="3" s="1"/>
  <c r="FY27" i="3" s="1"/>
  <c r="CK40" i="6"/>
  <c r="CM40" i="6" s="1"/>
  <c r="FW26" i="3" s="1"/>
  <c r="FX26" i="3" s="1"/>
  <c r="FY26" i="3" s="1"/>
  <c r="CK39" i="6"/>
  <c r="CM39" i="6" s="1"/>
  <c r="FW25" i="3" s="1"/>
  <c r="FX25" i="3" s="1"/>
  <c r="FY25" i="3" s="1"/>
  <c r="CK38" i="6"/>
  <c r="CM38" i="6" s="1"/>
  <c r="FW24" i="3" s="1"/>
  <c r="FX24" i="3" s="1"/>
  <c r="FY24" i="3" s="1"/>
  <c r="CK37" i="6"/>
  <c r="CM37" i="6" s="1"/>
  <c r="FW23" i="3" s="1"/>
  <c r="FX23" i="3" s="1"/>
  <c r="FY23" i="3" s="1"/>
  <c r="CF44" i="6"/>
  <c r="CH44" i="6" s="1"/>
  <c r="CF43" i="6"/>
  <c r="CH43" i="6" s="1"/>
  <c r="CF42" i="6"/>
  <c r="CH42" i="6" s="1"/>
  <c r="CF41" i="6"/>
  <c r="CH41" i="6" s="1"/>
  <c r="CF40" i="6"/>
  <c r="CH40" i="6" s="1"/>
  <c r="CF39" i="6"/>
  <c r="CH39" i="6" s="1"/>
  <c r="CF38" i="6"/>
  <c r="CH38" i="6" s="1"/>
  <c r="CF37" i="6"/>
  <c r="CB44" i="6"/>
  <c r="CD44" i="6" s="1"/>
  <c r="CB43" i="6"/>
  <c r="CD43" i="6" s="1"/>
  <c r="CB42" i="6"/>
  <c r="CD42" i="6" s="1"/>
  <c r="CB41" i="6"/>
  <c r="CD41" i="6" s="1"/>
  <c r="CB40" i="6"/>
  <c r="CD40" i="6" s="1"/>
  <c r="CB39" i="6"/>
  <c r="CD39" i="6" s="1"/>
  <c r="CB38" i="6"/>
  <c r="CD38" i="6" s="1"/>
  <c r="CB37" i="6"/>
  <c r="CD37" i="6" s="1"/>
  <c r="BY44" i="6"/>
  <c r="CA44" i="6" s="1"/>
  <c r="BY43" i="6"/>
  <c r="CA43" i="6" s="1"/>
  <c r="BY42" i="6"/>
  <c r="CA42" i="6" s="1"/>
  <c r="BY41" i="6"/>
  <c r="CA41" i="6" s="1"/>
  <c r="BY40" i="6"/>
  <c r="CA40" i="6" s="1"/>
  <c r="BY39" i="6"/>
  <c r="CA39" i="6" s="1"/>
  <c r="BY38" i="6"/>
  <c r="CA38" i="6" s="1"/>
  <c r="BY37" i="6"/>
  <c r="CA37" i="6" s="1"/>
  <c r="BV44" i="6"/>
  <c r="BX44" i="6" s="1"/>
  <c r="BV43" i="6"/>
  <c r="BX43" i="6" s="1"/>
  <c r="BV42" i="6"/>
  <c r="BX42" i="6" s="1"/>
  <c r="BV41" i="6"/>
  <c r="BX41" i="6" s="1"/>
  <c r="BV40" i="6"/>
  <c r="BX40" i="6" s="1"/>
  <c r="BV39" i="6"/>
  <c r="BX39" i="6" s="1"/>
  <c r="BV38" i="6"/>
  <c r="BX38" i="6" s="1"/>
  <c r="BV37" i="6"/>
  <c r="BX37" i="6" s="1"/>
  <c r="BS44" i="6"/>
  <c r="BU44" i="6" s="1"/>
  <c r="BS43" i="6"/>
  <c r="BU43" i="6" s="1"/>
  <c r="BS42" i="6"/>
  <c r="BU42" i="6" s="1"/>
  <c r="BS41" i="6"/>
  <c r="BU41" i="6" s="1"/>
  <c r="BS40" i="6"/>
  <c r="BU40" i="6" s="1"/>
  <c r="BS39" i="6"/>
  <c r="BU39" i="6" s="1"/>
  <c r="BS38" i="6"/>
  <c r="BU38" i="6" s="1"/>
  <c r="BS37" i="6"/>
  <c r="BU37" i="6" s="1"/>
  <c r="BP44" i="6"/>
  <c r="BR44" i="6" s="1"/>
  <c r="BP43" i="6"/>
  <c r="BR43" i="6" s="1"/>
  <c r="BP42" i="6"/>
  <c r="BR42" i="6" s="1"/>
  <c r="BP41" i="6"/>
  <c r="BR41" i="6" s="1"/>
  <c r="BP40" i="6"/>
  <c r="BR40" i="6" s="1"/>
  <c r="BP39" i="6"/>
  <c r="BR39" i="6" s="1"/>
  <c r="BP38" i="6"/>
  <c r="BR38" i="6" s="1"/>
  <c r="BP37" i="6"/>
  <c r="BR37" i="6" s="1"/>
  <c r="BJ44" i="6"/>
  <c r="BL44" i="6" s="1"/>
  <c r="BJ43" i="6"/>
  <c r="BL43" i="6" s="1"/>
  <c r="BJ42" i="6"/>
  <c r="BL42" i="6" s="1"/>
  <c r="BJ41" i="6"/>
  <c r="BL41" i="6" s="1"/>
  <c r="BJ40" i="6"/>
  <c r="BL40" i="6" s="1"/>
  <c r="BJ39" i="6"/>
  <c r="BL39" i="6" s="1"/>
  <c r="BJ38" i="6"/>
  <c r="BL38" i="6" s="1"/>
  <c r="BJ37" i="6"/>
  <c r="BL37" i="6" s="1"/>
  <c r="BG44" i="6"/>
  <c r="BI44" i="6" s="1"/>
  <c r="BG43" i="6"/>
  <c r="BI43" i="6" s="1"/>
  <c r="BG42" i="6"/>
  <c r="BI42" i="6" s="1"/>
  <c r="BG41" i="6"/>
  <c r="BI41" i="6" s="1"/>
  <c r="BG40" i="6"/>
  <c r="BI40" i="6" s="1"/>
  <c r="BG39" i="6"/>
  <c r="BI39" i="6" s="1"/>
  <c r="BG38" i="6"/>
  <c r="BI38" i="6" s="1"/>
  <c r="BG37" i="6"/>
  <c r="BI37" i="6" s="1"/>
  <c r="BD44" i="6"/>
  <c r="BF44" i="6" s="1"/>
  <c r="BD43" i="6"/>
  <c r="BF43" i="6" s="1"/>
  <c r="BD42" i="6"/>
  <c r="BF42" i="6" s="1"/>
  <c r="BD41" i="6"/>
  <c r="BF41" i="6" s="1"/>
  <c r="BD40" i="6"/>
  <c r="BF40" i="6" s="1"/>
  <c r="BD39" i="6"/>
  <c r="BF39" i="6" s="1"/>
  <c r="BD38" i="6"/>
  <c r="BF38" i="6" s="1"/>
  <c r="BD37" i="6"/>
  <c r="BF37" i="6" s="1"/>
  <c r="BA44" i="6"/>
  <c r="BC44" i="6" s="1"/>
  <c r="BA43" i="6"/>
  <c r="BC43" i="6" s="1"/>
  <c r="BA42" i="6"/>
  <c r="BC42" i="6" s="1"/>
  <c r="BA41" i="6"/>
  <c r="BC41" i="6" s="1"/>
  <c r="BA40" i="6"/>
  <c r="BC40" i="6" s="1"/>
  <c r="BA39" i="6"/>
  <c r="BC39" i="6" s="1"/>
  <c r="BA38" i="6"/>
  <c r="BC38" i="6" s="1"/>
  <c r="BA37" i="6"/>
  <c r="BC37" i="6" s="1"/>
  <c r="AX44" i="6"/>
  <c r="AZ44" i="6" s="1"/>
  <c r="AX43" i="6"/>
  <c r="AZ43" i="6" s="1"/>
  <c r="AX42" i="6"/>
  <c r="AZ42" i="6" s="1"/>
  <c r="AX41" i="6"/>
  <c r="AZ41" i="6" s="1"/>
  <c r="AX40" i="6"/>
  <c r="AZ40" i="6" s="1"/>
  <c r="AX39" i="6"/>
  <c r="AZ39" i="6" s="1"/>
  <c r="AX38" i="6"/>
  <c r="AZ38" i="6" s="1"/>
  <c r="AX37" i="6"/>
  <c r="AZ37" i="6" s="1"/>
  <c r="AU44" i="6"/>
  <c r="AU43" i="6"/>
  <c r="AU42" i="6"/>
  <c r="AU41" i="6"/>
  <c r="AU40" i="6"/>
  <c r="AU39" i="6"/>
  <c r="AU38" i="6"/>
  <c r="AU37" i="6"/>
  <c r="CK31" i="6"/>
  <c r="CM31" i="6" s="1"/>
  <c r="HR34" i="3" s="1"/>
  <c r="CK30" i="6"/>
  <c r="CM30" i="6" s="1"/>
  <c r="HR33" i="3" s="1"/>
  <c r="CK29" i="6"/>
  <c r="CM29" i="6" s="1"/>
  <c r="HR32" i="3" s="1"/>
  <c r="CK28" i="6"/>
  <c r="CM28" i="6" s="1"/>
  <c r="HR31" i="3" s="1"/>
  <c r="CK27" i="6"/>
  <c r="CM27" i="6" s="1"/>
  <c r="HR30" i="3" s="1"/>
  <c r="CK26" i="6"/>
  <c r="CM26" i="6" s="1"/>
  <c r="HR29" i="3" s="1"/>
  <c r="CK25" i="6"/>
  <c r="CM25" i="6" s="1"/>
  <c r="HR28" i="3" s="1"/>
  <c r="CK24" i="6"/>
  <c r="CM24" i="6" s="1"/>
  <c r="HR27" i="3" s="1"/>
  <c r="CK23" i="6"/>
  <c r="CM23" i="6" s="1"/>
  <c r="HR26" i="3" s="1"/>
  <c r="CK22" i="6"/>
  <c r="CM22" i="6" s="1"/>
  <c r="HR25" i="3" s="1"/>
  <c r="CK21" i="6"/>
  <c r="CM21" i="6" s="1"/>
  <c r="HR24" i="3" s="1"/>
  <c r="CK20" i="6"/>
  <c r="CM20" i="6" s="1"/>
  <c r="HR23" i="3" s="1"/>
  <c r="CN31" i="6"/>
  <c r="CP31" i="6" s="1"/>
  <c r="AB22" i="7" s="1"/>
  <c r="CN30" i="6"/>
  <c r="CP30" i="6" s="1"/>
  <c r="AB21" i="7" s="1"/>
  <c r="CN29" i="6"/>
  <c r="CP29" i="6" s="1"/>
  <c r="AB20" i="7" s="1"/>
  <c r="CN28" i="6"/>
  <c r="CP28" i="6" s="1"/>
  <c r="AB19" i="7" s="1"/>
  <c r="CN27" i="6"/>
  <c r="CP27" i="6" s="1"/>
  <c r="AB18" i="7" s="1"/>
  <c r="CN26" i="6"/>
  <c r="CP26" i="6" s="1"/>
  <c r="AB17" i="7" s="1"/>
  <c r="CN25" i="6"/>
  <c r="CP25" i="6" s="1"/>
  <c r="AB16" i="7" s="1"/>
  <c r="CN24" i="6"/>
  <c r="CP24" i="6" s="1"/>
  <c r="AB15" i="7" s="1"/>
  <c r="CN23" i="6"/>
  <c r="CP23" i="6" s="1"/>
  <c r="AB14" i="7" s="1"/>
  <c r="CN22" i="6"/>
  <c r="CP22" i="6" s="1"/>
  <c r="AB13" i="7" s="1"/>
  <c r="CN21" i="6"/>
  <c r="CP21" i="6" s="1"/>
  <c r="AB12" i="7" s="1"/>
  <c r="CN20" i="6"/>
  <c r="CP20" i="6" s="1"/>
  <c r="AB11" i="7" s="1"/>
  <c r="CF31" i="6"/>
  <c r="CH31" i="6" s="1"/>
  <c r="CF30" i="6"/>
  <c r="CH30" i="6" s="1"/>
  <c r="CF29" i="6"/>
  <c r="CH29" i="6" s="1"/>
  <c r="CF28" i="6"/>
  <c r="CH28" i="6" s="1"/>
  <c r="CF27" i="6"/>
  <c r="CH27" i="6" s="1"/>
  <c r="CF26" i="6"/>
  <c r="CH26" i="6" s="1"/>
  <c r="CF25" i="6"/>
  <c r="CH25" i="6" s="1"/>
  <c r="CF24" i="6"/>
  <c r="CH24" i="6" s="1"/>
  <c r="CF23" i="6"/>
  <c r="CH23" i="6" s="1"/>
  <c r="CF22" i="6"/>
  <c r="CH22" i="6" s="1"/>
  <c r="CF21" i="6"/>
  <c r="CH21" i="6" s="1"/>
  <c r="CF20" i="6"/>
  <c r="CH20" i="6" s="1"/>
  <c r="CB31" i="6"/>
  <c r="CD31" i="6" s="1"/>
  <c r="CB30" i="6"/>
  <c r="CD30" i="6" s="1"/>
  <c r="CB29" i="6"/>
  <c r="CD29" i="6" s="1"/>
  <c r="CB28" i="6"/>
  <c r="CD28" i="6" s="1"/>
  <c r="CB27" i="6"/>
  <c r="CD27" i="6" s="1"/>
  <c r="CB26" i="6"/>
  <c r="CD26" i="6" s="1"/>
  <c r="CB25" i="6"/>
  <c r="CD25" i="6" s="1"/>
  <c r="CB24" i="6"/>
  <c r="CD24" i="6" s="1"/>
  <c r="CB23" i="6"/>
  <c r="CD23" i="6" s="1"/>
  <c r="CB22" i="6"/>
  <c r="CD22" i="6" s="1"/>
  <c r="CB21" i="6"/>
  <c r="CD21" i="6" s="1"/>
  <c r="CB20" i="6"/>
  <c r="CD20" i="6" s="1"/>
  <c r="BY31" i="6"/>
  <c r="CA31" i="6" s="1"/>
  <c r="BY30" i="6"/>
  <c r="CA30" i="6" s="1"/>
  <c r="BY29" i="6"/>
  <c r="CA29" i="6" s="1"/>
  <c r="BY28" i="6"/>
  <c r="CA28" i="6" s="1"/>
  <c r="BY27" i="6"/>
  <c r="CA27" i="6" s="1"/>
  <c r="BY26" i="6"/>
  <c r="CA26" i="6" s="1"/>
  <c r="BY25" i="6"/>
  <c r="CA25" i="6" s="1"/>
  <c r="BY24" i="6"/>
  <c r="CA24" i="6" s="1"/>
  <c r="BY23" i="6"/>
  <c r="CA23" i="6" s="1"/>
  <c r="BY22" i="6"/>
  <c r="CA22" i="6" s="1"/>
  <c r="BY21" i="6"/>
  <c r="CA21" i="6" s="1"/>
  <c r="BY20" i="6"/>
  <c r="CA20" i="6" s="1"/>
  <c r="BV31" i="6"/>
  <c r="BX31" i="6" s="1"/>
  <c r="BV30" i="6"/>
  <c r="BX30" i="6" s="1"/>
  <c r="BV29" i="6"/>
  <c r="BX29" i="6" s="1"/>
  <c r="BV28" i="6"/>
  <c r="BX28" i="6" s="1"/>
  <c r="BV27" i="6"/>
  <c r="BX27" i="6" s="1"/>
  <c r="BV26" i="6"/>
  <c r="BX26" i="6" s="1"/>
  <c r="BV25" i="6"/>
  <c r="BX25" i="6" s="1"/>
  <c r="BV24" i="6"/>
  <c r="BX24" i="6" s="1"/>
  <c r="BV23" i="6"/>
  <c r="BX23" i="6" s="1"/>
  <c r="BV22" i="6"/>
  <c r="BX22" i="6" s="1"/>
  <c r="BV21" i="6"/>
  <c r="BX21" i="6" s="1"/>
  <c r="BV20" i="6"/>
  <c r="BX20" i="6" s="1"/>
  <c r="BS31" i="6"/>
  <c r="BU31" i="6" s="1"/>
  <c r="BS30" i="6"/>
  <c r="BU30" i="6" s="1"/>
  <c r="BS29" i="6"/>
  <c r="BU29" i="6" s="1"/>
  <c r="BS28" i="6"/>
  <c r="BU28" i="6" s="1"/>
  <c r="BS27" i="6"/>
  <c r="BU27" i="6" s="1"/>
  <c r="BS26" i="6"/>
  <c r="BU26" i="6" s="1"/>
  <c r="BS25" i="6"/>
  <c r="BU25" i="6" s="1"/>
  <c r="BS24" i="6"/>
  <c r="BU24" i="6" s="1"/>
  <c r="BS23" i="6"/>
  <c r="BU23" i="6" s="1"/>
  <c r="BS22" i="6"/>
  <c r="BU22" i="6" s="1"/>
  <c r="BS21" i="6"/>
  <c r="BU21" i="6" s="1"/>
  <c r="BS20" i="6"/>
  <c r="BU20" i="6" s="1"/>
  <c r="BP31" i="6"/>
  <c r="BR31" i="6" s="1"/>
  <c r="BP30" i="6"/>
  <c r="BR30" i="6" s="1"/>
  <c r="BP29" i="6"/>
  <c r="BR29" i="6" s="1"/>
  <c r="BP28" i="6"/>
  <c r="BR28" i="6" s="1"/>
  <c r="BP27" i="6"/>
  <c r="BR27" i="6" s="1"/>
  <c r="BP26" i="6"/>
  <c r="BR26" i="6" s="1"/>
  <c r="BP25" i="6"/>
  <c r="BR25" i="6" s="1"/>
  <c r="BP24" i="6"/>
  <c r="BR24" i="6" s="1"/>
  <c r="BP23" i="6"/>
  <c r="BR23" i="6" s="1"/>
  <c r="BP22" i="6"/>
  <c r="BR22" i="6" s="1"/>
  <c r="BP21" i="6"/>
  <c r="BR21" i="6" s="1"/>
  <c r="BP20" i="6"/>
  <c r="BR20" i="6" s="1"/>
  <c r="BJ31" i="6"/>
  <c r="BJ30" i="6"/>
  <c r="BJ29" i="6"/>
  <c r="BJ28" i="6"/>
  <c r="BJ27" i="6"/>
  <c r="BJ26" i="6"/>
  <c r="BJ25" i="6"/>
  <c r="BJ24" i="6"/>
  <c r="BJ23" i="6"/>
  <c r="BJ22" i="6"/>
  <c r="BJ21" i="6"/>
  <c r="BJ20" i="6"/>
  <c r="BG31" i="6"/>
  <c r="BG30" i="6"/>
  <c r="BG29" i="6"/>
  <c r="BG28" i="6"/>
  <c r="BG27" i="6"/>
  <c r="BG26" i="6"/>
  <c r="BG25" i="6"/>
  <c r="BG24" i="6"/>
  <c r="BG23" i="6"/>
  <c r="BG22" i="6"/>
  <c r="BG21" i="6"/>
  <c r="BG20" i="6"/>
  <c r="BD31" i="6"/>
  <c r="BD30" i="6"/>
  <c r="BD29" i="6"/>
  <c r="BD28" i="6"/>
  <c r="BD27" i="6"/>
  <c r="BD26" i="6"/>
  <c r="BD25" i="6"/>
  <c r="BD24" i="6"/>
  <c r="BD23" i="6"/>
  <c r="BD22" i="6"/>
  <c r="BD21" i="6"/>
  <c r="BD20" i="6"/>
  <c r="BA31" i="6"/>
  <c r="BA30" i="6"/>
  <c r="BA29" i="6"/>
  <c r="BA28" i="6"/>
  <c r="BA27" i="6"/>
  <c r="BA26" i="6"/>
  <c r="BA25" i="6"/>
  <c r="BA24" i="6"/>
  <c r="BA23" i="6"/>
  <c r="BA22" i="6"/>
  <c r="BA21" i="6"/>
  <c r="BA20" i="6"/>
  <c r="AX31" i="6"/>
  <c r="AX30" i="6"/>
  <c r="AX29" i="6"/>
  <c r="AX28" i="6"/>
  <c r="AX27" i="6"/>
  <c r="AX26" i="6"/>
  <c r="AX25" i="6"/>
  <c r="AX24" i="6"/>
  <c r="AX23" i="6"/>
  <c r="AX22" i="6"/>
  <c r="AX21" i="6"/>
  <c r="AX20" i="6"/>
  <c r="AU31" i="6"/>
  <c r="AU30" i="6"/>
  <c r="AU29" i="6"/>
  <c r="AU28" i="6"/>
  <c r="AU27" i="6"/>
  <c r="AU26" i="6"/>
  <c r="AU25" i="6"/>
  <c r="AU24" i="6"/>
  <c r="AU23" i="6"/>
  <c r="AU22" i="6"/>
  <c r="AU21" i="6"/>
  <c r="AU20" i="6"/>
  <c r="AR31" i="6"/>
  <c r="AR30" i="6"/>
  <c r="AR29" i="6"/>
  <c r="AR28" i="6"/>
  <c r="AR27" i="6"/>
  <c r="AR26" i="6"/>
  <c r="AR25" i="6"/>
  <c r="AR24" i="6"/>
  <c r="AR23" i="6"/>
  <c r="AR22" i="6"/>
  <c r="AR21" i="6"/>
  <c r="AR20" i="6"/>
  <c r="AR13" i="6"/>
  <c r="AR12" i="6"/>
  <c r="AR11" i="6"/>
  <c r="AR10" i="6"/>
  <c r="AR9" i="6"/>
  <c r="BD60" i="6"/>
  <c r="BF60" i="6" s="1"/>
  <c r="BD59" i="6"/>
  <c r="BF59" i="6" s="1"/>
  <c r="BD58" i="6"/>
  <c r="BF58" i="6" s="1"/>
  <c r="BD57" i="6"/>
  <c r="BF57" i="6" s="1"/>
  <c r="BD56" i="6"/>
  <c r="BF56" i="6" s="1"/>
  <c r="BD55" i="6"/>
  <c r="BF55" i="6" s="1"/>
  <c r="BD54" i="6"/>
  <c r="BF54" i="6" s="1"/>
  <c r="BD53" i="6"/>
  <c r="BD52" i="6"/>
  <c r="BF52" i="6" s="1"/>
  <c r="BD51" i="6"/>
  <c r="BF51" i="6" s="1"/>
  <c r="BD50" i="6"/>
  <c r="BF50" i="6" s="1"/>
  <c r="BD49" i="6"/>
  <c r="BF49" i="6" s="1"/>
  <c r="DD56" i="6" l="1"/>
  <c r="BG56" i="6" s="1"/>
  <c r="AG16" i="7"/>
  <c r="HQ28" i="3"/>
  <c r="AG19" i="7"/>
  <c r="HQ31" i="3"/>
  <c r="AG17" i="7"/>
  <c r="HQ29" i="3"/>
  <c r="AG18" i="7"/>
  <c r="HQ30" i="3"/>
  <c r="AG20" i="7"/>
  <c r="HQ32" i="3"/>
  <c r="AG21" i="7"/>
  <c r="HQ33" i="3"/>
  <c r="AG22" i="7"/>
  <c r="HQ34" i="3"/>
  <c r="AG13" i="7"/>
  <c r="HQ25" i="3"/>
  <c r="AG14" i="7"/>
  <c r="HQ26" i="3"/>
  <c r="AG12" i="7"/>
  <c r="HQ24" i="3"/>
  <c r="AG11" i="7"/>
  <c r="HQ23" i="3"/>
  <c r="GC31" i="3"/>
  <c r="HD30" i="3"/>
  <c r="HF30" i="3"/>
  <c r="HG30" i="3"/>
  <c r="HH30" i="3"/>
  <c r="HI30" i="3"/>
  <c r="HJ30" i="3"/>
  <c r="HK30" i="3"/>
  <c r="GZ30" i="3"/>
  <c r="HA30" i="3"/>
  <c r="GV30" i="3"/>
  <c r="GN30" i="3"/>
  <c r="GC9" i="3"/>
  <c r="HJ10" i="3"/>
  <c r="HK10" i="3"/>
  <c r="HF10" i="3"/>
  <c r="HG10" i="3"/>
  <c r="HI10" i="3"/>
  <c r="HH10" i="3"/>
  <c r="GX10" i="3"/>
  <c r="GP10" i="3"/>
  <c r="GY10" i="3"/>
  <c r="GQ10" i="3"/>
  <c r="GZ10" i="3"/>
  <c r="GR10" i="3"/>
  <c r="HA10" i="3"/>
  <c r="GS10" i="3"/>
  <c r="HB10" i="3"/>
  <c r="GT10" i="3"/>
  <c r="HC10" i="3"/>
  <c r="GU10" i="3"/>
  <c r="GD8" i="3"/>
  <c r="GD31" i="3"/>
  <c r="DY31" i="3"/>
  <c r="DD59" i="6"/>
  <c r="BG59" i="6" s="1"/>
  <c r="DD58" i="6"/>
  <c r="BG58" i="6" s="1"/>
  <c r="BZ23" i="3"/>
  <c r="BZ30" i="3"/>
  <c r="DY8" i="3"/>
  <c r="CD23" i="3"/>
  <c r="DZ31" i="3"/>
  <c r="BZ29" i="3"/>
  <c r="BZ28" i="3"/>
  <c r="BZ27" i="3"/>
  <c r="BZ26" i="3"/>
  <c r="BZ25" i="3"/>
  <c r="BZ24" i="3"/>
  <c r="DD55" i="6"/>
  <c r="BG55" i="6" s="1"/>
  <c r="DD53" i="6"/>
  <c r="BG53" i="6" s="1"/>
  <c r="DD52" i="6"/>
  <c r="BG52" i="6" s="1"/>
  <c r="DD54" i="6"/>
  <c r="BG54" i="6" s="1"/>
  <c r="DD41" i="6"/>
  <c r="CX41" i="6" s="1"/>
  <c r="DD39" i="6"/>
  <c r="CX39" i="6" s="1"/>
  <c r="DD37" i="6"/>
  <c r="CX37" i="6" s="1"/>
  <c r="DD43" i="6"/>
  <c r="CX43" i="6" s="1"/>
  <c r="DD50" i="6"/>
  <c r="BG50" i="6" s="1"/>
  <c r="DD57" i="6"/>
  <c r="BG57" i="6" s="1"/>
  <c r="DD51" i="6"/>
  <c r="BG51" i="6" s="1"/>
  <c r="DD44" i="6"/>
  <c r="CX44" i="6" s="1"/>
  <c r="DD49" i="6"/>
  <c r="BG49" i="6" s="1"/>
  <c r="DD60" i="6"/>
  <c r="BG60" i="6" s="1"/>
  <c r="DD24" i="6"/>
  <c r="CX24" i="6" s="1"/>
  <c r="DD42" i="6"/>
  <c r="CX42" i="6" s="1"/>
  <c r="DD40" i="6"/>
  <c r="CX40" i="6" s="1"/>
  <c r="DD27" i="6"/>
  <c r="CX27" i="6" s="1"/>
  <c r="DD21" i="6"/>
  <c r="CX21" i="6" s="1"/>
  <c r="DD38" i="6"/>
  <c r="CX38" i="6" s="1"/>
  <c r="DD29" i="6"/>
  <c r="CX29" i="6" s="1"/>
  <c r="DD26" i="6"/>
  <c r="CX26" i="6" s="1"/>
  <c r="DD28" i="6"/>
  <c r="CX28" i="6" s="1"/>
  <c r="DD22" i="6"/>
  <c r="CX22" i="6" s="1"/>
  <c r="DD23" i="6"/>
  <c r="CX23" i="6" s="1"/>
  <c r="DD31" i="6"/>
  <c r="CX31" i="6" s="1"/>
  <c r="DD30" i="6"/>
  <c r="CX30" i="6" s="1"/>
  <c r="DD25" i="6"/>
  <c r="CX25" i="6" s="1"/>
  <c r="DD20" i="6"/>
  <c r="CX20" i="6" s="1"/>
  <c r="CT43" i="6"/>
  <c r="CD29" i="3" s="1"/>
  <c r="CE24" i="6"/>
  <c r="CE38" i="6"/>
  <c r="CE29" i="6"/>
  <c r="BM39" i="6"/>
  <c r="CE27" i="6"/>
  <c r="CE44" i="6"/>
  <c r="CE23" i="6"/>
  <c r="CE28" i="6"/>
  <c r="BM38" i="6"/>
  <c r="CE21" i="6"/>
  <c r="CE39" i="6"/>
  <c r="CE40" i="6"/>
  <c r="CE25" i="6"/>
  <c r="CE30" i="6"/>
  <c r="BM40" i="6"/>
  <c r="CE20" i="6"/>
  <c r="CE31" i="6"/>
  <c r="CE43" i="6"/>
  <c r="BM41" i="6"/>
  <c r="CE42" i="6"/>
  <c r="BM44" i="6"/>
  <c r="CE22" i="6"/>
  <c r="BM43" i="6"/>
  <c r="BM37" i="6"/>
  <c r="CE37" i="6"/>
  <c r="CE41" i="6"/>
  <c r="BM42" i="6"/>
  <c r="CE26" i="6"/>
  <c r="BF53" i="6"/>
  <c r="CH37" i="6"/>
  <c r="BL21" i="6"/>
  <c r="BL20" i="6"/>
  <c r="BI21" i="6"/>
  <c r="BI20" i="6"/>
  <c r="BF21" i="6"/>
  <c r="BF20" i="6"/>
  <c r="BC21" i="6"/>
  <c r="BC20" i="6"/>
  <c r="AZ21" i="6"/>
  <c r="AZ20" i="6"/>
  <c r="BL31" i="6"/>
  <c r="BL30" i="6"/>
  <c r="BL29" i="6"/>
  <c r="BL28" i="6"/>
  <c r="BL27" i="6"/>
  <c r="BL26" i="6"/>
  <c r="BL25" i="6"/>
  <c r="BL24" i="6"/>
  <c r="BL23" i="6"/>
  <c r="BL22" i="6"/>
  <c r="BI31" i="6"/>
  <c r="BI30" i="6"/>
  <c r="BI29" i="6"/>
  <c r="BI28" i="6"/>
  <c r="BI27" i="6"/>
  <c r="BI26" i="6"/>
  <c r="BI25" i="6"/>
  <c r="BI24" i="6"/>
  <c r="BI23" i="6"/>
  <c r="BI22" i="6"/>
  <c r="BF31" i="6"/>
  <c r="BF30" i="6"/>
  <c r="BF29" i="6"/>
  <c r="BF28" i="6"/>
  <c r="BF27" i="6"/>
  <c r="BF26" i="6"/>
  <c r="BF25" i="6"/>
  <c r="BF24" i="6"/>
  <c r="BF23" i="6"/>
  <c r="BF22" i="6"/>
  <c r="BC31" i="6"/>
  <c r="BC30" i="6"/>
  <c r="BC29" i="6"/>
  <c r="BC28" i="6"/>
  <c r="BC27" i="6"/>
  <c r="BC26" i="6"/>
  <c r="BC25" i="6"/>
  <c r="BC24" i="6"/>
  <c r="BC23" i="6"/>
  <c r="BC22" i="6"/>
  <c r="AZ31" i="6"/>
  <c r="AZ30" i="6"/>
  <c r="AZ29" i="6"/>
  <c r="AZ28" i="6"/>
  <c r="AZ27" i="6"/>
  <c r="AZ26" i="6"/>
  <c r="AZ25" i="6"/>
  <c r="AZ24" i="6"/>
  <c r="AZ23" i="6"/>
  <c r="AZ22" i="6"/>
  <c r="AZ60" i="6"/>
  <c r="AZ59" i="6"/>
  <c r="AZ58" i="6"/>
  <c r="AZ57" i="6"/>
  <c r="AZ56" i="6"/>
  <c r="AZ55" i="6"/>
  <c r="AZ54" i="6"/>
  <c r="AZ53" i="6"/>
  <c r="AZ52" i="6"/>
  <c r="AZ51" i="6"/>
  <c r="AZ50" i="6"/>
  <c r="AW60" i="6"/>
  <c r="AW59" i="6"/>
  <c r="AW58" i="6"/>
  <c r="AW57" i="6"/>
  <c r="AW56" i="6"/>
  <c r="AW55" i="6"/>
  <c r="AW54" i="6"/>
  <c r="AW53" i="6"/>
  <c r="AW52" i="6"/>
  <c r="AW51" i="6"/>
  <c r="AW50" i="6"/>
  <c r="AZ49" i="6"/>
  <c r="AW49" i="6"/>
  <c r="AG15" i="7" l="1"/>
  <c r="HQ27" i="3"/>
  <c r="GC8" i="3"/>
  <c r="HG9" i="3"/>
  <c r="HH9" i="3"/>
  <c r="HI9" i="3"/>
  <c r="HJ9" i="3"/>
  <c r="HK9" i="3"/>
  <c r="HD9" i="3"/>
  <c r="HE9" i="3"/>
  <c r="HF9" i="3"/>
  <c r="GZ9" i="3"/>
  <c r="GR9" i="3"/>
  <c r="HA9" i="3"/>
  <c r="GS9" i="3"/>
  <c r="HB9" i="3"/>
  <c r="GT9" i="3"/>
  <c r="HC9" i="3"/>
  <c r="GU9" i="3"/>
  <c r="GV9" i="3"/>
  <c r="GN9" i="3"/>
  <c r="GW9" i="3"/>
  <c r="GO9" i="3"/>
  <c r="GX9" i="3"/>
  <c r="GP9" i="3"/>
  <c r="GY9" i="3"/>
  <c r="GQ9" i="3"/>
  <c r="GC32" i="3"/>
  <c r="HG31" i="3"/>
  <c r="HH31" i="3"/>
  <c r="HF31" i="3"/>
  <c r="HI31" i="3"/>
  <c r="HJ31" i="3"/>
  <c r="HK31" i="3"/>
  <c r="HD31" i="3"/>
  <c r="GV31" i="3"/>
  <c r="GN31" i="3"/>
  <c r="GZ31" i="3"/>
  <c r="HA31" i="3"/>
  <c r="GD32" i="3"/>
  <c r="GD7" i="3"/>
  <c r="DY32" i="3"/>
  <c r="DY7" i="3"/>
  <c r="DZ32" i="3"/>
  <c r="BM26" i="6"/>
  <c r="BM27" i="6"/>
  <c r="BM30" i="6"/>
  <c r="BM31" i="6"/>
  <c r="BM22" i="6"/>
  <c r="BM28" i="6"/>
  <c r="BM23" i="6"/>
  <c r="BM29" i="6"/>
  <c r="BM24" i="6"/>
  <c r="BM20" i="6"/>
  <c r="BM25" i="6"/>
  <c r="BM21" i="6"/>
  <c r="AW44" i="6"/>
  <c r="CC30" i="3" s="1"/>
  <c r="AW43" i="6"/>
  <c r="CC29" i="3" s="1"/>
  <c r="AW42" i="6"/>
  <c r="CC28" i="3" s="1"/>
  <c r="AW41" i="6"/>
  <c r="CC27" i="3" s="1"/>
  <c r="AW40" i="6"/>
  <c r="CC26" i="3" s="1"/>
  <c r="AW39" i="6"/>
  <c r="CC25" i="3" s="1"/>
  <c r="AW38" i="6"/>
  <c r="CC24" i="3" s="1"/>
  <c r="AW37" i="6"/>
  <c r="CC23" i="3" s="1"/>
  <c r="AQ37" i="6"/>
  <c r="CJ23" i="3" s="1"/>
  <c r="FT23" i="3" s="1"/>
  <c r="AQ60" i="6"/>
  <c r="AQ59" i="6"/>
  <c r="AQ58" i="6"/>
  <c r="AQ57" i="6"/>
  <c r="AQ56" i="6"/>
  <c r="AQ55" i="6"/>
  <c r="AQ54" i="6"/>
  <c r="AQ53" i="6"/>
  <c r="AQ52" i="6"/>
  <c r="AQ51" i="6"/>
  <c r="AQ50" i="6"/>
  <c r="AQ49" i="6"/>
  <c r="AR44" i="6"/>
  <c r="AQ44" i="6"/>
  <c r="CJ30" i="3" s="1"/>
  <c r="FT30" i="3" s="1"/>
  <c r="AR43" i="6"/>
  <c r="AQ43" i="6"/>
  <c r="CJ29" i="3" s="1"/>
  <c r="FT29" i="3" s="1"/>
  <c r="AR42" i="6"/>
  <c r="AQ42" i="6"/>
  <c r="CJ28" i="3" s="1"/>
  <c r="FT28" i="3" s="1"/>
  <c r="AR41" i="6"/>
  <c r="AQ41" i="6"/>
  <c r="CJ27" i="3" s="1"/>
  <c r="FT27" i="3" s="1"/>
  <c r="AR40" i="6"/>
  <c r="AQ40" i="6"/>
  <c r="CJ26" i="3" s="1"/>
  <c r="FT26" i="3" s="1"/>
  <c r="AR39" i="6"/>
  <c r="AQ39" i="6"/>
  <c r="CJ25" i="3" s="1"/>
  <c r="FT25" i="3" s="1"/>
  <c r="AR38" i="6"/>
  <c r="AQ38" i="6"/>
  <c r="CJ24" i="3" s="1"/>
  <c r="FT24" i="3" s="1"/>
  <c r="AR37" i="6"/>
  <c r="AT37" i="6" s="1"/>
  <c r="CK23" i="3" s="1"/>
  <c r="AT31" i="6"/>
  <c r="AT30" i="6"/>
  <c r="AT29" i="6"/>
  <c r="AT28" i="6"/>
  <c r="AT27" i="6"/>
  <c r="AT26" i="6"/>
  <c r="AT25" i="6"/>
  <c r="AT24" i="6"/>
  <c r="AT23" i="6"/>
  <c r="AT22" i="6"/>
  <c r="AT21" i="6"/>
  <c r="AT20" i="6"/>
  <c r="AT13" i="6"/>
  <c r="AT12" i="6"/>
  <c r="AT11" i="6"/>
  <c r="AT10" i="6"/>
  <c r="AN44" i="6"/>
  <c r="AN43" i="6"/>
  <c r="AN42" i="6"/>
  <c r="AN41" i="6"/>
  <c r="AN40" i="6"/>
  <c r="AN39" i="6"/>
  <c r="AN38" i="6"/>
  <c r="AN37" i="6"/>
  <c r="GC33" i="3" l="1"/>
  <c r="HJ32" i="3"/>
  <c r="HK32" i="3"/>
  <c r="HD32" i="3"/>
  <c r="HI32" i="3"/>
  <c r="HF32" i="3"/>
  <c r="HG32" i="3"/>
  <c r="HH32" i="3"/>
  <c r="GV32" i="3"/>
  <c r="GZ32" i="3"/>
  <c r="HA32" i="3"/>
  <c r="GC7" i="3"/>
  <c r="HD8" i="3"/>
  <c r="HE8" i="3"/>
  <c r="HF8" i="3"/>
  <c r="HG8" i="3"/>
  <c r="HH8" i="3"/>
  <c r="HI8" i="3"/>
  <c r="HJ8" i="3"/>
  <c r="HK8" i="3"/>
  <c r="GV8" i="3"/>
  <c r="GN8" i="3"/>
  <c r="GW8" i="3"/>
  <c r="GO8" i="3"/>
  <c r="GX8" i="3"/>
  <c r="GP8" i="3"/>
  <c r="GY8" i="3"/>
  <c r="GQ8" i="3"/>
  <c r="GZ8" i="3"/>
  <c r="GR8" i="3"/>
  <c r="HA8" i="3"/>
  <c r="GS8" i="3"/>
  <c r="HB8" i="3"/>
  <c r="GT8" i="3"/>
  <c r="HC8" i="3"/>
  <c r="GU8" i="3"/>
  <c r="FU23" i="3"/>
  <c r="GD33" i="3"/>
  <c r="DY33" i="3"/>
  <c r="CL23" i="3"/>
  <c r="DZ33" i="3"/>
  <c r="AT41" i="6"/>
  <c r="CK27" i="3" s="1"/>
  <c r="AT43" i="6"/>
  <c r="CK29" i="3" s="1"/>
  <c r="AT42" i="6"/>
  <c r="CK28" i="3" s="1"/>
  <c r="AT40" i="6"/>
  <c r="CK26" i="3" s="1"/>
  <c r="AT39" i="6"/>
  <c r="CK25" i="3" s="1"/>
  <c r="AT38" i="6"/>
  <c r="CK24" i="3" s="1"/>
  <c r="AT44" i="6"/>
  <c r="CK30" i="3" s="1"/>
  <c r="BN42" i="6"/>
  <c r="BY28" i="3" s="1"/>
  <c r="CQ42" i="6"/>
  <c r="BN37" i="6"/>
  <c r="BY23" i="3" s="1"/>
  <c r="CQ37" i="6"/>
  <c r="BN38" i="6"/>
  <c r="BY24" i="3" s="1"/>
  <c r="CQ38" i="6"/>
  <c r="BN39" i="6"/>
  <c r="BY25" i="3" s="1"/>
  <c r="CQ39" i="6"/>
  <c r="BN40" i="6"/>
  <c r="BY26" i="3" s="1"/>
  <c r="CQ40" i="6"/>
  <c r="BN41" i="6"/>
  <c r="BY27" i="3" s="1"/>
  <c r="CQ41" i="6"/>
  <c r="BN43" i="6"/>
  <c r="BY29" i="3" s="1"/>
  <c r="CQ43" i="6"/>
  <c r="BN44" i="6"/>
  <c r="BY30" i="3" s="1"/>
  <c r="CQ44" i="6"/>
  <c r="AW26" i="6"/>
  <c r="Y17" i="7" s="1"/>
  <c r="AW27" i="6"/>
  <c r="Y18" i="7" s="1"/>
  <c r="AW28" i="6"/>
  <c r="Y19" i="7" s="1"/>
  <c r="AW29" i="6"/>
  <c r="Y20" i="7" s="1"/>
  <c r="AW30" i="6"/>
  <c r="Y21" i="7" s="1"/>
  <c r="AW20" i="6"/>
  <c r="Y11" i="7" s="1"/>
  <c r="AW24" i="6"/>
  <c r="Y15" i="7" s="1"/>
  <c r="AW31" i="6"/>
  <c r="Y22" i="7" s="1"/>
  <c r="AW21" i="6"/>
  <c r="Y12" i="7" s="1"/>
  <c r="AW22" i="6"/>
  <c r="Y13" i="7" s="1"/>
  <c r="AW23" i="6"/>
  <c r="Y14" i="7" s="1"/>
  <c r="AW25" i="6"/>
  <c r="Y16" i="7" s="1"/>
  <c r="AT9" i="6"/>
  <c r="AT14" i="6" s="1"/>
  <c r="AR49" i="6" s="1"/>
  <c r="BA49" i="6" s="1"/>
  <c r="HS23" i="3" s="1"/>
  <c r="AN16" i="6"/>
  <c r="C16" i="6"/>
  <c r="C8" i="6"/>
  <c r="I27" i="1"/>
  <c r="E23" i="13" s="1"/>
  <c r="I25" i="1"/>
  <c r="E22" i="13" s="1"/>
  <c r="B33" i="1"/>
  <c r="H29" i="1"/>
  <c r="C16" i="1"/>
  <c r="I20" i="1"/>
  <c r="S12" i="3"/>
  <c r="S17" i="3" s="1"/>
  <c r="S18" i="3" s="1"/>
  <c r="F29" i="1" s="1"/>
  <c r="K81" i="3"/>
  <c r="L81" i="3" s="1"/>
  <c r="K80" i="3"/>
  <c r="L80" i="3" s="1"/>
  <c r="K79" i="3"/>
  <c r="L79" i="3" s="1"/>
  <c r="K78" i="3"/>
  <c r="L78" i="3" s="1"/>
  <c r="K77" i="3"/>
  <c r="L77" i="3" s="1"/>
  <c r="K76" i="3"/>
  <c r="L76" i="3" s="1"/>
  <c r="K75" i="3"/>
  <c r="L75" i="3" s="1"/>
  <c r="K74" i="3"/>
  <c r="L74" i="3" s="1"/>
  <c r="K73" i="3"/>
  <c r="L73" i="3" s="1"/>
  <c r="K72" i="3"/>
  <c r="L72" i="3" s="1"/>
  <c r="K71" i="3"/>
  <c r="L71" i="3" s="1"/>
  <c r="K70" i="3"/>
  <c r="L70" i="3" s="1"/>
  <c r="K69" i="3"/>
  <c r="L69" i="3" s="1"/>
  <c r="K68" i="3"/>
  <c r="L68" i="3" s="1"/>
  <c r="K67" i="3"/>
  <c r="L67" i="3" s="1"/>
  <c r="K66" i="3"/>
  <c r="L66" i="3" s="1"/>
  <c r="K65" i="3"/>
  <c r="L65" i="3" s="1"/>
  <c r="K64" i="3"/>
  <c r="L64" i="3" s="1"/>
  <c r="K63" i="3"/>
  <c r="L63" i="3" s="1"/>
  <c r="K62" i="3"/>
  <c r="L62" i="3" s="1"/>
  <c r="K61" i="3"/>
  <c r="L61" i="3" s="1"/>
  <c r="K60" i="3"/>
  <c r="L60" i="3" s="1"/>
  <c r="K59" i="3"/>
  <c r="L59" i="3" s="1"/>
  <c r="K58" i="3"/>
  <c r="L58" i="3" s="1"/>
  <c r="K57" i="3"/>
  <c r="L57" i="3" s="1"/>
  <c r="K56" i="3"/>
  <c r="L56" i="3" s="1"/>
  <c r="K55" i="3"/>
  <c r="L55" i="3" s="1"/>
  <c r="K54" i="3"/>
  <c r="L54" i="3" s="1"/>
  <c r="K53" i="3"/>
  <c r="L53" i="3" s="1"/>
  <c r="K52" i="3"/>
  <c r="L52" i="3" s="1"/>
  <c r="K51" i="3"/>
  <c r="L51" i="3" s="1"/>
  <c r="K50" i="3"/>
  <c r="L50" i="3" s="1"/>
  <c r="K49" i="3"/>
  <c r="L49" i="3" s="1"/>
  <c r="K48" i="3"/>
  <c r="L48" i="3" s="1"/>
  <c r="K47" i="3"/>
  <c r="L47" i="3" s="1"/>
  <c r="K46" i="3"/>
  <c r="L46" i="3" s="1"/>
  <c r="K45" i="3"/>
  <c r="L45" i="3" s="1"/>
  <c r="K44" i="3"/>
  <c r="L44" i="3" s="1"/>
  <c r="K43" i="3"/>
  <c r="L43" i="3" s="1"/>
  <c r="K42" i="3"/>
  <c r="L42" i="3" s="1"/>
  <c r="K41" i="3"/>
  <c r="L41" i="3" s="1"/>
  <c r="K40" i="3"/>
  <c r="L40" i="3" s="1"/>
  <c r="K39" i="3"/>
  <c r="L39" i="3" s="1"/>
  <c r="K38" i="3"/>
  <c r="L38" i="3" s="1"/>
  <c r="K37" i="3"/>
  <c r="L37" i="3" s="1"/>
  <c r="K36" i="3"/>
  <c r="L36" i="3" s="1"/>
  <c r="K35" i="3"/>
  <c r="L35" i="3" s="1"/>
  <c r="K34" i="3"/>
  <c r="L34" i="3" s="1"/>
  <c r="K33" i="3"/>
  <c r="L33" i="3" s="1"/>
  <c r="K32" i="3"/>
  <c r="L32" i="3" s="1"/>
  <c r="K31" i="3"/>
  <c r="L31" i="3" s="1"/>
  <c r="K30" i="3"/>
  <c r="L30" i="3" s="1"/>
  <c r="K29" i="3"/>
  <c r="L29" i="3" s="1"/>
  <c r="K28" i="3"/>
  <c r="L28" i="3" s="1"/>
  <c r="K27" i="3"/>
  <c r="L27" i="3" s="1"/>
  <c r="K26" i="3"/>
  <c r="L26" i="3" s="1"/>
  <c r="K25" i="3"/>
  <c r="L25" i="3" s="1"/>
  <c r="K24" i="3"/>
  <c r="L24" i="3" s="1"/>
  <c r="K23" i="3"/>
  <c r="L23" i="3" s="1"/>
  <c r="K22" i="3"/>
  <c r="L22" i="3" s="1"/>
  <c r="K21" i="3"/>
  <c r="L21" i="3" s="1"/>
  <c r="K20" i="3"/>
  <c r="L20" i="3" s="1"/>
  <c r="K19" i="3"/>
  <c r="L19" i="3" s="1"/>
  <c r="K18" i="3"/>
  <c r="L18" i="3" s="1"/>
  <c r="K17" i="3"/>
  <c r="L17" i="3" s="1"/>
  <c r="K16" i="3"/>
  <c r="L16" i="3" s="1"/>
  <c r="K15" i="3"/>
  <c r="L15" i="3" s="1"/>
  <c r="K14" i="3"/>
  <c r="L14" i="3" s="1"/>
  <c r="K13" i="3"/>
  <c r="L13" i="3" s="1"/>
  <c r="K12" i="3"/>
  <c r="L12" i="3" s="1"/>
  <c r="K11" i="3"/>
  <c r="L11" i="3" s="1"/>
  <c r="K10" i="3"/>
  <c r="L10" i="3" s="1"/>
  <c r="K9" i="3"/>
  <c r="L9" i="3" s="1"/>
  <c r="K8" i="3"/>
  <c r="L8" i="3" s="1"/>
  <c r="K7" i="3"/>
  <c r="L7" i="3" s="1"/>
  <c r="S6" i="3"/>
  <c r="J6" i="3"/>
  <c r="C40" i="13" l="1"/>
  <c r="C36" i="13"/>
  <c r="C32" i="13"/>
  <c r="C28" i="13"/>
  <c r="H18" i="13"/>
  <c r="E24" i="13"/>
  <c r="C33" i="13"/>
  <c r="E41" i="13"/>
  <c r="E40" i="13"/>
  <c r="C29" i="13"/>
  <c r="E37" i="13"/>
  <c r="E36" i="13"/>
  <c r="E33" i="13"/>
  <c r="E32" i="13"/>
  <c r="E25" i="13"/>
  <c r="H20" i="13" s="1"/>
  <c r="E29" i="13"/>
  <c r="E28" i="13"/>
  <c r="C37" i="13"/>
  <c r="IM9" i="3"/>
  <c r="IM8" i="3"/>
  <c r="IM7" i="3"/>
  <c r="AI60" i="16"/>
  <c r="AI60" i="15"/>
  <c r="AI59" i="15"/>
  <c r="AI58" i="15"/>
  <c r="AI57" i="15"/>
  <c r="AI56" i="15"/>
  <c r="AI59" i="16"/>
  <c r="AI58" i="16"/>
  <c r="AI57" i="16"/>
  <c r="AI56" i="16"/>
  <c r="AI55" i="16"/>
  <c r="AI55" i="15"/>
  <c r="AI54" i="15"/>
  <c r="AI51" i="15"/>
  <c r="AI49" i="15"/>
  <c r="AI54" i="16"/>
  <c r="AI53" i="16"/>
  <c r="AI53" i="15"/>
  <c r="AI52" i="15"/>
  <c r="AI50" i="15"/>
  <c r="AI49" i="16"/>
  <c r="AI52" i="16"/>
  <c r="AI51" i="16"/>
  <c r="AI50" i="16"/>
  <c r="AJ60" i="16"/>
  <c r="AK60" i="16" s="1"/>
  <c r="AJ54" i="16"/>
  <c r="AJ59" i="16"/>
  <c r="AJ53" i="16"/>
  <c r="AJ52" i="16"/>
  <c r="AJ58" i="16"/>
  <c r="AK58" i="16" s="1"/>
  <c r="AJ51" i="16"/>
  <c r="AJ57" i="16"/>
  <c r="AJ50" i="16"/>
  <c r="AJ56" i="16"/>
  <c r="AJ55" i="16"/>
  <c r="AJ49" i="16"/>
  <c r="AJ56" i="15"/>
  <c r="AK56" i="15" s="1"/>
  <c r="AJ50" i="15"/>
  <c r="AK50" i="15" s="1"/>
  <c r="AJ54" i="15"/>
  <c r="AJ53" i="15"/>
  <c r="AJ57" i="15"/>
  <c r="AK57" i="15" s="1"/>
  <c r="AJ60" i="15"/>
  <c r="AJ59" i="15"/>
  <c r="AJ52" i="15"/>
  <c r="AJ51" i="15"/>
  <c r="AJ55" i="15"/>
  <c r="AJ49" i="15"/>
  <c r="AJ58" i="15"/>
  <c r="AI60" i="14"/>
  <c r="AI59" i="14"/>
  <c r="AI58" i="14"/>
  <c r="AI56" i="14"/>
  <c r="AI54" i="14"/>
  <c r="AI49" i="14"/>
  <c r="AI57" i="14"/>
  <c r="AI53" i="14"/>
  <c r="AI52" i="14"/>
  <c r="AI51" i="14"/>
  <c r="AI50" i="14"/>
  <c r="AI55" i="14"/>
  <c r="AJ54" i="14"/>
  <c r="AJ59" i="14"/>
  <c r="AJ53" i="14"/>
  <c r="AJ58" i="14"/>
  <c r="AJ52" i="14"/>
  <c r="AJ50" i="14"/>
  <c r="AJ60" i="14"/>
  <c r="AJ57" i="14"/>
  <c r="AJ51" i="14"/>
  <c r="AJ49" i="14"/>
  <c r="AJ56" i="14"/>
  <c r="AJ55" i="14"/>
  <c r="AI52" i="6"/>
  <c r="AI58" i="6"/>
  <c r="AI49" i="6"/>
  <c r="AI57" i="6"/>
  <c r="AI53" i="6"/>
  <c r="AI59" i="6"/>
  <c r="AI54" i="6"/>
  <c r="AI60" i="6"/>
  <c r="AI56" i="6"/>
  <c r="AI55" i="6"/>
  <c r="AI50" i="6"/>
  <c r="AI51" i="6"/>
  <c r="T46" i="13"/>
  <c r="N46" i="13"/>
  <c r="H46" i="13"/>
  <c r="E6" i="13"/>
  <c r="B46" i="13"/>
  <c r="BW23" i="3"/>
  <c r="HO22" i="3" s="1"/>
  <c r="N2" i="20"/>
  <c r="H2" i="20"/>
  <c r="Q2" i="20"/>
  <c r="K2" i="20"/>
  <c r="IM6" i="3"/>
  <c r="GF29" i="3"/>
  <c r="GF17" i="3"/>
  <c r="GF32" i="3"/>
  <c r="GF14" i="3"/>
  <c r="HK7" i="3"/>
  <c r="HJ7" i="3"/>
  <c r="HI7" i="3"/>
  <c r="HH7" i="3"/>
  <c r="HG7" i="3"/>
  <c r="HF7" i="3"/>
  <c r="HE7" i="3"/>
  <c r="HD7" i="3"/>
  <c r="HC7" i="3"/>
  <c r="GU7" i="3"/>
  <c r="HB7" i="3"/>
  <c r="GT7" i="3"/>
  <c r="HA7" i="3"/>
  <c r="GS7" i="3"/>
  <c r="GZ7" i="3"/>
  <c r="GR7" i="3"/>
  <c r="GY7" i="3"/>
  <c r="GQ7" i="3"/>
  <c r="GX7" i="3"/>
  <c r="GP7" i="3"/>
  <c r="GO7" i="3"/>
  <c r="GN7" i="3"/>
  <c r="GW7" i="3"/>
  <c r="GV7" i="3"/>
  <c r="GF8" i="3"/>
  <c r="GF31" i="3"/>
  <c r="GF15" i="3"/>
  <c r="CL30" i="3"/>
  <c r="FV30" i="3" s="1"/>
  <c r="FZ30" i="3" s="1"/>
  <c r="FU30" i="3"/>
  <c r="GM7" i="3" s="1"/>
  <c r="GF30" i="3"/>
  <c r="GF16" i="3"/>
  <c r="CL24" i="3"/>
  <c r="FV24" i="3" s="1"/>
  <c r="FZ24" i="3" s="1"/>
  <c r="FU24" i="3"/>
  <c r="GG7" i="3" s="1"/>
  <c r="GF7" i="3"/>
  <c r="GC34" i="3"/>
  <c r="HD33" i="3"/>
  <c r="HF33" i="3"/>
  <c r="HG33" i="3"/>
  <c r="HH33" i="3"/>
  <c r="HI33" i="3"/>
  <c r="HJ33" i="3"/>
  <c r="HK33" i="3"/>
  <c r="HA33" i="3"/>
  <c r="GS33" i="3"/>
  <c r="GV33" i="3"/>
  <c r="GF33" i="3"/>
  <c r="CL26" i="3"/>
  <c r="FV26" i="3" s="1"/>
  <c r="FZ26" i="3" s="1"/>
  <c r="FU26" i="3"/>
  <c r="CL28" i="3"/>
  <c r="FV28" i="3" s="1"/>
  <c r="FZ28" i="3" s="1"/>
  <c r="FU28" i="3"/>
  <c r="GK33" i="3" s="1"/>
  <c r="GF28" i="3"/>
  <c r="CL29" i="3"/>
  <c r="FV29" i="3" s="1"/>
  <c r="FZ29" i="3" s="1"/>
  <c r="FU29" i="3"/>
  <c r="GL7" i="3" s="1"/>
  <c r="CL27" i="3"/>
  <c r="FU27" i="3"/>
  <c r="GJ7" i="3" s="1"/>
  <c r="GF27" i="3"/>
  <c r="GF13" i="3"/>
  <c r="CL25" i="3"/>
  <c r="FU25" i="3"/>
  <c r="GF26" i="3"/>
  <c r="CM23" i="3"/>
  <c r="FV23" i="3"/>
  <c r="FZ23" i="3" s="1"/>
  <c r="GF20" i="3" s="1"/>
  <c r="FZ42" i="3"/>
  <c r="FZ44" i="3"/>
  <c r="GE20" i="3"/>
  <c r="GE19" i="3"/>
  <c r="HL19" i="3" s="1"/>
  <c r="FZ71" i="3"/>
  <c r="FZ40" i="3"/>
  <c r="GE18" i="3"/>
  <c r="HL18" i="3" s="1"/>
  <c r="FZ45" i="3"/>
  <c r="FZ61" i="3"/>
  <c r="FZ55" i="3"/>
  <c r="FZ78" i="3"/>
  <c r="FZ56" i="3"/>
  <c r="FZ39" i="3"/>
  <c r="GN32" i="3" s="1"/>
  <c r="FZ57" i="3"/>
  <c r="FZ43" i="3"/>
  <c r="FZ73" i="3"/>
  <c r="GE21" i="3"/>
  <c r="FZ41" i="3"/>
  <c r="FZ77" i="3"/>
  <c r="FZ75" i="3"/>
  <c r="FZ72" i="3"/>
  <c r="FZ46" i="3"/>
  <c r="FZ62" i="3"/>
  <c r="HC33" i="3" s="1"/>
  <c r="FZ59" i="3"/>
  <c r="GZ33" i="3" s="1"/>
  <c r="GE17" i="3"/>
  <c r="HL17" i="3" s="1"/>
  <c r="GE22" i="3"/>
  <c r="FZ58" i="3"/>
  <c r="FZ76" i="3"/>
  <c r="FZ74" i="3"/>
  <c r="FZ60" i="3"/>
  <c r="GE23" i="3"/>
  <c r="GE16" i="3"/>
  <c r="HL16" i="3" s="1"/>
  <c r="GE24" i="3"/>
  <c r="GE15" i="3"/>
  <c r="HL15" i="3" s="1"/>
  <c r="GE14" i="3"/>
  <c r="HL14" i="3" s="1"/>
  <c r="GE25" i="3"/>
  <c r="GE13" i="3"/>
  <c r="HL13" i="3" s="1"/>
  <c r="GE26" i="3"/>
  <c r="GE12" i="3"/>
  <c r="HL12" i="3" s="1"/>
  <c r="GE27" i="3"/>
  <c r="GE28" i="3"/>
  <c r="GE11" i="3"/>
  <c r="HL11" i="3" s="1"/>
  <c r="GE10" i="3"/>
  <c r="HL10" i="3" s="1"/>
  <c r="GE29" i="3"/>
  <c r="GE9" i="3"/>
  <c r="HL9" i="3" s="1"/>
  <c r="GE30" i="3"/>
  <c r="GE8" i="3"/>
  <c r="HL8" i="3" s="1"/>
  <c r="GE31" i="3"/>
  <c r="GE32" i="3"/>
  <c r="GE7" i="3"/>
  <c r="HL7" i="3" s="1"/>
  <c r="GE33" i="3"/>
  <c r="GD34" i="3"/>
  <c r="DY34" i="3"/>
  <c r="DV59" i="3"/>
  <c r="DV58" i="3"/>
  <c r="DV77" i="3"/>
  <c r="DV57" i="3"/>
  <c r="DV76" i="3"/>
  <c r="DV56" i="3"/>
  <c r="DV75" i="3"/>
  <c r="DV60" i="3"/>
  <c r="DV74" i="3"/>
  <c r="DV73" i="3"/>
  <c r="DV72" i="3"/>
  <c r="DV61" i="3"/>
  <c r="DV43" i="3"/>
  <c r="DV42" i="3"/>
  <c r="DV41" i="3"/>
  <c r="DV40" i="3"/>
  <c r="DV44" i="3"/>
  <c r="DV45" i="3"/>
  <c r="CM26" i="3"/>
  <c r="CM30" i="3"/>
  <c r="CM24" i="3"/>
  <c r="CM29" i="3"/>
  <c r="EA20" i="3"/>
  <c r="EA25" i="3"/>
  <c r="EA22" i="3"/>
  <c r="EA28" i="3"/>
  <c r="EA19" i="3"/>
  <c r="EA24" i="3"/>
  <c r="EA30" i="3"/>
  <c r="EA21" i="3"/>
  <c r="EA32" i="3"/>
  <c r="EA27" i="3"/>
  <c r="EA23" i="3"/>
  <c r="EA29" i="3"/>
  <c r="EA31" i="3"/>
  <c r="EA26" i="3"/>
  <c r="EA33" i="3"/>
  <c r="EA18" i="3"/>
  <c r="FH18" i="3" s="1"/>
  <c r="EA17" i="3"/>
  <c r="FH17" i="3" s="1"/>
  <c r="EA16" i="3"/>
  <c r="FH16" i="3" s="1"/>
  <c r="EA15" i="3"/>
  <c r="FH15" i="3" s="1"/>
  <c r="EA14" i="3"/>
  <c r="FH14" i="3" s="1"/>
  <c r="EA13" i="3"/>
  <c r="FH13" i="3" s="1"/>
  <c r="EA12" i="3"/>
  <c r="FH12" i="3" s="1"/>
  <c r="EA11" i="3"/>
  <c r="FH11" i="3" s="1"/>
  <c r="EA10" i="3"/>
  <c r="FH10" i="3" s="1"/>
  <c r="EA9" i="3"/>
  <c r="FH9" i="3" s="1"/>
  <c r="EA8" i="3"/>
  <c r="FH8" i="3" s="1"/>
  <c r="EA7" i="3"/>
  <c r="FH7" i="3" s="1"/>
  <c r="DZ34" i="3"/>
  <c r="AF71" i="3"/>
  <c r="CA26" i="3"/>
  <c r="CA27" i="3"/>
  <c r="CA24" i="3"/>
  <c r="CA30" i="3"/>
  <c r="CA23" i="3"/>
  <c r="CA25" i="3"/>
  <c r="CA29" i="3"/>
  <c r="CA28" i="3"/>
  <c r="AF55" i="3"/>
  <c r="DO51" i="3" s="1"/>
  <c r="AF39" i="3"/>
  <c r="X18" i="7"/>
  <c r="X12" i="7"/>
  <c r="X14" i="7"/>
  <c r="X22" i="7"/>
  <c r="X13" i="7"/>
  <c r="X15" i="7"/>
  <c r="X16" i="7"/>
  <c r="X17" i="7"/>
  <c r="X11" i="7"/>
  <c r="X19" i="7"/>
  <c r="X20" i="7"/>
  <c r="X21" i="7"/>
  <c r="CJ43" i="6"/>
  <c r="CJ42" i="6"/>
  <c r="CJ41" i="6"/>
  <c r="CJ40" i="6"/>
  <c r="CJ39" i="6"/>
  <c r="CJ38" i="6"/>
  <c r="CJ37" i="6"/>
  <c r="CJ44" i="6"/>
  <c r="CQ23" i="6"/>
  <c r="BN23" i="6"/>
  <c r="CJ23" i="6" s="1"/>
  <c r="CQ22" i="6"/>
  <c r="BN22" i="6"/>
  <c r="CJ22" i="6" s="1"/>
  <c r="BN21" i="6"/>
  <c r="CJ21" i="6" s="1"/>
  <c r="CQ21" i="6"/>
  <c r="CQ31" i="6"/>
  <c r="BN31" i="6"/>
  <c r="CJ31" i="6" s="1"/>
  <c r="CQ24" i="6"/>
  <c r="BN24" i="6"/>
  <c r="CJ24" i="6" s="1"/>
  <c r="BN20" i="6"/>
  <c r="CJ20" i="6" s="1"/>
  <c r="CQ20" i="6"/>
  <c r="CQ25" i="6"/>
  <c r="BN25" i="6"/>
  <c r="CJ25" i="6" s="1"/>
  <c r="CQ30" i="6"/>
  <c r="BN30" i="6"/>
  <c r="CJ30" i="6" s="1"/>
  <c r="CQ29" i="6"/>
  <c r="BN29" i="6"/>
  <c r="CJ29" i="6" s="1"/>
  <c r="CQ28" i="6"/>
  <c r="BN28" i="6"/>
  <c r="CJ28" i="6" s="1"/>
  <c r="CQ27" i="6"/>
  <c r="BN27" i="6"/>
  <c r="CJ27" i="6" s="1"/>
  <c r="BN26" i="6"/>
  <c r="CJ26" i="6" s="1"/>
  <c r="CQ26" i="6"/>
  <c r="AR56" i="6"/>
  <c r="BA56" i="6" s="1"/>
  <c r="HS30" i="3" s="1"/>
  <c r="AR52" i="6"/>
  <c r="BA52" i="6" s="1"/>
  <c r="HS26" i="3" s="1"/>
  <c r="AR58" i="6"/>
  <c r="BA58" i="6" s="1"/>
  <c r="HS32" i="3" s="1"/>
  <c r="AR55" i="6"/>
  <c r="BA55" i="6" s="1"/>
  <c r="HS29" i="3" s="1"/>
  <c r="AR54" i="6"/>
  <c r="BA54" i="6" s="1"/>
  <c r="HS28" i="3" s="1"/>
  <c r="AR53" i="6"/>
  <c r="BA53" i="6" s="1"/>
  <c r="HS27" i="3" s="1"/>
  <c r="AR59" i="6"/>
  <c r="BA59" i="6" s="1"/>
  <c r="HS33" i="3" s="1"/>
  <c r="AR57" i="6"/>
  <c r="BA57" i="6" s="1"/>
  <c r="HS31" i="3" s="1"/>
  <c r="AR51" i="6"/>
  <c r="BA51" i="6" s="1"/>
  <c r="HS25" i="3" s="1"/>
  <c r="AR50" i="6"/>
  <c r="BA50" i="6" s="1"/>
  <c r="HS24" i="3" s="1"/>
  <c r="AR60" i="6"/>
  <c r="BA60" i="6" s="1"/>
  <c r="HS34" i="3" s="1"/>
  <c r="AR14" i="6"/>
  <c r="S14" i="3"/>
  <c r="M81" i="3"/>
  <c r="M77" i="3"/>
  <c r="M73" i="3"/>
  <c r="M69" i="3"/>
  <c r="M65" i="3"/>
  <c r="M61" i="3"/>
  <c r="M57" i="3"/>
  <c r="M53" i="3"/>
  <c r="M49" i="3"/>
  <c r="M45" i="3"/>
  <c r="M41" i="3"/>
  <c r="M37" i="3"/>
  <c r="M33" i="3"/>
  <c r="M29" i="3"/>
  <c r="M25" i="3"/>
  <c r="M21" i="3"/>
  <c r="M14" i="3"/>
  <c r="M7" i="3"/>
  <c r="B7" i="3" s="1"/>
  <c r="C12" i="1" s="1"/>
  <c r="M32" i="3"/>
  <c r="M20" i="3"/>
  <c r="M8" i="3"/>
  <c r="M11" i="3"/>
  <c r="M17" i="3"/>
  <c r="M60" i="3"/>
  <c r="M44" i="3"/>
  <c r="M36" i="3"/>
  <c r="M28" i="3"/>
  <c r="M10" i="3"/>
  <c r="M80" i="3"/>
  <c r="M76" i="3"/>
  <c r="M72" i="3"/>
  <c r="M68" i="3"/>
  <c r="M64" i="3"/>
  <c r="M56" i="3"/>
  <c r="M52" i="3"/>
  <c r="M48" i="3"/>
  <c r="M40" i="3"/>
  <c r="M24" i="3"/>
  <c r="M16" i="3"/>
  <c r="M13" i="3"/>
  <c r="M55" i="3"/>
  <c r="M47" i="3"/>
  <c r="M39" i="3"/>
  <c r="M31" i="3"/>
  <c r="M23" i="3"/>
  <c r="M19" i="3"/>
  <c r="M9" i="3"/>
  <c r="M26" i="3"/>
  <c r="M79" i="3"/>
  <c r="M75" i="3"/>
  <c r="M71" i="3"/>
  <c r="M67" i="3"/>
  <c r="M63" i="3"/>
  <c r="M59" i="3"/>
  <c r="M51" i="3"/>
  <c r="M43" i="3"/>
  <c r="M35" i="3"/>
  <c r="M27" i="3"/>
  <c r="M15" i="3"/>
  <c r="M78" i="3"/>
  <c r="M74" i="3"/>
  <c r="M70" i="3"/>
  <c r="M66" i="3"/>
  <c r="M62" i="3"/>
  <c r="M58" i="3"/>
  <c r="M54" i="3"/>
  <c r="M50" i="3"/>
  <c r="M46" i="3"/>
  <c r="M42" i="3"/>
  <c r="M38" i="3"/>
  <c r="M34" i="3"/>
  <c r="M30" i="3"/>
  <c r="M22" i="3"/>
  <c r="M12" i="3"/>
  <c r="M18" i="3"/>
  <c r="S15" i="3"/>
  <c r="S13" i="3"/>
  <c r="AK53" i="15" l="1"/>
  <c r="AK54" i="14"/>
  <c r="AK56" i="14"/>
  <c r="AK55" i="16"/>
  <c r="AK60" i="15"/>
  <c r="AK49" i="15"/>
  <c r="AK59" i="15"/>
  <c r="AK53" i="16"/>
  <c r="F33" i="13"/>
  <c r="F32" i="13"/>
  <c r="F41" i="13"/>
  <c r="F28" i="13"/>
  <c r="F40" i="13"/>
  <c r="F36" i="13"/>
  <c r="F37" i="13"/>
  <c r="F29" i="13"/>
  <c r="GF25" i="3"/>
  <c r="GN33" i="3"/>
  <c r="AK55" i="14"/>
  <c r="AK58" i="14"/>
  <c r="AK59" i="16"/>
  <c r="GP21" i="3"/>
  <c r="GP20" i="3"/>
  <c r="GP19" i="3"/>
  <c r="GP18" i="3"/>
  <c r="GP17" i="3"/>
  <c r="GP16" i="3"/>
  <c r="GP15" i="3"/>
  <c r="GP14" i="3"/>
  <c r="GP13" i="3"/>
  <c r="GP12" i="3"/>
  <c r="GO18" i="3"/>
  <c r="GO17" i="3"/>
  <c r="GO16" i="3"/>
  <c r="GO15" i="3"/>
  <c r="GO14" i="3"/>
  <c r="GO13" i="3"/>
  <c r="GO12" i="3"/>
  <c r="GO11" i="3"/>
  <c r="GO10" i="3"/>
  <c r="AK49" i="14"/>
  <c r="AK51" i="15"/>
  <c r="GF10" i="3"/>
  <c r="AK57" i="14"/>
  <c r="AK52" i="15"/>
  <c r="AK57" i="16"/>
  <c r="GY30" i="3"/>
  <c r="GY31" i="3"/>
  <c r="GY32" i="3"/>
  <c r="GR30" i="3"/>
  <c r="GR21" i="3"/>
  <c r="GR22" i="3"/>
  <c r="GR23" i="3"/>
  <c r="GR24" i="3"/>
  <c r="GR25" i="3"/>
  <c r="GR26" i="3"/>
  <c r="HD13" i="3"/>
  <c r="HD12" i="3"/>
  <c r="HD11" i="3"/>
  <c r="HD10" i="3"/>
  <c r="GX33" i="3"/>
  <c r="GX24" i="3"/>
  <c r="GX25" i="3"/>
  <c r="GX26" i="3"/>
  <c r="GX27" i="3"/>
  <c r="GX28" i="3"/>
  <c r="GX29" i="3"/>
  <c r="GX30" i="3"/>
  <c r="GX31" i="3"/>
  <c r="GX32" i="3"/>
  <c r="GS27" i="3"/>
  <c r="GS28" i="3"/>
  <c r="GS29" i="3"/>
  <c r="GS30" i="3"/>
  <c r="GS31" i="3"/>
  <c r="GS32" i="3"/>
  <c r="GN13" i="3"/>
  <c r="GN12" i="3"/>
  <c r="GN11" i="3"/>
  <c r="GN10" i="3"/>
  <c r="GQ20" i="3"/>
  <c r="GQ19" i="3"/>
  <c r="GQ21" i="3"/>
  <c r="GQ22" i="3"/>
  <c r="GQ18" i="3"/>
  <c r="GQ23" i="3"/>
  <c r="GQ24" i="3"/>
  <c r="GQ25" i="3"/>
  <c r="GQ26" i="3"/>
  <c r="GW19" i="3"/>
  <c r="GW18" i="3"/>
  <c r="GW17" i="3"/>
  <c r="GW16" i="3"/>
  <c r="GW15" i="3"/>
  <c r="GW14" i="3"/>
  <c r="GW13" i="3"/>
  <c r="GW12" i="3"/>
  <c r="GW11" i="3"/>
  <c r="GW10" i="3"/>
  <c r="GF12" i="3"/>
  <c r="HC30" i="3"/>
  <c r="HC31" i="3"/>
  <c r="HC32" i="3"/>
  <c r="GF11" i="3"/>
  <c r="GU20" i="3"/>
  <c r="GU19" i="3"/>
  <c r="GU21" i="3"/>
  <c r="GU18" i="3"/>
  <c r="GU22" i="3"/>
  <c r="GU23" i="3"/>
  <c r="GU24" i="3"/>
  <c r="GU25" i="3"/>
  <c r="GU26" i="3"/>
  <c r="AK59" i="14"/>
  <c r="HE19" i="3"/>
  <c r="HE18" i="3"/>
  <c r="HE17" i="3"/>
  <c r="HE16" i="3"/>
  <c r="HE15" i="3"/>
  <c r="HE14" i="3"/>
  <c r="HE13" i="3"/>
  <c r="HE12" i="3"/>
  <c r="HE11" i="3"/>
  <c r="HE10" i="3"/>
  <c r="HB33" i="3"/>
  <c r="HB24" i="3"/>
  <c r="HB25" i="3"/>
  <c r="HB26" i="3"/>
  <c r="HB27" i="3"/>
  <c r="HB28" i="3"/>
  <c r="HB29" i="3"/>
  <c r="HB30" i="3"/>
  <c r="HB31" i="3"/>
  <c r="HB32" i="3"/>
  <c r="GV13" i="3"/>
  <c r="GV12" i="3"/>
  <c r="GV11" i="3"/>
  <c r="GV10" i="3"/>
  <c r="GT21" i="3"/>
  <c r="GT20" i="3"/>
  <c r="GT19" i="3"/>
  <c r="GT18" i="3"/>
  <c r="GT17" i="3"/>
  <c r="GT16" i="3"/>
  <c r="GT15" i="3"/>
  <c r="GT14" i="3"/>
  <c r="GT13" i="3"/>
  <c r="GT12" i="3"/>
  <c r="GY33" i="3"/>
  <c r="AK58" i="15"/>
  <c r="AK49" i="16"/>
  <c r="GF9" i="3"/>
  <c r="AK55" i="15"/>
  <c r="AK56" i="16"/>
  <c r="AK50" i="16"/>
  <c r="AK51" i="16"/>
  <c r="AK52" i="16"/>
  <c r="AK53" i="14"/>
  <c r="AK54" i="15"/>
  <c r="AK54" i="16"/>
  <c r="AK52" i="14"/>
  <c r="AK51" i="14"/>
  <c r="AK60" i="14"/>
  <c r="AK50" i="14"/>
  <c r="GN20" i="3"/>
  <c r="GN19" i="3"/>
  <c r="GQ28" i="3"/>
  <c r="GQ27" i="3"/>
  <c r="GF18" i="3"/>
  <c r="GU28" i="3"/>
  <c r="GU27" i="3"/>
  <c r="GV20" i="3"/>
  <c r="GV19" i="3"/>
  <c r="HD20" i="3"/>
  <c r="HD19" i="3"/>
  <c r="GO20" i="3"/>
  <c r="GO19" i="3"/>
  <c r="GR32" i="3"/>
  <c r="GR31" i="3"/>
  <c r="HE33" i="3"/>
  <c r="HE20" i="3"/>
  <c r="GT33" i="3"/>
  <c r="GT22" i="3"/>
  <c r="GW33" i="3"/>
  <c r="GW20" i="3"/>
  <c r="GF19" i="3"/>
  <c r="GP33" i="3"/>
  <c r="GP22" i="3"/>
  <c r="DL22" i="3"/>
  <c r="CQ22" i="3"/>
  <c r="DB4" i="3" s="1"/>
  <c r="CM22" i="3"/>
  <c r="CQ6" i="3" s="1"/>
  <c r="FS19" i="3"/>
  <c r="IO6" i="3"/>
  <c r="IO7" i="3"/>
  <c r="IO8" i="3"/>
  <c r="IO9" i="3"/>
  <c r="CM28" i="3"/>
  <c r="GG33" i="3"/>
  <c r="GL33" i="3"/>
  <c r="GM33" i="3"/>
  <c r="GK7" i="3"/>
  <c r="HE21" i="3"/>
  <c r="HE22" i="3"/>
  <c r="HE23" i="3"/>
  <c r="HE24" i="3"/>
  <c r="HE25" i="3"/>
  <c r="HE26" i="3"/>
  <c r="HE27" i="3"/>
  <c r="HE28" i="3"/>
  <c r="HE29" i="3"/>
  <c r="HE30" i="3"/>
  <c r="HE31" i="3"/>
  <c r="HE32" i="3"/>
  <c r="GF22" i="3"/>
  <c r="GF23" i="3"/>
  <c r="GV21" i="3"/>
  <c r="GV22" i="3"/>
  <c r="GV23" i="3"/>
  <c r="GV24" i="3"/>
  <c r="GT23" i="3"/>
  <c r="GT24" i="3"/>
  <c r="GT25" i="3"/>
  <c r="GT26" i="3"/>
  <c r="GT27" i="3"/>
  <c r="GT28" i="3"/>
  <c r="GT29" i="3"/>
  <c r="GT30" i="3"/>
  <c r="GT31" i="3"/>
  <c r="GT32" i="3"/>
  <c r="GQ29" i="3"/>
  <c r="GQ30" i="3"/>
  <c r="GQ31" i="3"/>
  <c r="GQ32" i="3"/>
  <c r="GH8" i="3"/>
  <c r="GH12" i="3"/>
  <c r="GH20" i="3"/>
  <c r="GH19" i="3"/>
  <c r="GH13" i="3"/>
  <c r="GH21" i="3"/>
  <c r="GH18" i="3"/>
  <c r="GH17" i="3"/>
  <c r="GH11" i="3"/>
  <c r="GH16" i="3"/>
  <c r="GH10" i="3"/>
  <c r="GH9" i="3"/>
  <c r="GK25" i="3"/>
  <c r="GK8" i="3"/>
  <c r="GK14" i="3"/>
  <c r="GK20" i="3"/>
  <c r="GK26" i="3"/>
  <c r="GK21" i="3"/>
  <c r="GK13" i="3"/>
  <c r="GK19" i="3"/>
  <c r="GK27" i="3"/>
  <c r="GK18" i="3"/>
  <c r="GK28" i="3"/>
  <c r="GK22" i="3"/>
  <c r="GK12" i="3"/>
  <c r="GK17" i="3"/>
  <c r="GK29" i="3"/>
  <c r="GK23" i="3"/>
  <c r="GK11" i="3"/>
  <c r="GK16" i="3"/>
  <c r="GK10" i="3"/>
  <c r="GK32" i="3"/>
  <c r="GK15" i="3"/>
  <c r="GK31" i="3"/>
  <c r="GK9" i="3"/>
  <c r="GK24" i="3"/>
  <c r="GK30" i="3"/>
  <c r="GJ33" i="3"/>
  <c r="GC35" i="3"/>
  <c r="HE34" i="3"/>
  <c r="HF34" i="3"/>
  <c r="HG34" i="3"/>
  <c r="HH34" i="3"/>
  <c r="HI34" i="3"/>
  <c r="HJ34" i="3"/>
  <c r="HK34" i="3"/>
  <c r="HD34" i="3"/>
  <c r="GV34" i="3"/>
  <c r="GN34" i="3"/>
  <c r="GW34" i="3"/>
  <c r="GO34" i="3"/>
  <c r="GX34" i="3"/>
  <c r="GP34" i="3"/>
  <c r="GY34" i="3"/>
  <c r="GQ34" i="3"/>
  <c r="GZ34" i="3"/>
  <c r="GR34" i="3"/>
  <c r="HA34" i="3"/>
  <c r="GS34" i="3"/>
  <c r="GL34" i="3"/>
  <c r="GM34" i="3"/>
  <c r="GU34" i="3"/>
  <c r="GJ34" i="3"/>
  <c r="HC34" i="3"/>
  <c r="GT34" i="3"/>
  <c r="GK34" i="3"/>
  <c r="HB34" i="3"/>
  <c r="GF34" i="3"/>
  <c r="GG34" i="3"/>
  <c r="GI34" i="3"/>
  <c r="CM25" i="3"/>
  <c r="FV25" i="3"/>
  <c r="FZ25" i="3" s="1"/>
  <c r="GH33" i="3" s="1"/>
  <c r="GF24" i="3"/>
  <c r="GP23" i="3"/>
  <c r="GP24" i="3"/>
  <c r="GP25" i="3"/>
  <c r="GP26" i="3"/>
  <c r="GP27" i="3"/>
  <c r="GP28" i="3"/>
  <c r="GP29" i="3"/>
  <c r="GP30" i="3"/>
  <c r="GP31" i="3"/>
  <c r="GP32" i="3"/>
  <c r="GO21" i="3"/>
  <c r="GO22" i="3"/>
  <c r="GO23" i="3"/>
  <c r="GO24" i="3"/>
  <c r="GO25" i="3"/>
  <c r="GO26" i="3"/>
  <c r="GO27" i="3"/>
  <c r="GO28" i="3"/>
  <c r="GO29" i="3"/>
  <c r="GO30" i="3"/>
  <c r="GO31" i="3"/>
  <c r="GO32" i="3"/>
  <c r="GI20" i="3"/>
  <c r="GI14" i="3"/>
  <c r="GI12" i="3"/>
  <c r="GI17" i="3"/>
  <c r="GI21" i="3"/>
  <c r="GI13" i="3"/>
  <c r="GI11" i="3"/>
  <c r="GI19" i="3"/>
  <c r="GI27" i="3"/>
  <c r="GI18" i="3"/>
  <c r="GI9" i="3"/>
  <c r="GI22" i="3"/>
  <c r="GI28" i="3"/>
  <c r="GI29" i="3"/>
  <c r="GI8" i="3"/>
  <c r="GI23" i="3"/>
  <c r="GI16" i="3"/>
  <c r="GI10" i="3"/>
  <c r="GI26" i="3"/>
  <c r="GI24" i="3"/>
  <c r="GI30" i="3"/>
  <c r="GI32" i="3"/>
  <c r="GI25" i="3"/>
  <c r="GI31" i="3"/>
  <c r="GI15" i="3"/>
  <c r="GI33" i="3"/>
  <c r="GR33" i="3"/>
  <c r="HD21" i="3"/>
  <c r="HD22" i="3"/>
  <c r="HD23" i="3"/>
  <c r="HD24" i="3"/>
  <c r="GF21" i="3"/>
  <c r="GQ33" i="3"/>
  <c r="GO33" i="3"/>
  <c r="GG20" i="3"/>
  <c r="GG14" i="3"/>
  <c r="GG8" i="3"/>
  <c r="GG23" i="3"/>
  <c r="GG19" i="3"/>
  <c r="GG13" i="3"/>
  <c r="GG29" i="3"/>
  <c r="GG21" i="3"/>
  <c r="GG27" i="3"/>
  <c r="GG9" i="3"/>
  <c r="GG22" i="3"/>
  <c r="GG12" i="3"/>
  <c r="GG18" i="3"/>
  <c r="GG28" i="3"/>
  <c r="GG17" i="3"/>
  <c r="GG11" i="3"/>
  <c r="GG32" i="3"/>
  <c r="GG16" i="3"/>
  <c r="GG30" i="3"/>
  <c r="GG26" i="3"/>
  <c r="GG24" i="3"/>
  <c r="GG10" i="3"/>
  <c r="GG25" i="3"/>
  <c r="GG31" i="3"/>
  <c r="GG15" i="3"/>
  <c r="GJ31" i="3"/>
  <c r="GJ16" i="3"/>
  <c r="GJ30" i="3"/>
  <c r="GJ15" i="3"/>
  <c r="GJ26" i="3"/>
  <c r="GJ27" i="3"/>
  <c r="GJ8" i="3"/>
  <c r="GJ17" i="3"/>
  <c r="GJ29" i="3"/>
  <c r="GJ32" i="3"/>
  <c r="GJ28" i="3"/>
  <c r="GN21" i="3"/>
  <c r="GN22" i="3"/>
  <c r="GN23" i="3"/>
  <c r="GN24" i="3"/>
  <c r="CM27" i="3"/>
  <c r="FV27" i="3"/>
  <c r="FZ27" i="3" s="1"/>
  <c r="GJ25" i="3" s="1"/>
  <c r="GI7" i="3"/>
  <c r="GU29" i="3"/>
  <c r="GU30" i="3"/>
  <c r="GU31" i="3"/>
  <c r="GU32" i="3"/>
  <c r="GW21" i="3"/>
  <c r="GW22" i="3"/>
  <c r="GW23" i="3"/>
  <c r="GW24" i="3"/>
  <c r="GW25" i="3"/>
  <c r="GW26" i="3"/>
  <c r="GW27" i="3"/>
  <c r="GW28" i="3"/>
  <c r="GW29" i="3"/>
  <c r="GW30" i="3"/>
  <c r="GW31" i="3"/>
  <c r="GW32" i="3"/>
  <c r="GL32" i="3"/>
  <c r="GL31" i="3"/>
  <c r="GL14" i="3"/>
  <c r="GL8" i="3"/>
  <c r="GL9" i="3"/>
  <c r="GL20" i="3"/>
  <c r="GL26" i="3"/>
  <c r="GL21" i="3"/>
  <c r="GL27" i="3"/>
  <c r="GL19" i="3"/>
  <c r="GL13" i="3"/>
  <c r="GL29" i="3"/>
  <c r="GL18" i="3"/>
  <c r="GL12" i="3"/>
  <c r="GL22" i="3"/>
  <c r="GL28" i="3"/>
  <c r="GL17" i="3"/>
  <c r="GL23" i="3"/>
  <c r="GL11" i="3"/>
  <c r="GL16" i="3"/>
  <c r="GL30" i="3"/>
  <c r="GL24" i="3"/>
  <c r="GL10" i="3"/>
  <c r="GL15" i="3"/>
  <c r="GL25" i="3"/>
  <c r="GU33" i="3"/>
  <c r="GM31" i="3"/>
  <c r="GM18" i="3"/>
  <c r="GM12" i="3"/>
  <c r="GM23" i="3"/>
  <c r="GM32" i="3"/>
  <c r="GM22" i="3"/>
  <c r="GM28" i="3"/>
  <c r="GM9" i="3"/>
  <c r="GM17" i="3"/>
  <c r="GM29" i="3"/>
  <c r="GM11" i="3"/>
  <c r="GM24" i="3"/>
  <c r="GM30" i="3"/>
  <c r="GM16" i="3"/>
  <c r="GM10" i="3"/>
  <c r="GM15" i="3"/>
  <c r="GM8" i="3"/>
  <c r="GM25" i="3"/>
  <c r="GM14" i="3"/>
  <c r="GM13" i="3"/>
  <c r="GM20" i="3"/>
  <c r="GM26" i="3"/>
  <c r="GM19" i="3"/>
  <c r="GM21" i="3"/>
  <c r="GM27" i="3"/>
  <c r="GH7" i="3"/>
  <c r="GD35" i="3"/>
  <c r="GE34" i="3"/>
  <c r="EA34" i="3"/>
  <c r="DY35" i="3"/>
  <c r="AZ70" i="3"/>
  <c r="CQ75" i="3" s="1"/>
  <c r="DO67" i="3"/>
  <c r="FH19" i="3"/>
  <c r="BU38" i="3"/>
  <c r="DO35" i="3"/>
  <c r="DZ35" i="3"/>
  <c r="BU70" i="3"/>
  <c r="AZ54" i="3"/>
  <c r="BU54" i="3"/>
  <c r="AV38" i="3"/>
  <c r="AZ38" i="3"/>
  <c r="AV54" i="3"/>
  <c r="AV70" i="3"/>
  <c r="P5" i="3"/>
  <c r="C18" i="1"/>
  <c r="P7" i="3"/>
  <c r="P6" i="3"/>
  <c r="E42" i="13" l="1"/>
  <c r="E38" i="13"/>
  <c r="E34" i="13"/>
  <c r="E30" i="13"/>
  <c r="GJ19" i="3"/>
  <c r="GJ13" i="3"/>
  <c r="GJ14" i="3"/>
  <c r="GH14" i="3"/>
  <c r="GJ12" i="3"/>
  <c r="GJ9" i="3"/>
  <c r="GJ10" i="3"/>
  <c r="GJ11" i="3"/>
  <c r="GH15" i="3"/>
  <c r="CR20" i="3"/>
  <c r="GJ18" i="3"/>
  <c r="GH22" i="3"/>
  <c r="GH23" i="3"/>
  <c r="GH29" i="3"/>
  <c r="HL29" i="3" s="1"/>
  <c r="GH31" i="3"/>
  <c r="HL31" i="3" s="1"/>
  <c r="GH26" i="3"/>
  <c r="HL26" i="3" s="1"/>
  <c r="GH24" i="3"/>
  <c r="GH25" i="3"/>
  <c r="HL25" i="3" s="1"/>
  <c r="GH27" i="3"/>
  <c r="HL27" i="3" s="1"/>
  <c r="GH34" i="3"/>
  <c r="HL34" i="3" s="1"/>
  <c r="GH30" i="3"/>
  <c r="HL30" i="3" s="1"/>
  <c r="HL33" i="3"/>
  <c r="GJ24" i="3"/>
  <c r="GJ23" i="3"/>
  <c r="GJ21" i="3"/>
  <c r="HL21" i="3" s="1"/>
  <c r="GJ22" i="3"/>
  <c r="GJ20" i="3"/>
  <c r="HL20" i="3" s="1"/>
  <c r="HT23" i="3" s="1"/>
  <c r="GC36" i="3"/>
  <c r="HI35" i="3"/>
  <c r="HJ35" i="3"/>
  <c r="HK35" i="3"/>
  <c r="HD35" i="3"/>
  <c r="HE35" i="3"/>
  <c r="HF35" i="3"/>
  <c r="HG35" i="3"/>
  <c r="HH35" i="3"/>
  <c r="GV35" i="3"/>
  <c r="GN35" i="3"/>
  <c r="GW35" i="3"/>
  <c r="GO35" i="3"/>
  <c r="GX35" i="3"/>
  <c r="GP35" i="3"/>
  <c r="GY35" i="3"/>
  <c r="GQ35" i="3"/>
  <c r="GZ35" i="3"/>
  <c r="GR35" i="3"/>
  <c r="HA35" i="3"/>
  <c r="GS35" i="3"/>
  <c r="HB35" i="3"/>
  <c r="GT35" i="3"/>
  <c r="HC35" i="3"/>
  <c r="GU35" i="3"/>
  <c r="GF35" i="3"/>
  <c r="GG35" i="3"/>
  <c r="GH35" i="3"/>
  <c r="GI35" i="3"/>
  <c r="GJ35" i="3"/>
  <c r="GK35" i="3"/>
  <c r="GL35" i="3"/>
  <c r="GM35" i="3"/>
  <c r="GH32" i="3"/>
  <c r="HL32" i="3" s="1"/>
  <c r="GH28" i="3"/>
  <c r="HL28" i="3" s="1"/>
  <c r="GE35" i="3"/>
  <c r="GD36" i="3"/>
  <c r="CQ73" i="3"/>
  <c r="CW73" i="3" s="1"/>
  <c r="CQ71" i="3"/>
  <c r="CW71" i="3" s="1"/>
  <c r="CQ77" i="3"/>
  <c r="CT77" i="3" s="1"/>
  <c r="CQ78" i="3"/>
  <c r="CX78" i="3" s="1"/>
  <c r="AZ81" i="3"/>
  <c r="CQ81" i="3"/>
  <c r="CT81" i="3" s="1"/>
  <c r="AZ79" i="3"/>
  <c r="CQ79" i="3"/>
  <c r="CV79" i="3" s="1"/>
  <c r="AZ82" i="3"/>
  <c r="AZ76" i="3"/>
  <c r="CQ74" i="3"/>
  <c r="CW74" i="3" s="1"/>
  <c r="EA35" i="3"/>
  <c r="AZ74" i="3"/>
  <c r="DY36" i="3"/>
  <c r="AZ78" i="3"/>
  <c r="AZ71" i="3"/>
  <c r="AZ80" i="3"/>
  <c r="AZ72" i="3"/>
  <c r="CQ80" i="3"/>
  <c r="CV80" i="3" s="1"/>
  <c r="CQ72" i="3"/>
  <c r="CW72" i="3" s="1"/>
  <c r="CQ76" i="3"/>
  <c r="CT76" i="3" s="1"/>
  <c r="AZ73" i="3"/>
  <c r="CQ82" i="3"/>
  <c r="CY82" i="3" s="1"/>
  <c r="AZ75" i="3"/>
  <c r="AZ77" i="3"/>
  <c r="DZ36" i="3"/>
  <c r="EA36" i="3" s="1"/>
  <c r="CT75" i="3"/>
  <c r="CW75" i="3"/>
  <c r="CX75" i="3"/>
  <c r="CQ43" i="3"/>
  <c r="AZ43" i="3"/>
  <c r="CQ42" i="3"/>
  <c r="AZ42" i="3"/>
  <c r="CQ41" i="3"/>
  <c r="AZ41" i="3"/>
  <c r="CQ40" i="3"/>
  <c r="AZ40" i="3"/>
  <c r="CQ39" i="3"/>
  <c r="AZ39" i="3"/>
  <c r="AZ45" i="3"/>
  <c r="AZ44" i="3"/>
  <c r="CQ50" i="3"/>
  <c r="AZ50" i="3"/>
  <c r="CQ49" i="3"/>
  <c r="AZ49" i="3"/>
  <c r="CQ45" i="3"/>
  <c r="CQ48" i="3"/>
  <c r="AZ48" i="3"/>
  <c r="CQ47" i="3"/>
  <c r="AZ47" i="3"/>
  <c r="CQ46" i="3"/>
  <c r="AZ46" i="3"/>
  <c r="CQ44" i="3"/>
  <c r="CQ59" i="3"/>
  <c r="AZ59" i="3"/>
  <c r="CQ58" i="3"/>
  <c r="AZ58" i="3"/>
  <c r="CQ57" i="3"/>
  <c r="AZ57" i="3"/>
  <c r="CQ56" i="3"/>
  <c r="AZ56" i="3"/>
  <c r="CQ60" i="3"/>
  <c r="CQ55" i="3"/>
  <c r="AZ55" i="3"/>
  <c r="CQ66" i="3"/>
  <c r="AZ66" i="3"/>
  <c r="CQ65" i="3"/>
  <c r="AZ65" i="3"/>
  <c r="AZ61" i="3"/>
  <c r="CQ64" i="3"/>
  <c r="AZ64" i="3"/>
  <c r="CQ61" i="3"/>
  <c r="CQ63" i="3"/>
  <c r="AZ63" i="3"/>
  <c r="CQ62" i="3"/>
  <c r="AZ62" i="3"/>
  <c r="AZ60" i="3"/>
  <c r="I16" i="1"/>
  <c r="HT33" i="3" l="1"/>
  <c r="HT34" i="3"/>
  <c r="HT24" i="3"/>
  <c r="HL22" i="3"/>
  <c r="HT25" i="3" s="1"/>
  <c r="HT39" i="3"/>
  <c r="HL23" i="3"/>
  <c r="HT31" i="3" s="1"/>
  <c r="HT40" i="3"/>
  <c r="HL24" i="3"/>
  <c r="HT32" i="3" s="1"/>
  <c r="HL35" i="3"/>
  <c r="GC37" i="3"/>
  <c r="HD36" i="3"/>
  <c r="HE36" i="3"/>
  <c r="HF36" i="3"/>
  <c r="HG36" i="3"/>
  <c r="HH36" i="3"/>
  <c r="HI36" i="3"/>
  <c r="HK36" i="3"/>
  <c r="HJ36" i="3"/>
  <c r="GZ36" i="3"/>
  <c r="GR36" i="3"/>
  <c r="HA36" i="3"/>
  <c r="GS36" i="3"/>
  <c r="HB36" i="3"/>
  <c r="GT36" i="3"/>
  <c r="HC36" i="3"/>
  <c r="GU36" i="3"/>
  <c r="GV36" i="3"/>
  <c r="GN36" i="3"/>
  <c r="GW36" i="3"/>
  <c r="GO36" i="3"/>
  <c r="GX36" i="3"/>
  <c r="GP36" i="3"/>
  <c r="GH36" i="3"/>
  <c r="GY36" i="3"/>
  <c r="GQ36" i="3"/>
  <c r="GI36" i="3"/>
  <c r="GJ36" i="3"/>
  <c r="GK36" i="3"/>
  <c r="GL36" i="3"/>
  <c r="GM36" i="3"/>
  <c r="GG36" i="3"/>
  <c r="GF36" i="3"/>
  <c r="CR81" i="3"/>
  <c r="GE36" i="3"/>
  <c r="GD37" i="3"/>
  <c r="CX77" i="3"/>
  <c r="CX74" i="3"/>
  <c r="CR79" i="3"/>
  <c r="CX79" i="3"/>
  <c r="CT79" i="3"/>
  <c r="CT74" i="3"/>
  <c r="CX81" i="3"/>
  <c r="CR77" i="3"/>
  <c r="CY81" i="3"/>
  <c r="CV81" i="3"/>
  <c r="CU81" i="3"/>
  <c r="CV77" i="3"/>
  <c r="CT78" i="3"/>
  <c r="CV78" i="3"/>
  <c r="CR78" i="3"/>
  <c r="CT82" i="3"/>
  <c r="CU82" i="3"/>
  <c r="CV82" i="3"/>
  <c r="CX82" i="3"/>
  <c r="CU80" i="3"/>
  <c r="CT80" i="3"/>
  <c r="CX76" i="3"/>
  <c r="DY37" i="3"/>
  <c r="CY80" i="3"/>
  <c r="CX80" i="3"/>
  <c r="CR82" i="3"/>
  <c r="CR80" i="3"/>
  <c r="CW76" i="3"/>
  <c r="DZ37" i="3"/>
  <c r="DF66" i="3"/>
  <c r="DG66" i="3"/>
  <c r="CY66" i="3"/>
  <c r="CT66" i="3"/>
  <c r="CR66" i="3"/>
  <c r="CX66" i="3"/>
  <c r="CU66" i="3"/>
  <c r="DB66" i="3"/>
  <c r="CV66" i="3"/>
  <c r="DB49" i="3"/>
  <c r="DG49" i="3"/>
  <c r="CT49" i="3"/>
  <c r="CU49" i="3"/>
  <c r="CX49" i="3"/>
  <c r="CR49" i="3"/>
  <c r="CV49" i="3"/>
  <c r="DF49" i="3"/>
  <c r="CY49" i="3"/>
  <c r="DI42" i="3"/>
  <c r="DB42" i="3"/>
  <c r="DG42" i="3"/>
  <c r="CX42" i="3"/>
  <c r="DF42" i="3"/>
  <c r="DE42" i="3"/>
  <c r="CT42" i="3"/>
  <c r="CW42" i="3"/>
  <c r="DE62" i="3"/>
  <c r="DF62" i="3"/>
  <c r="DG62" i="3"/>
  <c r="DI62" i="3"/>
  <c r="CT62" i="3"/>
  <c r="CR62" i="3"/>
  <c r="DB62" i="3"/>
  <c r="CV62" i="3"/>
  <c r="CX62" i="3"/>
  <c r="DE60" i="3"/>
  <c r="DF60" i="3"/>
  <c r="DG60" i="3"/>
  <c r="DI60" i="3"/>
  <c r="CT60" i="3"/>
  <c r="CW60" i="3"/>
  <c r="CX60" i="3"/>
  <c r="DB60" i="3"/>
  <c r="DB43" i="3"/>
  <c r="DG43" i="3"/>
  <c r="DI43" i="3"/>
  <c r="CT43" i="3"/>
  <c r="CX43" i="3"/>
  <c r="DF43" i="3"/>
  <c r="DE43" i="3"/>
  <c r="CW43" i="3"/>
  <c r="DI44" i="3"/>
  <c r="DB44" i="3"/>
  <c r="DG44" i="3"/>
  <c r="DE44" i="3"/>
  <c r="DF44" i="3"/>
  <c r="CT44" i="3"/>
  <c r="CX44" i="3"/>
  <c r="CW44" i="3"/>
  <c r="DG50" i="3"/>
  <c r="DB50" i="3"/>
  <c r="CV50" i="3"/>
  <c r="CT50" i="3"/>
  <c r="CU50" i="3"/>
  <c r="DF50" i="3"/>
  <c r="CX50" i="3"/>
  <c r="CR50" i="3"/>
  <c r="CY50" i="3"/>
  <c r="DI63" i="3"/>
  <c r="DE63" i="3"/>
  <c r="DF63" i="3"/>
  <c r="DG63" i="3"/>
  <c r="CT63" i="3"/>
  <c r="CR63" i="3"/>
  <c r="CX63" i="3"/>
  <c r="DB63" i="3"/>
  <c r="CV63" i="3"/>
  <c r="DE61" i="3"/>
  <c r="DF61" i="3"/>
  <c r="DG61" i="3"/>
  <c r="DI61" i="3"/>
  <c r="CR61" i="3"/>
  <c r="CT61" i="3"/>
  <c r="DB61" i="3"/>
  <c r="CV61" i="3"/>
  <c r="CX61" i="3"/>
  <c r="DD56" i="3"/>
  <c r="DE56" i="3"/>
  <c r="DF56" i="3"/>
  <c r="DG56" i="3"/>
  <c r="DH56" i="3"/>
  <c r="DI56" i="3"/>
  <c r="CW56" i="3"/>
  <c r="DB56" i="3"/>
  <c r="DG64" i="3"/>
  <c r="DF64" i="3"/>
  <c r="CT64" i="3"/>
  <c r="CR64" i="3"/>
  <c r="CY64" i="3"/>
  <c r="DB64" i="3"/>
  <c r="CV64" i="3"/>
  <c r="CU64" i="3"/>
  <c r="CX64" i="3"/>
  <c r="DB39" i="3"/>
  <c r="DI39" i="3"/>
  <c r="DG39" i="3"/>
  <c r="DD39" i="3"/>
  <c r="DF39" i="3"/>
  <c r="DE39" i="3"/>
  <c r="DH39" i="3"/>
  <c r="CW39" i="3"/>
  <c r="DI57" i="3"/>
  <c r="DH57" i="3"/>
  <c r="DD57" i="3"/>
  <c r="DE57" i="3"/>
  <c r="DF57" i="3"/>
  <c r="DG57" i="3"/>
  <c r="CW57" i="3"/>
  <c r="DB57" i="3"/>
  <c r="DB47" i="3"/>
  <c r="DG47" i="3"/>
  <c r="DI47" i="3"/>
  <c r="DE47" i="3"/>
  <c r="CX47" i="3"/>
  <c r="CR47" i="3"/>
  <c r="DF47" i="3"/>
  <c r="CV47" i="3"/>
  <c r="CT47" i="3"/>
  <c r="DG58" i="3"/>
  <c r="DI58" i="3"/>
  <c r="DF58" i="3"/>
  <c r="DE58" i="3"/>
  <c r="CT58" i="3"/>
  <c r="CW58" i="3"/>
  <c r="DB58" i="3"/>
  <c r="CX58" i="3"/>
  <c r="DD40" i="3"/>
  <c r="DI40" i="3"/>
  <c r="DB40" i="3"/>
  <c r="DG40" i="3"/>
  <c r="DF40" i="3"/>
  <c r="DH40" i="3"/>
  <c r="DE40" i="3"/>
  <c r="CW40" i="3"/>
  <c r="DE55" i="3"/>
  <c r="DF55" i="3"/>
  <c r="DG55" i="3"/>
  <c r="DH55" i="3"/>
  <c r="DI55" i="3"/>
  <c r="DD55" i="3"/>
  <c r="CW55" i="3"/>
  <c r="DB55" i="3"/>
  <c r="DI46" i="3"/>
  <c r="DB46" i="3"/>
  <c r="DG46" i="3"/>
  <c r="CX46" i="3"/>
  <c r="CR46" i="3"/>
  <c r="DF46" i="3"/>
  <c r="CV46" i="3"/>
  <c r="DE46" i="3"/>
  <c r="CT46" i="3"/>
  <c r="DF65" i="3"/>
  <c r="DG65" i="3"/>
  <c r="CY65" i="3"/>
  <c r="CR65" i="3"/>
  <c r="CT65" i="3"/>
  <c r="DB65" i="3"/>
  <c r="CV65" i="3"/>
  <c r="CU65" i="3"/>
  <c r="CX65" i="3"/>
  <c r="DB48" i="3"/>
  <c r="DG48" i="3"/>
  <c r="CU48" i="3"/>
  <c r="CX48" i="3"/>
  <c r="CR48" i="3"/>
  <c r="DF48" i="3"/>
  <c r="CV48" i="3"/>
  <c r="CT48" i="3"/>
  <c r="CY48" i="3"/>
  <c r="DE59" i="3"/>
  <c r="DF59" i="3"/>
  <c r="DG59" i="3"/>
  <c r="DI59" i="3"/>
  <c r="CT59" i="3"/>
  <c r="CW59" i="3"/>
  <c r="DB59" i="3"/>
  <c r="CX59" i="3"/>
  <c r="DI45" i="3"/>
  <c r="DB45" i="3"/>
  <c r="DG45" i="3"/>
  <c r="DF45" i="3"/>
  <c r="CV45" i="3"/>
  <c r="DE45" i="3"/>
  <c r="CT45" i="3"/>
  <c r="CX45" i="3"/>
  <c r="CR45" i="3"/>
  <c r="DB41" i="3"/>
  <c r="DG41" i="3"/>
  <c r="DD41" i="3"/>
  <c r="DI41" i="3"/>
  <c r="DE41" i="3"/>
  <c r="DF41" i="3"/>
  <c r="DH41" i="3"/>
  <c r="CW41" i="3"/>
  <c r="JD11" i="3"/>
  <c r="JD16" i="3" s="1"/>
  <c r="JD21" i="3" s="1"/>
  <c r="JD26" i="3" s="1"/>
  <c r="JD31" i="3" s="1"/>
  <c r="JD36" i="3" s="1"/>
  <c r="JD41" i="3" s="1"/>
  <c r="JD46" i="3" s="1"/>
  <c r="JD51" i="3" s="1"/>
  <c r="JD56" i="3" s="1"/>
  <c r="JD61" i="3" s="1"/>
  <c r="JD66" i="3" s="1"/>
  <c r="JD71" i="3" s="1"/>
  <c r="JD76" i="3" s="1"/>
  <c r="JD81" i="3" s="1"/>
  <c r="JD86" i="3" s="1"/>
  <c r="JD91" i="3" s="1"/>
  <c r="JD96" i="3" s="1"/>
  <c r="JD101" i="3" s="1"/>
  <c r="JD12" i="3"/>
  <c r="JD17" i="3" s="1"/>
  <c r="JD22" i="3" s="1"/>
  <c r="JD27" i="3" s="1"/>
  <c r="JD32" i="3" s="1"/>
  <c r="JD37" i="3" s="1"/>
  <c r="JD42" i="3" s="1"/>
  <c r="JD47" i="3" s="1"/>
  <c r="JD52" i="3" s="1"/>
  <c r="JD57" i="3" s="1"/>
  <c r="JD62" i="3" s="1"/>
  <c r="JD67" i="3" s="1"/>
  <c r="JD72" i="3" s="1"/>
  <c r="JD77" i="3" s="1"/>
  <c r="JD82" i="3" s="1"/>
  <c r="JD87" i="3" s="1"/>
  <c r="JD92" i="3" s="1"/>
  <c r="JD97" i="3" s="1"/>
  <c r="JD102" i="3" s="1"/>
  <c r="JD13" i="3"/>
  <c r="JD18" i="3" s="1"/>
  <c r="JD23" i="3" s="1"/>
  <c r="JD28" i="3" s="1"/>
  <c r="JD33" i="3" s="1"/>
  <c r="JD38" i="3" s="1"/>
  <c r="JD43" i="3" s="1"/>
  <c r="JD48" i="3" s="1"/>
  <c r="JD53" i="3" s="1"/>
  <c r="JD58" i="3" s="1"/>
  <c r="JD63" i="3" s="1"/>
  <c r="JD68" i="3" s="1"/>
  <c r="JD73" i="3" s="1"/>
  <c r="JD78" i="3" s="1"/>
  <c r="JD83" i="3" s="1"/>
  <c r="JD88" i="3" s="1"/>
  <c r="JD93" i="3" s="1"/>
  <c r="JD98" i="3" s="1"/>
  <c r="JD103" i="3" s="1"/>
  <c r="JD14" i="3"/>
  <c r="JD19" i="3" s="1"/>
  <c r="JD24" i="3" s="1"/>
  <c r="JD29" i="3" s="1"/>
  <c r="JD34" i="3" s="1"/>
  <c r="JD39" i="3" s="1"/>
  <c r="JD44" i="3" s="1"/>
  <c r="JD49" i="3" s="1"/>
  <c r="JD54" i="3" s="1"/>
  <c r="JD59" i="3" s="1"/>
  <c r="JD64" i="3" s="1"/>
  <c r="JD69" i="3" s="1"/>
  <c r="JD74" i="3" s="1"/>
  <c r="JD79" i="3" s="1"/>
  <c r="JD84" i="3" s="1"/>
  <c r="JD89" i="3" s="1"/>
  <c r="JD94" i="3" s="1"/>
  <c r="JD99" i="3" s="1"/>
  <c r="JD104" i="3" s="1"/>
  <c r="JD10" i="3"/>
  <c r="JD15" i="3" s="1"/>
  <c r="JD20" i="3" s="1"/>
  <c r="JD25" i="3" s="1"/>
  <c r="JD30" i="3" s="1"/>
  <c r="JD35" i="3" s="1"/>
  <c r="JD40" i="3" s="1"/>
  <c r="JD45" i="3" s="1"/>
  <c r="JD50" i="3" s="1"/>
  <c r="JD55" i="3" s="1"/>
  <c r="JD60" i="3" s="1"/>
  <c r="JD65" i="3" s="1"/>
  <c r="JD70" i="3" s="1"/>
  <c r="JD75" i="3" s="1"/>
  <c r="JD80" i="3" s="1"/>
  <c r="JD85" i="3" s="1"/>
  <c r="JD90" i="3" s="1"/>
  <c r="JD95" i="3" s="1"/>
  <c r="JD100" i="3" s="1"/>
  <c r="HT30" i="3" l="1"/>
  <c r="HT26" i="3"/>
  <c r="HT41" i="3"/>
  <c r="HT27" i="3"/>
  <c r="HT29" i="3"/>
  <c r="HT28" i="3"/>
  <c r="HL36" i="3"/>
  <c r="GC38" i="3"/>
  <c r="HD37" i="3"/>
  <c r="HE37" i="3"/>
  <c r="HF37" i="3"/>
  <c r="HG37" i="3"/>
  <c r="HH37" i="3"/>
  <c r="HI37" i="3"/>
  <c r="HJ37" i="3"/>
  <c r="HK37" i="3"/>
  <c r="GV37" i="3"/>
  <c r="GN37" i="3"/>
  <c r="GW37" i="3"/>
  <c r="GO37" i="3"/>
  <c r="GX37" i="3"/>
  <c r="GP37" i="3"/>
  <c r="GY37" i="3"/>
  <c r="GQ37" i="3"/>
  <c r="GZ37" i="3"/>
  <c r="GR37" i="3"/>
  <c r="HA37" i="3"/>
  <c r="GS37" i="3"/>
  <c r="GL37" i="3"/>
  <c r="GM37" i="3"/>
  <c r="HB37" i="3"/>
  <c r="GT37" i="3"/>
  <c r="HC37" i="3"/>
  <c r="GU37" i="3"/>
  <c r="GJ37" i="3"/>
  <c r="GF37" i="3"/>
  <c r="GG37" i="3"/>
  <c r="GH37" i="3"/>
  <c r="GI37" i="3"/>
  <c r="GK37" i="3"/>
  <c r="GE37" i="3"/>
  <c r="GD38" i="3"/>
  <c r="EA37" i="3"/>
  <c r="DY38" i="3"/>
  <c r="DZ38" i="3"/>
  <c r="V45" i="13"/>
  <c r="U45" i="13"/>
  <c r="P45" i="13"/>
  <c r="O45" i="13"/>
  <c r="J45" i="13"/>
  <c r="I45" i="13"/>
  <c r="C45" i="13"/>
  <c r="D45" i="13"/>
  <c r="T45" i="13" l="1"/>
  <c r="N45" i="13"/>
  <c r="H45" i="13"/>
  <c r="HL37" i="3"/>
  <c r="GC39" i="3"/>
  <c r="HG38" i="3"/>
  <c r="HH38" i="3"/>
  <c r="HI38" i="3"/>
  <c r="HJ38" i="3"/>
  <c r="HK38" i="3"/>
  <c r="HF38" i="3"/>
  <c r="HD38" i="3"/>
  <c r="HE38" i="3"/>
  <c r="GV38" i="3"/>
  <c r="GN38" i="3"/>
  <c r="GW38" i="3"/>
  <c r="GO38" i="3"/>
  <c r="GX38" i="3"/>
  <c r="GP38" i="3"/>
  <c r="GY38" i="3"/>
  <c r="GQ38" i="3"/>
  <c r="GZ38" i="3"/>
  <c r="GR38" i="3"/>
  <c r="HA38" i="3"/>
  <c r="GS38" i="3"/>
  <c r="HB38" i="3"/>
  <c r="GT38" i="3"/>
  <c r="HC38" i="3"/>
  <c r="GU38" i="3"/>
  <c r="GF38" i="3"/>
  <c r="GG38" i="3"/>
  <c r="GH38" i="3"/>
  <c r="GI38" i="3"/>
  <c r="GJ38" i="3"/>
  <c r="GK38" i="3"/>
  <c r="GL38" i="3"/>
  <c r="GM38" i="3"/>
  <c r="GE38" i="3"/>
  <c r="GD39" i="3"/>
  <c r="EA38" i="3"/>
  <c r="DY39" i="3"/>
  <c r="DZ39" i="3"/>
  <c r="F45" i="13"/>
  <c r="C8" i="16"/>
  <c r="L45" i="13" l="1"/>
  <c r="AO34" i="7" s="1"/>
  <c r="R45" i="13"/>
  <c r="AO58" i="7"/>
  <c r="S58" i="7"/>
  <c r="S10" i="7"/>
  <c r="AO10" i="7"/>
  <c r="X45" i="13"/>
  <c r="AO82" i="7" s="1"/>
  <c r="HL38" i="3"/>
  <c r="GC40" i="3"/>
  <c r="HK39" i="3"/>
  <c r="HJ39" i="3"/>
  <c r="HD39" i="3"/>
  <c r="HE39" i="3"/>
  <c r="HF39" i="3"/>
  <c r="HG39" i="3"/>
  <c r="HH39" i="3"/>
  <c r="HI39" i="3"/>
  <c r="GZ39" i="3"/>
  <c r="GR39" i="3"/>
  <c r="HA39" i="3"/>
  <c r="GS39" i="3"/>
  <c r="HB39" i="3"/>
  <c r="GT39" i="3"/>
  <c r="HC39" i="3"/>
  <c r="GU39" i="3"/>
  <c r="GV39" i="3"/>
  <c r="GN39" i="3"/>
  <c r="GW39" i="3"/>
  <c r="GO39" i="3"/>
  <c r="GH39" i="3"/>
  <c r="GI39" i="3"/>
  <c r="GJ39" i="3"/>
  <c r="GK39" i="3"/>
  <c r="GX39" i="3"/>
  <c r="GP39" i="3"/>
  <c r="GL39" i="3"/>
  <c r="GY39" i="3"/>
  <c r="GQ39" i="3"/>
  <c r="GM39" i="3"/>
  <c r="GG39" i="3"/>
  <c r="GF39" i="3"/>
  <c r="GD40" i="3"/>
  <c r="GE39" i="3"/>
  <c r="EA39" i="3"/>
  <c r="DY40" i="3"/>
  <c r="DZ40" i="3"/>
  <c r="L94" i="7"/>
  <c r="L93" i="7"/>
  <c r="L92" i="7"/>
  <c r="L91" i="7"/>
  <c r="L90" i="7"/>
  <c r="L89" i="7"/>
  <c r="L88" i="7"/>
  <c r="L87" i="7"/>
  <c r="L86" i="7"/>
  <c r="L85" i="7"/>
  <c r="L84" i="7"/>
  <c r="L83" i="7"/>
  <c r="L70" i="7"/>
  <c r="L69" i="7"/>
  <c r="L68" i="7"/>
  <c r="L67" i="7"/>
  <c r="L66" i="7"/>
  <c r="L65" i="7"/>
  <c r="L64" i="7"/>
  <c r="L63" i="7"/>
  <c r="L62" i="7"/>
  <c r="L61" i="7"/>
  <c r="L60" i="7"/>
  <c r="L59" i="7"/>
  <c r="L46" i="7"/>
  <c r="L45" i="7"/>
  <c r="L44" i="7"/>
  <c r="L43" i="7"/>
  <c r="L42" i="7"/>
  <c r="L41" i="7"/>
  <c r="L40" i="7"/>
  <c r="L39" i="7"/>
  <c r="L38" i="7"/>
  <c r="L37" i="7"/>
  <c r="L36" i="7"/>
  <c r="L35" i="7"/>
  <c r="S34" i="7" l="1"/>
  <c r="S82" i="7"/>
  <c r="HL39" i="3"/>
  <c r="GC41" i="3"/>
  <c r="HD40" i="3"/>
  <c r="HE40" i="3"/>
  <c r="HF40" i="3"/>
  <c r="HG40" i="3"/>
  <c r="HH40" i="3"/>
  <c r="HI40" i="3"/>
  <c r="HJ40" i="3"/>
  <c r="HK40" i="3"/>
  <c r="GV40" i="3"/>
  <c r="GN40" i="3"/>
  <c r="GW40" i="3"/>
  <c r="GO40" i="3"/>
  <c r="GX40" i="3"/>
  <c r="GP40" i="3"/>
  <c r="GY40" i="3"/>
  <c r="GQ40" i="3"/>
  <c r="GZ40" i="3"/>
  <c r="GR40" i="3"/>
  <c r="HA40" i="3"/>
  <c r="GS40" i="3"/>
  <c r="GL40" i="3"/>
  <c r="GM40" i="3"/>
  <c r="GK40" i="3"/>
  <c r="GJ40" i="3"/>
  <c r="HB40" i="3"/>
  <c r="GT40" i="3"/>
  <c r="GF40" i="3"/>
  <c r="HC40" i="3"/>
  <c r="GU40" i="3"/>
  <c r="GG40" i="3"/>
  <c r="GH40" i="3"/>
  <c r="GI40" i="3"/>
  <c r="GD41" i="3"/>
  <c r="GE40" i="3"/>
  <c r="EA40" i="3"/>
  <c r="DY41" i="3"/>
  <c r="DZ41" i="3"/>
  <c r="HZ8" i="3"/>
  <c r="HX6" i="3"/>
  <c r="FM72" i="3"/>
  <c r="FM73" i="3"/>
  <c r="FM74" i="3"/>
  <c r="FM75" i="3"/>
  <c r="FM76" i="3"/>
  <c r="FM77" i="3"/>
  <c r="FM78" i="3"/>
  <c r="FM79" i="3"/>
  <c r="FM80" i="3"/>
  <c r="FM81" i="3"/>
  <c r="FM82" i="3"/>
  <c r="FM71" i="3"/>
  <c r="FM56" i="3"/>
  <c r="FM57" i="3"/>
  <c r="FM58" i="3"/>
  <c r="FM59" i="3"/>
  <c r="FM60" i="3"/>
  <c r="FM61" i="3"/>
  <c r="FM62" i="3"/>
  <c r="FM63" i="3"/>
  <c r="FM64" i="3"/>
  <c r="FM65" i="3"/>
  <c r="FM66" i="3"/>
  <c r="FM55" i="3"/>
  <c r="FM40" i="3"/>
  <c r="FM41" i="3"/>
  <c r="FM42" i="3"/>
  <c r="FM43" i="3"/>
  <c r="FM44" i="3"/>
  <c r="FM45" i="3"/>
  <c r="FM46" i="3"/>
  <c r="FM47" i="3"/>
  <c r="FM48" i="3"/>
  <c r="FM49" i="3"/>
  <c r="FM50" i="3"/>
  <c r="FM39" i="3"/>
  <c r="FM24" i="3"/>
  <c r="FM25" i="3"/>
  <c r="FM26" i="3"/>
  <c r="FM27" i="3"/>
  <c r="FM28" i="3"/>
  <c r="FM29" i="3"/>
  <c r="FM30" i="3"/>
  <c r="FM31" i="3"/>
  <c r="FM32" i="3"/>
  <c r="FM33" i="3"/>
  <c r="FM34" i="3"/>
  <c r="FM23" i="3"/>
  <c r="DS72" i="3"/>
  <c r="DT72" i="3" s="1"/>
  <c r="DS73" i="3"/>
  <c r="DS74" i="3"/>
  <c r="DS75" i="3"/>
  <c r="DS76" i="3"/>
  <c r="DT76" i="3" s="1"/>
  <c r="DS77" i="3"/>
  <c r="DS78" i="3"/>
  <c r="DS71" i="3"/>
  <c r="DS56" i="3"/>
  <c r="DS57" i="3"/>
  <c r="DS58" i="3"/>
  <c r="DS59" i="3"/>
  <c r="DS60" i="3"/>
  <c r="DS61" i="3"/>
  <c r="DS62" i="3"/>
  <c r="DS55" i="3"/>
  <c r="HL40" i="3" l="1"/>
  <c r="GC42" i="3"/>
  <c r="HE41" i="3"/>
  <c r="HD41" i="3"/>
  <c r="HF41" i="3"/>
  <c r="HG41" i="3"/>
  <c r="HH41" i="3"/>
  <c r="HI41" i="3"/>
  <c r="HJ41" i="3"/>
  <c r="HK41" i="3"/>
  <c r="GV41" i="3"/>
  <c r="GN41" i="3"/>
  <c r="GW41" i="3"/>
  <c r="GO41" i="3"/>
  <c r="GX41" i="3"/>
  <c r="GP41" i="3"/>
  <c r="GY41" i="3"/>
  <c r="GQ41" i="3"/>
  <c r="GZ41" i="3"/>
  <c r="GR41" i="3"/>
  <c r="HA41" i="3"/>
  <c r="GS41" i="3"/>
  <c r="HB41" i="3"/>
  <c r="GT41" i="3"/>
  <c r="HC41" i="3"/>
  <c r="GU41" i="3"/>
  <c r="GF41" i="3"/>
  <c r="GG41" i="3"/>
  <c r="GH41" i="3"/>
  <c r="GI41" i="3"/>
  <c r="GJ41" i="3"/>
  <c r="GK41" i="3"/>
  <c r="GL41" i="3"/>
  <c r="GM41" i="3"/>
  <c r="GD42" i="3"/>
  <c r="GE41" i="3"/>
  <c r="EA41" i="3"/>
  <c r="DT71" i="3"/>
  <c r="DT78" i="3"/>
  <c r="DY42" i="3"/>
  <c r="DZ42" i="3"/>
  <c r="DT74" i="3"/>
  <c r="DT73" i="3"/>
  <c r="HZ9" i="3"/>
  <c r="HZ6" i="3"/>
  <c r="DT77" i="3"/>
  <c r="DT75" i="3"/>
  <c r="HZ7" i="3"/>
  <c r="HL41" i="3" l="1"/>
  <c r="GC43" i="3"/>
  <c r="HI42" i="3"/>
  <c r="HJ42" i="3"/>
  <c r="HK42" i="3"/>
  <c r="HH42" i="3"/>
  <c r="HD42" i="3"/>
  <c r="HE42" i="3"/>
  <c r="HF42" i="3"/>
  <c r="HG42" i="3"/>
  <c r="GZ42" i="3"/>
  <c r="GR42" i="3"/>
  <c r="HA42" i="3"/>
  <c r="GS42" i="3"/>
  <c r="HB42" i="3"/>
  <c r="GT42" i="3"/>
  <c r="HC42" i="3"/>
  <c r="GU42" i="3"/>
  <c r="GV42" i="3"/>
  <c r="GN42" i="3"/>
  <c r="GW42" i="3"/>
  <c r="GO42" i="3"/>
  <c r="GH42" i="3"/>
  <c r="GI42" i="3"/>
  <c r="GG42" i="3"/>
  <c r="GJ42" i="3"/>
  <c r="GK42" i="3"/>
  <c r="GL42" i="3"/>
  <c r="GM42" i="3"/>
  <c r="GF42" i="3"/>
  <c r="GX42" i="3"/>
  <c r="GP42" i="3"/>
  <c r="GY42" i="3"/>
  <c r="GQ42" i="3"/>
  <c r="GE42" i="3"/>
  <c r="GD43" i="3"/>
  <c r="EA42" i="3"/>
  <c r="DY43" i="3"/>
  <c r="DZ43" i="3"/>
  <c r="DS23" i="3"/>
  <c r="AT46" i="3"/>
  <c r="DQ46" i="3" s="1"/>
  <c r="AS46" i="3"/>
  <c r="DP46" i="3" s="1"/>
  <c r="AN46" i="3"/>
  <c r="AT45" i="3"/>
  <c r="DQ45" i="3" s="1"/>
  <c r="AS45" i="3"/>
  <c r="DP45" i="3" s="1"/>
  <c r="AN45" i="3"/>
  <c r="AT44" i="3"/>
  <c r="DQ44" i="3" s="1"/>
  <c r="AS44" i="3"/>
  <c r="DP44" i="3" s="1"/>
  <c r="AN44" i="3"/>
  <c r="AT43" i="3"/>
  <c r="DQ43" i="3" s="1"/>
  <c r="AS43" i="3"/>
  <c r="DP43" i="3" s="1"/>
  <c r="AN43" i="3"/>
  <c r="AT42" i="3"/>
  <c r="DQ42" i="3" s="1"/>
  <c r="AS42" i="3"/>
  <c r="DP42" i="3" s="1"/>
  <c r="AN42" i="3"/>
  <c r="AT41" i="3"/>
  <c r="DQ41" i="3" s="1"/>
  <c r="AS41" i="3"/>
  <c r="DP41" i="3" s="1"/>
  <c r="AN41" i="3"/>
  <c r="AT40" i="3"/>
  <c r="DQ40" i="3" s="1"/>
  <c r="AS40" i="3"/>
  <c r="DP40" i="3" s="1"/>
  <c r="AN40" i="3"/>
  <c r="AT39" i="3"/>
  <c r="DQ39" i="3" s="1"/>
  <c r="AS39" i="3"/>
  <c r="DP39" i="3" s="1"/>
  <c r="AN39" i="3"/>
  <c r="AT62" i="3"/>
  <c r="DQ62" i="3" s="1"/>
  <c r="AS62" i="3"/>
  <c r="DP62" i="3" s="1"/>
  <c r="AN62" i="3"/>
  <c r="AT61" i="3"/>
  <c r="DQ61" i="3" s="1"/>
  <c r="AS61" i="3"/>
  <c r="DP61" i="3" s="1"/>
  <c r="AN61" i="3"/>
  <c r="AT60" i="3"/>
  <c r="DQ60" i="3" s="1"/>
  <c r="AS60" i="3"/>
  <c r="DP60" i="3" s="1"/>
  <c r="AN60" i="3"/>
  <c r="AL60" i="3"/>
  <c r="AT59" i="3"/>
  <c r="DQ59" i="3" s="1"/>
  <c r="AS59" i="3"/>
  <c r="DP59" i="3" s="1"/>
  <c r="AN59" i="3"/>
  <c r="AT58" i="3"/>
  <c r="DQ58" i="3" s="1"/>
  <c r="AS58" i="3"/>
  <c r="DP58" i="3" s="1"/>
  <c r="AN58" i="3"/>
  <c r="AT57" i="3"/>
  <c r="DQ57" i="3" s="1"/>
  <c r="AS57" i="3"/>
  <c r="DP57" i="3" s="1"/>
  <c r="AN57" i="3"/>
  <c r="AT56" i="3"/>
  <c r="DQ56" i="3" s="1"/>
  <c r="AS56" i="3"/>
  <c r="DP56" i="3" s="1"/>
  <c r="AN56" i="3"/>
  <c r="AT55" i="3"/>
  <c r="DQ55" i="3" s="1"/>
  <c r="AS55" i="3"/>
  <c r="DP55" i="3" s="1"/>
  <c r="AN55" i="3"/>
  <c r="AZ6" i="3"/>
  <c r="AN72" i="3"/>
  <c r="AS72" i="3"/>
  <c r="DP72" i="3" s="1"/>
  <c r="AT72" i="3"/>
  <c r="DQ72" i="3" s="1"/>
  <c r="AN73" i="3"/>
  <c r="AS73" i="3"/>
  <c r="DP73" i="3" s="1"/>
  <c r="AT73" i="3"/>
  <c r="DQ73" i="3" s="1"/>
  <c r="AN74" i="3"/>
  <c r="AS74" i="3"/>
  <c r="DP74" i="3" s="1"/>
  <c r="AT74" i="3"/>
  <c r="DQ74" i="3" s="1"/>
  <c r="AN75" i="3"/>
  <c r="AS75" i="3"/>
  <c r="DP75" i="3" s="1"/>
  <c r="AT75" i="3"/>
  <c r="DQ75" i="3" s="1"/>
  <c r="AN76" i="3"/>
  <c r="AS76" i="3"/>
  <c r="DP76" i="3" s="1"/>
  <c r="AT76" i="3"/>
  <c r="DQ76" i="3" s="1"/>
  <c r="AN77" i="3"/>
  <c r="AS77" i="3"/>
  <c r="DP77" i="3" s="1"/>
  <c r="AT77" i="3"/>
  <c r="DQ77" i="3" s="1"/>
  <c r="AN78" i="3"/>
  <c r="AS78" i="3"/>
  <c r="DP78" i="3" s="1"/>
  <c r="AT78" i="3"/>
  <c r="DQ78" i="3" s="1"/>
  <c r="AN24" i="3"/>
  <c r="AS24" i="3"/>
  <c r="DP24" i="3" s="1"/>
  <c r="AT24" i="3"/>
  <c r="DQ24" i="3" s="1"/>
  <c r="AN25" i="3"/>
  <c r="AS25" i="3"/>
  <c r="DP25" i="3" s="1"/>
  <c r="AT25" i="3"/>
  <c r="DQ25" i="3" s="1"/>
  <c r="AN26" i="3"/>
  <c r="AS26" i="3"/>
  <c r="DP26" i="3" s="1"/>
  <c r="AT26" i="3"/>
  <c r="DQ26" i="3" s="1"/>
  <c r="AN27" i="3"/>
  <c r="AS27" i="3"/>
  <c r="DP27" i="3" s="1"/>
  <c r="AT27" i="3"/>
  <c r="DQ27" i="3" s="1"/>
  <c r="AN28" i="3"/>
  <c r="AS28" i="3"/>
  <c r="DP28" i="3" s="1"/>
  <c r="AT28" i="3"/>
  <c r="DQ28" i="3" s="1"/>
  <c r="AN29" i="3"/>
  <c r="AS29" i="3"/>
  <c r="DP29" i="3" s="1"/>
  <c r="AT29" i="3"/>
  <c r="DQ29" i="3" s="1"/>
  <c r="AN30" i="3"/>
  <c r="AS30" i="3"/>
  <c r="DP30" i="3" s="1"/>
  <c r="AT30" i="3"/>
  <c r="DQ30" i="3" s="1"/>
  <c r="AT71" i="3"/>
  <c r="DQ71" i="3" s="1"/>
  <c r="AS71" i="3"/>
  <c r="DP71" i="3" s="1"/>
  <c r="AN71" i="3"/>
  <c r="AT23" i="3"/>
  <c r="DQ23" i="3" s="1"/>
  <c r="AS23" i="3"/>
  <c r="DP23" i="3" s="1"/>
  <c r="AN23" i="3"/>
  <c r="T40" i="14"/>
  <c r="T41" i="14"/>
  <c r="T42" i="14"/>
  <c r="L40" i="14"/>
  <c r="M40" i="14" s="1"/>
  <c r="L41" i="14"/>
  <c r="M41" i="14" s="1"/>
  <c r="L42" i="14"/>
  <c r="M42" i="14" s="1"/>
  <c r="T40" i="15"/>
  <c r="T41" i="15"/>
  <c r="T42" i="15"/>
  <c r="L40" i="15"/>
  <c r="M40" i="15" s="1"/>
  <c r="L41" i="15"/>
  <c r="M41" i="15" s="1"/>
  <c r="L42" i="15"/>
  <c r="Z42" i="15" s="1"/>
  <c r="T40" i="16"/>
  <c r="T41" i="16"/>
  <c r="Z41" i="16" s="1"/>
  <c r="T42" i="16"/>
  <c r="L40" i="16"/>
  <c r="M40" i="16" s="1"/>
  <c r="L41" i="16"/>
  <c r="M41" i="16" s="1"/>
  <c r="L42" i="16"/>
  <c r="M42" i="16" s="1"/>
  <c r="HL42" i="3" l="1"/>
  <c r="GC44" i="3"/>
  <c r="HD43" i="3"/>
  <c r="HE43" i="3"/>
  <c r="HF43" i="3"/>
  <c r="HG43" i="3"/>
  <c r="HH43" i="3"/>
  <c r="HI43" i="3"/>
  <c r="HJ43" i="3"/>
  <c r="HK43" i="3"/>
  <c r="GV43" i="3"/>
  <c r="GN43" i="3"/>
  <c r="GW43" i="3"/>
  <c r="GO43" i="3"/>
  <c r="GX43" i="3"/>
  <c r="GP43" i="3"/>
  <c r="GY43" i="3"/>
  <c r="GQ43" i="3"/>
  <c r="GZ43" i="3"/>
  <c r="GR43" i="3"/>
  <c r="HA43" i="3"/>
  <c r="GS43" i="3"/>
  <c r="GL43" i="3"/>
  <c r="HB43" i="3"/>
  <c r="GM43" i="3"/>
  <c r="GJ43" i="3"/>
  <c r="GT43" i="3"/>
  <c r="GU43" i="3"/>
  <c r="GK43" i="3"/>
  <c r="HC43" i="3"/>
  <c r="GF43" i="3"/>
  <c r="GG43" i="3"/>
  <c r="GH43" i="3"/>
  <c r="GI43" i="3"/>
  <c r="GE43" i="3"/>
  <c r="GD44" i="3"/>
  <c r="EW42" i="3"/>
  <c r="EK42" i="3"/>
  <c r="EO42" i="3"/>
  <c r="EN42" i="3"/>
  <c r="EV42" i="3"/>
  <c r="ET42" i="3"/>
  <c r="FA42" i="3"/>
  <c r="EG42" i="3"/>
  <c r="EZ42" i="3"/>
  <c r="EA43" i="3"/>
  <c r="EF42" i="3"/>
  <c r="EQ42" i="3"/>
  <c r="EE42" i="3"/>
  <c r="FF42" i="3"/>
  <c r="EH42" i="3"/>
  <c r="EX42" i="3"/>
  <c r="EP42" i="3"/>
  <c r="ES42" i="3"/>
  <c r="FE20" i="3"/>
  <c r="FE21" i="3"/>
  <c r="FE19" i="3"/>
  <c r="FE18" i="3"/>
  <c r="FE22" i="3"/>
  <c r="FE17" i="3"/>
  <c r="FE16" i="3"/>
  <c r="FE23" i="3"/>
  <c r="FE15" i="3"/>
  <c r="FE24" i="3"/>
  <c r="FE25" i="3"/>
  <c r="FE14" i="3"/>
  <c r="FE13" i="3"/>
  <c r="FE26" i="3"/>
  <c r="FE27" i="3"/>
  <c r="FE12" i="3"/>
  <c r="FE11" i="3"/>
  <c r="FE28" i="3"/>
  <c r="FE10" i="3"/>
  <c r="FE29" i="3"/>
  <c r="FE9" i="3"/>
  <c r="FE30" i="3"/>
  <c r="FE8" i="3"/>
  <c r="FE31" i="3"/>
  <c r="FE7" i="3"/>
  <c r="FE32" i="3"/>
  <c r="FE33" i="3"/>
  <c r="FE34" i="3"/>
  <c r="FE35" i="3"/>
  <c r="FE36" i="3"/>
  <c r="FE37" i="3"/>
  <c r="FE38" i="3"/>
  <c r="FE39" i="3"/>
  <c r="FE40" i="3"/>
  <c r="FE41" i="3"/>
  <c r="FA20" i="3"/>
  <c r="FA19" i="3"/>
  <c r="FA21" i="3"/>
  <c r="FA22" i="3"/>
  <c r="FA17" i="3"/>
  <c r="FA18" i="3"/>
  <c r="FA23" i="3"/>
  <c r="FA16" i="3"/>
  <c r="FA24" i="3"/>
  <c r="FA15" i="3"/>
  <c r="FA14" i="3"/>
  <c r="FA25" i="3"/>
  <c r="FA13" i="3"/>
  <c r="FA26" i="3"/>
  <c r="FA27" i="3"/>
  <c r="FA12" i="3"/>
  <c r="FA28" i="3"/>
  <c r="FA11" i="3"/>
  <c r="FA10" i="3"/>
  <c r="FA29" i="3"/>
  <c r="FA9" i="3"/>
  <c r="FA30" i="3"/>
  <c r="FA8" i="3"/>
  <c r="FA31" i="3"/>
  <c r="FA7" i="3"/>
  <c r="FA32" i="3"/>
  <c r="FA33" i="3"/>
  <c r="FA34" i="3"/>
  <c r="FA35" i="3"/>
  <c r="FA36" i="3"/>
  <c r="FA37" i="3"/>
  <c r="FA38" i="3"/>
  <c r="FA39" i="3"/>
  <c r="FA40" i="3"/>
  <c r="FA41" i="3"/>
  <c r="EH23" i="3"/>
  <c r="EH24" i="3"/>
  <c r="EH25" i="3"/>
  <c r="EH26" i="3"/>
  <c r="EH27" i="3"/>
  <c r="EH28" i="3"/>
  <c r="EH29" i="3"/>
  <c r="EH30" i="3"/>
  <c r="EH31" i="3"/>
  <c r="EH32" i="3"/>
  <c r="EH33" i="3"/>
  <c r="EH34" i="3"/>
  <c r="EH35" i="3"/>
  <c r="EH36" i="3"/>
  <c r="EH37" i="3"/>
  <c r="EH38" i="3"/>
  <c r="EH39" i="3"/>
  <c r="EH40" i="3"/>
  <c r="EH41" i="3"/>
  <c r="EU20" i="3"/>
  <c r="EU19" i="3"/>
  <c r="EU21" i="3"/>
  <c r="EU22" i="3"/>
  <c r="EU18" i="3"/>
  <c r="EU17" i="3"/>
  <c r="EU23" i="3"/>
  <c r="EU16" i="3"/>
  <c r="EU15" i="3"/>
  <c r="EU24" i="3"/>
  <c r="EU25" i="3"/>
  <c r="EU14" i="3"/>
  <c r="EU26" i="3"/>
  <c r="EU13" i="3"/>
  <c r="EU27" i="3"/>
  <c r="EU12" i="3"/>
  <c r="EU11" i="3"/>
  <c r="EU28" i="3"/>
  <c r="EU29" i="3"/>
  <c r="EU10" i="3"/>
  <c r="EU9" i="3"/>
  <c r="EU30" i="3"/>
  <c r="EU8" i="3"/>
  <c r="EU31" i="3"/>
  <c r="EU32" i="3"/>
  <c r="EU7" i="3"/>
  <c r="EU33" i="3"/>
  <c r="EU34" i="3"/>
  <c r="EU35" i="3"/>
  <c r="EU36" i="3"/>
  <c r="EU37" i="3"/>
  <c r="EU38" i="3"/>
  <c r="EU39" i="3"/>
  <c r="EU40" i="3"/>
  <c r="EU41" i="3"/>
  <c r="ED12" i="3"/>
  <c r="ED11" i="3"/>
  <c r="ED10" i="3"/>
  <c r="ED9" i="3"/>
  <c r="ED8" i="3"/>
  <c r="ED7" i="3"/>
  <c r="ED35" i="3"/>
  <c r="ED36" i="3"/>
  <c r="ED37" i="3"/>
  <c r="ED38" i="3"/>
  <c r="ED39" i="3"/>
  <c r="ED40" i="3"/>
  <c r="ED41" i="3"/>
  <c r="EY20" i="3"/>
  <c r="EY19" i="3"/>
  <c r="EY21" i="3"/>
  <c r="EY22" i="3"/>
  <c r="EY17" i="3"/>
  <c r="EY18" i="3"/>
  <c r="EY23" i="3"/>
  <c r="EY16" i="3"/>
  <c r="EY24" i="3"/>
  <c r="EY15" i="3"/>
  <c r="EY14" i="3"/>
  <c r="EY25" i="3"/>
  <c r="EY13" i="3"/>
  <c r="EY26" i="3"/>
  <c r="EY27" i="3"/>
  <c r="EY12" i="3"/>
  <c r="EY28" i="3"/>
  <c r="EY11" i="3"/>
  <c r="EY10" i="3"/>
  <c r="EY29" i="3"/>
  <c r="EY9" i="3"/>
  <c r="EY8" i="3"/>
  <c r="EY7" i="3"/>
  <c r="EM20" i="3"/>
  <c r="EM19" i="3"/>
  <c r="EM21" i="3"/>
  <c r="EM17" i="3"/>
  <c r="EM18" i="3"/>
  <c r="EM22" i="3"/>
  <c r="EM16" i="3"/>
  <c r="EM23" i="3"/>
  <c r="EM15" i="3"/>
  <c r="EM24" i="3"/>
  <c r="EM14" i="3"/>
  <c r="EM25" i="3"/>
  <c r="EM13" i="3"/>
  <c r="EM26" i="3"/>
  <c r="EM12" i="3"/>
  <c r="EM27" i="3"/>
  <c r="EM11" i="3"/>
  <c r="EM10" i="3"/>
  <c r="EM9" i="3"/>
  <c r="EM8" i="3"/>
  <c r="EM7" i="3"/>
  <c r="EM30" i="3"/>
  <c r="EM33" i="3"/>
  <c r="EM29" i="3"/>
  <c r="EM28" i="3"/>
  <c r="EM31" i="3"/>
  <c r="EM34" i="3"/>
  <c r="EM32" i="3"/>
  <c r="EM35" i="3"/>
  <c r="EM36" i="3"/>
  <c r="EM37" i="3"/>
  <c r="EM38" i="3"/>
  <c r="EM39" i="3"/>
  <c r="EM40" i="3"/>
  <c r="EM41" i="3"/>
  <c r="EQ17" i="3"/>
  <c r="EQ16" i="3"/>
  <c r="EQ15" i="3"/>
  <c r="EQ14" i="3"/>
  <c r="EQ13" i="3"/>
  <c r="EQ12" i="3"/>
  <c r="EQ11" i="3"/>
  <c r="EQ10" i="3"/>
  <c r="EQ9" i="3"/>
  <c r="EQ8" i="3"/>
  <c r="EQ7" i="3"/>
  <c r="EQ41" i="3"/>
  <c r="EU42" i="3"/>
  <c r="EL20" i="3"/>
  <c r="EL19" i="3"/>
  <c r="EL21" i="3"/>
  <c r="EL17" i="3"/>
  <c r="EL18" i="3"/>
  <c r="EL16" i="3"/>
  <c r="EL15" i="3"/>
  <c r="EL14" i="3"/>
  <c r="EL13" i="3"/>
  <c r="EL12" i="3"/>
  <c r="EL11" i="3"/>
  <c r="EL10" i="3"/>
  <c r="EL9" i="3"/>
  <c r="EL8" i="3"/>
  <c r="EL7" i="3"/>
  <c r="EL33" i="3"/>
  <c r="EL22" i="3"/>
  <c r="EL25" i="3"/>
  <c r="EL34" i="3"/>
  <c r="EL28" i="3"/>
  <c r="EL31" i="3"/>
  <c r="EL23" i="3"/>
  <c r="EL26" i="3"/>
  <c r="EL27" i="3"/>
  <c r="EL29" i="3"/>
  <c r="EL32" i="3"/>
  <c r="EL24" i="3"/>
  <c r="EL30" i="3"/>
  <c r="EL35" i="3"/>
  <c r="EL36" i="3"/>
  <c r="EL37" i="3"/>
  <c r="EL38" i="3"/>
  <c r="EL39" i="3"/>
  <c r="EL40" i="3"/>
  <c r="EL41" i="3"/>
  <c r="EB17" i="3"/>
  <c r="EB16" i="3"/>
  <c r="EB15" i="3"/>
  <c r="EB26" i="3"/>
  <c r="EB27" i="3"/>
  <c r="EB28" i="3"/>
  <c r="EB29" i="3"/>
  <c r="EB30" i="3"/>
  <c r="EB8" i="3"/>
  <c r="EB31" i="3"/>
  <c r="EB32" i="3"/>
  <c r="EB33" i="3"/>
  <c r="EB34" i="3"/>
  <c r="EB35" i="3"/>
  <c r="EB36" i="3"/>
  <c r="EB37" i="3"/>
  <c r="EB38" i="3"/>
  <c r="EB39" i="3"/>
  <c r="EB40" i="3"/>
  <c r="EB41" i="3"/>
  <c r="EG21" i="3"/>
  <c r="EG22" i="3"/>
  <c r="EG16" i="3"/>
  <c r="EG23" i="3"/>
  <c r="EG14" i="3"/>
  <c r="EG13" i="3"/>
  <c r="EG12" i="3"/>
  <c r="EG11" i="3"/>
  <c r="EG10" i="3"/>
  <c r="EG9" i="3"/>
  <c r="EG8" i="3"/>
  <c r="EG32" i="3"/>
  <c r="EG7" i="3"/>
  <c r="EG33" i="3"/>
  <c r="EG34" i="3"/>
  <c r="EG35" i="3"/>
  <c r="EG36" i="3"/>
  <c r="EG37" i="3"/>
  <c r="EG38" i="3"/>
  <c r="EG39" i="3"/>
  <c r="EG40" i="3"/>
  <c r="EG41" i="3"/>
  <c r="EC21" i="3"/>
  <c r="EC22" i="3"/>
  <c r="EC23" i="3"/>
  <c r="EC14" i="3"/>
  <c r="EC13" i="3"/>
  <c r="EC12" i="3"/>
  <c r="EC11" i="3"/>
  <c r="EC10" i="3"/>
  <c r="EC9" i="3"/>
  <c r="EC8" i="3"/>
  <c r="EC32" i="3"/>
  <c r="EC7" i="3"/>
  <c r="EC33" i="3"/>
  <c r="EC34" i="3"/>
  <c r="EC35" i="3"/>
  <c r="EC36" i="3"/>
  <c r="EC37" i="3"/>
  <c r="EC38" i="3"/>
  <c r="EC39" i="3"/>
  <c r="EC40" i="3"/>
  <c r="EC41" i="3"/>
  <c r="FD20" i="3"/>
  <c r="FD21" i="3"/>
  <c r="FD19" i="3"/>
  <c r="FD18" i="3"/>
  <c r="FD22" i="3"/>
  <c r="FD17" i="3"/>
  <c r="FD23" i="3"/>
  <c r="FD16" i="3"/>
  <c r="FD24" i="3"/>
  <c r="FD15" i="3"/>
  <c r="FD25" i="3"/>
  <c r="FD14" i="3"/>
  <c r="FD13" i="3"/>
  <c r="FD26" i="3"/>
  <c r="FD12" i="3"/>
  <c r="FD27" i="3"/>
  <c r="FD28" i="3"/>
  <c r="FD11" i="3"/>
  <c r="FD29" i="3"/>
  <c r="FD10" i="3"/>
  <c r="FD9" i="3"/>
  <c r="FD30" i="3"/>
  <c r="FD8" i="3"/>
  <c r="FD31" i="3"/>
  <c r="FD32" i="3"/>
  <c r="FD7" i="3"/>
  <c r="FD33" i="3"/>
  <c r="FD34" i="3"/>
  <c r="FD35" i="3"/>
  <c r="FD36" i="3"/>
  <c r="FD37" i="3"/>
  <c r="FD38" i="3"/>
  <c r="FD39" i="3"/>
  <c r="FD40" i="3"/>
  <c r="FD41" i="3"/>
  <c r="ET20" i="3"/>
  <c r="ET21" i="3"/>
  <c r="ET19" i="3"/>
  <c r="ET18" i="3"/>
  <c r="ET22" i="3"/>
  <c r="ET17" i="3"/>
  <c r="ET23" i="3"/>
  <c r="ET16" i="3"/>
  <c r="ET15" i="3"/>
  <c r="ET24" i="3"/>
  <c r="ET14" i="3"/>
  <c r="ET25" i="3"/>
  <c r="ET13" i="3"/>
  <c r="ET26" i="3"/>
  <c r="ET12" i="3"/>
  <c r="ET27" i="3"/>
  <c r="ET11" i="3"/>
  <c r="ET28" i="3"/>
  <c r="ET29" i="3"/>
  <c r="ET10" i="3"/>
  <c r="ET30" i="3"/>
  <c r="ET9" i="3"/>
  <c r="ET31" i="3"/>
  <c r="ET8" i="3"/>
  <c r="ET32" i="3"/>
  <c r="ET7" i="3"/>
  <c r="ET33" i="3"/>
  <c r="ET34" i="3"/>
  <c r="ET35" i="3"/>
  <c r="ET36" i="3"/>
  <c r="ET37" i="3"/>
  <c r="ET38" i="3"/>
  <c r="ET39" i="3"/>
  <c r="ET40" i="3"/>
  <c r="ET41" i="3"/>
  <c r="ER20" i="3"/>
  <c r="ER19" i="3"/>
  <c r="ER21" i="3"/>
  <c r="ER17" i="3"/>
  <c r="ER18" i="3"/>
  <c r="ER22" i="3"/>
  <c r="ER23" i="3"/>
  <c r="ER16" i="3"/>
  <c r="ER24" i="3"/>
  <c r="ER15" i="3"/>
  <c r="ER25" i="3"/>
  <c r="ER14" i="3"/>
  <c r="ER13" i="3"/>
  <c r="ER26" i="3"/>
  <c r="ER12" i="3"/>
  <c r="ER27" i="3"/>
  <c r="ER28" i="3"/>
  <c r="ER11" i="3"/>
  <c r="ER10" i="3"/>
  <c r="ER29" i="3"/>
  <c r="ER9" i="3"/>
  <c r="ER30" i="3"/>
  <c r="ER31" i="3"/>
  <c r="ER8" i="3"/>
  <c r="ER7" i="3"/>
  <c r="ER32" i="3"/>
  <c r="ER39" i="3"/>
  <c r="ER40" i="3"/>
  <c r="ER41" i="3"/>
  <c r="EV20" i="3"/>
  <c r="EV21" i="3"/>
  <c r="EV19" i="3"/>
  <c r="EV18" i="3"/>
  <c r="EV17" i="3"/>
  <c r="EV22" i="3"/>
  <c r="EV16" i="3"/>
  <c r="EV23" i="3"/>
  <c r="EV24" i="3"/>
  <c r="EV15" i="3"/>
  <c r="EV25" i="3"/>
  <c r="EV14" i="3"/>
  <c r="EV13" i="3"/>
  <c r="EV26" i="3"/>
  <c r="EV12" i="3"/>
  <c r="EV27" i="3"/>
  <c r="EV28" i="3"/>
  <c r="EV11" i="3"/>
  <c r="EV29" i="3"/>
  <c r="EV10" i="3"/>
  <c r="EV9" i="3"/>
  <c r="EV30" i="3"/>
  <c r="EV31" i="3"/>
  <c r="EV8" i="3"/>
  <c r="EV32" i="3"/>
  <c r="EV7" i="3"/>
  <c r="EV33" i="3"/>
  <c r="EV34" i="3"/>
  <c r="EV35" i="3"/>
  <c r="EV36" i="3"/>
  <c r="EV37" i="3"/>
  <c r="EV38" i="3"/>
  <c r="EV39" i="3"/>
  <c r="EV40" i="3"/>
  <c r="EV41" i="3"/>
  <c r="EM42" i="3"/>
  <c r="EP20" i="3"/>
  <c r="EP21" i="3"/>
  <c r="EP19" i="3"/>
  <c r="EP17" i="3"/>
  <c r="EP18" i="3"/>
  <c r="EP16" i="3"/>
  <c r="EP15" i="3"/>
  <c r="EP14" i="3"/>
  <c r="EP13" i="3"/>
  <c r="EP12" i="3"/>
  <c r="EP11" i="3"/>
  <c r="EP10" i="3"/>
  <c r="EP9" i="3"/>
  <c r="EP8" i="3"/>
  <c r="EP7" i="3"/>
  <c r="EP32" i="3"/>
  <c r="EP24" i="3"/>
  <c r="EP27" i="3"/>
  <c r="EP30" i="3"/>
  <c r="EP22" i="3"/>
  <c r="EP26" i="3"/>
  <c r="EP34" i="3"/>
  <c r="EP25" i="3"/>
  <c r="EP28" i="3"/>
  <c r="EP31" i="3"/>
  <c r="EP23" i="3"/>
  <c r="EP29" i="3"/>
  <c r="EP33" i="3"/>
  <c r="EP35" i="3"/>
  <c r="EP36" i="3"/>
  <c r="EP37" i="3"/>
  <c r="EP38" i="3"/>
  <c r="EP39" i="3"/>
  <c r="EP40" i="3"/>
  <c r="EP41" i="3"/>
  <c r="EJ20" i="3"/>
  <c r="EJ19" i="3"/>
  <c r="EJ17" i="3"/>
  <c r="EJ18" i="3"/>
  <c r="EJ16" i="3"/>
  <c r="EJ15" i="3"/>
  <c r="EJ14" i="3"/>
  <c r="EJ13" i="3"/>
  <c r="EJ12" i="3"/>
  <c r="EJ27" i="3"/>
  <c r="EJ11" i="3"/>
  <c r="EJ28" i="3"/>
  <c r="EJ10" i="3"/>
  <c r="EJ29" i="3"/>
  <c r="EJ9" i="3"/>
  <c r="EJ8" i="3"/>
  <c r="EJ7" i="3"/>
  <c r="EJ38" i="3"/>
  <c r="EJ39" i="3"/>
  <c r="EJ40" i="3"/>
  <c r="EJ41" i="3"/>
  <c r="EN20" i="3"/>
  <c r="EN19" i="3"/>
  <c r="EN21" i="3"/>
  <c r="EN22" i="3"/>
  <c r="EN17" i="3"/>
  <c r="EN18" i="3"/>
  <c r="EN16" i="3"/>
  <c r="EN23" i="3"/>
  <c r="EN15" i="3"/>
  <c r="EN24" i="3"/>
  <c r="EN14" i="3"/>
  <c r="EN25" i="3"/>
  <c r="EN26" i="3"/>
  <c r="EN13" i="3"/>
  <c r="EN27" i="3"/>
  <c r="EN12" i="3"/>
  <c r="EN11" i="3"/>
  <c r="EN28" i="3"/>
  <c r="EN10" i="3"/>
  <c r="EN29" i="3"/>
  <c r="EN30" i="3"/>
  <c r="EN9" i="3"/>
  <c r="EN8" i="3"/>
  <c r="EN7" i="3"/>
  <c r="EN31" i="3"/>
  <c r="EN34" i="3"/>
  <c r="EN35" i="3"/>
  <c r="EN32" i="3"/>
  <c r="EN33" i="3"/>
  <c r="EN36" i="3"/>
  <c r="EN37" i="3"/>
  <c r="EN38" i="3"/>
  <c r="EN39" i="3"/>
  <c r="EN40" i="3"/>
  <c r="EN41" i="3"/>
  <c r="FE42" i="3"/>
  <c r="EZ20" i="3"/>
  <c r="EZ19" i="3"/>
  <c r="EZ21" i="3"/>
  <c r="EZ18" i="3"/>
  <c r="EZ22" i="3"/>
  <c r="EZ17" i="3"/>
  <c r="EZ23" i="3"/>
  <c r="EZ16" i="3"/>
  <c r="EZ15" i="3"/>
  <c r="EZ24" i="3"/>
  <c r="EZ25" i="3"/>
  <c r="EZ14" i="3"/>
  <c r="EZ26" i="3"/>
  <c r="EZ13" i="3"/>
  <c r="EZ27" i="3"/>
  <c r="EZ12" i="3"/>
  <c r="EZ28" i="3"/>
  <c r="EZ11" i="3"/>
  <c r="EZ10" i="3"/>
  <c r="EZ29" i="3"/>
  <c r="EZ9" i="3"/>
  <c r="EZ30" i="3"/>
  <c r="EZ31" i="3"/>
  <c r="EZ8" i="3"/>
  <c r="EZ7" i="3"/>
  <c r="EZ32" i="3"/>
  <c r="EZ33" i="3"/>
  <c r="EZ34" i="3"/>
  <c r="EZ35" i="3"/>
  <c r="EZ36" i="3"/>
  <c r="EZ37" i="3"/>
  <c r="EZ38" i="3"/>
  <c r="EZ39" i="3"/>
  <c r="EZ40" i="3"/>
  <c r="EZ41" i="3"/>
  <c r="EF17" i="3"/>
  <c r="EF16" i="3"/>
  <c r="EF15" i="3"/>
  <c r="EF26" i="3"/>
  <c r="EF27" i="3"/>
  <c r="EF28" i="3"/>
  <c r="EF29" i="3"/>
  <c r="EF30" i="3"/>
  <c r="EF31" i="3"/>
  <c r="EF8" i="3"/>
  <c r="EF7" i="3"/>
  <c r="EF32" i="3"/>
  <c r="EF33" i="3"/>
  <c r="EF34" i="3"/>
  <c r="EF35" i="3"/>
  <c r="EF36" i="3"/>
  <c r="EF37" i="3"/>
  <c r="EF38" i="3"/>
  <c r="EF39" i="3"/>
  <c r="EF40" i="3"/>
  <c r="EF41" i="3"/>
  <c r="FG20" i="3"/>
  <c r="FG19" i="3"/>
  <c r="FG21" i="3"/>
  <c r="FG22" i="3"/>
  <c r="FG17" i="3"/>
  <c r="FG18" i="3"/>
  <c r="FG16" i="3"/>
  <c r="FG23" i="3"/>
  <c r="FG24" i="3"/>
  <c r="FG15" i="3"/>
  <c r="FG14" i="3"/>
  <c r="FG25" i="3"/>
  <c r="FG13" i="3"/>
  <c r="FG26" i="3"/>
  <c r="FG27" i="3"/>
  <c r="FG12" i="3"/>
  <c r="FG28" i="3"/>
  <c r="FG11" i="3"/>
  <c r="FG10" i="3"/>
  <c r="FG29" i="3"/>
  <c r="FG30" i="3"/>
  <c r="FG9" i="3"/>
  <c r="FG8" i="3"/>
  <c r="FG31" i="3"/>
  <c r="FG7" i="3"/>
  <c r="FG32" i="3"/>
  <c r="FG33" i="3"/>
  <c r="FG34" i="3"/>
  <c r="FG35" i="3"/>
  <c r="FG36" i="3"/>
  <c r="FG37" i="3"/>
  <c r="FG38" i="3"/>
  <c r="FG39" i="3"/>
  <c r="FG40" i="3"/>
  <c r="FG41" i="3"/>
  <c r="FC20" i="3"/>
  <c r="FC21" i="3"/>
  <c r="FC19" i="3"/>
  <c r="FC18" i="3"/>
  <c r="FC17" i="3"/>
  <c r="FC22" i="3"/>
  <c r="FC16" i="3"/>
  <c r="FC23" i="3"/>
  <c r="FC15" i="3"/>
  <c r="FC24" i="3"/>
  <c r="FC14" i="3"/>
  <c r="FC25" i="3"/>
  <c r="FC26" i="3"/>
  <c r="FC13" i="3"/>
  <c r="FC27" i="3"/>
  <c r="FC12" i="3"/>
  <c r="FC11" i="3"/>
  <c r="FC28" i="3"/>
  <c r="FC29" i="3"/>
  <c r="FC10" i="3"/>
  <c r="FC30" i="3"/>
  <c r="FC9" i="3"/>
  <c r="FC31" i="3"/>
  <c r="FC8" i="3"/>
  <c r="FC32" i="3"/>
  <c r="FC7" i="3"/>
  <c r="FC33" i="3"/>
  <c r="FC34" i="3"/>
  <c r="FC35" i="3"/>
  <c r="FC36" i="3"/>
  <c r="FC37" i="3"/>
  <c r="FC38" i="3"/>
  <c r="FC39" i="3"/>
  <c r="FC40" i="3"/>
  <c r="FC41" i="3"/>
  <c r="EJ42" i="3"/>
  <c r="FC42" i="3"/>
  <c r="ES20" i="3"/>
  <c r="ES21" i="3"/>
  <c r="ES19" i="3"/>
  <c r="ES22" i="3"/>
  <c r="ES17" i="3"/>
  <c r="ES18" i="3"/>
  <c r="ES23" i="3"/>
  <c r="ES16" i="3"/>
  <c r="ES24" i="3"/>
  <c r="ES15" i="3"/>
  <c r="ES14" i="3"/>
  <c r="ES25" i="3"/>
  <c r="ES13" i="3"/>
  <c r="ES26" i="3"/>
  <c r="ES12" i="3"/>
  <c r="ES27" i="3"/>
  <c r="ES11" i="3"/>
  <c r="ES28" i="3"/>
  <c r="ES10" i="3"/>
  <c r="ES29" i="3"/>
  <c r="ES9" i="3"/>
  <c r="ES30" i="3"/>
  <c r="ES31" i="3"/>
  <c r="ES8" i="3"/>
  <c r="ES7" i="3"/>
  <c r="ES32" i="3"/>
  <c r="ES33" i="3"/>
  <c r="ES34" i="3"/>
  <c r="ES35" i="3"/>
  <c r="ES36" i="3"/>
  <c r="ES37" i="3"/>
  <c r="ES38" i="3"/>
  <c r="ES39" i="3"/>
  <c r="ES40" i="3"/>
  <c r="ES41" i="3"/>
  <c r="EC42" i="3"/>
  <c r="EL42" i="3"/>
  <c r="FD42" i="3"/>
  <c r="EX20" i="3"/>
  <c r="EX21" i="3"/>
  <c r="EX19" i="3"/>
  <c r="EX17" i="3"/>
  <c r="EX22" i="3"/>
  <c r="EX18" i="3"/>
  <c r="EX23" i="3"/>
  <c r="EX16" i="3"/>
  <c r="EX15" i="3"/>
  <c r="EX24" i="3"/>
  <c r="EX25" i="3"/>
  <c r="EX14" i="3"/>
  <c r="EX26" i="3"/>
  <c r="EX13" i="3"/>
  <c r="EX27" i="3"/>
  <c r="EX12" i="3"/>
  <c r="EX28" i="3"/>
  <c r="EX11" i="3"/>
  <c r="EX10" i="3"/>
  <c r="EX29" i="3"/>
  <c r="EX30" i="3"/>
  <c r="EX9" i="3"/>
  <c r="EX31" i="3"/>
  <c r="EX8" i="3"/>
  <c r="EX7" i="3"/>
  <c r="EX32" i="3"/>
  <c r="EX33" i="3"/>
  <c r="EX35" i="3"/>
  <c r="EX34" i="3"/>
  <c r="EX36" i="3"/>
  <c r="EX37" i="3"/>
  <c r="EX38" i="3"/>
  <c r="EX39" i="3"/>
  <c r="EX40" i="3"/>
  <c r="EX41" i="3"/>
  <c r="EW20" i="3"/>
  <c r="EW21" i="3"/>
  <c r="EW19" i="3"/>
  <c r="EW17" i="3"/>
  <c r="EW18" i="3"/>
  <c r="EW22" i="3"/>
  <c r="EW23" i="3"/>
  <c r="EW16" i="3"/>
  <c r="EW15" i="3"/>
  <c r="EW24" i="3"/>
  <c r="EW25" i="3"/>
  <c r="EW14" i="3"/>
  <c r="EW26" i="3"/>
  <c r="EW13" i="3"/>
  <c r="EW12" i="3"/>
  <c r="EW27" i="3"/>
  <c r="EW28" i="3"/>
  <c r="EW11" i="3"/>
  <c r="EW10" i="3"/>
  <c r="EW29" i="3"/>
  <c r="EW30" i="3"/>
  <c r="EW9" i="3"/>
  <c r="EW31" i="3"/>
  <c r="EW8" i="3"/>
  <c r="EW7" i="3"/>
  <c r="EW32" i="3"/>
  <c r="EW33" i="3"/>
  <c r="EW34" i="3"/>
  <c r="EW35" i="3"/>
  <c r="EW36" i="3"/>
  <c r="EW37" i="3"/>
  <c r="EW38" i="3"/>
  <c r="EW39" i="3"/>
  <c r="EW40" i="3"/>
  <c r="EW41" i="3"/>
  <c r="EK20" i="3"/>
  <c r="EK21" i="3"/>
  <c r="EK19" i="3"/>
  <c r="EK17" i="3"/>
  <c r="EK18" i="3"/>
  <c r="EK22" i="3"/>
  <c r="EK23" i="3"/>
  <c r="EK16" i="3"/>
  <c r="EK24" i="3"/>
  <c r="EK15" i="3"/>
  <c r="EK14" i="3"/>
  <c r="EK25" i="3"/>
  <c r="EK13" i="3"/>
  <c r="EK26" i="3"/>
  <c r="EK27" i="3"/>
  <c r="EK12" i="3"/>
  <c r="EK11" i="3"/>
  <c r="EK28" i="3"/>
  <c r="EK10" i="3"/>
  <c r="EK29" i="3"/>
  <c r="EK30" i="3"/>
  <c r="EK9" i="3"/>
  <c r="EK8" i="3"/>
  <c r="EK31" i="3"/>
  <c r="EK32" i="3"/>
  <c r="EK7" i="3"/>
  <c r="EK33" i="3"/>
  <c r="EK34" i="3"/>
  <c r="EK35" i="3"/>
  <c r="EK36" i="3"/>
  <c r="EK37" i="3"/>
  <c r="EK38" i="3"/>
  <c r="EK39" i="3"/>
  <c r="EK40" i="3"/>
  <c r="EK41" i="3"/>
  <c r="EO20" i="3"/>
  <c r="EO21" i="3"/>
  <c r="EO19" i="3"/>
  <c r="EO17" i="3"/>
  <c r="EO18" i="3"/>
  <c r="EO22" i="3"/>
  <c r="EO16" i="3"/>
  <c r="EO23" i="3"/>
  <c r="EO15" i="3"/>
  <c r="EO24" i="3"/>
  <c r="EO25" i="3"/>
  <c r="EO14" i="3"/>
  <c r="EO13" i="3"/>
  <c r="EO26" i="3"/>
  <c r="EO27" i="3"/>
  <c r="EO12" i="3"/>
  <c r="EO11" i="3"/>
  <c r="EO28" i="3"/>
  <c r="EO29" i="3"/>
  <c r="EO10" i="3"/>
  <c r="EO9" i="3"/>
  <c r="EO30" i="3"/>
  <c r="EO8" i="3"/>
  <c r="EO31" i="3"/>
  <c r="EO32" i="3"/>
  <c r="EO7" i="3"/>
  <c r="EO33" i="3"/>
  <c r="EO34" i="3"/>
  <c r="EO35" i="3"/>
  <c r="EO36" i="3"/>
  <c r="EO37" i="3"/>
  <c r="EO38" i="3"/>
  <c r="EO39" i="3"/>
  <c r="EO40" i="3"/>
  <c r="EO41" i="3"/>
  <c r="EB42" i="3"/>
  <c r="ED42" i="3"/>
  <c r="DY44" i="3"/>
  <c r="EZ43" i="3"/>
  <c r="ES43" i="3"/>
  <c r="FA43" i="3"/>
  <c r="EW43" i="3"/>
  <c r="FB43" i="3"/>
  <c r="FC43" i="3"/>
  <c r="FD43" i="3"/>
  <c r="FE43" i="3"/>
  <c r="FF43" i="3"/>
  <c r="EH43" i="3"/>
  <c r="EQ43" i="3"/>
  <c r="EI43" i="3"/>
  <c r="EJ43" i="3"/>
  <c r="EB43" i="3"/>
  <c r="EK43" i="3"/>
  <c r="EC43" i="3"/>
  <c r="EL43" i="3"/>
  <c r="ED43" i="3"/>
  <c r="EM43" i="3"/>
  <c r="EE43" i="3"/>
  <c r="EN43" i="3"/>
  <c r="EF43" i="3"/>
  <c r="EO43" i="3"/>
  <c r="EG43" i="3"/>
  <c r="EP43" i="3"/>
  <c r="EX43" i="3"/>
  <c r="EU43" i="3"/>
  <c r="ET43" i="3"/>
  <c r="EV43" i="3"/>
  <c r="EI29" i="3"/>
  <c r="EI30" i="3"/>
  <c r="EI31" i="3"/>
  <c r="EI32" i="3"/>
  <c r="EI33" i="3"/>
  <c r="EI34" i="3"/>
  <c r="EI35" i="3"/>
  <c r="EI36" i="3"/>
  <c r="EI37" i="3"/>
  <c r="EI38" i="3"/>
  <c r="EI39" i="3"/>
  <c r="EI40" i="3"/>
  <c r="EI41" i="3"/>
  <c r="EE29" i="3"/>
  <c r="EE30" i="3"/>
  <c r="EE9" i="3"/>
  <c r="EE31" i="3"/>
  <c r="EE32" i="3"/>
  <c r="EE33" i="3"/>
  <c r="EE34" i="3"/>
  <c r="EE35" i="3"/>
  <c r="EE36" i="3"/>
  <c r="EE37" i="3"/>
  <c r="EE38" i="3"/>
  <c r="EE39" i="3"/>
  <c r="EE40" i="3"/>
  <c r="EE41" i="3"/>
  <c r="FF20" i="3"/>
  <c r="FF21" i="3"/>
  <c r="FF19" i="3"/>
  <c r="FF22" i="3"/>
  <c r="FF18" i="3"/>
  <c r="FF17" i="3"/>
  <c r="FF16" i="3"/>
  <c r="FF23" i="3"/>
  <c r="FF15" i="3"/>
  <c r="FF24" i="3"/>
  <c r="FF25" i="3"/>
  <c r="FF14" i="3"/>
  <c r="FF13" i="3"/>
  <c r="FF26" i="3"/>
  <c r="FF27" i="3"/>
  <c r="FF12" i="3"/>
  <c r="FF28" i="3"/>
  <c r="FF11" i="3"/>
  <c r="FF10" i="3"/>
  <c r="FF29" i="3"/>
  <c r="FF9" i="3"/>
  <c r="FF30" i="3"/>
  <c r="FF31" i="3"/>
  <c r="FF8" i="3"/>
  <c r="FF7" i="3"/>
  <c r="FF32" i="3"/>
  <c r="FF33" i="3"/>
  <c r="FF34" i="3"/>
  <c r="FF35" i="3"/>
  <c r="FF36" i="3"/>
  <c r="FF37" i="3"/>
  <c r="FF38" i="3"/>
  <c r="FF39" i="3"/>
  <c r="FF40" i="3"/>
  <c r="FF41" i="3"/>
  <c r="FB20" i="3"/>
  <c r="FB21" i="3"/>
  <c r="FB19" i="3"/>
  <c r="FB22" i="3"/>
  <c r="FB17" i="3"/>
  <c r="FB18" i="3"/>
  <c r="FB23" i="3"/>
  <c r="FB16" i="3"/>
  <c r="FB24" i="3"/>
  <c r="FB15" i="3"/>
  <c r="FB14" i="3"/>
  <c r="FB25" i="3"/>
  <c r="FB13" i="3"/>
  <c r="FB26" i="3"/>
  <c r="FB27" i="3"/>
  <c r="FB12" i="3"/>
  <c r="FB28" i="3"/>
  <c r="FB11" i="3"/>
  <c r="FB29" i="3"/>
  <c r="FB10" i="3"/>
  <c r="FB9" i="3"/>
  <c r="FB30" i="3"/>
  <c r="FB31" i="3"/>
  <c r="FB8" i="3"/>
  <c r="FB32" i="3"/>
  <c r="FB7" i="3"/>
  <c r="FB33" i="3"/>
  <c r="FB34" i="3"/>
  <c r="FB35" i="3"/>
  <c r="FB36" i="3"/>
  <c r="FB37" i="3"/>
  <c r="FB38" i="3"/>
  <c r="FB39" i="3"/>
  <c r="FB40" i="3"/>
  <c r="FB41" i="3"/>
  <c r="EI42" i="3"/>
  <c r="FB42" i="3"/>
  <c r="EB7" i="3"/>
  <c r="DZ44" i="3"/>
  <c r="DT23" i="3"/>
  <c r="DU23" i="3" s="1"/>
  <c r="CQ15" i="3"/>
  <c r="CQ10" i="3"/>
  <c r="CQ14" i="3"/>
  <c r="CQ13" i="3"/>
  <c r="CQ9" i="3"/>
  <c r="CQ8" i="3"/>
  <c r="CQ18" i="3"/>
  <c r="CQ7" i="3"/>
  <c r="CQ17" i="3"/>
  <c r="CQ12" i="3"/>
  <c r="CQ16" i="3"/>
  <c r="CQ11" i="3"/>
  <c r="AH76" i="3"/>
  <c r="AH75" i="3"/>
  <c r="AH74" i="3"/>
  <c r="AH59" i="3"/>
  <c r="AH58" i="3"/>
  <c r="AH44" i="3"/>
  <c r="AH43" i="3"/>
  <c r="AH42" i="3"/>
  <c r="AZ11" i="3"/>
  <c r="Z42" i="16"/>
  <c r="AL76" i="3"/>
  <c r="W40" i="16"/>
  <c r="AL59" i="3"/>
  <c r="W40" i="15"/>
  <c r="AL42" i="3"/>
  <c r="AL44" i="3"/>
  <c r="W41" i="14"/>
  <c r="W42" i="14"/>
  <c r="AL43" i="3"/>
  <c r="W40" i="14"/>
  <c r="Z42" i="14"/>
  <c r="Z41" i="14"/>
  <c r="Z40" i="14"/>
  <c r="M42" i="15"/>
  <c r="AL58" i="3"/>
  <c r="Z41" i="15"/>
  <c r="Z40" i="15"/>
  <c r="W41" i="16"/>
  <c r="Z40" i="16"/>
  <c r="AL75" i="3"/>
  <c r="W42" i="16"/>
  <c r="AL74" i="3"/>
  <c r="W41" i="15"/>
  <c r="AU27" i="3"/>
  <c r="DR27" i="3" s="1"/>
  <c r="DV27" i="3" s="1"/>
  <c r="EF18" i="3" s="1"/>
  <c r="AU44" i="3"/>
  <c r="AU71" i="3"/>
  <c r="AU25" i="3"/>
  <c r="DR25" i="3" s="1"/>
  <c r="DV25" i="3" s="1"/>
  <c r="ED22" i="3" s="1"/>
  <c r="AU73" i="3"/>
  <c r="AU40" i="3"/>
  <c r="AU41" i="3"/>
  <c r="AU60" i="3"/>
  <c r="AU56" i="3"/>
  <c r="AU59" i="3"/>
  <c r="AU30" i="3"/>
  <c r="DR30" i="3" s="1"/>
  <c r="DV30" i="3" s="1"/>
  <c r="EI15" i="3" s="1"/>
  <c r="AU43" i="3"/>
  <c r="AZ18" i="3"/>
  <c r="AZ10" i="3"/>
  <c r="AU42" i="3"/>
  <c r="AU57" i="3"/>
  <c r="AU72" i="3"/>
  <c r="AZ17" i="3"/>
  <c r="AU58" i="3"/>
  <c r="AZ16" i="3"/>
  <c r="AU46" i="3"/>
  <c r="AU45" i="3"/>
  <c r="AZ15" i="3"/>
  <c r="AU24" i="3"/>
  <c r="DR24" i="3" s="1"/>
  <c r="DV24" i="3" s="1"/>
  <c r="EC24" i="3" s="1"/>
  <c r="AU62" i="3"/>
  <c r="AU61" i="3"/>
  <c r="AU74" i="3"/>
  <c r="AZ14" i="3"/>
  <c r="AU76" i="3"/>
  <c r="AU75" i="3"/>
  <c r="AZ13" i="3"/>
  <c r="AU28" i="3"/>
  <c r="DR28" i="3" s="1"/>
  <c r="DV28" i="3" s="1"/>
  <c r="EG24" i="3" s="1"/>
  <c r="AU78" i="3"/>
  <c r="AU77" i="3"/>
  <c r="AZ12" i="3"/>
  <c r="AU29" i="3"/>
  <c r="DR29" i="3" s="1"/>
  <c r="DV29" i="3" s="1"/>
  <c r="EH9" i="3" s="1"/>
  <c r="AU26" i="3"/>
  <c r="DR26" i="3" s="1"/>
  <c r="DV26" i="3" s="1"/>
  <c r="EE15" i="3" s="1"/>
  <c r="AU55" i="3"/>
  <c r="AU39" i="3"/>
  <c r="AU23" i="3"/>
  <c r="DR23" i="3" s="1"/>
  <c r="AZ9" i="3"/>
  <c r="AZ7" i="3"/>
  <c r="AZ8" i="3"/>
  <c r="EI11" i="3" l="1"/>
  <c r="EC19" i="3"/>
  <c r="EG18" i="3"/>
  <c r="EE10" i="3"/>
  <c r="EI12" i="3"/>
  <c r="EF9" i="3"/>
  <c r="ED13" i="3"/>
  <c r="EI13" i="3"/>
  <c r="EF10" i="3"/>
  <c r="EC20" i="3"/>
  <c r="EG17" i="3"/>
  <c r="ED14" i="3"/>
  <c r="EE11" i="3"/>
  <c r="EI14" i="3"/>
  <c r="EG19" i="3"/>
  <c r="ED15" i="3"/>
  <c r="EE12" i="3"/>
  <c r="EF11" i="3"/>
  <c r="ED16" i="3"/>
  <c r="EE13" i="3"/>
  <c r="EI7" i="3"/>
  <c r="EG20" i="3"/>
  <c r="ED18" i="3"/>
  <c r="EE14" i="3"/>
  <c r="EF12" i="3"/>
  <c r="EC15" i="3"/>
  <c r="ED17" i="3"/>
  <c r="EH7" i="3"/>
  <c r="EI10" i="3"/>
  <c r="EE7" i="3"/>
  <c r="EI8" i="3"/>
  <c r="ED19" i="3"/>
  <c r="EC16" i="3"/>
  <c r="ED21" i="3"/>
  <c r="EE8" i="3"/>
  <c r="EI9" i="3"/>
  <c r="EF13" i="3"/>
  <c r="EC17" i="3"/>
  <c r="EG15" i="3"/>
  <c r="ED20" i="3"/>
  <c r="EH8" i="3"/>
  <c r="EF14" i="3"/>
  <c r="EC18" i="3"/>
  <c r="HL43" i="3"/>
  <c r="GC45" i="3"/>
  <c r="HD44" i="3"/>
  <c r="HE44" i="3"/>
  <c r="HF44" i="3"/>
  <c r="HG44" i="3"/>
  <c r="HH44" i="3"/>
  <c r="HI44" i="3"/>
  <c r="HJ44" i="3"/>
  <c r="HK44" i="3"/>
  <c r="GV44" i="3"/>
  <c r="GN44" i="3"/>
  <c r="GW44" i="3"/>
  <c r="GO44" i="3"/>
  <c r="GX44" i="3"/>
  <c r="GP44" i="3"/>
  <c r="GY44" i="3"/>
  <c r="GQ44" i="3"/>
  <c r="GZ44" i="3"/>
  <c r="GR44" i="3"/>
  <c r="HA44" i="3"/>
  <c r="GS44" i="3"/>
  <c r="HB44" i="3"/>
  <c r="GT44" i="3"/>
  <c r="HC44" i="3"/>
  <c r="GU44" i="3"/>
  <c r="GF44" i="3"/>
  <c r="GG44" i="3"/>
  <c r="GH44" i="3"/>
  <c r="GI44" i="3"/>
  <c r="GJ44" i="3"/>
  <c r="GK44" i="3"/>
  <c r="GL44" i="3"/>
  <c r="GM44" i="3"/>
  <c r="EE28" i="3"/>
  <c r="EC31" i="3"/>
  <c r="ED34" i="3"/>
  <c r="EG31" i="3"/>
  <c r="EI28" i="3"/>
  <c r="EF25" i="3"/>
  <c r="EH22" i="3"/>
  <c r="GD45" i="3"/>
  <c r="GE44" i="3"/>
  <c r="EA44" i="3"/>
  <c r="AV76" i="3"/>
  <c r="DR76" i="3"/>
  <c r="AV39" i="3"/>
  <c r="DR39" i="3"/>
  <c r="DV39" i="3" s="1"/>
  <c r="AV74" i="3"/>
  <c r="DR74" i="3"/>
  <c r="AV42" i="3"/>
  <c r="DR42" i="3"/>
  <c r="AV71" i="3"/>
  <c r="DR71" i="3"/>
  <c r="DV71" i="3" s="1"/>
  <c r="DY45" i="3"/>
  <c r="EZ44" i="3"/>
  <c r="FA44" i="3"/>
  <c r="FB44" i="3"/>
  <c r="FC44" i="3"/>
  <c r="FD44" i="3"/>
  <c r="FE44" i="3"/>
  <c r="FF44" i="3"/>
  <c r="ES44" i="3"/>
  <c r="FG44" i="3"/>
  <c r="EW44" i="3"/>
  <c r="EJ44" i="3"/>
  <c r="EB44" i="3"/>
  <c r="EK44" i="3"/>
  <c r="EC44" i="3"/>
  <c r="EL44" i="3"/>
  <c r="ED44" i="3"/>
  <c r="EM44" i="3"/>
  <c r="EE44" i="3"/>
  <c r="EN44" i="3"/>
  <c r="EF44" i="3"/>
  <c r="EO44" i="3"/>
  <c r="EG44" i="3"/>
  <c r="EP44" i="3"/>
  <c r="EH44" i="3"/>
  <c r="EQ44" i="3"/>
  <c r="EI44" i="3"/>
  <c r="ET44" i="3"/>
  <c r="EU44" i="3"/>
  <c r="EX44" i="3"/>
  <c r="EV44" i="3"/>
  <c r="AV55" i="3"/>
  <c r="DR55" i="3"/>
  <c r="DV55" i="3" s="1"/>
  <c r="AV61" i="3"/>
  <c r="DR61" i="3"/>
  <c r="AV44" i="3"/>
  <c r="DR44" i="3"/>
  <c r="AV57" i="3"/>
  <c r="DR57" i="3"/>
  <c r="AV43" i="3"/>
  <c r="DR43" i="3"/>
  <c r="AV72" i="3"/>
  <c r="DR72" i="3"/>
  <c r="AV77" i="3"/>
  <c r="DR77" i="3"/>
  <c r="AV45" i="3"/>
  <c r="DR45" i="3"/>
  <c r="AV59" i="3"/>
  <c r="DR59" i="3"/>
  <c r="AV62" i="3"/>
  <c r="DR62" i="3"/>
  <c r="DV62" i="3" s="1"/>
  <c r="AV78" i="3"/>
  <c r="DR78" i="3"/>
  <c r="DV78" i="3" s="1"/>
  <c r="AV46" i="3"/>
  <c r="DR46" i="3"/>
  <c r="DV46" i="3" s="1"/>
  <c r="AV56" i="3"/>
  <c r="DR56" i="3"/>
  <c r="AV60" i="3"/>
  <c r="DR60" i="3"/>
  <c r="AV73" i="3"/>
  <c r="DR73" i="3"/>
  <c r="AV58" i="3"/>
  <c r="DR58" i="3"/>
  <c r="AV41" i="3"/>
  <c r="DR41" i="3"/>
  <c r="AV75" i="3"/>
  <c r="DR75" i="3"/>
  <c r="AV40" i="3"/>
  <c r="DR40" i="3"/>
  <c r="ED25" i="3"/>
  <c r="ED28" i="3"/>
  <c r="ED31" i="3"/>
  <c r="ED24" i="3"/>
  <c r="ED27" i="3"/>
  <c r="ED30" i="3"/>
  <c r="ED33" i="3"/>
  <c r="ED23" i="3"/>
  <c r="ED26" i="3"/>
  <c r="ED29" i="3"/>
  <c r="ED32" i="3"/>
  <c r="EG25" i="3"/>
  <c r="EG28" i="3"/>
  <c r="EG27" i="3"/>
  <c r="EG30" i="3"/>
  <c r="EG26" i="3"/>
  <c r="EG29" i="3"/>
  <c r="EF20" i="3"/>
  <c r="EF19" i="3"/>
  <c r="EF22" i="3"/>
  <c r="EF21" i="3"/>
  <c r="EF24" i="3"/>
  <c r="EF23" i="3"/>
  <c r="EC28" i="3"/>
  <c r="EC27" i="3"/>
  <c r="EC30" i="3"/>
  <c r="EC25" i="3"/>
  <c r="EC26" i="3"/>
  <c r="EC29" i="3"/>
  <c r="EI17" i="3"/>
  <c r="EI20" i="3"/>
  <c r="EI23" i="3"/>
  <c r="EI26" i="3"/>
  <c r="EI16" i="3"/>
  <c r="EI19" i="3"/>
  <c r="EI22" i="3"/>
  <c r="EI25" i="3"/>
  <c r="EI18" i="3"/>
  <c r="EI21" i="3"/>
  <c r="EI24" i="3"/>
  <c r="EI27" i="3"/>
  <c r="EH11" i="3"/>
  <c r="EH14" i="3"/>
  <c r="EH17" i="3"/>
  <c r="EH20" i="3"/>
  <c r="EH10" i="3"/>
  <c r="EH13" i="3"/>
  <c r="EH16" i="3"/>
  <c r="EH19" i="3"/>
  <c r="EH12" i="3"/>
  <c r="EH15" i="3"/>
  <c r="EH18" i="3"/>
  <c r="EH21" i="3"/>
  <c r="EE16" i="3"/>
  <c r="EE19" i="3"/>
  <c r="EE22" i="3"/>
  <c r="EE25" i="3"/>
  <c r="EE18" i="3"/>
  <c r="EE21" i="3"/>
  <c r="EE24" i="3"/>
  <c r="EE27" i="3"/>
  <c r="EE17" i="3"/>
  <c r="EE20" i="3"/>
  <c r="EE23" i="3"/>
  <c r="EE26" i="3"/>
  <c r="DV23" i="3"/>
  <c r="DZ45" i="3"/>
  <c r="AV25" i="3"/>
  <c r="AV26" i="3"/>
  <c r="AV27" i="3"/>
  <c r="AV29" i="3"/>
  <c r="AV30" i="3"/>
  <c r="AV28" i="3"/>
  <c r="BN43" i="3"/>
  <c r="BN44" i="3"/>
  <c r="BN45" i="3"/>
  <c r="BN46" i="3"/>
  <c r="BN47" i="3"/>
  <c r="BN39" i="3"/>
  <c r="BN40" i="3"/>
  <c r="BN41" i="3"/>
  <c r="BN42" i="3"/>
  <c r="BD65" i="3"/>
  <c r="BD66" i="3"/>
  <c r="BD64" i="3"/>
  <c r="DG17" i="3"/>
  <c r="DB17" i="3"/>
  <c r="DC17" i="3"/>
  <c r="DF17" i="3"/>
  <c r="BO43" i="3"/>
  <c r="BO44" i="3"/>
  <c r="BO45" i="3"/>
  <c r="BO46" i="3"/>
  <c r="BO47" i="3"/>
  <c r="BO48" i="3"/>
  <c r="BO49" i="3"/>
  <c r="BO50" i="3"/>
  <c r="BO39" i="3"/>
  <c r="BO40" i="3"/>
  <c r="BO41" i="3"/>
  <c r="BO42" i="3"/>
  <c r="BE66" i="3"/>
  <c r="BE65" i="3"/>
  <c r="BE61" i="3"/>
  <c r="BE62" i="3"/>
  <c r="BE63" i="3"/>
  <c r="BE64" i="3"/>
  <c r="DG18" i="3"/>
  <c r="DB18" i="3"/>
  <c r="DC18" i="3"/>
  <c r="DF18" i="3"/>
  <c r="DC8" i="3"/>
  <c r="DF8" i="3"/>
  <c r="DD8" i="3"/>
  <c r="DI8" i="3"/>
  <c r="DG8" i="3"/>
  <c r="DB8" i="3"/>
  <c r="DH8" i="3"/>
  <c r="DE8" i="3"/>
  <c r="DG11" i="3"/>
  <c r="DE11" i="3"/>
  <c r="DB11" i="3"/>
  <c r="DC11" i="3"/>
  <c r="DF11" i="3"/>
  <c r="DI11" i="3"/>
  <c r="DI12" i="3"/>
  <c r="DC12" i="3"/>
  <c r="DG12" i="3"/>
  <c r="DE12" i="3"/>
  <c r="DF12" i="3"/>
  <c r="DB12" i="3"/>
  <c r="BN59" i="3"/>
  <c r="BN60" i="3"/>
  <c r="BN61" i="3"/>
  <c r="BN62" i="3"/>
  <c r="BN63" i="3"/>
  <c r="BN55" i="3"/>
  <c r="BN56" i="3"/>
  <c r="BN57" i="3"/>
  <c r="BN58" i="3"/>
  <c r="BD80" i="3"/>
  <c r="BD81" i="3"/>
  <c r="BD82" i="3"/>
  <c r="DF9" i="3"/>
  <c r="DC9" i="3"/>
  <c r="DG9" i="3"/>
  <c r="DI9" i="3"/>
  <c r="DD9" i="3"/>
  <c r="DB9" i="3"/>
  <c r="DH9" i="3"/>
  <c r="DE9" i="3"/>
  <c r="DB13" i="3"/>
  <c r="DF13" i="3"/>
  <c r="DI13" i="3"/>
  <c r="DG13" i="3"/>
  <c r="DE13" i="3"/>
  <c r="DC13" i="3"/>
  <c r="DF16" i="3"/>
  <c r="DC16" i="3"/>
  <c r="DB16" i="3"/>
  <c r="DG16" i="3"/>
  <c r="BO59" i="3"/>
  <c r="BO60" i="3"/>
  <c r="BO61" i="3"/>
  <c r="BO62" i="3"/>
  <c r="BO63" i="3"/>
  <c r="BO64" i="3"/>
  <c r="BO65" i="3"/>
  <c r="BO66" i="3"/>
  <c r="BO55" i="3"/>
  <c r="BO56" i="3"/>
  <c r="BO57" i="3"/>
  <c r="BE77" i="3"/>
  <c r="BO58" i="3"/>
  <c r="BE78" i="3"/>
  <c r="BE79" i="3"/>
  <c r="BE80" i="3"/>
  <c r="BE81" i="3"/>
  <c r="BE82" i="3"/>
  <c r="DC14" i="3"/>
  <c r="DB14" i="3"/>
  <c r="DG14" i="3"/>
  <c r="DF14" i="3"/>
  <c r="DI14" i="3"/>
  <c r="DE14" i="3"/>
  <c r="DD7" i="3"/>
  <c r="DI7" i="3"/>
  <c r="DB7" i="3"/>
  <c r="DH7" i="3"/>
  <c r="DG7" i="3"/>
  <c r="DE7" i="3"/>
  <c r="DF7" i="3"/>
  <c r="DC7" i="3"/>
  <c r="DE10" i="3"/>
  <c r="DC10" i="3"/>
  <c r="DF10" i="3"/>
  <c r="DB10" i="3"/>
  <c r="DI10" i="3"/>
  <c r="DG10" i="3"/>
  <c r="BP59" i="3"/>
  <c r="BP60" i="3"/>
  <c r="BP61" i="3"/>
  <c r="BP62" i="3"/>
  <c r="BP63" i="3"/>
  <c r="BP64" i="3"/>
  <c r="BP65" i="3"/>
  <c r="BP66" i="3"/>
  <c r="BP55" i="3"/>
  <c r="BP56" i="3"/>
  <c r="BP57" i="3"/>
  <c r="BF73" i="3"/>
  <c r="BF74" i="3"/>
  <c r="BF75" i="3"/>
  <c r="BP58" i="3"/>
  <c r="BF76" i="3"/>
  <c r="BF72" i="3"/>
  <c r="DC15" i="3"/>
  <c r="DB15" i="3"/>
  <c r="DF15" i="3"/>
  <c r="DI15" i="3"/>
  <c r="DG15" i="3"/>
  <c r="DE15" i="3"/>
  <c r="CQ30" i="3"/>
  <c r="CQ24" i="3"/>
  <c r="CQ23" i="3"/>
  <c r="CQ31" i="3"/>
  <c r="CQ32" i="3"/>
  <c r="CQ33" i="3"/>
  <c r="CQ28" i="3"/>
  <c r="CQ34" i="3"/>
  <c r="CQ27" i="3"/>
  <c r="CQ26" i="3"/>
  <c r="CQ29" i="3"/>
  <c r="CQ25" i="3"/>
  <c r="AJ74" i="3"/>
  <c r="AJ75" i="3"/>
  <c r="AJ76" i="3"/>
  <c r="BA20" i="3"/>
  <c r="BK4" i="3"/>
  <c r="AH60" i="3"/>
  <c r="AJ58" i="3"/>
  <c r="AJ59" i="3"/>
  <c r="AJ42" i="3"/>
  <c r="AJ43" i="3"/>
  <c r="AJ44" i="3"/>
  <c r="W42" i="15"/>
  <c r="AV24" i="3"/>
  <c r="AZ29" i="3"/>
  <c r="BP29" i="3" s="1"/>
  <c r="AZ30" i="3"/>
  <c r="BO30" i="3" s="1"/>
  <c r="AZ31" i="3"/>
  <c r="BO31" i="3" s="1"/>
  <c r="AZ24" i="3"/>
  <c r="AZ32" i="3"/>
  <c r="BP32" i="3" s="1"/>
  <c r="AZ25" i="3"/>
  <c r="BN25" i="3" s="1"/>
  <c r="AZ33" i="3"/>
  <c r="BP33" i="3" s="1"/>
  <c r="AZ26" i="3"/>
  <c r="BO26" i="3" s="1"/>
  <c r="AZ34" i="3"/>
  <c r="BP34" i="3" s="1"/>
  <c r="AZ27" i="3"/>
  <c r="BO27" i="3" s="1"/>
  <c r="AZ23" i="3"/>
  <c r="AZ28" i="3"/>
  <c r="BO28" i="3" s="1"/>
  <c r="AV23" i="3"/>
  <c r="ER42" i="3" l="1"/>
  <c r="ER34" i="3"/>
  <c r="ER35" i="3"/>
  <c r="ER36" i="3"/>
  <c r="ER37" i="3"/>
  <c r="ER38" i="3"/>
  <c r="ER33" i="3"/>
  <c r="EQ27" i="3"/>
  <c r="FH27" i="3" s="1"/>
  <c r="EQ23" i="3"/>
  <c r="EQ24" i="3"/>
  <c r="EQ22" i="3"/>
  <c r="EQ25" i="3"/>
  <c r="EQ20" i="3"/>
  <c r="EQ21" i="3"/>
  <c r="EQ26" i="3"/>
  <c r="EQ19" i="3"/>
  <c r="EQ18" i="3"/>
  <c r="EJ30" i="3"/>
  <c r="EJ23" i="3"/>
  <c r="EJ24" i="3"/>
  <c r="EJ25" i="3"/>
  <c r="EJ26" i="3"/>
  <c r="EJ21" i="3"/>
  <c r="EJ22" i="3"/>
  <c r="FG43" i="3"/>
  <c r="FG42" i="3"/>
  <c r="EB18" i="3"/>
  <c r="EB10" i="3"/>
  <c r="EB11" i="3"/>
  <c r="EB9" i="3"/>
  <c r="EB14" i="3"/>
  <c r="EB13" i="3"/>
  <c r="EB12" i="3"/>
  <c r="EY39" i="3"/>
  <c r="EY32" i="3"/>
  <c r="EY33" i="3"/>
  <c r="EY34" i="3"/>
  <c r="EY35" i="3"/>
  <c r="EY36" i="3"/>
  <c r="EY37" i="3"/>
  <c r="EY38" i="3"/>
  <c r="EY30" i="3"/>
  <c r="EY31" i="3"/>
  <c r="HL44" i="3"/>
  <c r="GC46" i="3"/>
  <c r="HG45" i="3"/>
  <c r="HH45" i="3"/>
  <c r="HI45" i="3"/>
  <c r="HJ45" i="3"/>
  <c r="HK45" i="3"/>
  <c r="HF45" i="3"/>
  <c r="HD45" i="3"/>
  <c r="HE45" i="3"/>
  <c r="GZ45" i="3"/>
  <c r="GR45" i="3"/>
  <c r="HA45" i="3"/>
  <c r="GS45" i="3"/>
  <c r="HB45" i="3"/>
  <c r="GT45" i="3"/>
  <c r="HC45" i="3"/>
  <c r="GU45" i="3"/>
  <c r="GV45" i="3"/>
  <c r="GN45" i="3"/>
  <c r="GW45" i="3"/>
  <c r="GO45" i="3"/>
  <c r="GX45" i="3"/>
  <c r="GP45" i="3"/>
  <c r="GH45" i="3"/>
  <c r="GF45" i="3"/>
  <c r="GY45" i="3"/>
  <c r="GQ45" i="3"/>
  <c r="GI45" i="3"/>
  <c r="GJ45" i="3"/>
  <c r="GK45" i="3"/>
  <c r="GG45" i="3"/>
  <c r="GL45" i="3"/>
  <c r="GM45" i="3"/>
  <c r="EQ40" i="3"/>
  <c r="EJ37" i="3"/>
  <c r="EB25" i="3"/>
  <c r="EY44" i="3"/>
  <c r="ER43" i="3"/>
  <c r="GD46" i="3"/>
  <c r="GE45" i="3"/>
  <c r="EA45" i="3"/>
  <c r="ER44" i="3"/>
  <c r="EJ33" i="3"/>
  <c r="EJ31" i="3"/>
  <c r="EJ34" i="3"/>
  <c r="EJ32" i="3"/>
  <c r="EJ35" i="3"/>
  <c r="EJ36" i="3"/>
  <c r="EQ36" i="3"/>
  <c r="EQ37" i="3"/>
  <c r="EQ38" i="3"/>
  <c r="EQ39" i="3"/>
  <c r="EQ30" i="3"/>
  <c r="EQ31" i="3"/>
  <c r="EQ34" i="3"/>
  <c r="EQ33" i="3"/>
  <c r="EQ28" i="3"/>
  <c r="FH28" i="3" s="1"/>
  <c r="EQ29" i="3"/>
  <c r="FH29" i="3" s="1"/>
  <c r="EQ32" i="3"/>
  <c r="EQ35" i="3"/>
  <c r="EY42" i="3"/>
  <c r="EY43" i="3"/>
  <c r="EY40" i="3"/>
  <c r="EY41" i="3"/>
  <c r="FH41" i="3" s="1"/>
  <c r="DY46" i="3"/>
  <c r="FD45" i="3"/>
  <c r="FE45" i="3"/>
  <c r="FF45" i="3"/>
  <c r="FG45" i="3"/>
  <c r="EZ45" i="3"/>
  <c r="ES45" i="3"/>
  <c r="FA45" i="3"/>
  <c r="EW45" i="3"/>
  <c r="FB45" i="3"/>
  <c r="ED45" i="3"/>
  <c r="EM45" i="3"/>
  <c r="EE45" i="3"/>
  <c r="EN45" i="3"/>
  <c r="EF45" i="3"/>
  <c r="EO45" i="3"/>
  <c r="FC45" i="3"/>
  <c r="EG45" i="3"/>
  <c r="EP45" i="3"/>
  <c r="EH45" i="3"/>
  <c r="EQ45" i="3"/>
  <c r="EI45" i="3"/>
  <c r="EJ45" i="3"/>
  <c r="EB45" i="3"/>
  <c r="EK45" i="3"/>
  <c r="EC45" i="3"/>
  <c r="EL45" i="3"/>
  <c r="EY45" i="3"/>
  <c r="ET45" i="3"/>
  <c r="EV45" i="3"/>
  <c r="EU45" i="3"/>
  <c r="ER45" i="3"/>
  <c r="EX45" i="3"/>
  <c r="EB21" i="3"/>
  <c r="EB24" i="3"/>
  <c r="EB22" i="3"/>
  <c r="EB20" i="3"/>
  <c r="FH20" i="3" s="1"/>
  <c r="FO23" i="3" s="1"/>
  <c r="EB23" i="3"/>
  <c r="EB19" i="3"/>
  <c r="DZ46" i="3"/>
  <c r="BO25" i="3"/>
  <c r="DH24" i="3"/>
  <c r="DF24" i="3"/>
  <c r="DD24" i="3"/>
  <c r="DE24" i="3"/>
  <c r="DI24" i="3"/>
  <c r="DG24" i="3"/>
  <c r="CS24" i="3"/>
  <c r="CW24" i="3"/>
  <c r="BO34" i="3"/>
  <c r="BP28" i="3"/>
  <c r="DF30" i="3"/>
  <c r="DE30" i="3"/>
  <c r="DB30" i="3"/>
  <c r="DI30" i="3"/>
  <c r="DG30" i="3"/>
  <c r="CX30" i="3"/>
  <c r="CV30" i="3"/>
  <c r="CR30" i="3"/>
  <c r="BO33" i="3"/>
  <c r="BP27" i="3"/>
  <c r="BP30" i="3"/>
  <c r="DE23" i="3"/>
  <c r="DD23" i="3"/>
  <c r="DF23" i="3"/>
  <c r="DB23" i="3"/>
  <c r="DC23" i="3"/>
  <c r="DH23" i="3"/>
  <c r="DG23" i="3"/>
  <c r="DI23" i="3"/>
  <c r="CW23" i="3"/>
  <c r="CS23" i="3"/>
  <c r="BP43" i="3"/>
  <c r="BP44" i="3"/>
  <c r="BP45" i="3"/>
  <c r="BP46" i="3"/>
  <c r="BP47" i="3"/>
  <c r="BP48" i="3"/>
  <c r="BP49" i="3"/>
  <c r="BP50" i="3"/>
  <c r="BP39" i="3"/>
  <c r="BP40" i="3"/>
  <c r="BP41" i="3"/>
  <c r="BF56" i="3"/>
  <c r="BF57" i="3"/>
  <c r="BP42" i="3"/>
  <c r="BF58" i="3"/>
  <c r="BF59" i="3"/>
  <c r="BF60" i="3"/>
  <c r="DH25" i="3"/>
  <c r="DF25" i="3"/>
  <c r="DD25" i="3"/>
  <c r="DE25" i="3"/>
  <c r="DG25" i="3"/>
  <c r="DI25" i="3"/>
  <c r="CW25" i="3"/>
  <c r="CS25" i="3"/>
  <c r="BO32" i="3"/>
  <c r="BN31" i="3"/>
  <c r="BP26" i="3"/>
  <c r="BP31" i="3"/>
  <c r="DE29" i="3"/>
  <c r="DF29" i="3"/>
  <c r="DB29" i="3"/>
  <c r="DG29" i="3"/>
  <c r="DI29" i="3"/>
  <c r="CR29" i="3"/>
  <c r="CV29" i="3"/>
  <c r="CX29" i="3"/>
  <c r="BN30" i="3"/>
  <c r="BP25" i="3"/>
  <c r="DE26" i="3"/>
  <c r="DF26" i="3"/>
  <c r="DI26" i="3"/>
  <c r="DG26" i="3"/>
  <c r="CT26" i="3"/>
  <c r="CX26" i="3"/>
  <c r="CW26" i="3"/>
  <c r="CS26" i="3"/>
  <c r="BN29" i="3"/>
  <c r="DF27" i="3"/>
  <c r="DE27" i="3"/>
  <c r="DI27" i="3"/>
  <c r="DG27" i="3"/>
  <c r="CS27" i="3"/>
  <c r="CX27" i="3"/>
  <c r="CW27" i="3"/>
  <c r="BO29" i="3"/>
  <c r="BN28" i="3"/>
  <c r="DB32" i="3"/>
  <c r="DF32" i="3"/>
  <c r="DG32" i="3"/>
  <c r="CX32" i="3"/>
  <c r="CU32" i="3"/>
  <c r="CV32" i="3"/>
  <c r="CR32" i="3"/>
  <c r="CY32" i="3"/>
  <c r="DB34" i="3"/>
  <c r="DF34" i="3"/>
  <c r="DG34" i="3"/>
  <c r="CV34" i="3"/>
  <c r="CR34" i="3"/>
  <c r="CU34" i="3"/>
  <c r="CY34" i="3"/>
  <c r="CX34" i="3"/>
  <c r="BN27" i="3"/>
  <c r="DB31" i="3"/>
  <c r="DF31" i="3"/>
  <c r="DE31" i="3"/>
  <c r="DG31" i="3"/>
  <c r="DI31" i="3"/>
  <c r="CV31" i="3"/>
  <c r="CR31" i="3"/>
  <c r="CX31" i="3"/>
  <c r="DF28" i="3"/>
  <c r="DE28" i="3"/>
  <c r="DG28" i="3"/>
  <c r="DI28" i="3"/>
  <c r="CS28" i="3"/>
  <c r="CX28" i="3"/>
  <c r="CW28" i="3"/>
  <c r="BN26" i="3"/>
  <c r="DF33" i="3"/>
  <c r="DB33" i="3"/>
  <c r="DG33" i="3"/>
  <c r="CV33" i="3"/>
  <c r="CR33" i="3"/>
  <c r="CY33" i="3"/>
  <c r="CX33" i="3"/>
  <c r="CU33" i="3"/>
  <c r="BK52" i="3"/>
  <c r="BA68" i="3"/>
  <c r="AJ60" i="3"/>
  <c r="BK20" i="3"/>
  <c r="BA36" i="3"/>
  <c r="BK36" i="3"/>
  <c r="BA52" i="3"/>
  <c r="FJ70" i="3"/>
  <c r="FJ38" i="3"/>
  <c r="FJ54" i="3"/>
  <c r="BF71" i="3"/>
  <c r="BF55" i="3"/>
  <c r="FH39" i="3" l="1"/>
  <c r="FH26" i="3"/>
  <c r="FH21" i="3"/>
  <c r="FO24" i="3" s="1"/>
  <c r="FH22" i="3"/>
  <c r="FH23" i="3"/>
  <c r="FO31" i="3" s="1"/>
  <c r="FH24" i="3"/>
  <c r="FH38" i="3"/>
  <c r="FH42" i="3"/>
  <c r="FH30" i="3"/>
  <c r="FH25" i="3"/>
  <c r="FH43" i="3"/>
  <c r="FH44" i="3"/>
  <c r="HL45" i="3"/>
  <c r="FH37" i="3"/>
  <c r="GC47" i="3"/>
  <c r="HK46" i="3"/>
  <c r="HJ46" i="3"/>
  <c r="HD46" i="3"/>
  <c r="HE46" i="3"/>
  <c r="HF46" i="3"/>
  <c r="HG46" i="3"/>
  <c r="HH46" i="3"/>
  <c r="HI46" i="3"/>
  <c r="GV46" i="3"/>
  <c r="GN46" i="3"/>
  <c r="GW46" i="3"/>
  <c r="GO46" i="3"/>
  <c r="GX46" i="3"/>
  <c r="GP46" i="3"/>
  <c r="GY46" i="3"/>
  <c r="GQ46" i="3"/>
  <c r="GZ46" i="3"/>
  <c r="GR46" i="3"/>
  <c r="HA46" i="3"/>
  <c r="GS46" i="3"/>
  <c r="GL46" i="3"/>
  <c r="GM46" i="3"/>
  <c r="HB46" i="3"/>
  <c r="GT46" i="3"/>
  <c r="HC46" i="3"/>
  <c r="GU46" i="3"/>
  <c r="GF46" i="3"/>
  <c r="GG46" i="3"/>
  <c r="GK46" i="3"/>
  <c r="GH46" i="3"/>
  <c r="GI46" i="3"/>
  <c r="GJ46" i="3"/>
  <c r="FH40" i="3"/>
  <c r="HU23" i="3"/>
  <c r="AF11" i="7" s="1"/>
  <c r="HU26" i="3"/>
  <c r="AF14" i="7" s="1"/>
  <c r="HU25" i="3"/>
  <c r="AF13" i="7" s="1"/>
  <c r="HU28" i="3"/>
  <c r="AF16" i="7" s="1"/>
  <c r="HU24" i="3"/>
  <c r="AF12" i="7" s="1"/>
  <c r="HU29" i="3"/>
  <c r="AF17" i="7" s="1"/>
  <c r="HU33" i="3"/>
  <c r="AF21" i="7" s="1"/>
  <c r="FO30" i="3"/>
  <c r="HU30" i="3"/>
  <c r="AF18" i="7" s="1"/>
  <c r="FO32" i="3"/>
  <c r="HU32" i="3"/>
  <c r="AF20" i="7" s="1"/>
  <c r="HU31" i="3"/>
  <c r="AF19" i="7" s="1"/>
  <c r="HU27" i="3"/>
  <c r="AF15" i="7" s="1"/>
  <c r="GE46" i="3"/>
  <c r="GD47" i="3"/>
  <c r="FH33" i="3"/>
  <c r="FH31" i="3"/>
  <c r="HU34" i="3" s="1"/>
  <c r="AF22" i="7" s="1"/>
  <c r="EA46" i="3"/>
  <c r="FH36" i="3"/>
  <c r="FH32" i="3"/>
  <c r="FH34" i="3"/>
  <c r="FH45" i="3"/>
  <c r="FH35" i="3"/>
  <c r="DY47" i="3"/>
  <c r="EW46" i="3"/>
  <c r="EX46" i="3"/>
  <c r="EZ46" i="3"/>
  <c r="FA46" i="3"/>
  <c r="FC46" i="3"/>
  <c r="FD46" i="3"/>
  <c r="FE46" i="3"/>
  <c r="FG46" i="3"/>
  <c r="ES46" i="3"/>
  <c r="ET46" i="3"/>
  <c r="EH46" i="3"/>
  <c r="EQ46" i="3"/>
  <c r="EI46" i="3"/>
  <c r="EJ46" i="3"/>
  <c r="EB46" i="3"/>
  <c r="EK46" i="3"/>
  <c r="EC46" i="3"/>
  <c r="EL46" i="3"/>
  <c r="ED46" i="3"/>
  <c r="EM46" i="3"/>
  <c r="EE46" i="3"/>
  <c r="EN46" i="3"/>
  <c r="EF46" i="3"/>
  <c r="EO46" i="3"/>
  <c r="EG46" i="3"/>
  <c r="EP46" i="3"/>
  <c r="EV46" i="3"/>
  <c r="EU46" i="3"/>
  <c r="FF46" i="3"/>
  <c r="ER46" i="3"/>
  <c r="FB46" i="3"/>
  <c r="EY46" i="3"/>
  <c r="DZ47" i="3"/>
  <c r="BE50" i="3"/>
  <c r="BD50" i="3"/>
  <c r="BD49" i="3"/>
  <c r="BE49" i="3"/>
  <c r="BE47" i="3"/>
  <c r="BE45" i="3"/>
  <c r="BE46" i="3"/>
  <c r="BE48" i="3"/>
  <c r="BD48" i="3"/>
  <c r="T41" i="6"/>
  <c r="T42" i="6"/>
  <c r="T43" i="6"/>
  <c r="L41" i="6"/>
  <c r="L42" i="6"/>
  <c r="L43" i="6"/>
  <c r="FO33" i="3" l="1"/>
  <c r="FO25" i="3"/>
  <c r="FO27" i="3"/>
  <c r="FO29" i="3"/>
  <c r="FO28" i="3"/>
  <c r="FO26" i="3"/>
  <c r="HL46" i="3"/>
  <c r="FO42" i="3"/>
  <c r="GC48" i="3"/>
  <c r="HD47" i="3"/>
  <c r="HE47" i="3"/>
  <c r="HF47" i="3"/>
  <c r="HG47" i="3"/>
  <c r="HH47" i="3"/>
  <c r="HI47" i="3"/>
  <c r="HJ47" i="3"/>
  <c r="HK47" i="3"/>
  <c r="GV47" i="3"/>
  <c r="GN47" i="3"/>
  <c r="GW47" i="3"/>
  <c r="GO47" i="3"/>
  <c r="GX47" i="3"/>
  <c r="GP47" i="3"/>
  <c r="GY47" i="3"/>
  <c r="GQ47" i="3"/>
  <c r="GZ47" i="3"/>
  <c r="GR47" i="3"/>
  <c r="HA47" i="3"/>
  <c r="GS47" i="3"/>
  <c r="HB47" i="3"/>
  <c r="GT47" i="3"/>
  <c r="HC47" i="3"/>
  <c r="GU47" i="3"/>
  <c r="GF47" i="3"/>
  <c r="GG47" i="3"/>
  <c r="GH47" i="3"/>
  <c r="GI47" i="3"/>
  <c r="GJ47" i="3"/>
  <c r="GK47" i="3"/>
  <c r="GL47" i="3"/>
  <c r="GM47" i="3"/>
  <c r="FO34" i="3"/>
  <c r="FO39" i="3"/>
  <c r="HU39" i="3"/>
  <c r="AF35" i="7" s="1"/>
  <c r="FO41" i="3"/>
  <c r="HU41" i="3"/>
  <c r="AF37" i="7" s="1"/>
  <c r="FO43" i="3"/>
  <c r="FO40" i="3"/>
  <c r="HU40" i="3"/>
  <c r="AF36" i="7" s="1"/>
  <c r="GD48" i="3"/>
  <c r="GE47" i="3"/>
  <c r="EA47" i="3"/>
  <c r="FH46" i="3"/>
  <c r="DY48" i="3"/>
  <c r="FC47" i="3"/>
  <c r="FD47" i="3"/>
  <c r="FE47" i="3"/>
  <c r="ES47" i="3"/>
  <c r="FG47" i="3"/>
  <c r="ET47" i="3"/>
  <c r="EW47" i="3"/>
  <c r="EX47" i="3"/>
  <c r="EZ47" i="3"/>
  <c r="EJ47" i="3"/>
  <c r="EB47" i="3"/>
  <c r="EK47" i="3"/>
  <c r="EC47" i="3"/>
  <c r="EL47" i="3"/>
  <c r="FA47" i="3"/>
  <c r="ED47" i="3"/>
  <c r="EM47" i="3"/>
  <c r="EE47" i="3"/>
  <c r="EN47" i="3"/>
  <c r="EF47" i="3"/>
  <c r="EO47" i="3"/>
  <c r="EG47" i="3"/>
  <c r="EP47" i="3"/>
  <c r="EH47" i="3"/>
  <c r="EQ47" i="3"/>
  <c r="EI47" i="3"/>
  <c r="EU47" i="3"/>
  <c r="FF47" i="3"/>
  <c r="FB47" i="3"/>
  <c r="EY47" i="3"/>
  <c r="ER47" i="3"/>
  <c r="EV47" i="3"/>
  <c r="DZ48" i="3"/>
  <c r="M43" i="6"/>
  <c r="AL29" i="3"/>
  <c r="Z43" i="6"/>
  <c r="M42" i="6"/>
  <c r="AL28" i="3"/>
  <c r="Z42" i="6"/>
  <c r="M41" i="6"/>
  <c r="AL27" i="3"/>
  <c r="Z41" i="6"/>
  <c r="F31" i="4"/>
  <c r="HL47" i="3" l="1"/>
  <c r="GC49" i="3"/>
  <c r="HF48" i="3"/>
  <c r="HG48" i="3"/>
  <c r="HH48" i="3"/>
  <c r="HI48" i="3"/>
  <c r="HJ48" i="3"/>
  <c r="HE48" i="3"/>
  <c r="HK48" i="3"/>
  <c r="HD48" i="3"/>
  <c r="GZ48" i="3"/>
  <c r="GR48" i="3"/>
  <c r="HA48" i="3"/>
  <c r="GS48" i="3"/>
  <c r="HB48" i="3"/>
  <c r="GT48" i="3"/>
  <c r="HC48" i="3"/>
  <c r="GU48" i="3"/>
  <c r="GV48" i="3"/>
  <c r="GN48" i="3"/>
  <c r="GW48" i="3"/>
  <c r="GO48" i="3"/>
  <c r="GH48" i="3"/>
  <c r="GI48" i="3"/>
  <c r="GG48" i="3"/>
  <c r="GJ48" i="3"/>
  <c r="GK48" i="3"/>
  <c r="GF48" i="3"/>
  <c r="GX48" i="3"/>
  <c r="GP48" i="3"/>
  <c r="GL48" i="3"/>
  <c r="GY48" i="3"/>
  <c r="GQ48" i="3"/>
  <c r="GM48" i="3"/>
  <c r="GE48" i="3"/>
  <c r="GD49" i="3"/>
  <c r="FH47" i="3"/>
  <c r="EA48" i="3"/>
  <c r="DY49" i="3"/>
  <c r="EZ48" i="3"/>
  <c r="FA48" i="3"/>
  <c r="FC48" i="3"/>
  <c r="ES48" i="3"/>
  <c r="FD48" i="3"/>
  <c r="ET48" i="3"/>
  <c r="FE48" i="3"/>
  <c r="EW48" i="3"/>
  <c r="FG48" i="3"/>
  <c r="EX48" i="3"/>
  <c r="ED48" i="3"/>
  <c r="EM48" i="3"/>
  <c r="EE48" i="3"/>
  <c r="EN48" i="3"/>
  <c r="EF48" i="3"/>
  <c r="EO48" i="3"/>
  <c r="EG48" i="3"/>
  <c r="EP48" i="3"/>
  <c r="EH48" i="3"/>
  <c r="EQ48" i="3"/>
  <c r="EI48" i="3"/>
  <c r="EJ48" i="3"/>
  <c r="EB48" i="3"/>
  <c r="EK48" i="3"/>
  <c r="EC48" i="3"/>
  <c r="EL48" i="3"/>
  <c r="FB48" i="3"/>
  <c r="EY48" i="3"/>
  <c r="EV48" i="3"/>
  <c r="EU48" i="3"/>
  <c r="FF48" i="3"/>
  <c r="ER48" i="3"/>
  <c r="DZ49" i="3"/>
  <c r="AH29" i="3"/>
  <c r="AH28" i="3"/>
  <c r="AH27" i="3"/>
  <c r="W41" i="6"/>
  <c r="W42" i="6"/>
  <c r="W43" i="6"/>
  <c r="C16" i="16"/>
  <c r="HL48" i="3" l="1"/>
  <c r="GC50" i="3"/>
  <c r="HJ49" i="3"/>
  <c r="HI49" i="3"/>
  <c r="HK49" i="3"/>
  <c r="HD49" i="3"/>
  <c r="HE49" i="3"/>
  <c r="HF49" i="3"/>
  <c r="HG49" i="3"/>
  <c r="HH49" i="3"/>
  <c r="GV49" i="3"/>
  <c r="GN49" i="3"/>
  <c r="GW49" i="3"/>
  <c r="GO49" i="3"/>
  <c r="GX49" i="3"/>
  <c r="GP49" i="3"/>
  <c r="GY49" i="3"/>
  <c r="GQ49" i="3"/>
  <c r="GZ49" i="3"/>
  <c r="GR49" i="3"/>
  <c r="HA49" i="3"/>
  <c r="GS49" i="3"/>
  <c r="GL49" i="3"/>
  <c r="GM49" i="3"/>
  <c r="GJ49" i="3"/>
  <c r="GK49" i="3"/>
  <c r="HB49" i="3"/>
  <c r="GT49" i="3"/>
  <c r="GF49" i="3"/>
  <c r="HC49" i="3"/>
  <c r="GU49" i="3"/>
  <c r="GG49" i="3"/>
  <c r="GH49" i="3"/>
  <c r="GI49" i="3"/>
  <c r="GE49" i="3"/>
  <c r="GD50" i="3"/>
  <c r="EA49" i="3"/>
  <c r="FH48" i="3"/>
  <c r="DY50" i="3"/>
  <c r="FC49" i="3"/>
  <c r="EV49" i="3"/>
  <c r="FD49" i="3"/>
  <c r="EX49" i="3"/>
  <c r="FE49" i="3"/>
  <c r="FG49" i="3"/>
  <c r="EZ49" i="3"/>
  <c r="ER49" i="3"/>
  <c r="EH49" i="3"/>
  <c r="EQ49" i="3"/>
  <c r="ET49" i="3"/>
  <c r="EI49" i="3"/>
  <c r="FA49" i="3"/>
  <c r="EJ49" i="3"/>
  <c r="EB49" i="3"/>
  <c r="EK49" i="3"/>
  <c r="EC49" i="3"/>
  <c r="EL49" i="3"/>
  <c r="ED49" i="3"/>
  <c r="EM49" i="3"/>
  <c r="EE49" i="3"/>
  <c r="EN49" i="3"/>
  <c r="EF49" i="3"/>
  <c r="EO49" i="3"/>
  <c r="EG49" i="3"/>
  <c r="EP49" i="3"/>
  <c r="EW49" i="3"/>
  <c r="ES49" i="3"/>
  <c r="EU49" i="3"/>
  <c r="FF49" i="3"/>
  <c r="FB49" i="3"/>
  <c r="EY49" i="3"/>
  <c r="DZ50" i="3"/>
  <c r="BG32" i="3"/>
  <c r="BQ9" i="3"/>
  <c r="BQ8" i="3"/>
  <c r="BG27" i="3"/>
  <c r="BG34" i="3"/>
  <c r="BG30" i="3"/>
  <c r="BG31" i="3"/>
  <c r="BG26" i="3"/>
  <c r="BG33" i="3"/>
  <c r="BG29" i="3"/>
  <c r="BG28" i="3"/>
  <c r="BO13" i="3"/>
  <c r="BO14" i="3"/>
  <c r="BO15" i="3"/>
  <c r="BO16" i="3"/>
  <c r="BO17" i="3"/>
  <c r="BE29" i="3"/>
  <c r="BO11" i="3"/>
  <c r="BO18" i="3"/>
  <c r="BE33" i="3"/>
  <c r="BE30" i="3"/>
  <c r="BO8" i="3"/>
  <c r="BO12" i="3"/>
  <c r="BO9" i="3"/>
  <c r="BO10" i="3"/>
  <c r="BE32" i="3"/>
  <c r="BE34" i="3"/>
  <c r="BE31" i="3"/>
  <c r="BP12" i="3"/>
  <c r="BP13" i="3"/>
  <c r="BF23" i="3"/>
  <c r="BP14" i="3"/>
  <c r="BF25" i="3"/>
  <c r="BP15" i="3"/>
  <c r="BP16" i="3"/>
  <c r="BP17" i="3"/>
  <c r="BP18" i="3"/>
  <c r="BP8" i="3"/>
  <c r="BP9" i="3"/>
  <c r="BP10" i="3"/>
  <c r="BP11" i="3"/>
  <c r="BF28" i="3"/>
  <c r="BF24" i="3"/>
  <c r="BF27" i="3"/>
  <c r="BF26" i="3"/>
  <c r="BO7" i="3"/>
  <c r="AJ29" i="3"/>
  <c r="AJ28" i="3"/>
  <c r="AJ27" i="3"/>
  <c r="BQ7" i="3"/>
  <c r="BP7" i="3"/>
  <c r="T44" i="14"/>
  <c r="L44" i="14"/>
  <c r="AL46" i="3" s="1"/>
  <c r="T43" i="14"/>
  <c r="L43" i="14"/>
  <c r="T39" i="14"/>
  <c r="L39" i="14"/>
  <c r="AL41" i="3" s="1"/>
  <c r="T38" i="14"/>
  <c r="L38" i="14"/>
  <c r="AL40" i="3" s="1"/>
  <c r="T37" i="14"/>
  <c r="L37" i="14"/>
  <c r="L22" i="7"/>
  <c r="L21" i="7"/>
  <c r="L20" i="7"/>
  <c r="L19" i="7"/>
  <c r="L18" i="7"/>
  <c r="L17" i="7"/>
  <c r="L16" i="7"/>
  <c r="L15" i="7"/>
  <c r="L14" i="7"/>
  <c r="L13" i="7"/>
  <c r="L12" i="7"/>
  <c r="L11" i="7"/>
  <c r="G11" i="7"/>
  <c r="E22" i="7"/>
  <c r="E21" i="7"/>
  <c r="E20" i="7"/>
  <c r="E19" i="7"/>
  <c r="E18" i="7"/>
  <c r="E17" i="7"/>
  <c r="E16" i="7"/>
  <c r="E15" i="7"/>
  <c r="E14" i="7"/>
  <c r="E13" i="7"/>
  <c r="E12" i="7"/>
  <c r="HL49" i="3" l="1"/>
  <c r="GC51" i="3"/>
  <c r="HD50" i="3"/>
  <c r="HE50" i="3"/>
  <c r="HF50" i="3"/>
  <c r="HG50" i="3"/>
  <c r="HH50" i="3"/>
  <c r="HI50" i="3"/>
  <c r="HJ50" i="3"/>
  <c r="HK50" i="3"/>
  <c r="GV50" i="3"/>
  <c r="GN50" i="3"/>
  <c r="GW50" i="3"/>
  <c r="GO50" i="3"/>
  <c r="GX50" i="3"/>
  <c r="GP50" i="3"/>
  <c r="GY50" i="3"/>
  <c r="GQ50" i="3"/>
  <c r="GZ50" i="3"/>
  <c r="GR50" i="3"/>
  <c r="HA50" i="3"/>
  <c r="GS50" i="3"/>
  <c r="HB50" i="3"/>
  <c r="GT50" i="3"/>
  <c r="HC50" i="3"/>
  <c r="GU50" i="3"/>
  <c r="GF50" i="3"/>
  <c r="GG50" i="3"/>
  <c r="GH50" i="3"/>
  <c r="GI50" i="3"/>
  <c r="GJ50" i="3"/>
  <c r="GK50" i="3"/>
  <c r="GL50" i="3"/>
  <c r="GM50" i="3"/>
  <c r="GD51" i="3"/>
  <c r="GE50" i="3"/>
  <c r="EA50" i="3"/>
  <c r="FH49" i="3"/>
  <c r="DY51" i="3"/>
  <c r="ER50" i="3"/>
  <c r="ET50" i="3"/>
  <c r="EZ50" i="3"/>
  <c r="EV50" i="3"/>
  <c r="FA50" i="3"/>
  <c r="EX50" i="3"/>
  <c r="FC50" i="3"/>
  <c r="FD50" i="3"/>
  <c r="FE50" i="3"/>
  <c r="FG50" i="3"/>
  <c r="EJ50" i="3"/>
  <c r="EB50" i="3"/>
  <c r="EK50" i="3"/>
  <c r="EC50" i="3"/>
  <c r="EL50" i="3"/>
  <c r="ED50" i="3"/>
  <c r="EM50" i="3"/>
  <c r="EE50" i="3"/>
  <c r="EN50" i="3"/>
  <c r="EF50" i="3"/>
  <c r="EO50" i="3"/>
  <c r="EG50" i="3"/>
  <c r="EP50" i="3"/>
  <c r="EH50" i="3"/>
  <c r="EQ50" i="3"/>
  <c r="EI50" i="3"/>
  <c r="EW50" i="3"/>
  <c r="ES50" i="3"/>
  <c r="EU50" i="3"/>
  <c r="FF50" i="3"/>
  <c r="FB50" i="3"/>
  <c r="EY50" i="3"/>
  <c r="DZ51" i="3"/>
  <c r="M43" i="14"/>
  <c r="AL45" i="3"/>
  <c r="Z43" i="14"/>
  <c r="M37" i="14"/>
  <c r="W37" i="14" s="1"/>
  <c r="AL39" i="3"/>
  <c r="M39" i="14"/>
  <c r="Z44" i="14"/>
  <c r="M38" i="14"/>
  <c r="Z38" i="14"/>
  <c r="Z39" i="14"/>
  <c r="Z37" i="14"/>
  <c r="M44" i="14"/>
  <c r="HL50" i="3" l="1"/>
  <c r="GC52" i="3"/>
  <c r="HF51" i="3"/>
  <c r="HG51" i="3"/>
  <c r="HH51" i="3"/>
  <c r="HI51" i="3"/>
  <c r="HJ51" i="3"/>
  <c r="HE51" i="3"/>
  <c r="HK51" i="3"/>
  <c r="HD51" i="3"/>
  <c r="GZ51" i="3"/>
  <c r="GR51" i="3"/>
  <c r="HA51" i="3"/>
  <c r="GS51" i="3"/>
  <c r="HB51" i="3"/>
  <c r="GT51" i="3"/>
  <c r="HC51" i="3"/>
  <c r="GU51" i="3"/>
  <c r="GV51" i="3"/>
  <c r="GN51" i="3"/>
  <c r="GW51" i="3"/>
  <c r="GO51" i="3"/>
  <c r="GH51" i="3"/>
  <c r="GI51" i="3"/>
  <c r="GJ51" i="3"/>
  <c r="GK51" i="3"/>
  <c r="GL51" i="3"/>
  <c r="GM51" i="3"/>
  <c r="GG51" i="3"/>
  <c r="GF51" i="3"/>
  <c r="GX51" i="3"/>
  <c r="GP51" i="3"/>
  <c r="GY51" i="3"/>
  <c r="GQ51" i="3"/>
  <c r="GD52" i="3"/>
  <c r="GE51" i="3"/>
  <c r="EA51" i="3"/>
  <c r="FH50" i="3"/>
  <c r="DY52" i="3"/>
  <c r="FC51" i="3"/>
  <c r="FD51" i="3"/>
  <c r="FE51" i="3"/>
  <c r="FG51" i="3"/>
  <c r="ER51" i="3"/>
  <c r="ET51" i="3"/>
  <c r="EV51" i="3"/>
  <c r="EX51" i="3"/>
  <c r="EZ51" i="3"/>
  <c r="ED51" i="3"/>
  <c r="EM51" i="3"/>
  <c r="EE51" i="3"/>
  <c r="EN51" i="3"/>
  <c r="EF51" i="3"/>
  <c r="EO51" i="3"/>
  <c r="EG51" i="3"/>
  <c r="EP51" i="3"/>
  <c r="EH51" i="3"/>
  <c r="EQ51" i="3"/>
  <c r="EI51" i="3"/>
  <c r="FA51" i="3"/>
  <c r="EJ51" i="3"/>
  <c r="EB51" i="3"/>
  <c r="EK51" i="3"/>
  <c r="EC51" i="3"/>
  <c r="EL51" i="3"/>
  <c r="FB51" i="3"/>
  <c r="EY51" i="3"/>
  <c r="ES51" i="3"/>
  <c r="EU51" i="3"/>
  <c r="FF51" i="3"/>
  <c r="EW51" i="3"/>
  <c r="DZ52" i="3"/>
  <c r="W43" i="14"/>
  <c r="AH45" i="3"/>
  <c r="BG46" i="3" s="1"/>
  <c r="AH40" i="3"/>
  <c r="AH41" i="3"/>
  <c r="BC44" i="3" s="1"/>
  <c r="AH46" i="3"/>
  <c r="AH39" i="3"/>
  <c r="W39" i="14"/>
  <c r="W44" i="14"/>
  <c r="W38" i="14"/>
  <c r="HL51" i="3" l="1"/>
  <c r="GC53" i="3"/>
  <c r="HI52" i="3"/>
  <c r="HJ52" i="3"/>
  <c r="HK52" i="3"/>
  <c r="HH52" i="3"/>
  <c r="HD52" i="3"/>
  <c r="HE52" i="3"/>
  <c r="HF52" i="3"/>
  <c r="HG52" i="3"/>
  <c r="GV52" i="3"/>
  <c r="GN52" i="3"/>
  <c r="GW52" i="3"/>
  <c r="GO52" i="3"/>
  <c r="GX52" i="3"/>
  <c r="GP52" i="3"/>
  <c r="GY52" i="3"/>
  <c r="GQ52" i="3"/>
  <c r="GZ52" i="3"/>
  <c r="GR52" i="3"/>
  <c r="HA52" i="3"/>
  <c r="GS52" i="3"/>
  <c r="GL52" i="3"/>
  <c r="GK52" i="3"/>
  <c r="GM52" i="3"/>
  <c r="HB52" i="3"/>
  <c r="GT52" i="3"/>
  <c r="GJ52" i="3"/>
  <c r="HC52" i="3"/>
  <c r="GU52" i="3"/>
  <c r="GF52" i="3"/>
  <c r="GG52" i="3"/>
  <c r="GH52" i="3"/>
  <c r="GI52" i="3"/>
  <c r="GD53" i="3"/>
  <c r="GE52" i="3"/>
  <c r="EA52" i="3"/>
  <c r="FH51" i="3"/>
  <c r="DY53" i="3"/>
  <c r="EU52" i="3"/>
  <c r="EV52" i="3"/>
  <c r="EX52" i="3"/>
  <c r="EY52" i="3"/>
  <c r="EZ52" i="3"/>
  <c r="FA52" i="3"/>
  <c r="FD52" i="3"/>
  <c r="FE52" i="3"/>
  <c r="ER52" i="3"/>
  <c r="EH52" i="3"/>
  <c r="EQ52" i="3"/>
  <c r="EI52" i="3"/>
  <c r="ET52" i="3"/>
  <c r="EJ52" i="3"/>
  <c r="EB52" i="3"/>
  <c r="EK52" i="3"/>
  <c r="EC52" i="3"/>
  <c r="EL52" i="3"/>
  <c r="ED52" i="3"/>
  <c r="EM52" i="3"/>
  <c r="EE52" i="3"/>
  <c r="EN52" i="3"/>
  <c r="EF52" i="3"/>
  <c r="EO52" i="3"/>
  <c r="EG52" i="3"/>
  <c r="EP52" i="3"/>
  <c r="ES52" i="3"/>
  <c r="EW52" i="3"/>
  <c r="FF52" i="3"/>
  <c r="FC52" i="3"/>
  <c r="FG52" i="3"/>
  <c r="FB52" i="3"/>
  <c r="DZ53" i="3"/>
  <c r="BC50" i="3"/>
  <c r="BC46" i="3"/>
  <c r="BC45" i="3"/>
  <c r="BM25" i="3"/>
  <c r="BC43" i="3"/>
  <c r="BL34" i="3"/>
  <c r="BL26" i="3"/>
  <c r="BL27" i="3"/>
  <c r="BL28" i="3"/>
  <c r="BL29" i="3"/>
  <c r="BL30" i="3"/>
  <c r="BL31" i="3"/>
  <c r="BL32" i="3"/>
  <c r="BL33" i="3"/>
  <c r="BL25" i="3"/>
  <c r="BK27" i="3"/>
  <c r="BK28" i="3"/>
  <c r="BK29" i="3"/>
  <c r="BK30" i="3"/>
  <c r="BK25" i="3"/>
  <c r="BK31" i="3"/>
  <c r="BK32" i="3"/>
  <c r="BK33" i="3"/>
  <c r="BK34" i="3"/>
  <c r="BK26" i="3"/>
  <c r="BR27" i="3"/>
  <c r="BR28" i="3"/>
  <c r="BR29" i="3"/>
  <c r="BR30" i="3"/>
  <c r="BR31" i="3"/>
  <c r="BR25" i="3"/>
  <c r="BR26" i="3"/>
  <c r="BQ25" i="3"/>
  <c r="BA47" i="3"/>
  <c r="BC42" i="3"/>
  <c r="BB41" i="3"/>
  <c r="BB39" i="3"/>
  <c r="BB43" i="3"/>
  <c r="BB40" i="3"/>
  <c r="BB44" i="3"/>
  <c r="BC47" i="3"/>
  <c r="BA45" i="3"/>
  <c r="BA49" i="3"/>
  <c r="AJ40" i="3"/>
  <c r="BB42" i="3"/>
  <c r="AJ45" i="3"/>
  <c r="AJ41" i="3"/>
  <c r="BC48" i="3"/>
  <c r="BC49" i="3"/>
  <c r="AJ46" i="3"/>
  <c r="BA48" i="3"/>
  <c r="BA50" i="3"/>
  <c r="BA46" i="3"/>
  <c r="AJ39" i="3"/>
  <c r="BG49" i="3"/>
  <c r="BG50" i="3"/>
  <c r="BG47" i="3"/>
  <c r="BG45" i="3"/>
  <c r="BG48" i="3"/>
  <c r="BG43" i="3"/>
  <c r="BG44" i="3"/>
  <c r="E44" i="4"/>
  <c r="H38" i="4"/>
  <c r="I38" i="4"/>
  <c r="J38" i="4"/>
  <c r="K38" i="4"/>
  <c r="L38" i="4"/>
  <c r="M38" i="4"/>
  <c r="N38" i="4"/>
  <c r="O38" i="4"/>
  <c r="P38" i="4"/>
  <c r="Q38" i="4"/>
  <c r="R38" i="4"/>
  <c r="G38" i="4"/>
  <c r="F38" i="4"/>
  <c r="H36" i="4"/>
  <c r="I36" i="4"/>
  <c r="J36" i="4"/>
  <c r="K36" i="4"/>
  <c r="L36" i="4"/>
  <c r="M36" i="4"/>
  <c r="N36" i="4"/>
  <c r="O36" i="4"/>
  <c r="P36" i="4"/>
  <c r="Q36" i="4"/>
  <c r="R36" i="4"/>
  <c r="G36" i="4"/>
  <c r="F36" i="4"/>
  <c r="F34" i="4"/>
  <c r="H34" i="4"/>
  <c r="I34" i="4"/>
  <c r="J34" i="4"/>
  <c r="K34" i="4"/>
  <c r="L34" i="4"/>
  <c r="M34" i="4"/>
  <c r="N34" i="4"/>
  <c r="O34" i="4"/>
  <c r="P34" i="4"/>
  <c r="Q34" i="4"/>
  <c r="R34" i="4"/>
  <c r="G34" i="4"/>
  <c r="G32" i="4"/>
  <c r="H32" i="4"/>
  <c r="I32" i="4"/>
  <c r="J32" i="4"/>
  <c r="K32" i="4"/>
  <c r="L32" i="4"/>
  <c r="M32" i="4"/>
  <c r="N32" i="4"/>
  <c r="O32" i="4"/>
  <c r="P32" i="4"/>
  <c r="Q32" i="4"/>
  <c r="R32" i="4"/>
  <c r="F26" i="4"/>
  <c r="F32" i="4" s="1"/>
  <c r="F27" i="4"/>
  <c r="F29" i="4" s="1"/>
  <c r="HL52" i="3" l="1"/>
  <c r="GC54" i="3"/>
  <c r="HD53" i="3"/>
  <c r="HE53" i="3"/>
  <c r="HF53" i="3"/>
  <c r="HK53" i="3"/>
  <c r="HG53" i="3"/>
  <c r="HH53" i="3"/>
  <c r="HI53" i="3"/>
  <c r="HJ53" i="3"/>
  <c r="GV53" i="3"/>
  <c r="GN53" i="3"/>
  <c r="GW53" i="3"/>
  <c r="GO53" i="3"/>
  <c r="GX53" i="3"/>
  <c r="GP53" i="3"/>
  <c r="GY53" i="3"/>
  <c r="GQ53" i="3"/>
  <c r="GZ53" i="3"/>
  <c r="GR53" i="3"/>
  <c r="HA53" i="3"/>
  <c r="GS53" i="3"/>
  <c r="HB53" i="3"/>
  <c r="GT53" i="3"/>
  <c r="HC53" i="3"/>
  <c r="GU53" i="3"/>
  <c r="GF53" i="3"/>
  <c r="GG53" i="3"/>
  <c r="GH53" i="3"/>
  <c r="GI53" i="3"/>
  <c r="GJ53" i="3"/>
  <c r="GK53" i="3"/>
  <c r="GL53" i="3"/>
  <c r="GM53" i="3"/>
  <c r="GD54" i="3"/>
  <c r="GE53" i="3"/>
  <c r="EA53" i="3"/>
  <c r="FH52" i="3"/>
  <c r="DY54" i="3"/>
  <c r="ER53" i="3"/>
  <c r="ET53" i="3"/>
  <c r="EU53" i="3"/>
  <c r="EV53" i="3"/>
  <c r="EZ53" i="3"/>
  <c r="EX53" i="3"/>
  <c r="FA53" i="3"/>
  <c r="EY53" i="3"/>
  <c r="FD53" i="3"/>
  <c r="EJ53" i="3"/>
  <c r="EB53" i="3"/>
  <c r="EK53" i="3"/>
  <c r="EC53" i="3"/>
  <c r="EL53" i="3"/>
  <c r="ED53" i="3"/>
  <c r="EM53" i="3"/>
  <c r="EE53" i="3"/>
  <c r="EN53" i="3"/>
  <c r="EF53" i="3"/>
  <c r="EO53" i="3"/>
  <c r="FE53" i="3"/>
  <c r="EG53" i="3"/>
  <c r="EP53" i="3"/>
  <c r="EH53" i="3"/>
  <c r="EQ53" i="3"/>
  <c r="EI53" i="3"/>
  <c r="FC53" i="3"/>
  <c r="EW53" i="3"/>
  <c r="ES53" i="3"/>
  <c r="FF53" i="3"/>
  <c r="FG53" i="3"/>
  <c r="FB53" i="3"/>
  <c r="DZ54" i="3"/>
  <c r="D47" i="4"/>
  <c r="D46" i="4"/>
  <c r="D45" i="4"/>
  <c r="D44" i="4"/>
  <c r="L37" i="4"/>
  <c r="H39" i="4"/>
  <c r="F28" i="4"/>
  <c r="H35" i="4"/>
  <c r="N35" i="4"/>
  <c r="R37" i="4"/>
  <c r="J37" i="4"/>
  <c r="N39" i="4"/>
  <c r="L35" i="4"/>
  <c r="P37" i="4"/>
  <c r="H37" i="4"/>
  <c r="L39" i="4"/>
  <c r="O35" i="4"/>
  <c r="I37" i="4"/>
  <c r="K35" i="4"/>
  <c r="O37" i="4"/>
  <c r="G39" i="4"/>
  <c r="K39" i="4"/>
  <c r="K37" i="4"/>
  <c r="G35" i="4"/>
  <c r="J35" i="4"/>
  <c r="N37" i="4"/>
  <c r="R39" i="4"/>
  <c r="J39" i="4"/>
  <c r="Q37" i="4"/>
  <c r="R35" i="4"/>
  <c r="I35" i="4"/>
  <c r="M37" i="4"/>
  <c r="Q39" i="4"/>
  <c r="I39" i="4"/>
  <c r="G37" i="4"/>
  <c r="O39" i="4"/>
  <c r="M35" i="4"/>
  <c r="M39" i="4"/>
  <c r="Q35" i="4"/>
  <c r="P39" i="4"/>
  <c r="P35" i="4"/>
  <c r="Q33" i="4"/>
  <c r="G33" i="4"/>
  <c r="R33" i="4"/>
  <c r="P33" i="4"/>
  <c r="O33" i="4"/>
  <c r="N33" i="4"/>
  <c r="K33" i="4"/>
  <c r="J33" i="4"/>
  <c r="L33" i="4"/>
  <c r="H33" i="4"/>
  <c r="I33" i="4"/>
  <c r="M33" i="4"/>
  <c r="HL53" i="3" l="1"/>
  <c r="GC55" i="3"/>
  <c r="HD54" i="3"/>
  <c r="HE54" i="3"/>
  <c r="HF54" i="3"/>
  <c r="HG54" i="3"/>
  <c r="HH54" i="3"/>
  <c r="HI54" i="3"/>
  <c r="HJ54" i="3"/>
  <c r="HK54" i="3"/>
  <c r="GZ54" i="3"/>
  <c r="GR54" i="3"/>
  <c r="HA54" i="3"/>
  <c r="GS54" i="3"/>
  <c r="HB54" i="3"/>
  <c r="GT54" i="3"/>
  <c r="HC54" i="3"/>
  <c r="GU54" i="3"/>
  <c r="GV54" i="3"/>
  <c r="GN54" i="3"/>
  <c r="GW54" i="3"/>
  <c r="GO54" i="3"/>
  <c r="GX54" i="3"/>
  <c r="GP54" i="3"/>
  <c r="GH54" i="3"/>
  <c r="GY54" i="3"/>
  <c r="GQ54" i="3"/>
  <c r="GI54" i="3"/>
  <c r="GG54" i="3"/>
  <c r="GJ54" i="3"/>
  <c r="GK54" i="3"/>
  <c r="GL54" i="3"/>
  <c r="GM54" i="3"/>
  <c r="GF54" i="3"/>
  <c r="GD55" i="3"/>
  <c r="GE54" i="3"/>
  <c r="EA54" i="3"/>
  <c r="FH53" i="3"/>
  <c r="DY55" i="3"/>
  <c r="EZ54" i="3"/>
  <c r="EU54" i="3"/>
  <c r="FA54" i="3"/>
  <c r="EV54" i="3"/>
  <c r="FD54" i="3"/>
  <c r="EX54" i="3"/>
  <c r="FE54" i="3"/>
  <c r="EY54" i="3"/>
  <c r="ER54" i="3"/>
  <c r="ED54" i="3"/>
  <c r="EM54" i="3"/>
  <c r="EE54" i="3"/>
  <c r="EN54" i="3"/>
  <c r="EF54" i="3"/>
  <c r="EO54" i="3"/>
  <c r="ET54" i="3"/>
  <c r="EG54" i="3"/>
  <c r="EP54" i="3"/>
  <c r="EH54" i="3"/>
  <c r="EQ54" i="3"/>
  <c r="EI54" i="3"/>
  <c r="EJ54" i="3"/>
  <c r="EB54" i="3"/>
  <c r="EK54" i="3"/>
  <c r="EC54" i="3"/>
  <c r="EL54" i="3"/>
  <c r="FF54" i="3"/>
  <c r="EW54" i="3"/>
  <c r="FC54" i="3"/>
  <c r="FB54" i="3"/>
  <c r="FG54" i="3"/>
  <c r="ES54" i="3"/>
  <c r="DZ55" i="3"/>
  <c r="C46" i="4"/>
  <c r="C45" i="4"/>
  <c r="C47" i="4"/>
  <c r="C44" i="4"/>
  <c r="AC53" i="3"/>
  <c r="AD53" i="3"/>
  <c r="AA53" i="3"/>
  <c r="F6" i="4" a="1"/>
  <c r="F6" i="4" s="1"/>
  <c r="H94" i="7"/>
  <c r="G94" i="7"/>
  <c r="E94" i="7"/>
  <c r="H93" i="7"/>
  <c r="G93" i="7"/>
  <c r="E93" i="7"/>
  <c r="H92" i="7"/>
  <c r="G92" i="7"/>
  <c r="E92" i="7"/>
  <c r="H91" i="7"/>
  <c r="G91" i="7"/>
  <c r="E91" i="7"/>
  <c r="H90" i="7"/>
  <c r="G90" i="7"/>
  <c r="E90" i="7"/>
  <c r="H89" i="7"/>
  <c r="G89" i="7"/>
  <c r="E89" i="7"/>
  <c r="H88" i="7"/>
  <c r="G88" i="7"/>
  <c r="E88" i="7"/>
  <c r="H87" i="7"/>
  <c r="G87" i="7"/>
  <c r="E87" i="7"/>
  <c r="H86" i="7"/>
  <c r="G86" i="7"/>
  <c r="E86" i="7"/>
  <c r="H85" i="7"/>
  <c r="G85" i="7"/>
  <c r="E85" i="7"/>
  <c r="H84" i="7"/>
  <c r="G84" i="7"/>
  <c r="E84" i="7"/>
  <c r="H83" i="7"/>
  <c r="G83" i="7"/>
  <c r="E83" i="7"/>
  <c r="H70" i="7"/>
  <c r="G70" i="7"/>
  <c r="E70" i="7"/>
  <c r="H69" i="7"/>
  <c r="G69" i="7"/>
  <c r="E69" i="7"/>
  <c r="H68" i="7"/>
  <c r="G68" i="7"/>
  <c r="E68" i="7"/>
  <c r="H67" i="7"/>
  <c r="G67" i="7"/>
  <c r="E67" i="7"/>
  <c r="H66" i="7"/>
  <c r="G66" i="7"/>
  <c r="E66" i="7"/>
  <c r="H65" i="7"/>
  <c r="G65" i="7"/>
  <c r="E65" i="7"/>
  <c r="H64" i="7"/>
  <c r="G64" i="7"/>
  <c r="E64" i="7"/>
  <c r="H63" i="7"/>
  <c r="G63" i="7"/>
  <c r="E63" i="7"/>
  <c r="H62" i="7"/>
  <c r="G62" i="7"/>
  <c r="E62" i="7"/>
  <c r="H61" i="7"/>
  <c r="G61" i="7"/>
  <c r="E61" i="7"/>
  <c r="H60" i="7"/>
  <c r="G60" i="7"/>
  <c r="E60" i="7"/>
  <c r="H59" i="7"/>
  <c r="G59" i="7"/>
  <c r="E59" i="7"/>
  <c r="H46" i="7"/>
  <c r="G46" i="7"/>
  <c r="E46" i="7"/>
  <c r="H45" i="7"/>
  <c r="G45" i="7"/>
  <c r="E45" i="7"/>
  <c r="H44" i="7"/>
  <c r="G44" i="7"/>
  <c r="E44" i="7"/>
  <c r="H43" i="7"/>
  <c r="G43" i="7"/>
  <c r="E43" i="7"/>
  <c r="H42" i="7"/>
  <c r="G42" i="7"/>
  <c r="E42" i="7"/>
  <c r="H41" i="7"/>
  <c r="G41" i="7"/>
  <c r="E41" i="7"/>
  <c r="H40" i="7"/>
  <c r="G40" i="7"/>
  <c r="E40" i="7"/>
  <c r="H39" i="7"/>
  <c r="G39" i="7"/>
  <c r="E39" i="7"/>
  <c r="H38" i="7"/>
  <c r="G38" i="7"/>
  <c r="E38" i="7"/>
  <c r="H37" i="7"/>
  <c r="G37" i="7"/>
  <c r="E37" i="7"/>
  <c r="H36" i="7"/>
  <c r="G36" i="7"/>
  <c r="E36" i="7"/>
  <c r="H35" i="7"/>
  <c r="G35" i="7"/>
  <c r="E35" i="7"/>
  <c r="T44" i="16"/>
  <c r="N49" i="16" s="1"/>
  <c r="L44" i="16"/>
  <c r="AL78" i="3" s="1"/>
  <c r="T43" i="16"/>
  <c r="L43" i="16"/>
  <c r="AL77" i="3" s="1"/>
  <c r="T39" i="16"/>
  <c r="L39" i="16"/>
  <c r="AL73" i="3" s="1"/>
  <c r="T38" i="16"/>
  <c r="L38" i="16"/>
  <c r="AL72" i="3" s="1"/>
  <c r="T37" i="16"/>
  <c r="L37" i="16"/>
  <c r="AL71" i="3" s="1"/>
  <c r="T31" i="16"/>
  <c r="L31" i="16"/>
  <c r="T30" i="16"/>
  <c r="L30" i="16"/>
  <c r="T29" i="16"/>
  <c r="L29" i="16"/>
  <c r="D92" i="7" s="1"/>
  <c r="T28" i="16"/>
  <c r="L28" i="16"/>
  <c r="T27" i="16"/>
  <c r="L27" i="16"/>
  <c r="T26" i="16"/>
  <c r="L26" i="16"/>
  <c r="T25" i="16"/>
  <c r="L25" i="16"/>
  <c r="T24" i="16"/>
  <c r="L24" i="16"/>
  <c r="T23" i="16"/>
  <c r="L23" i="16"/>
  <c r="T22" i="16"/>
  <c r="L22" i="16"/>
  <c r="T21" i="16"/>
  <c r="L21" i="16"/>
  <c r="T20" i="16"/>
  <c r="L20" i="16"/>
  <c r="F14" i="16"/>
  <c r="C16" i="15"/>
  <c r="C8" i="15"/>
  <c r="T44" i="15"/>
  <c r="L44" i="15"/>
  <c r="AL62" i="3" s="1"/>
  <c r="T43" i="15"/>
  <c r="L43" i="15"/>
  <c r="T39" i="15"/>
  <c r="L39" i="15"/>
  <c r="AL57" i="3" s="1"/>
  <c r="T38" i="15"/>
  <c r="L38" i="15"/>
  <c r="T37" i="15"/>
  <c r="L37" i="15"/>
  <c r="AL55" i="3" s="1"/>
  <c r="T31" i="15"/>
  <c r="L31" i="15"/>
  <c r="D70" i="7" s="1"/>
  <c r="T30" i="15"/>
  <c r="L30" i="15"/>
  <c r="D69" i="7" s="1"/>
  <c r="T29" i="15"/>
  <c r="L29" i="15"/>
  <c r="D68" i="7" s="1"/>
  <c r="T28" i="15"/>
  <c r="L28" i="15"/>
  <c r="T27" i="15"/>
  <c r="L27" i="15"/>
  <c r="D66" i="7" s="1"/>
  <c r="T26" i="15"/>
  <c r="L26" i="15"/>
  <c r="D65" i="7" s="1"/>
  <c r="T25" i="15"/>
  <c r="L25" i="15"/>
  <c r="T24" i="15"/>
  <c r="L24" i="15"/>
  <c r="D63" i="7" s="1"/>
  <c r="T23" i="15"/>
  <c r="L23" i="15"/>
  <c r="T22" i="15"/>
  <c r="L22" i="15"/>
  <c r="D61" i="7" s="1"/>
  <c r="T21" i="15"/>
  <c r="L21" i="15"/>
  <c r="D60" i="7" s="1"/>
  <c r="T20" i="15"/>
  <c r="L20" i="15"/>
  <c r="F14" i="15"/>
  <c r="D47" i="16" l="1"/>
  <c r="M5" i="8"/>
  <c r="B3" i="20" s="1"/>
  <c r="Y6" i="7"/>
  <c r="AR5" i="15"/>
  <c r="AR5" i="16"/>
  <c r="D6" i="7"/>
  <c r="AR5" i="14"/>
  <c r="AR5" i="6"/>
  <c r="HL54" i="3"/>
  <c r="GC56" i="3"/>
  <c r="HH55" i="3"/>
  <c r="HI55" i="3"/>
  <c r="HJ55" i="3"/>
  <c r="HK55" i="3"/>
  <c r="HG55" i="3"/>
  <c r="HD55" i="3"/>
  <c r="HE55" i="3"/>
  <c r="HF55" i="3"/>
  <c r="GV55" i="3"/>
  <c r="GN55" i="3"/>
  <c r="GW55" i="3"/>
  <c r="GO55" i="3"/>
  <c r="GX55" i="3"/>
  <c r="GP55" i="3"/>
  <c r="GY55" i="3"/>
  <c r="GQ55" i="3"/>
  <c r="GZ55" i="3"/>
  <c r="GR55" i="3"/>
  <c r="HA55" i="3"/>
  <c r="GS55" i="3"/>
  <c r="GL55" i="3"/>
  <c r="GM55" i="3"/>
  <c r="HB55" i="3"/>
  <c r="GT55" i="3"/>
  <c r="GJ55" i="3"/>
  <c r="HC55" i="3"/>
  <c r="GU55" i="3"/>
  <c r="GK55" i="3"/>
  <c r="GF55" i="3"/>
  <c r="GG55" i="3"/>
  <c r="GH55" i="3"/>
  <c r="GI55" i="3"/>
  <c r="GD56" i="3"/>
  <c r="GE55" i="3"/>
  <c r="EA55" i="3"/>
  <c r="FH54" i="3"/>
  <c r="DY56" i="3"/>
  <c r="FA55" i="3"/>
  <c r="ER55" i="3"/>
  <c r="FE55" i="3"/>
  <c r="ES55" i="3"/>
  <c r="ET55" i="3"/>
  <c r="EU55" i="3"/>
  <c r="EV55" i="3"/>
  <c r="EW55" i="3"/>
  <c r="EX55" i="3"/>
  <c r="EH55" i="3"/>
  <c r="EQ55" i="3"/>
  <c r="EI55" i="3"/>
  <c r="EY55" i="3"/>
  <c r="EJ55" i="3"/>
  <c r="EB55" i="3"/>
  <c r="EK55" i="3"/>
  <c r="EC55" i="3"/>
  <c r="EL55" i="3"/>
  <c r="ED55" i="3"/>
  <c r="EM55" i="3"/>
  <c r="EE55" i="3"/>
  <c r="EN55" i="3"/>
  <c r="EF55" i="3"/>
  <c r="EO55" i="3"/>
  <c r="EG55" i="3"/>
  <c r="EP55" i="3"/>
  <c r="FB55" i="3"/>
  <c r="FD55" i="3"/>
  <c r="EZ55" i="3"/>
  <c r="FG55" i="3"/>
  <c r="FF55" i="3"/>
  <c r="FC55" i="3"/>
  <c r="DZ56" i="3"/>
  <c r="E5" i="8"/>
  <c r="E5" i="6"/>
  <c r="F30" i="4"/>
  <c r="Z23" i="15"/>
  <c r="D62" i="7"/>
  <c r="M43" i="15"/>
  <c r="AL61" i="3"/>
  <c r="M20" i="15"/>
  <c r="W20" i="15" s="1"/>
  <c r="D59" i="7"/>
  <c r="M28" i="15"/>
  <c r="W28" i="15" s="1"/>
  <c r="D67" i="7"/>
  <c r="M25" i="15"/>
  <c r="W25" i="15" s="1"/>
  <c r="D64" i="7"/>
  <c r="M38" i="15"/>
  <c r="AL56" i="3"/>
  <c r="Z20" i="16"/>
  <c r="D83" i="7"/>
  <c r="M24" i="16"/>
  <c r="W24" i="16" s="1"/>
  <c r="D87" i="7"/>
  <c r="M28" i="16"/>
  <c r="W28" i="16" s="1"/>
  <c r="D91" i="7"/>
  <c r="Z21" i="16"/>
  <c r="D84" i="7"/>
  <c r="M22" i="16"/>
  <c r="W22" i="16" s="1"/>
  <c r="D85" i="7"/>
  <c r="Z26" i="16"/>
  <c r="D89" i="7"/>
  <c r="M30" i="16"/>
  <c r="W30" i="16" s="1"/>
  <c r="D93" i="7"/>
  <c r="M25" i="16"/>
  <c r="W25" i="16" s="1"/>
  <c r="D88" i="7"/>
  <c r="Z23" i="16"/>
  <c r="D86" i="7"/>
  <c r="M27" i="16"/>
  <c r="W27" i="16" s="1"/>
  <c r="D90" i="7"/>
  <c r="Z31" i="16"/>
  <c r="D94" i="7"/>
  <c r="Z31" i="15"/>
  <c r="Z21" i="15"/>
  <c r="M22" i="15"/>
  <c r="W22" i="15" s="1"/>
  <c r="Z22" i="15"/>
  <c r="Z25" i="15"/>
  <c r="Z30" i="15"/>
  <c r="Z24" i="15"/>
  <c r="M24" i="15"/>
  <c r="W24" i="15" s="1"/>
  <c r="M27" i="15"/>
  <c r="W27" i="15" s="1"/>
  <c r="M30" i="15"/>
  <c r="W30" i="15" s="1"/>
  <c r="M44" i="15"/>
  <c r="Z44" i="15"/>
  <c r="Z38" i="15"/>
  <c r="Z27" i="15"/>
  <c r="E54" i="15"/>
  <c r="E60" i="15"/>
  <c r="H60" i="15" s="1"/>
  <c r="E56" i="15"/>
  <c r="E49" i="15"/>
  <c r="E59" i="15"/>
  <c r="E53" i="15"/>
  <c r="E58" i="15"/>
  <c r="E57" i="15"/>
  <c r="E52" i="15"/>
  <c r="E51" i="15"/>
  <c r="E50" i="15"/>
  <c r="E55" i="15"/>
  <c r="Z39" i="15"/>
  <c r="Z26" i="15"/>
  <c r="Z28" i="15"/>
  <c r="Z20" i="15"/>
  <c r="M26" i="15"/>
  <c r="W26" i="15" s="1"/>
  <c r="Z29" i="15"/>
  <c r="Z37" i="15"/>
  <c r="Z43" i="15"/>
  <c r="Z22" i="16"/>
  <c r="Z27" i="16"/>
  <c r="Z25" i="16"/>
  <c r="Z37" i="16"/>
  <c r="M44" i="16"/>
  <c r="Z44" i="16"/>
  <c r="Z28" i="16"/>
  <c r="M26" i="16"/>
  <c r="W26" i="16" s="1"/>
  <c r="Z29" i="16"/>
  <c r="M38" i="16"/>
  <c r="Z38" i="16"/>
  <c r="M20" i="16"/>
  <c r="W20" i="16" s="1"/>
  <c r="Z39" i="16"/>
  <c r="E55" i="16"/>
  <c r="E56" i="16"/>
  <c r="E54" i="16"/>
  <c r="E52" i="16"/>
  <c r="E53" i="16"/>
  <c r="E60" i="16"/>
  <c r="H60" i="16" s="1"/>
  <c r="E58" i="16"/>
  <c r="E50" i="16"/>
  <c r="E57" i="16"/>
  <c r="E49" i="16"/>
  <c r="E59" i="16"/>
  <c r="E51" i="16"/>
  <c r="Z30" i="16"/>
  <c r="M43" i="16"/>
  <c r="Z43" i="16"/>
  <c r="Z4" i="3"/>
  <c r="Y7" i="3" s="1"/>
  <c r="Y8" i="3" s="1"/>
  <c r="Y9" i="3" s="1"/>
  <c r="Y10" i="3" s="1"/>
  <c r="Y11" i="3" s="1"/>
  <c r="Y12" i="3" s="1"/>
  <c r="Y13" i="3" s="1"/>
  <c r="Y14" i="3" s="1"/>
  <c r="Y15" i="3" s="1"/>
  <c r="Y16" i="3" s="1"/>
  <c r="Y17" i="3" s="1"/>
  <c r="Y18" i="3" s="1"/>
  <c r="Y19" i="3" s="1"/>
  <c r="Y20" i="3" s="1"/>
  <c r="Y21" i="3" s="1"/>
  <c r="Y22" i="3" s="1"/>
  <c r="Y23" i="3" s="1"/>
  <c r="Y24" i="3" s="1"/>
  <c r="Y25" i="3" s="1"/>
  <c r="Y26" i="3" s="1"/>
  <c r="Y27" i="3" s="1"/>
  <c r="Y28" i="3" s="1"/>
  <c r="Y29" i="3" s="1"/>
  <c r="Y30" i="3" s="1"/>
  <c r="Y31" i="3" s="1"/>
  <c r="Y32" i="3" s="1"/>
  <c r="Y33" i="3" s="1"/>
  <c r="Y34" i="3" s="1"/>
  <c r="Y35" i="3" s="1"/>
  <c r="Y36" i="3" s="1"/>
  <c r="Y37" i="3" s="1"/>
  <c r="Y38" i="3" s="1"/>
  <c r="Y39" i="3" s="1"/>
  <c r="Y40" i="3" s="1"/>
  <c r="Y41" i="3" s="1"/>
  <c r="Y42" i="3" s="1"/>
  <c r="Y43" i="3" s="1"/>
  <c r="Y44" i="3" s="1"/>
  <c r="Y45" i="3" s="1"/>
  <c r="Y46" i="3" s="1"/>
  <c r="Y47" i="3" s="1"/>
  <c r="Y48" i="3" s="1"/>
  <c r="Y49" i="3" s="1"/>
  <c r="Y50" i="3" s="1"/>
  <c r="Y51" i="3" s="1"/>
  <c r="Y52" i="3" s="1"/>
  <c r="Y53" i="3" s="1"/>
  <c r="E5" i="15"/>
  <c r="E5" i="16"/>
  <c r="E5" i="14"/>
  <c r="M21" i="16"/>
  <c r="W21" i="16" s="1"/>
  <c r="M29" i="16"/>
  <c r="W29" i="16" s="1"/>
  <c r="M37" i="16"/>
  <c r="M23" i="16"/>
  <c r="W23" i="16" s="1"/>
  <c r="Z24" i="16"/>
  <c r="M31" i="16"/>
  <c r="W31" i="16" s="1"/>
  <c r="M39" i="16"/>
  <c r="M21" i="15"/>
  <c r="W21" i="15" s="1"/>
  <c r="M29" i="15"/>
  <c r="W29" i="15" s="1"/>
  <c r="M37" i="15"/>
  <c r="M23" i="15"/>
  <c r="W23" i="15" s="1"/>
  <c r="M31" i="15"/>
  <c r="W31" i="15" s="1"/>
  <c r="M39" i="15"/>
  <c r="C16" i="14"/>
  <c r="C8" i="14"/>
  <c r="T31" i="14"/>
  <c r="L31" i="14"/>
  <c r="D46" i="7" s="1"/>
  <c r="T30" i="14"/>
  <c r="L30" i="14"/>
  <c r="D45" i="7" s="1"/>
  <c r="T29" i="14"/>
  <c r="L29" i="14"/>
  <c r="D44" i="7" s="1"/>
  <c r="T28" i="14"/>
  <c r="L28" i="14"/>
  <c r="D43" i="7" s="1"/>
  <c r="T27" i="14"/>
  <c r="L27" i="14"/>
  <c r="D42" i="7" s="1"/>
  <c r="T26" i="14"/>
  <c r="L26" i="14"/>
  <c r="D41" i="7" s="1"/>
  <c r="T25" i="14"/>
  <c r="L25" i="14"/>
  <c r="D40" i="7" s="1"/>
  <c r="T24" i="14"/>
  <c r="L24" i="14"/>
  <c r="D39" i="7" s="1"/>
  <c r="T23" i="14"/>
  <c r="L23" i="14"/>
  <c r="D38" i="7" s="1"/>
  <c r="T22" i="14"/>
  <c r="L22" i="14"/>
  <c r="D37" i="7" s="1"/>
  <c r="T21" i="14"/>
  <c r="L21" i="14"/>
  <c r="D36" i="7" s="1"/>
  <c r="T20" i="14"/>
  <c r="L20" i="14"/>
  <c r="D35" i="7" s="1"/>
  <c r="F14" i="14"/>
  <c r="Y54" i="7" l="1"/>
  <c r="Y30" i="7"/>
  <c r="Y78" i="7" s="1"/>
  <c r="HL55" i="3"/>
  <c r="GC57" i="3"/>
  <c r="HK56" i="3"/>
  <c r="HJ56" i="3"/>
  <c r="HD56" i="3"/>
  <c r="HE56" i="3"/>
  <c r="HF56" i="3"/>
  <c r="HG56" i="3"/>
  <c r="HH56" i="3"/>
  <c r="HI56" i="3"/>
  <c r="GV56" i="3"/>
  <c r="GN56" i="3"/>
  <c r="GW56" i="3"/>
  <c r="GO56" i="3"/>
  <c r="GX56" i="3"/>
  <c r="GP56" i="3"/>
  <c r="GY56" i="3"/>
  <c r="GQ56" i="3"/>
  <c r="GZ56" i="3"/>
  <c r="GR56" i="3"/>
  <c r="HA56" i="3"/>
  <c r="GS56" i="3"/>
  <c r="HB56" i="3"/>
  <c r="GT56" i="3"/>
  <c r="HC56" i="3"/>
  <c r="GU56" i="3"/>
  <c r="GF56" i="3"/>
  <c r="GG56" i="3"/>
  <c r="GH56" i="3"/>
  <c r="GI56" i="3"/>
  <c r="GJ56" i="3"/>
  <c r="GK56" i="3"/>
  <c r="GL56" i="3"/>
  <c r="GM56" i="3"/>
  <c r="GE56" i="3"/>
  <c r="GD57" i="3"/>
  <c r="EA56" i="3"/>
  <c r="FH55" i="3"/>
  <c r="DY57" i="3"/>
  <c r="ER56" i="3"/>
  <c r="ES56" i="3"/>
  <c r="ET56" i="3"/>
  <c r="EU56" i="3"/>
  <c r="EV56" i="3"/>
  <c r="EW56" i="3"/>
  <c r="FA56" i="3"/>
  <c r="EX56" i="3"/>
  <c r="FE56" i="3"/>
  <c r="EY56" i="3"/>
  <c r="EJ56" i="3"/>
  <c r="EB56" i="3"/>
  <c r="EK56" i="3"/>
  <c r="EC56" i="3"/>
  <c r="EL56" i="3"/>
  <c r="ED56" i="3"/>
  <c r="EM56" i="3"/>
  <c r="EE56" i="3"/>
  <c r="EN56" i="3"/>
  <c r="EF56" i="3"/>
  <c r="EO56" i="3"/>
  <c r="EG56" i="3"/>
  <c r="EP56" i="3"/>
  <c r="EH56" i="3"/>
  <c r="EQ56" i="3"/>
  <c r="EI56" i="3"/>
  <c r="FC56" i="3"/>
  <c r="FF56" i="3"/>
  <c r="FB56" i="3"/>
  <c r="FD56" i="3"/>
  <c r="EZ56" i="3"/>
  <c r="FG56" i="3"/>
  <c r="DZ57" i="3"/>
  <c r="AH77" i="3"/>
  <c r="AH72" i="3"/>
  <c r="BB71" i="3" s="1"/>
  <c r="AH73" i="3"/>
  <c r="AH78" i="3"/>
  <c r="AH71" i="3"/>
  <c r="AH62" i="3"/>
  <c r="AH56" i="3"/>
  <c r="BB55" i="3" s="1"/>
  <c r="AH57" i="3"/>
  <c r="W38" i="15"/>
  <c r="AH55" i="3"/>
  <c r="AH61" i="3"/>
  <c r="B9" i="4"/>
  <c r="H9" i="4" s="1"/>
  <c r="C9" i="7"/>
  <c r="M29" i="14"/>
  <c r="W29" i="14" s="1"/>
  <c r="W43" i="15"/>
  <c r="FN82" i="3"/>
  <c r="FN66" i="3"/>
  <c r="Z21" i="14"/>
  <c r="Z29" i="14"/>
  <c r="Z23" i="14"/>
  <c r="E58" i="14"/>
  <c r="E50" i="14"/>
  <c r="E55" i="14"/>
  <c r="E52" i="14"/>
  <c r="E57" i="14"/>
  <c r="E49" i="14"/>
  <c r="E51" i="14"/>
  <c r="E56" i="14"/>
  <c r="E54" i="14"/>
  <c r="E53" i="14"/>
  <c r="E60" i="14"/>
  <c r="H60" i="14" s="1"/>
  <c r="E59" i="14"/>
  <c r="M23" i="14"/>
  <c r="W23" i="14" s="1"/>
  <c r="Z26" i="14"/>
  <c r="Z30" i="14"/>
  <c r="M26" i="14"/>
  <c r="W26" i="14" s="1"/>
  <c r="M20" i="14"/>
  <c r="W20" i="14" s="1"/>
  <c r="M31" i="14"/>
  <c r="W31" i="14" s="1"/>
  <c r="Z28" i="14"/>
  <c r="M21" i="14"/>
  <c r="W21" i="14" s="1"/>
  <c r="Z25" i="14"/>
  <c r="Z22" i="14"/>
  <c r="H55" i="15"/>
  <c r="H49" i="15"/>
  <c r="H56" i="15"/>
  <c r="H51" i="15"/>
  <c r="H59" i="15"/>
  <c r="H52" i="15"/>
  <c r="H54" i="15"/>
  <c r="H57" i="15"/>
  <c r="H50" i="15"/>
  <c r="W37" i="15"/>
  <c r="H58" i="15"/>
  <c r="W44" i="15"/>
  <c r="W39" i="15"/>
  <c r="H53" i="15"/>
  <c r="W43" i="16"/>
  <c r="W39" i="16"/>
  <c r="H53" i="16"/>
  <c r="W38" i="16"/>
  <c r="H51" i="16"/>
  <c r="H52" i="16"/>
  <c r="W44" i="16"/>
  <c r="H59" i="16"/>
  <c r="H54" i="16"/>
  <c r="H56" i="16"/>
  <c r="H58" i="16"/>
  <c r="H49" i="16"/>
  <c r="W37" i="16"/>
  <c r="H57" i="16"/>
  <c r="H55" i="16"/>
  <c r="H50" i="16"/>
  <c r="B33" i="7"/>
  <c r="N24" i="7"/>
  <c r="B81" i="7"/>
  <c r="B57" i="7"/>
  <c r="M25" i="14"/>
  <c r="W25" i="14" s="1"/>
  <c r="M22" i="14"/>
  <c r="W22" i="14" s="1"/>
  <c r="Z20" i="14"/>
  <c r="Z27" i="14"/>
  <c r="M28" i="14"/>
  <c r="W28" i="14" s="1"/>
  <c r="M30" i="14"/>
  <c r="W30" i="14" s="1"/>
  <c r="Z24" i="14"/>
  <c r="Z31" i="14"/>
  <c r="M24" i="14"/>
  <c r="W24" i="14" s="1"/>
  <c r="M27" i="14"/>
  <c r="W27" i="14" s="1"/>
  <c r="X69" i="7" l="1"/>
  <c r="X68" i="7"/>
  <c r="X67" i="7"/>
  <c r="X66" i="7"/>
  <c r="X62" i="7"/>
  <c r="X65" i="7"/>
  <c r="X64" i="7"/>
  <c r="X63" i="7"/>
  <c r="X61" i="7"/>
  <c r="X60" i="7"/>
  <c r="X70" i="7"/>
  <c r="X59" i="7"/>
  <c r="X93" i="7"/>
  <c r="X92" i="7"/>
  <c r="X91" i="7"/>
  <c r="X90" i="7"/>
  <c r="X89" i="7"/>
  <c r="X88" i="7"/>
  <c r="X86" i="7"/>
  <c r="X87" i="7"/>
  <c r="X85" i="7"/>
  <c r="X94" i="7"/>
  <c r="X84" i="7"/>
  <c r="X83" i="7"/>
  <c r="X45" i="7"/>
  <c r="X44" i="7"/>
  <c r="X43" i="7"/>
  <c r="X42" i="7"/>
  <c r="X39" i="7"/>
  <c r="X38" i="7"/>
  <c r="X41" i="7"/>
  <c r="X40" i="7"/>
  <c r="X37" i="7"/>
  <c r="X36" i="7"/>
  <c r="X46" i="7"/>
  <c r="X35" i="7"/>
  <c r="HL56" i="3"/>
  <c r="GC58" i="3"/>
  <c r="HD57" i="3"/>
  <c r="HE57" i="3"/>
  <c r="HF57" i="3"/>
  <c r="HG57" i="3"/>
  <c r="HH57" i="3"/>
  <c r="HI57" i="3"/>
  <c r="HJ57" i="3"/>
  <c r="HK57" i="3"/>
  <c r="GZ57" i="3"/>
  <c r="GR57" i="3"/>
  <c r="HA57" i="3"/>
  <c r="GS57" i="3"/>
  <c r="HB57" i="3"/>
  <c r="GT57" i="3"/>
  <c r="HC57" i="3"/>
  <c r="GU57" i="3"/>
  <c r="GV57" i="3"/>
  <c r="GN57" i="3"/>
  <c r="GW57" i="3"/>
  <c r="GO57" i="3"/>
  <c r="GH57" i="3"/>
  <c r="GI57" i="3"/>
  <c r="GJ57" i="3"/>
  <c r="GK57" i="3"/>
  <c r="GF57" i="3"/>
  <c r="GX57" i="3"/>
  <c r="GP57" i="3"/>
  <c r="GL57" i="3"/>
  <c r="GY57" i="3"/>
  <c r="GQ57" i="3"/>
  <c r="GM57" i="3"/>
  <c r="GG57" i="3"/>
  <c r="GD58" i="3"/>
  <c r="GE57" i="3"/>
  <c r="EA57" i="3"/>
  <c r="FH56" i="3"/>
  <c r="DY58" i="3"/>
  <c r="EV57" i="3"/>
  <c r="EW57" i="3"/>
  <c r="EX57" i="3"/>
  <c r="EY57" i="3"/>
  <c r="FA57" i="3"/>
  <c r="ER57" i="3"/>
  <c r="FE57" i="3"/>
  <c r="ES57" i="3"/>
  <c r="ET57" i="3"/>
  <c r="ED57" i="3"/>
  <c r="EM57" i="3"/>
  <c r="EE57" i="3"/>
  <c r="EN57" i="3"/>
  <c r="EF57" i="3"/>
  <c r="EO57" i="3"/>
  <c r="EG57" i="3"/>
  <c r="EP57" i="3"/>
  <c r="EH57" i="3"/>
  <c r="EQ57" i="3"/>
  <c r="EU57" i="3"/>
  <c r="EI57" i="3"/>
  <c r="EJ57" i="3"/>
  <c r="EB57" i="3"/>
  <c r="EK57" i="3"/>
  <c r="EC57" i="3"/>
  <c r="EL57" i="3"/>
  <c r="FF57" i="3"/>
  <c r="FC57" i="3"/>
  <c r="EZ57" i="3"/>
  <c r="FB57" i="3"/>
  <c r="FG57" i="3"/>
  <c r="FD57" i="3"/>
  <c r="DZ58" i="3"/>
  <c r="BK59" i="3"/>
  <c r="BK60" i="3"/>
  <c r="BK61" i="3"/>
  <c r="BK62" i="3"/>
  <c r="BK63" i="3"/>
  <c r="BK64" i="3"/>
  <c r="BK65" i="3"/>
  <c r="BK66" i="3"/>
  <c r="BK55" i="3"/>
  <c r="BK56" i="3"/>
  <c r="BK57" i="3"/>
  <c r="BA78" i="3"/>
  <c r="BA79" i="3"/>
  <c r="BA80" i="3"/>
  <c r="BA81" i="3"/>
  <c r="BA82" i="3"/>
  <c r="BA77" i="3"/>
  <c r="BK58" i="3"/>
  <c r="BQ39" i="3"/>
  <c r="BQ40" i="3"/>
  <c r="BQ41" i="3"/>
  <c r="BG64" i="3"/>
  <c r="BG65" i="3"/>
  <c r="BG66" i="3"/>
  <c r="BG58" i="3"/>
  <c r="BG59" i="3"/>
  <c r="BG60" i="3"/>
  <c r="BG61" i="3"/>
  <c r="BG62" i="3"/>
  <c r="BG63" i="3"/>
  <c r="BR43" i="3"/>
  <c r="BR44" i="3"/>
  <c r="BR45" i="3"/>
  <c r="BR46" i="3"/>
  <c r="BR47" i="3"/>
  <c r="BR39" i="3"/>
  <c r="BR40" i="3"/>
  <c r="BR41" i="3"/>
  <c r="BH64" i="3"/>
  <c r="BH65" i="3"/>
  <c r="BH66" i="3"/>
  <c r="BR42" i="3"/>
  <c r="BR59" i="3"/>
  <c r="BR60" i="3"/>
  <c r="BR61" i="3"/>
  <c r="BR62" i="3"/>
  <c r="BR63" i="3"/>
  <c r="BR55" i="3"/>
  <c r="BR56" i="3"/>
  <c r="BR57" i="3"/>
  <c r="BR58" i="3"/>
  <c r="BH80" i="3"/>
  <c r="BH81" i="3"/>
  <c r="BH82" i="3"/>
  <c r="BK43" i="3"/>
  <c r="BK44" i="3"/>
  <c r="BK45" i="3"/>
  <c r="BK46" i="3"/>
  <c r="BK47" i="3"/>
  <c r="BK48" i="3"/>
  <c r="BK49" i="3"/>
  <c r="BK50" i="3"/>
  <c r="BK39" i="3"/>
  <c r="BK40" i="3"/>
  <c r="BK41" i="3"/>
  <c r="BA61" i="3"/>
  <c r="BK42" i="3"/>
  <c r="BA62" i="3"/>
  <c r="BA63" i="3"/>
  <c r="BA64" i="3"/>
  <c r="BA65" i="3"/>
  <c r="BA66" i="3"/>
  <c r="BM55" i="3"/>
  <c r="BM56" i="3"/>
  <c r="BM57" i="3"/>
  <c r="BC76" i="3"/>
  <c r="BC77" i="3"/>
  <c r="BC78" i="3"/>
  <c r="BC79" i="3"/>
  <c r="BC80" i="3"/>
  <c r="BC81" i="3"/>
  <c r="BC82" i="3"/>
  <c r="BC74" i="3"/>
  <c r="BC75" i="3"/>
  <c r="BM39" i="3"/>
  <c r="BM40" i="3"/>
  <c r="BM41" i="3"/>
  <c r="BC58" i="3"/>
  <c r="BC59" i="3"/>
  <c r="BC60" i="3"/>
  <c r="BC66" i="3"/>
  <c r="BC61" i="3"/>
  <c r="BC62" i="3"/>
  <c r="BC63" i="3"/>
  <c r="BC64" i="3"/>
  <c r="BC65" i="3"/>
  <c r="BL59" i="3"/>
  <c r="BL60" i="3"/>
  <c r="BL61" i="3"/>
  <c r="BL62" i="3"/>
  <c r="BL63" i="3"/>
  <c r="BL64" i="3"/>
  <c r="BL65" i="3"/>
  <c r="BL66" i="3"/>
  <c r="BL55" i="3"/>
  <c r="BL56" i="3"/>
  <c r="BL57" i="3"/>
  <c r="BB76" i="3"/>
  <c r="BB75" i="3"/>
  <c r="BL58" i="3"/>
  <c r="BB72" i="3"/>
  <c r="BB73" i="3"/>
  <c r="BB74" i="3"/>
  <c r="BL43" i="3"/>
  <c r="BL44" i="3"/>
  <c r="BL45" i="3"/>
  <c r="BL46" i="3"/>
  <c r="BL47" i="3"/>
  <c r="BL48" i="3"/>
  <c r="BL49" i="3"/>
  <c r="BL50" i="3"/>
  <c r="BL39" i="3"/>
  <c r="BL40" i="3"/>
  <c r="BL41" i="3"/>
  <c r="BB57" i="3"/>
  <c r="BB58" i="3"/>
  <c r="BB59" i="3"/>
  <c r="BL42" i="3"/>
  <c r="BB60" i="3"/>
  <c r="BB56" i="3"/>
  <c r="BQ55" i="3"/>
  <c r="BQ56" i="3"/>
  <c r="BQ57" i="3"/>
  <c r="BG74" i="3"/>
  <c r="BG75" i="3"/>
  <c r="BG82" i="3"/>
  <c r="BG76" i="3"/>
  <c r="BG77" i="3"/>
  <c r="BG78" i="3"/>
  <c r="BG79" i="3"/>
  <c r="BG80" i="3"/>
  <c r="BG81" i="3"/>
  <c r="AJ71" i="3"/>
  <c r="AJ78" i="3"/>
  <c r="AJ73" i="3"/>
  <c r="AJ72" i="3"/>
  <c r="AJ77" i="3"/>
  <c r="AJ55" i="3"/>
  <c r="AJ61" i="3"/>
  <c r="AJ57" i="3"/>
  <c r="AJ56" i="3"/>
  <c r="AJ62" i="3"/>
  <c r="FN81" i="3"/>
  <c r="FN73" i="3"/>
  <c r="FN79" i="3"/>
  <c r="FN74" i="3"/>
  <c r="FN71" i="3"/>
  <c r="FN80" i="3"/>
  <c r="FN78" i="3"/>
  <c r="FN77" i="3"/>
  <c r="FN72" i="3"/>
  <c r="FN76" i="3"/>
  <c r="FN75" i="3"/>
  <c r="FN59" i="3"/>
  <c r="FN58" i="3"/>
  <c r="FN63" i="3"/>
  <c r="FN62" i="3"/>
  <c r="FN55" i="3"/>
  <c r="FN64" i="3"/>
  <c r="FN61" i="3"/>
  <c r="FN57" i="3"/>
  <c r="FN56" i="3"/>
  <c r="FN65" i="3"/>
  <c r="FN60" i="3"/>
  <c r="FN50" i="3"/>
  <c r="H56" i="14"/>
  <c r="H51" i="14"/>
  <c r="H49" i="14"/>
  <c r="H57" i="14"/>
  <c r="H55" i="14"/>
  <c r="H54" i="14"/>
  <c r="H59" i="14"/>
  <c r="H52" i="14"/>
  <c r="H53" i="14"/>
  <c r="H50" i="14"/>
  <c r="H58" i="14"/>
  <c r="N72" i="7"/>
  <c r="C57" i="7"/>
  <c r="N96" i="7"/>
  <c r="C81" i="7"/>
  <c r="C33" i="7"/>
  <c r="N48" i="7"/>
  <c r="EA58" i="3" l="1"/>
  <c r="HL57" i="3"/>
  <c r="GC59" i="3"/>
  <c r="HF58" i="3"/>
  <c r="HG58" i="3"/>
  <c r="HH58" i="3"/>
  <c r="HI58" i="3"/>
  <c r="HJ58" i="3"/>
  <c r="HK58" i="3"/>
  <c r="HE58" i="3"/>
  <c r="HD58" i="3"/>
  <c r="GV58" i="3"/>
  <c r="GN58" i="3"/>
  <c r="GW58" i="3"/>
  <c r="GO58" i="3"/>
  <c r="GX58" i="3"/>
  <c r="GP58" i="3"/>
  <c r="GY58" i="3"/>
  <c r="GQ58" i="3"/>
  <c r="GZ58" i="3"/>
  <c r="GR58" i="3"/>
  <c r="HA58" i="3"/>
  <c r="GS58" i="3"/>
  <c r="GL58" i="3"/>
  <c r="GM58" i="3"/>
  <c r="GK58" i="3"/>
  <c r="HB58" i="3"/>
  <c r="GT58" i="3"/>
  <c r="GF58" i="3"/>
  <c r="HC58" i="3"/>
  <c r="GU58" i="3"/>
  <c r="GG58" i="3"/>
  <c r="GH58" i="3"/>
  <c r="GI58" i="3"/>
  <c r="GJ58" i="3"/>
  <c r="GD59" i="3"/>
  <c r="GE58" i="3"/>
  <c r="FH57" i="3"/>
  <c r="DY59" i="3"/>
  <c r="FE58" i="3"/>
  <c r="FF58" i="3"/>
  <c r="ER58" i="3"/>
  <c r="ES58" i="3"/>
  <c r="ET58" i="3"/>
  <c r="EU58" i="3"/>
  <c r="EV58" i="3"/>
  <c r="EW58" i="3"/>
  <c r="FA58" i="3"/>
  <c r="EX58" i="3"/>
  <c r="EH58" i="3"/>
  <c r="EQ58" i="3"/>
  <c r="EI58" i="3"/>
  <c r="EJ58" i="3"/>
  <c r="EY58" i="3"/>
  <c r="EB58" i="3"/>
  <c r="EK58" i="3"/>
  <c r="EC58" i="3"/>
  <c r="EL58" i="3"/>
  <c r="FB58" i="3"/>
  <c r="ED58" i="3"/>
  <c r="EM58" i="3"/>
  <c r="EE58" i="3"/>
  <c r="EN58" i="3"/>
  <c r="EF58" i="3"/>
  <c r="EO58" i="3"/>
  <c r="EG58" i="3"/>
  <c r="EP58" i="3"/>
  <c r="FD58" i="3"/>
  <c r="EZ58" i="3"/>
  <c r="FG58" i="3"/>
  <c r="FC58" i="3"/>
  <c r="DZ59" i="3"/>
  <c r="FN45" i="3"/>
  <c r="FN41" i="3"/>
  <c r="FP41" i="3" s="1"/>
  <c r="K37" i="7" s="1"/>
  <c r="FN39" i="3"/>
  <c r="FP39" i="3" s="1"/>
  <c r="K35" i="7" s="1"/>
  <c r="FN40" i="3"/>
  <c r="FP40" i="3" s="1"/>
  <c r="K36" i="7" s="1"/>
  <c r="FN43" i="3"/>
  <c r="FP43" i="3" s="1"/>
  <c r="K39" i="7" s="1"/>
  <c r="FN46" i="3"/>
  <c r="FN44" i="3"/>
  <c r="FN47" i="3"/>
  <c r="FN48" i="3"/>
  <c r="FN42" i="3"/>
  <c r="FP42" i="3" s="1"/>
  <c r="K38" i="7" s="1"/>
  <c r="FN49" i="3"/>
  <c r="E47" i="4"/>
  <c r="E45" i="4"/>
  <c r="E46" i="4"/>
  <c r="HL58" i="3" l="1"/>
  <c r="GC60" i="3"/>
  <c r="HJ59" i="3"/>
  <c r="HK59" i="3"/>
  <c r="HI59" i="3"/>
  <c r="HD59" i="3"/>
  <c r="HE59" i="3"/>
  <c r="HF59" i="3"/>
  <c r="HG59" i="3"/>
  <c r="HH59" i="3"/>
  <c r="GV59" i="3"/>
  <c r="GN59" i="3"/>
  <c r="GW59" i="3"/>
  <c r="GO59" i="3"/>
  <c r="GX59" i="3"/>
  <c r="GP59" i="3"/>
  <c r="GY59" i="3"/>
  <c r="GQ59" i="3"/>
  <c r="GZ59" i="3"/>
  <c r="GR59" i="3"/>
  <c r="HA59" i="3"/>
  <c r="GS59" i="3"/>
  <c r="HB59" i="3"/>
  <c r="GT59" i="3"/>
  <c r="HC59" i="3"/>
  <c r="GU59" i="3"/>
  <c r="GF59" i="3"/>
  <c r="GG59" i="3"/>
  <c r="GH59" i="3"/>
  <c r="GI59" i="3"/>
  <c r="GJ59" i="3"/>
  <c r="GK59" i="3"/>
  <c r="GL59" i="3"/>
  <c r="GM59" i="3"/>
  <c r="FH58" i="3"/>
  <c r="GD60" i="3"/>
  <c r="GE59" i="3"/>
  <c r="EA59" i="3"/>
  <c r="DY60" i="3"/>
  <c r="ER59" i="3"/>
  <c r="ES59" i="3"/>
  <c r="FA59" i="3"/>
  <c r="ET59" i="3"/>
  <c r="FB59" i="3"/>
  <c r="EU59" i="3"/>
  <c r="FE59" i="3"/>
  <c r="EV59" i="3"/>
  <c r="FF59" i="3"/>
  <c r="EW59" i="3"/>
  <c r="EX59" i="3"/>
  <c r="EY59" i="3"/>
  <c r="EJ59" i="3"/>
  <c r="EB59" i="3"/>
  <c r="EK59" i="3"/>
  <c r="EC59" i="3"/>
  <c r="EL59" i="3"/>
  <c r="ED59" i="3"/>
  <c r="EM59" i="3"/>
  <c r="EE59" i="3"/>
  <c r="EN59" i="3"/>
  <c r="EF59" i="3"/>
  <c r="EO59" i="3"/>
  <c r="EG59" i="3"/>
  <c r="EP59" i="3"/>
  <c r="EH59" i="3"/>
  <c r="EQ59" i="3"/>
  <c r="EI59" i="3"/>
  <c r="FD59" i="3"/>
  <c r="EZ59" i="3"/>
  <c r="FG59" i="3"/>
  <c r="FC59" i="3"/>
  <c r="DZ60" i="3"/>
  <c r="Z5" i="3"/>
  <c r="E14" i="13"/>
  <c r="FH59" i="3" l="1"/>
  <c r="GC61" i="3"/>
  <c r="HD60" i="3"/>
  <c r="HE60" i="3"/>
  <c r="HF60" i="3"/>
  <c r="HG60" i="3"/>
  <c r="HH60" i="3"/>
  <c r="HI60" i="3"/>
  <c r="HJ60" i="3"/>
  <c r="HK60" i="3"/>
  <c r="GZ60" i="3"/>
  <c r="GR60" i="3"/>
  <c r="HA60" i="3"/>
  <c r="GS60" i="3"/>
  <c r="HB60" i="3"/>
  <c r="GT60" i="3"/>
  <c r="HC60" i="3"/>
  <c r="GU60" i="3"/>
  <c r="GV60" i="3"/>
  <c r="GN60" i="3"/>
  <c r="GW60" i="3"/>
  <c r="GO60" i="3"/>
  <c r="GH60" i="3"/>
  <c r="GI60" i="3"/>
  <c r="GG60" i="3"/>
  <c r="GJ60" i="3"/>
  <c r="GK60" i="3"/>
  <c r="GL60" i="3"/>
  <c r="GM60" i="3"/>
  <c r="GF60" i="3"/>
  <c r="GX60" i="3"/>
  <c r="GP60" i="3"/>
  <c r="GY60" i="3"/>
  <c r="GQ60" i="3"/>
  <c r="HL59" i="3"/>
  <c r="GD61" i="3"/>
  <c r="GE60" i="3"/>
  <c r="EA60" i="3"/>
  <c r="DY61" i="3"/>
  <c r="EV60" i="3"/>
  <c r="EW60" i="3"/>
  <c r="EX60" i="3"/>
  <c r="EY60" i="3"/>
  <c r="FA60" i="3"/>
  <c r="FB60" i="3"/>
  <c r="FE60" i="3"/>
  <c r="ER60" i="3"/>
  <c r="FF60" i="3"/>
  <c r="ES60" i="3"/>
  <c r="ET60" i="3"/>
  <c r="ED60" i="3"/>
  <c r="EM60" i="3"/>
  <c r="EE60" i="3"/>
  <c r="EN60" i="3"/>
  <c r="EF60" i="3"/>
  <c r="EO60" i="3"/>
  <c r="EG60" i="3"/>
  <c r="EP60" i="3"/>
  <c r="EH60" i="3"/>
  <c r="EQ60" i="3"/>
  <c r="EI60" i="3"/>
  <c r="EU60" i="3"/>
  <c r="EJ60" i="3"/>
  <c r="EB60" i="3"/>
  <c r="EK60" i="3"/>
  <c r="EC60" i="3"/>
  <c r="EL60" i="3"/>
  <c r="EZ60" i="3"/>
  <c r="FG60" i="3"/>
  <c r="FC60" i="3"/>
  <c r="FD60" i="3"/>
  <c r="DZ61" i="3"/>
  <c r="AD5" i="3"/>
  <c r="AC5" i="3"/>
  <c r="AB5" i="3"/>
  <c r="AA5" i="3"/>
  <c r="Z6" i="3"/>
  <c r="Z8" i="3"/>
  <c r="Z9" i="3"/>
  <c r="Z7" i="3"/>
  <c r="Z10" i="3"/>
  <c r="Z11" i="3"/>
  <c r="Z12" i="3"/>
  <c r="Z13" i="3"/>
  <c r="HL60" i="3" l="1"/>
  <c r="GC62" i="3"/>
  <c r="HE61" i="3"/>
  <c r="HD61" i="3"/>
  <c r="HF61" i="3"/>
  <c r="HG61" i="3"/>
  <c r="HH61" i="3"/>
  <c r="HI61" i="3"/>
  <c r="HJ61" i="3"/>
  <c r="HK61" i="3"/>
  <c r="GV61" i="3"/>
  <c r="GN61" i="3"/>
  <c r="GW61" i="3"/>
  <c r="GO61" i="3"/>
  <c r="GX61" i="3"/>
  <c r="GP61" i="3"/>
  <c r="GY61" i="3"/>
  <c r="GQ61" i="3"/>
  <c r="GZ61" i="3"/>
  <c r="GR61" i="3"/>
  <c r="HA61" i="3"/>
  <c r="GS61" i="3"/>
  <c r="GL61" i="3"/>
  <c r="GT61" i="3"/>
  <c r="GM61" i="3"/>
  <c r="HB61" i="3"/>
  <c r="GJ61" i="3"/>
  <c r="HC61" i="3"/>
  <c r="GU61" i="3"/>
  <c r="GK61" i="3"/>
  <c r="GF61" i="3"/>
  <c r="GG61" i="3"/>
  <c r="GH61" i="3"/>
  <c r="GI61" i="3"/>
  <c r="GD62" i="3"/>
  <c r="GE61" i="3"/>
  <c r="FH60" i="3"/>
  <c r="EA61" i="3"/>
  <c r="DY62" i="3"/>
  <c r="FD61" i="3"/>
  <c r="FF61" i="3"/>
  <c r="ER61" i="3"/>
  <c r="ES61" i="3"/>
  <c r="ET61" i="3"/>
  <c r="EU61" i="3"/>
  <c r="EV61" i="3"/>
  <c r="EW61" i="3"/>
  <c r="EZ61" i="3"/>
  <c r="EX61" i="3"/>
  <c r="EH61" i="3"/>
  <c r="EQ61" i="3"/>
  <c r="EI61" i="3"/>
  <c r="EJ61" i="3"/>
  <c r="EB61" i="3"/>
  <c r="EK61" i="3"/>
  <c r="EC61" i="3"/>
  <c r="EL61" i="3"/>
  <c r="EY61" i="3"/>
  <c r="ED61" i="3"/>
  <c r="EM61" i="3"/>
  <c r="FB61" i="3"/>
  <c r="EE61" i="3"/>
  <c r="EN61" i="3"/>
  <c r="EF61" i="3"/>
  <c r="EO61" i="3"/>
  <c r="EG61" i="3"/>
  <c r="EP61" i="3"/>
  <c r="FC61" i="3"/>
  <c r="FG61" i="3"/>
  <c r="FA61" i="3"/>
  <c r="FE61" i="3"/>
  <c r="DZ62" i="3"/>
  <c r="AB13" i="3"/>
  <c r="AA13" i="3"/>
  <c r="AC13" i="3"/>
  <c r="AD13" i="3"/>
  <c r="AA12" i="3"/>
  <c r="AD12" i="3"/>
  <c r="AB12" i="3"/>
  <c r="AC12" i="3"/>
  <c r="AC7" i="3"/>
  <c r="AA7" i="3"/>
  <c r="AB7" i="3"/>
  <c r="AD7" i="3"/>
  <c r="AC10" i="3"/>
  <c r="AB10" i="3"/>
  <c r="AD10" i="3"/>
  <c r="AA10" i="3"/>
  <c r="AB9" i="3"/>
  <c r="AC9" i="3"/>
  <c r="AD9" i="3"/>
  <c r="AA9" i="3"/>
  <c r="AD8" i="3"/>
  <c r="AA8" i="3"/>
  <c r="AB8" i="3"/>
  <c r="AC8" i="3"/>
  <c r="AC11" i="3"/>
  <c r="AA11" i="3"/>
  <c r="AD11" i="3"/>
  <c r="AB11" i="3"/>
  <c r="AB6" i="3"/>
  <c r="AC6" i="3"/>
  <c r="AD6" i="3"/>
  <c r="AA6" i="3"/>
  <c r="Z14" i="3"/>
  <c r="HL61" i="3" l="1"/>
  <c r="GC63" i="3"/>
  <c r="HI62" i="3"/>
  <c r="HJ62" i="3"/>
  <c r="HH62" i="3"/>
  <c r="HK62" i="3"/>
  <c r="HD62" i="3"/>
  <c r="HE62" i="3"/>
  <c r="HF62" i="3"/>
  <c r="HG62" i="3"/>
  <c r="GV62" i="3"/>
  <c r="GN62" i="3"/>
  <c r="GW62" i="3"/>
  <c r="GO62" i="3"/>
  <c r="GX62" i="3"/>
  <c r="GP62" i="3"/>
  <c r="GY62" i="3"/>
  <c r="GQ62" i="3"/>
  <c r="GZ62" i="3"/>
  <c r="GR62" i="3"/>
  <c r="HA62" i="3"/>
  <c r="GS62" i="3"/>
  <c r="HB62" i="3"/>
  <c r="GT62" i="3"/>
  <c r="HC62" i="3"/>
  <c r="GU62" i="3"/>
  <c r="GF62" i="3"/>
  <c r="GG62" i="3"/>
  <c r="GH62" i="3"/>
  <c r="GI62" i="3"/>
  <c r="GJ62" i="3"/>
  <c r="GK62" i="3"/>
  <c r="GL62" i="3"/>
  <c r="GM62" i="3"/>
  <c r="GE62" i="3"/>
  <c r="GD63" i="3"/>
  <c r="FH61" i="3"/>
  <c r="EA62" i="3"/>
  <c r="DY63" i="3"/>
  <c r="ER62" i="3"/>
  <c r="ES62" i="3"/>
  <c r="EZ62" i="3"/>
  <c r="ET62" i="3"/>
  <c r="FB62" i="3"/>
  <c r="EU62" i="3"/>
  <c r="FD62" i="3"/>
  <c r="EV62" i="3"/>
  <c r="FF62" i="3"/>
  <c r="EW62" i="3"/>
  <c r="EX62" i="3"/>
  <c r="EY62" i="3"/>
  <c r="EJ62" i="3"/>
  <c r="EB62" i="3"/>
  <c r="EK62" i="3"/>
  <c r="EC62" i="3"/>
  <c r="EL62" i="3"/>
  <c r="ED62" i="3"/>
  <c r="EM62" i="3"/>
  <c r="EE62" i="3"/>
  <c r="EN62" i="3"/>
  <c r="EF62" i="3"/>
  <c r="EO62" i="3"/>
  <c r="EG62" i="3"/>
  <c r="EP62" i="3"/>
  <c r="EH62" i="3"/>
  <c r="EQ62" i="3"/>
  <c r="EI62" i="3"/>
  <c r="FG62" i="3"/>
  <c r="FE62" i="3"/>
  <c r="FA62" i="3"/>
  <c r="FC62" i="3"/>
  <c r="DZ63" i="3"/>
  <c r="AB14" i="3"/>
  <c r="AC14" i="3"/>
  <c r="AD14" i="3"/>
  <c r="AA14" i="3"/>
  <c r="Z15" i="3"/>
  <c r="D14" i="13"/>
  <c r="B45" i="4"/>
  <c r="B46" i="4"/>
  <c r="B47" i="4"/>
  <c r="B44" i="4"/>
  <c r="AM8" i="15" l="1"/>
  <c r="AM8" i="16"/>
  <c r="AM8" i="14"/>
  <c r="AM8" i="6"/>
  <c r="B8" i="6"/>
  <c r="IN6" i="3"/>
  <c r="IN7" i="3"/>
  <c r="IV7" i="3" s="1"/>
  <c r="IN8" i="3"/>
  <c r="IV8" i="3" s="1"/>
  <c r="IN9" i="3"/>
  <c r="IV9" i="3" s="1"/>
  <c r="IC9" i="3"/>
  <c r="H14" i="8"/>
  <c r="O14" i="8" s="1"/>
  <c r="IR9" i="3"/>
  <c r="AQ96" i="7"/>
  <c r="AM96" i="7" s="1"/>
  <c r="U96" i="7"/>
  <c r="T46" i="4"/>
  <c r="IC8" i="3"/>
  <c r="H13" i="8"/>
  <c r="IR8" i="3"/>
  <c r="AQ72" i="7"/>
  <c r="AM72" i="7" s="1"/>
  <c r="U72" i="7"/>
  <c r="IC7" i="3"/>
  <c r="H12" i="8"/>
  <c r="O12" i="8" s="1"/>
  <c r="IR7" i="3"/>
  <c r="AQ48" i="7"/>
  <c r="AM48" i="7" s="1"/>
  <c r="U48" i="7"/>
  <c r="T44" i="4"/>
  <c r="IR6" i="3"/>
  <c r="H11" i="8"/>
  <c r="IC6" i="3"/>
  <c r="U24" i="7"/>
  <c r="AQ24" i="7"/>
  <c r="AM24" i="7" s="1"/>
  <c r="HL62" i="3"/>
  <c r="GC64" i="3"/>
  <c r="HD63" i="3"/>
  <c r="HE63" i="3"/>
  <c r="HF63" i="3"/>
  <c r="HG63" i="3"/>
  <c r="HH63" i="3"/>
  <c r="HI63" i="3"/>
  <c r="HJ63" i="3"/>
  <c r="HK63" i="3"/>
  <c r="GZ63" i="3"/>
  <c r="GR63" i="3"/>
  <c r="HA63" i="3"/>
  <c r="GS63" i="3"/>
  <c r="HB63" i="3"/>
  <c r="GT63" i="3"/>
  <c r="HC63" i="3"/>
  <c r="GU63" i="3"/>
  <c r="GV63" i="3"/>
  <c r="GN63" i="3"/>
  <c r="GW63" i="3"/>
  <c r="GO63" i="3"/>
  <c r="GX63" i="3"/>
  <c r="GP63" i="3"/>
  <c r="GH63" i="3"/>
  <c r="GY63" i="3"/>
  <c r="GQ63" i="3"/>
  <c r="GI63" i="3"/>
  <c r="GJ63" i="3"/>
  <c r="GK63" i="3"/>
  <c r="GF63" i="3"/>
  <c r="GG63" i="3"/>
  <c r="GL63" i="3"/>
  <c r="GM63" i="3"/>
  <c r="GE63" i="3"/>
  <c r="GD64" i="3"/>
  <c r="EA63" i="3"/>
  <c r="FH62" i="3"/>
  <c r="DY64" i="3"/>
  <c r="EV63" i="3"/>
  <c r="EW63" i="3"/>
  <c r="EX63" i="3"/>
  <c r="EY63" i="3"/>
  <c r="EZ63" i="3"/>
  <c r="FB63" i="3"/>
  <c r="FD63" i="3"/>
  <c r="ER63" i="3"/>
  <c r="FF63" i="3"/>
  <c r="ES63" i="3"/>
  <c r="ET63" i="3"/>
  <c r="ED63" i="3"/>
  <c r="EM63" i="3"/>
  <c r="EE63" i="3"/>
  <c r="EN63" i="3"/>
  <c r="EF63" i="3"/>
  <c r="EO63" i="3"/>
  <c r="EG63" i="3"/>
  <c r="EP63" i="3"/>
  <c r="EH63" i="3"/>
  <c r="EQ63" i="3"/>
  <c r="EI63" i="3"/>
  <c r="EU63" i="3"/>
  <c r="EJ63" i="3"/>
  <c r="EB63" i="3"/>
  <c r="EK63" i="3"/>
  <c r="EC63" i="3"/>
  <c r="EL63" i="3"/>
  <c r="FC63" i="3"/>
  <c r="FE63" i="3"/>
  <c r="FG63" i="3"/>
  <c r="FA63" i="3"/>
  <c r="DZ64" i="3"/>
  <c r="T45" i="4"/>
  <c r="T47" i="4"/>
  <c r="F7" i="4" a="1"/>
  <c r="F7" i="4" s="1"/>
  <c r="HY6" i="3"/>
  <c r="IG6" i="3" s="1"/>
  <c r="HY7" i="3"/>
  <c r="IG7" i="3" s="1"/>
  <c r="HY9" i="3"/>
  <c r="IG9" i="3" s="1"/>
  <c r="HY8" i="3"/>
  <c r="IG8" i="3" s="1"/>
  <c r="B8" i="16"/>
  <c r="AA15" i="3"/>
  <c r="AC15" i="3"/>
  <c r="AB15" i="3"/>
  <c r="AD15" i="3"/>
  <c r="Z16" i="3"/>
  <c r="B8" i="15"/>
  <c r="B8" i="14"/>
  <c r="D30" i="7"/>
  <c r="D78" i="7" s="1"/>
  <c r="D54" i="7"/>
  <c r="G12" i="8" l="1"/>
  <c r="M6" i="8"/>
  <c r="B4" i="20" s="1"/>
  <c r="AR6" i="15"/>
  <c r="Y7" i="7"/>
  <c r="AR6" i="16"/>
  <c r="D7" i="7"/>
  <c r="AR6" i="14"/>
  <c r="AR6" i="6"/>
  <c r="O11" i="8"/>
  <c r="G13" i="8"/>
  <c r="O13" i="8"/>
  <c r="IR5" i="3"/>
  <c r="EA64" i="3"/>
  <c r="HL63" i="3"/>
  <c r="GC65" i="3"/>
  <c r="HD64" i="3"/>
  <c r="HE64" i="3"/>
  <c r="HF64" i="3"/>
  <c r="HG64" i="3"/>
  <c r="HH64" i="3"/>
  <c r="HI64" i="3"/>
  <c r="HJ64" i="3"/>
  <c r="HK64" i="3"/>
  <c r="GV64" i="3"/>
  <c r="GN64" i="3"/>
  <c r="GW64" i="3"/>
  <c r="GO64" i="3"/>
  <c r="GX64" i="3"/>
  <c r="GP64" i="3"/>
  <c r="GY64" i="3"/>
  <c r="GQ64" i="3"/>
  <c r="GZ64" i="3"/>
  <c r="GR64" i="3"/>
  <c r="HA64" i="3"/>
  <c r="GS64" i="3"/>
  <c r="GL64" i="3"/>
  <c r="GM64" i="3"/>
  <c r="HB64" i="3"/>
  <c r="GT64" i="3"/>
  <c r="HC64" i="3"/>
  <c r="GU64" i="3"/>
  <c r="GF64" i="3"/>
  <c r="GG64" i="3"/>
  <c r="GK64" i="3"/>
  <c r="GH64" i="3"/>
  <c r="GI64" i="3"/>
  <c r="GJ64" i="3"/>
  <c r="GD65" i="3"/>
  <c r="GE64" i="3"/>
  <c r="FH63" i="3"/>
  <c r="DY65" i="3"/>
  <c r="FC64" i="3"/>
  <c r="FD64" i="3"/>
  <c r="FF64" i="3"/>
  <c r="FG64" i="3"/>
  <c r="ER64" i="3"/>
  <c r="ES64" i="3"/>
  <c r="ET64" i="3"/>
  <c r="EU64" i="3"/>
  <c r="EV64" i="3"/>
  <c r="EW64" i="3"/>
  <c r="EZ64" i="3"/>
  <c r="EX64" i="3"/>
  <c r="EH64" i="3"/>
  <c r="EQ64" i="3"/>
  <c r="EI64" i="3"/>
  <c r="EJ64" i="3"/>
  <c r="EB64" i="3"/>
  <c r="EK64" i="3"/>
  <c r="EC64" i="3"/>
  <c r="EL64" i="3"/>
  <c r="ED64" i="3"/>
  <c r="EM64" i="3"/>
  <c r="EE64" i="3"/>
  <c r="EN64" i="3"/>
  <c r="FB64" i="3"/>
  <c r="EY64" i="3"/>
  <c r="EF64" i="3"/>
  <c r="EO64" i="3"/>
  <c r="EG64" i="3"/>
  <c r="EP64" i="3"/>
  <c r="FA64" i="3"/>
  <c r="FE64" i="3"/>
  <c r="DZ65" i="3"/>
  <c r="E6" i="14"/>
  <c r="E6" i="6"/>
  <c r="Q96" i="7"/>
  <c r="E6" i="8"/>
  <c r="E6" i="15"/>
  <c r="E6" i="16"/>
  <c r="IC5" i="3"/>
  <c r="G14" i="8"/>
  <c r="G11" i="8"/>
  <c r="Q24" i="7"/>
  <c r="Q48" i="7"/>
  <c r="Q72" i="7"/>
  <c r="AD16" i="3"/>
  <c r="AA16" i="3"/>
  <c r="AB16" i="3"/>
  <c r="AC16" i="3"/>
  <c r="H10" i="8"/>
  <c r="Y55" i="7" l="1"/>
  <c r="Y79" i="7"/>
  <c r="Y31" i="7"/>
  <c r="HL64" i="3"/>
  <c r="GC66" i="3"/>
  <c r="HH65" i="3"/>
  <c r="HI65" i="3"/>
  <c r="HJ65" i="3"/>
  <c r="HK65" i="3"/>
  <c r="HG65" i="3"/>
  <c r="HD65" i="3"/>
  <c r="HE65" i="3"/>
  <c r="HF65" i="3"/>
  <c r="GV65" i="3"/>
  <c r="GN65" i="3"/>
  <c r="GW65" i="3"/>
  <c r="GO65" i="3"/>
  <c r="GX65" i="3"/>
  <c r="GP65" i="3"/>
  <c r="GY65" i="3"/>
  <c r="GQ65" i="3"/>
  <c r="GZ65" i="3"/>
  <c r="GR65" i="3"/>
  <c r="HA65" i="3"/>
  <c r="GS65" i="3"/>
  <c r="HB65" i="3"/>
  <c r="GT65" i="3"/>
  <c r="HC65" i="3"/>
  <c r="GU65" i="3"/>
  <c r="GF65" i="3"/>
  <c r="GG65" i="3"/>
  <c r="GH65" i="3"/>
  <c r="GI65" i="3"/>
  <c r="GJ65" i="3"/>
  <c r="GK65" i="3"/>
  <c r="GL65" i="3"/>
  <c r="GM65" i="3"/>
  <c r="FH64" i="3"/>
  <c r="EA65" i="3"/>
  <c r="GE65" i="3"/>
  <c r="GD66" i="3"/>
  <c r="DY66" i="3"/>
  <c r="ER65" i="3"/>
  <c r="ES65" i="3"/>
  <c r="ET65" i="3"/>
  <c r="EU65" i="3"/>
  <c r="EZ65" i="3"/>
  <c r="EV65" i="3"/>
  <c r="FB65" i="3"/>
  <c r="EW65" i="3"/>
  <c r="FC65" i="3"/>
  <c r="EX65" i="3"/>
  <c r="FD65" i="3"/>
  <c r="EY65" i="3"/>
  <c r="FF65" i="3"/>
  <c r="FG65" i="3"/>
  <c r="EJ65" i="3"/>
  <c r="EB65" i="3"/>
  <c r="EK65" i="3"/>
  <c r="EC65" i="3"/>
  <c r="EL65" i="3"/>
  <c r="ED65" i="3"/>
  <c r="EM65" i="3"/>
  <c r="EE65" i="3"/>
  <c r="EN65" i="3"/>
  <c r="EF65" i="3"/>
  <c r="EO65" i="3"/>
  <c r="EG65" i="3"/>
  <c r="EP65" i="3"/>
  <c r="EH65" i="3"/>
  <c r="EQ65" i="3"/>
  <c r="EI65" i="3"/>
  <c r="FE65" i="3"/>
  <c r="FA65" i="3"/>
  <c r="DZ66" i="3"/>
  <c r="Z18" i="3"/>
  <c r="Z17" i="3"/>
  <c r="D31" i="7"/>
  <c r="D79" i="7"/>
  <c r="D55" i="7"/>
  <c r="HL65" i="3" l="1"/>
  <c r="GC67" i="3"/>
  <c r="HK66" i="3"/>
  <c r="HD66" i="3"/>
  <c r="HE66" i="3"/>
  <c r="HF66" i="3"/>
  <c r="HG66" i="3"/>
  <c r="HH66" i="3"/>
  <c r="HI66" i="3"/>
  <c r="HJ66" i="3"/>
  <c r="GZ66" i="3"/>
  <c r="GR66" i="3"/>
  <c r="HA66" i="3"/>
  <c r="GS66" i="3"/>
  <c r="HB66" i="3"/>
  <c r="GT66" i="3"/>
  <c r="HC66" i="3"/>
  <c r="GU66" i="3"/>
  <c r="GV66" i="3"/>
  <c r="GN66" i="3"/>
  <c r="GW66" i="3"/>
  <c r="GO66" i="3"/>
  <c r="GH66" i="3"/>
  <c r="GI66" i="3"/>
  <c r="GJ66" i="3"/>
  <c r="GF66" i="3"/>
  <c r="GK66" i="3"/>
  <c r="GX66" i="3"/>
  <c r="GP66" i="3"/>
  <c r="GL66" i="3"/>
  <c r="GY66" i="3"/>
  <c r="GQ66" i="3"/>
  <c r="GM66" i="3"/>
  <c r="GG66" i="3"/>
  <c r="FH65" i="3"/>
  <c r="GD67" i="3"/>
  <c r="GE66" i="3"/>
  <c r="EA66" i="3"/>
  <c r="DY67" i="3"/>
  <c r="FC66" i="3"/>
  <c r="EV66" i="3"/>
  <c r="FD66" i="3"/>
  <c r="EW66" i="3"/>
  <c r="FF66" i="3"/>
  <c r="EX66" i="3"/>
  <c r="FG66" i="3"/>
  <c r="EY66" i="3"/>
  <c r="ER66" i="3"/>
  <c r="ES66" i="3"/>
  <c r="EZ66" i="3"/>
  <c r="ET66" i="3"/>
  <c r="ED66" i="3"/>
  <c r="EM66" i="3"/>
  <c r="EE66" i="3"/>
  <c r="EN66" i="3"/>
  <c r="EF66" i="3"/>
  <c r="EO66" i="3"/>
  <c r="EG66" i="3"/>
  <c r="EP66" i="3"/>
  <c r="EH66" i="3"/>
  <c r="EQ66" i="3"/>
  <c r="EI66" i="3"/>
  <c r="EJ66" i="3"/>
  <c r="EB66" i="3"/>
  <c r="EK66" i="3"/>
  <c r="FB66" i="3"/>
  <c r="EC66" i="3"/>
  <c r="EL66" i="3"/>
  <c r="EU66" i="3"/>
  <c r="FE66" i="3"/>
  <c r="FA66" i="3"/>
  <c r="DZ67" i="3"/>
  <c r="AB17" i="3"/>
  <c r="AC17" i="3"/>
  <c r="AD17" i="3"/>
  <c r="AA17" i="3"/>
  <c r="AB18" i="3"/>
  <c r="AC18" i="3"/>
  <c r="AD18" i="3"/>
  <c r="AA18" i="3"/>
  <c r="Z19" i="3"/>
  <c r="H11" i="7"/>
  <c r="L20" i="6"/>
  <c r="D11" i="7" s="1"/>
  <c r="L40" i="6"/>
  <c r="T40" i="6"/>
  <c r="H12" i="7"/>
  <c r="H13" i="7"/>
  <c r="H14" i="7"/>
  <c r="H15" i="7"/>
  <c r="H16" i="7"/>
  <c r="H17" i="7"/>
  <c r="H18" i="7"/>
  <c r="H19" i="7"/>
  <c r="H20" i="7"/>
  <c r="H21" i="7"/>
  <c r="H22" i="7"/>
  <c r="G12" i="7"/>
  <c r="G13" i="7"/>
  <c r="G14" i="7"/>
  <c r="G15" i="7"/>
  <c r="G16" i="7"/>
  <c r="G17" i="7"/>
  <c r="G18" i="7"/>
  <c r="G19" i="7"/>
  <c r="G20" i="7"/>
  <c r="G21" i="7"/>
  <c r="G22" i="7"/>
  <c r="T38" i="6"/>
  <c r="T39" i="6"/>
  <c r="T44" i="6"/>
  <c r="N49" i="6" s="1"/>
  <c r="L39" i="6"/>
  <c r="L44" i="6"/>
  <c r="HL66" i="3" l="1"/>
  <c r="GC68" i="3"/>
  <c r="HD67" i="3"/>
  <c r="HE67" i="3"/>
  <c r="HF67" i="3"/>
  <c r="HG67" i="3"/>
  <c r="HH67" i="3"/>
  <c r="HI67" i="3"/>
  <c r="HJ67" i="3"/>
  <c r="HK67" i="3"/>
  <c r="GV67" i="3"/>
  <c r="GN67" i="3"/>
  <c r="GW67" i="3"/>
  <c r="GO67" i="3"/>
  <c r="GX67" i="3"/>
  <c r="GP67" i="3"/>
  <c r="GY67" i="3"/>
  <c r="GQ67" i="3"/>
  <c r="GZ67" i="3"/>
  <c r="GR67" i="3"/>
  <c r="HA67" i="3"/>
  <c r="GS67" i="3"/>
  <c r="GL67" i="3"/>
  <c r="GM67" i="3"/>
  <c r="GJ67" i="3"/>
  <c r="GK67" i="3"/>
  <c r="HB67" i="3"/>
  <c r="GT67" i="3"/>
  <c r="GF67" i="3"/>
  <c r="HC67" i="3"/>
  <c r="GU67" i="3"/>
  <c r="GG67" i="3"/>
  <c r="GH67" i="3"/>
  <c r="GI67" i="3"/>
  <c r="GE67" i="3"/>
  <c r="GD68" i="3"/>
  <c r="FH66" i="3"/>
  <c r="EA67" i="3"/>
  <c r="DY68" i="3"/>
  <c r="EZ67" i="3"/>
  <c r="ER67" i="3"/>
  <c r="FA67" i="3"/>
  <c r="ES67" i="3"/>
  <c r="FB67" i="3"/>
  <c r="ET67" i="3"/>
  <c r="FC67" i="3"/>
  <c r="EU67" i="3"/>
  <c r="FD67" i="3"/>
  <c r="EV67" i="3"/>
  <c r="FE67" i="3"/>
  <c r="EW67" i="3"/>
  <c r="FF67" i="3"/>
  <c r="EX67" i="3"/>
  <c r="FG67" i="3"/>
  <c r="EY67" i="3"/>
  <c r="EH67" i="3"/>
  <c r="EQ67" i="3"/>
  <c r="EI67" i="3"/>
  <c r="EJ67" i="3"/>
  <c r="EB67" i="3"/>
  <c r="EK67" i="3"/>
  <c r="EC67" i="3"/>
  <c r="EL67" i="3"/>
  <c r="ED67" i="3"/>
  <c r="EM67" i="3"/>
  <c r="EE67" i="3"/>
  <c r="EN67" i="3"/>
  <c r="EF67" i="3"/>
  <c r="EO67" i="3"/>
  <c r="EG67" i="3"/>
  <c r="EP67" i="3"/>
  <c r="AL25" i="3"/>
  <c r="AL26" i="3"/>
  <c r="AL30" i="3"/>
  <c r="DZ68" i="3"/>
  <c r="Z40" i="6"/>
  <c r="M44" i="6"/>
  <c r="Z44" i="6"/>
  <c r="Z39" i="6"/>
  <c r="AC19" i="3"/>
  <c r="AA19" i="3"/>
  <c r="AD19" i="3"/>
  <c r="AB19" i="3"/>
  <c r="Z20" i="3"/>
  <c r="M20" i="6"/>
  <c r="M39" i="6"/>
  <c r="M40" i="6"/>
  <c r="EA68" i="3" l="1"/>
  <c r="HL67" i="3"/>
  <c r="FH67" i="3"/>
  <c r="GC69" i="3"/>
  <c r="HG68" i="3"/>
  <c r="HH68" i="3"/>
  <c r="HI68" i="3"/>
  <c r="HJ68" i="3"/>
  <c r="HK68" i="3"/>
  <c r="HF68" i="3"/>
  <c r="HD68" i="3"/>
  <c r="HE68" i="3"/>
  <c r="GV68" i="3"/>
  <c r="GN68" i="3"/>
  <c r="GW68" i="3"/>
  <c r="GO68" i="3"/>
  <c r="GX68" i="3"/>
  <c r="GP68" i="3"/>
  <c r="GY68" i="3"/>
  <c r="GQ68" i="3"/>
  <c r="GZ68" i="3"/>
  <c r="GR68" i="3"/>
  <c r="HA68" i="3"/>
  <c r="GS68" i="3"/>
  <c r="HB68" i="3"/>
  <c r="GT68" i="3"/>
  <c r="HC68" i="3"/>
  <c r="GU68" i="3"/>
  <c r="GF68" i="3"/>
  <c r="GG68" i="3"/>
  <c r="GH68" i="3"/>
  <c r="GI68" i="3"/>
  <c r="GJ68" i="3"/>
  <c r="GK68" i="3"/>
  <c r="GL68" i="3"/>
  <c r="GM68" i="3"/>
  <c r="GD69" i="3"/>
  <c r="GE68" i="3"/>
  <c r="DY69" i="3"/>
  <c r="EZ68" i="3"/>
  <c r="ER68" i="3"/>
  <c r="FA68" i="3"/>
  <c r="ES68" i="3"/>
  <c r="FB68" i="3"/>
  <c r="ET68" i="3"/>
  <c r="FC68" i="3"/>
  <c r="EU68" i="3"/>
  <c r="FD68" i="3"/>
  <c r="EV68" i="3"/>
  <c r="FE68" i="3"/>
  <c r="EW68" i="3"/>
  <c r="FF68" i="3"/>
  <c r="EX68" i="3"/>
  <c r="FG68" i="3"/>
  <c r="EY68" i="3"/>
  <c r="EJ68" i="3"/>
  <c r="EB68" i="3"/>
  <c r="EK68" i="3"/>
  <c r="EC68" i="3"/>
  <c r="EL68" i="3"/>
  <c r="ED68" i="3"/>
  <c r="EM68" i="3"/>
  <c r="EE68" i="3"/>
  <c r="EN68" i="3"/>
  <c r="EF68" i="3"/>
  <c r="EO68" i="3"/>
  <c r="EG68" i="3"/>
  <c r="EP68" i="3"/>
  <c r="EH68" i="3"/>
  <c r="EQ68" i="3"/>
  <c r="EI68" i="3"/>
  <c r="DZ69" i="3"/>
  <c r="AH26" i="3"/>
  <c r="AH25" i="3"/>
  <c r="AH30" i="3"/>
  <c r="W44" i="6"/>
  <c r="W40" i="6"/>
  <c r="W39" i="6"/>
  <c r="AA20" i="3"/>
  <c r="AB20" i="3"/>
  <c r="AC20" i="3"/>
  <c r="AD20" i="3"/>
  <c r="Z21" i="3"/>
  <c r="Z22" i="3"/>
  <c r="GE69" i="3" l="1"/>
  <c r="HL68" i="3"/>
  <c r="FH68" i="3"/>
  <c r="HJ69" i="3"/>
  <c r="HK69" i="3"/>
  <c r="HD69" i="3"/>
  <c r="HE69" i="3"/>
  <c r="HI69" i="3"/>
  <c r="HF69" i="3"/>
  <c r="HG69" i="3"/>
  <c r="HH69" i="3"/>
  <c r="GZ69" i="3"/>
  <c r="GR69" i="3"/>
  <c r="HA69" i="3"/>
  <c r="GS69" i="3"/>
  <c r="HB69" i="3"/>
  <c r="GT69" i="3"/>
  <c r="HC69" i="3"/>
  <c r="GU69" i="3"/>
  <c r="GV69" i="3"/>
  <c r="GN69" i="3"/>
  <c r="GW69" i="3"/>
  <c r="GO69" i="3"/>
  <c r="GH69" i="3"/>
  <c r="GF69" i="3"/>
  <c r="GI69" i="3"/>
  <c r="GG69" i="3"/>
  <c r="GJ69" i="3"/>
  <c r="GK69" i="3"/>
  <c r="GL69" i="3"/>
  <c r="GM69" i="3"/>
  <c r="GX69" i="3"/>
  <c r="GP69" i="3"/>
  <c r="GY69" i="3"/>
  <c r="GQ69" i="3"/>
  <c r="EA69" i="3"/>
  <c r="FO58" i="3"/>
  <c r="FP58" i="3" s="1"/>
  <c r="K62" i="7" s="1"/>
  <c r="FO71" i="3"/>
  <c r="FP71" i="3" s="1"/>
  <c r="K83" i="7" s="1"/>
  <c r="FO64" i="3"/>
  <c r="FP64" i="3" s="1"/>
  <c r="K68" i="7" s="1"/>
  <c r="FO65" i="3"/>
  <c r="FP65" i="3" s="1"/>
  <c r="K69" i="7" s="1"/>
  <c r="FO82" i="3"/>
  <c r="FP82" i="3" s="1"/>
  <c r="K94" i="7" s="1"/>
  <c r="FO44" i="3"/>
  <c r="FP44" i="3" s="1"/>
  <c r="K40" i="7" s="1"/>
  <c r="FO45" i="3"/>
  <c r="FP45" i="3" s="1"/>
  <c r="K41" i="7" s="1"/>
  <c r="FO59" i="3"/>
  <c r="FP59" i="3" s="1"/>
  <c r="K63" i="7" s="1"/>
  <c r="FO49" i="3"/>
  <c r="FP49" i="3" s="1"/>
  <c r="K45" i="7" s="1"/>
  <c r="FO80" i="3"/>
  <c r="FP80" i="3" s="1"/>
  <c r="K92" i="7" s="1"/>
  <c r="FO81" i="3"/>
  <c r="FP81" i="3" s="1"/>
  <c r="K93" i="7" s="1"/>
  <c r="FO72" i="3"/>
  <c r="FP72" i="3" s="1"/>
  <c r="K84" i="7" s="1"/>
  <c r="FO57" i="3"/>
  <c r="FP57" i="3" s="1"/>
  <c r="K61" i="7" s="1"/>
  <c r="FO46" i="3"/>
  <c r="FP46" i="3" s="1"/>
  <c r="K42" i="7" s="1"/>
  <c r="FO50" i="3"/>
  <c r="FP50" i="3" s="1"/>
  <c r="K46" i="7" s="1"/>
  <c r="FO61" i="3"/>
  <c r="FP61" i="3" s="1"/>
  <c r="K65" i="7" s="1"/>
  <c r="FO47" i="3"/>
  <c r="FP47" i="3" s="1"/>
  <c r="K43" i="7" s="1"/>
  <c r="FO56" i="3"/>
  <c r="FP56" i="3" s="1"/>
  <c r="K60" i="7" s="1"/>
  <c r="FO76" i="3"/>
  <c r="FP76" i="3" s="1"/>
  <c r="K88" i="7" s="1"/>
  <c r="FO48" i="3"/>
  <c r="FP48" i="3" s="1"/>
  <c r="K44" i="7" s="1"/>
  <c r="FO62" i="3"/>
  <c r="FP62" i="3" s="1"/>
  <c r="K66" i="7" s="1"/>
  <c r="FO73" i="3"/>
  <c r="FP73" i="3" s="1"/>
  <c r="K85" i="7" s="1"/>
  <c r="FO60" i="3"/>
  <c r="FP60" i="3" s="1"/>
  <c r="K64" i="7" s="1"/>
  <c r="FO75" i="3"/>
  <c r="FP75" i="3" s="1"/>
  <c r="K87" i="7" s="1"/>
  <c r="FO55" i="3"/>
  <c r="FP55" i="3" s="1"/>
  <c r="K59" i="7" s="1"/>
  <c r="FO63" i="3"/>
  <c r="FP63" i="3" s="1"/>
  <c r="K67" i="7" s="1"/>
  <c r="FO66" i="3"/>
  <c r="FP66" i="3" s="1"/>
  <c r="K70" i="7" s="1"/>
  <c r="FO77" i="3"/>
  <c r="FP77" i="3" s="1"/>
  <c r="K89" i="7" s="1"/>
  <c r="FO79" i="3"/>
  <c r="FP79" i="3" s="1"/>
  <c r="K91" i="7" s="1"/>
  <c r="FO78" i="3"/>
  <c r="FP78" i="3" s="1"/>
  <c r="K90" i="7" s="1"/>
  <c r="FO74" i="3"/>
  <c r="FP74" i="3" s="1"/>
  <c r="K86" i="7" s="1"/>
  <c r="FD69" i="3"/>
  <c r="EV69" i="3"/>
  <c r="FE69" i="3"/>
  <c r="EW69" i="3"/>
  <c r="FF69" i="3"/>
  <c r="EX69" i="3"/>
  <c r="FG69" i="3"/>
  <c r="EY69" i="3"/>
  <c r="EZ69" i="3"/>
  <c r="ER69" i="3"/>
  <c r="FA69" i="3"/>
  <c r="ES69" i="3"/>
  <c r="FB69" i="3"/>
  <c r="ET69" i="3"/>
  <c r="ED69" i="3"/>
  <c r="EM69" i="3"/>
  <c r="FC69" i="3"/>
  <c r="EU69" i="3"/>
  <c r="EE69" i="3"/>
  <c r="EN69" i="3"/>
  <c r="EF69" i="3"/>
  <c r="EO69" i="3"/>
  <c r="EG69" i="3"/>
  <c r="EP69" i="3"/>
  <c r="EH69" i="3"/>
  <c r="EQ69" i="3"/>
  <c r="EI69" i="3"/>
  <c r="EJ69" i="3"/>
  <c r="EB69" i="3"/>
  <c r="EK69" i="3"/>
  <c r="EC69" i="3"/>
  <c r="EL69" i="3"/>
  <c r="BR11" i="3"/>
  <c r="BR12" i="3"/>
  <c r="BR13" i="3"/>
  <c r="BR14" i="3"/>
  <c r="BR9" i="3"/>
  <c r="BR15" i="3"/>
  <c r="BR10" i="3"/>
  <c r="BR7" i="3"/>
  <c r="BR8" i="3"/>
  <c r="BH34" i="3"/>
  <c r="BH33" i="3"/>
  <c r="BH32" i="3"/>
  <c r="BM8" i="3"/>
  <c r="BM9" i="3"/>
  <c r="BC26" i="3"/>
  <c r="BN14" i="3"/>
  <c r="BN15" i="3"/>
  <c r="BN8" i="3"/>
  <c r="BN12" i="3"/>
  <c r="BN13" i="3"/>
  <c r="BN9" i="3"/>
  <c r="BN10" i="3"/>
  <c r="BN11" i="3"/>
  <c r="BD32" i="3"/>
  <c r="BD34" i="3"/>
  <c r="BD33" i="3"/>
  <c r="BN7" i="3"/>
  <c r="AJ26" i="3"/>
  <c r="BM7" i="3"/>
  <c r="AJ25" i="3"/>
  <c r="AJ30" i="3"/>
  <c r="AB21" i="3"/>
  <c r="AA21" i="3"/>
  <c r="AC21" i="3"/>
  <c r="AD21" i="3"/>
  <c r="AB22" i="3"/>
  <c r="AC22" i="3"/>
  <c r="AD22" i="3"/>
  <c r="AA22" i="3"/>
  <c r="Z23" i="3"/>
  <c r="L38" i="6"/>
  <c r="T37" i="6"/>
  <c r="L37" i="6"/>
  <c r="T31" i="6"/>
  <c r="L31" i="6"/>
  <c r="T30" i="6"/>
  <c r="L30" i="6"/>
  <c r="T29" i="6"/>
  <c r="L29" i="6"/>
  <c r="T28" i="6"/>
  <c r="L28" i="6"/>
  <c r="T27" i="6"/>
  <c r="L27" i="6"/>
  <c r="T26" i="6"/>
  <c r="L26" i="6"/>
  <c r="T25" i="6"/>
  <c r="L25" i="6"/>
  <c r="T24" i="6"/>
  <c r="L24" i="6"/>
  <c r="T23" i="6"/>
  <c r="L23" i="6"/>
  <c r="T22" i="6"/>
  <c r="L22" i="6"/>
  <c r="T21" i="6"/>
  <c r="L21" i="6"/>
  <c r="T20" i="6"/>
  <c r="F14" i="6"/>
  <c r="E49" i="6" s="1"/>
  <c r="D47" i="6" l="1"/>
  <c r="HL69" i="3"/>
  <c r="FH69" i="3"/>
  <c r="AL23" i="3"/>
  <c r="AL24" i="3"/>
  <c r="H49" i="6"/>
  <c r="D12" i="7"/>
  <c r="Z21" i="6"/>
  <c r="D13" i="7"/>
  <c r="Z22" i="6"/>
  <c r="D16" i="7"/>
  <c r="Z25" i="6"/>
  <c r="D20" i="7"/>
  <c r="Z29" i="6"/>
  <c r="D17" i="7"/>
  <c r="Z26" i="6"/>
  <c r="D21" i="7"/>
  <c r="Z30" i="6"/>
  <c r="D14" i="7"/>
  <c r="Z23" i="6"/>
  <c r="D22" i="7"/>
  <c r="Z31" i="6"/>
  <c r="D18" i="7"/>
  <c r="Z27" i="6"/>
  <c r="D19" i="7"/>
  <c r="Z28" i="6"/>
  <c r="D15" i="7"/>
  <c r="Z24" i="6"/>
  <c r="W20" i="6"/>
  <c r="Z20" i="6"/>
  <c r="Z38" i="6"/>
  <c r="Z37" i="6"/>
  <c r="E59" i="6"/>
  <c r="H59" i="6" s="1"/>
  <c r="E56" i="6"/>
  <c r="H56" i="6" s="1"/>
  <c r="E58" i="6"/>
  <c r="H58" i="6" s="1"/>
  <c r="E51" i="6"/>
  <c r="H51" i="6" s="1"/>
  <c r="E57" i="6"/>
  <c r="H57" i="6" s="1"/>
  <c r="E50" i="6"/>
  <c r="H50" i="6" s="1"/>
  <c r="E52" i="6"/>
  <c r="H52" i="6" s="1"/>
  <c r="E55" i="6"/>
  <c r="H55" i="6" s="1"/>
  <c r="E54" i="6"/>
  <c r="H54" i="6" s="1"/>
  <c r="E53" i="6"/>
  <c r="H53" i="6" s="1"/>
  <c r="E60" i="6"/>
  <c r="H60" i="6" s="1"/>
  <c r="AC23" i="3"/>
  <c r="AD23" i="3"/>
  <c r="AA23" i="3"/>
  <c r="AB23" i="3"/>
  <c r="Z24" i="3"/>
  <c r="M29" i="6"/>
  <c r="W29" i="6" s="1"/>
  <c r="M22" i="6"/>
  <c r="W22" i="6" s="1"/>
  <c r="M30" i="6"/>
  <c r="W30" i="6" s="1"/>
  <c r="M23" i="6"/>
  <c r="W23" i="6" s="1"/>
  <c r="M27" i="6"/>
  <c r="W27" i="6" s="1"/>
  <c r="M31" i="6"/>
  <c r="W31" i="6" s="1"/>
  <c r="M21" i="6"/>
  <c r="W21" i="6" s="1"/>
  <c r="M25" i="6"/>
  <c r="W25" i="6" s="1"/>
  <c r="M26" i="6"/>
  <c r="W26" i="6" s="1"/>
  <c r="M24" i="6"/>
  <c r="W24" i="6" s="1"/>
  <c r="M28" i="6"/>
  <c r="W28" i="6" s="1"/>
  <c r="M37" i="6"/>
  <c r="M38" i="6"/>
  <c r="HT63" i="3" l="1"/>
  <c r="HU63" i="3" s="1"/>
  <c r="AF67" i="7" s="1"/>
  <c r="HT49" i="3"/>
  <c r="HU49" i="3" s="1"/>
  <c r="AF45" i="7" s="1"/>
  <c r="HT62" i="3"/>
  <c r="HU62" i="3" s="1"/>
  <c r="AF66" i="7" s="1"/>
  <c r="HT61" i="3"/>
  <c r="HU61" i="3" s="1"/>
  <c r="AF65" i="7" s="1"/>
  <c r="HT65" i="3"/>
  <c r="HU65" i="3" s="1"/>
  <c r="AF69" i="7" s="1"/>
  <c r="HT60" i="3"/>
  <c r="HU60" i="3" s="1"/>
  <c r="AF64" i="7" s="1"/>
  <c r="HT77" i="3"/>
  <c r="HU77" i="3" s="1"/>
  <c r="AF89" i="7" s="1"/>
  <c r="HT80" i="3"/>
  <c r="HU80" i="3" s="1"/>
  <c r="AF92" i="7" s="1"/>
  <c r="HT82" i="3"/>
  <c r="HU82" i="3" s="1"/>
  <c r="AF94" i="7" s="1"/>
  <c r="HT57" i="3"/>
  <c r="HU57" i="3" s="1"/>
  <c r="AF61" i="7" s="1"/>
  <c r="HT59" i="3"/>
  <c r="HU59" i="3" s="1"/>
  <c r="AF63" i="7" s="1"/>
  <c r="HT47" i="3"/>
  <c r="HU47" i="3" s="1"/>
  <c r="AF43" i="7" s="1"/>
  <c r="HT45" i="3"/>
  <c r="HU45" i="3" s="1"/>
  <c r="AF41" i="7" s="1"/>
  <c r="HT81" i="3"/>
  <c r="HU81" i="3" s="1"/>
  <c r="AF93" i="7" s="1"/>
  <c r="HT71" i="3"/>
  <c r="HU71" i="3" s="1"/>
  <c r="AF83" i="7" s="1"/>
  <c r="HT44" i="3"/>
  <c r="HU44" i="3" s="1"/>
  <c r="AF40" i="7" s="1"/>
  <c r="HT46" i="3"/>
  <c r="HU46" i="3" s="1"/>
  <c r="AF42" i="7" s="1"/>
  <c r="HT43" i="3"/>
  <c r="HU43" i="3" s="1"/>
  <c r="AF39" i="7" s="1"/>
  <c r="HT66" i="3"/>
  <c r="HU66" i="3" s="1"/>
  <c r="AF70" i="7" s="1"/>
  <c r="HT78" i="3"/>
  <c r="HU78" i="3" s="1"/>
  <c r="AF90" i="7" s="1"/>
  <c r="HT42" i="3"/>
  <c r="HU42" i="3" s="1"/>
  <c r="AF38" i="7" s="1"/>
  <c r="HT56" i="3"/>
  <c r="HU56" i="3" s="1"/>
  <c r="AF60" i="7" s="1"/>
  <c r="HT72" i="3"/>
  <c r="HU72" i="3" s="1"/>
  <c r="AF84" i="7" s="1"/>
  <c r="HT64" i="3"/>
  <c r="HU64" i="3" s="1"/>
  <c r="AF68" i="7" s="1"/>
  <c r="HT75" i="3"/>
  <c r="HU75" i="3" s="1"/>
  <c r="AF87" i="7" s="1"/>
  <c r="HT58" i="3"/>
  <c r="HU58" i="3" s="1"/>
  <c r="AF62" i="7" s="1"/>
  <c r="HT76" i="3"/>
  <c r="HU76" i="3" s="1"/>
  <c r="AF88" i="7" s="1"/>
  <c r="HT79" i="3"/>
  <c r="HU79" i="3" s="1"/>
  <c r="AF91" i="7" s="1"/>
  <c r="HT74" i="3"/>
  <c r="HU74" i="3" s="1"/>
  <c r="AF86" i="7" s="1"/>
  <c r="HT48" i="3"/>
  <c r="HU48" i="3" s="1"/>
  <c r="AF44" i="7" s="1"/>
  <c r="HT55" i="3"/>
  <c r="HU55" i="3" s="1"/>
  <c r="AF59" i="7" s="1"/>
  <c r="HT50" i="3"/>
  <c r="HU50" i="3" s="1"/>
  <c r="AF46" i="7" s="1"/>
  <c r="HT73" i="3"/>
  <c r="HU73" i="3" s="1"/>
  <c r="AF85" i="7" s="1"/>
  <c r="FN23" i="3"/>
  <c r="FP23" i="3" s="1"/>
  <c r="K11" i="7" s="1"/>
  <c r="AH24" i="3"/>
  <c r="BL7" i="3" s="1"/>
  <c r="AH23" i="3"/>
  <c r="BK7" i="3" s="1"/>
  <c r="FN27" i="3"/>
  <c r="FP27" i="3" s="1"/>
  <c r="K15" i="7" s="1"/>
  <c r="FN30" i="3"/>
  <c r="FP30" i="3" s="1"/>
  <c r="K18" i="7" s="1"/>
  <c r="FN33" i="3"/>
  <c r="FP33" i="3" s="1"/>
  <c r="K21" i="7" s="1"/>
  <c r="FN34" i="3"/>
  <c r="FP34" i="3" s="1"/>
  <c r="K22" i="7" s="1"/>
  <c r="FN28" i="3"/>
  <c r="FP28" i="3" s="1"/>
  <c r="K16" i="7" s="1"/>
  <c r="FN29" i="3"/>
  <c r="FP29" i="3" s="1"/>
  <c r="K17" i="7" s="1"/>
  <c r="FN26" i="3"/>
  <c r="FP26" i="3" s="1"/>
  <c r="K14" i="7" s="1"/>
  <c r="FN25" i="3"/>
  <c r="FP25" i="3" s="1"/>
  <c r="K13" i="7" s="1"/>
  <c r="FN32" i="3"/>
  <c r="FP32" i="3" s="1"/>
  <c r="K20" i="7" s="1"/>
  <c r="FN24" i="3"/>
  <c r="FP24" i="3" s="1"/>
  <c r="K12" i="7" s="1"/>
  <c r="FN31" i="3"/>
  <c r="FP31" i="3" s="1"/>
  <c r="K19" i="7" s="1"/>
  <c r="W38" i="6"/>
  <c r="W37" i="6"/>
  <c r="AD24" i="3"/>
  <c r="AA24" i="3"/>
  <c r="AB24" i="3"/>
  <c r="AC24" i="3"/>
  <c r="Z25" i="3"/>
  <c r="BK17" i="3" l="1"/>
  <c r="BK18" i="3"/>
  <c r="BK8" i="3"/>
  <c r="BK9" i="3"/>
  <c r="BK16" i="3"/>
  <c r="BK10" i="3"/>
  <c r="BK15" i="3"/>
  <c r="BK11" i="3"/>
  <c r="BK12" i="3"/>
  <c r="BK13" i="3"/>
  <c r="BK14" i="3"/>
  <c r="BA30" i="3"/>
  <c r="BA34" i="3"/>
  <c r="BA31" i="3"/>
  <c r="BA32" i="3"/>
  <c r="BA29" i="3"/>
  <c r="BA33" i="3"/>
  <c r="BL16" i="3"/>
  <c r="BL17" i="3"/>
  <c r="BL18" i="3"/>
  <c r="BL14" i="3"/>
  <c r="BL15" i="3"/>
  <c r="BL8" i="3"/>
  <c r="BL9" i="3"/>
  <c r="BL10" i="3"/>
  <c r="BL11" i="3"/>
  <c r="BL12" i="3"/>
  <c r="BL13" i="3"/>
  <c r="BB26" i="3"/>
  <c r="BB23" i="3"/>
  <c r="BB24" i="3"/>
  <c r="BB27" i="3"/>
  <c r="BB25" i="3"/>
  <c r="BB28" i="3"/>
  <c r="AJ24" i="3"/>
  <c r="AJ23" i="3"/>
  <c r="BS7" i="3"/>
  <c r="AB25" i="3"/>
  <c r="AC25" i="3"/>
  <c r="AD25" i="3"/>
  <c r="AA25" i="3"/>
  <c r="Z26" i="3"/>
  <c r="F4" i="13"/>
  <c r="BS8" i="3" l="1"/>
  <c r="BS9" i="3"/>
  <c r="DJ7" i="3"/>
  <c r="DJ23" i="3"/>
  <c r="DJ8" i="3"/>
  <c r="DJ9" i="3"/>
  <c r="Y4" i="7"/>
  <c r="D4" i="7"/>
  <c r="AR3" i="16"/>
  <c r="AR3" i="15"/>
  <c r="AR3" i="14"/>
  <c r="AR3" i="6"/>
  <c r="E3" i="6"/>
  <c r="C17" i="7"/>
  <c r="C13" i="7"/>
  <c r="C22" i="7"/>
  <c r="C16" i="7"/>
  <c r="C14" i="7"/>
  <c r="C21" i="7"/>
  <c r="C20" i="7"/>
  <c r="C19" i="7"/>
  <c r="C11" i="7"/>
  <c r="C12" i="7"/>
  <c r="C15" i="7"/>
  <c r="C18" i="7"/>
  <c r="C91" i="7"/>
  <c r="C94" i="7"/>
  <c r="C69" i="7"/>
  <c r="C36" i="7"/>
  <c r="C37" i="7"/>
  <c r="C60" i="7"/>
  <c r="C38" i="7"/>
  <c r="C64" i="7"/>
  <c r="C59" i="7"/>
  <c r="C44" i="7"/>
  <c r="C68" i="7"/>
  <c r="C83" i="7"/>
  <c r="C88" i="7"/>
  <c r="C66" i="7"/>
  <c r="C46" i="7"/>
  <c r="C45" i="7"/>
  <c r="C85" i="7"/>
  <c r="C87" i="7"/>
  <c r="C90" i="7"/>
  <c r="C86" i="7"/>
  <c r="C62" i="7"/>
  <c r="C42" i="7"/>
  <c r="C41" i="7"/>
  <c r="C93" i="7"/>
  <c r="C35" i="7"/>
  <c r="C63" i="7"/>
  <c r="C67" i="7"/>
  <c r="C61" i="7"/>
  <c r="C40" i="7"/>
  <c r="C92" i="7"/>
  <c r="C70" i="7"/>
  <c r="C65" i="7"/>
  <c r="C39" i="7"/>
  <c r="C84" i="7"/>
  <c r="C43" i="7"/>
  <c r="C89" i="7"/>
  <c r="AJ28" i="16"/>
  <c r="AJ22" i="14"/>
  <c r="AJ23" i="16"/>
  <c r="AJ21" i="15"/>
  <c r="AJ24" i="15"/>
  <c r="AJ27" i="14"/>
  <c r="AJ31" i="14"/>
  <c r="AJ31" i="16"/>
  <c r="AJ20" i="15"/>
  <c r="AJ28" i="14"/>
  <c r="AJ22" i="15"/>
  <c r="AJ23" i="14"/>
  <c r="AJ24" i="16"/>
  <c r="AJ27" i="15"/>
  <c r="AJ30" i="16"/>
  <c r="AJ24" i="14"/>
  <c r="AJ30" i="14"/>
  <c r="AJ20" i="14"/>
  <c r="AJ29" i="14"/>
  <c r="AJ25" i="15"/>
  <c r="AJ23" i="15"/>
  <c r="AJ25" i="16"/>
  <c r="AJ26" i="14"/>
  <c r="AJ21" i="16"/>
  <c r="AJ20" i="16"/>
  <c r="AJ26" i="16"/>
  <c r="AJ27" i="16"/>
  <c r="AJ21" i="14"/>
  <c r="AJ31" i="15"/>
  <c r="AJ29" i="16"/>
  <c r="AJ28" i="15"/>
  <c r="AJ30" i="15"/>
  <c r="AJ29" i="15"/>
  <c r="AJ25" i="14"/>
  <c r="AJ22" i="16"/>
  <c r="AJ26" i="15"/>
  <c r="AI22" i="16"/>
  <c r="AI26" i="16"/>
  <c r="AI30" i="16"/>
  <c r="AI23" i="15"/>
  <c r="AI31" i="15"/>
  <c r="AI24" i="15"/>
  <c r="AI23" i="16"/>
  <c r="AI27" i="16"/>
  <c r="AI31" i="16"/>
  <c r="AI25" i="15"/>
  <c r="AI26" i="15"/>
  <c r="AI25" i="16"/>
  <c r="AI21" i="15"/>
  <c r="AI20" i="15"/>
  <c r="AI24" i="16"/>
  <c r="AI28" i="16"/>
  <c r="AI27" i="15"/>
  <c r="AI20" i="16"/>
  <c r="AI28" i="15"/>
  <c r="AI21" i="16"/>
  <c r="AI29" i="16"/>
  <c r="AI29" i="15"/>
  <c r="AI22" i="15"/>
  <c r="AI30" i="15"/>
  <c r="AI21" i="14"/>
  <c r="AI29" i="14"/>
  <c r="AI25" i="6"/>
  <c r="AI29" i="6"/>
  <c r="AI22" i="6"/>
  <c r="AI30" i="6"/>
  <c r="AI22" i="14"/>
  <c r="AI30" i="14"/>
  <c r="AI26" i="6"/>
  <c r="AI21" i="6"/>
  <c r="AI26" i="14"/>
  <c r="AI23" i="14"/>
  <c r="AI31" i="14"/>
  <c r="AI27" i="6"/>
  <c r="AI24" i="14"/>
  <c r="AI20" i="14"/>
  <c r="AI28" i="6"/>
  <c r="AI25" i="14"/>
  <c r="AI27" i="14"/>
  <c r="AI23" i="6"/>
  <c r="AI31" i="6"/>
  <c r="AI28" i="14"/>
  <c r="AI24" i="6"/>
  <c r="AI20" i="6"/>
  <c r="F4" i="4"/>
  <c r="M3" i="8" s="1"/>
  <c r="B2" i="20" s="1"/>
  <c r="E3" i="16"/>
  <c r="E3" i="15"/>
  <c r="E3" i="14"/>
  <c r="AB26" i="3"/>
  <c r="AC26" i="3"/>
  <c r="AD26" i="3"/>
  <c r="AA26" i="3"/>
  <c r="Z27" i="3"/>
  <c r="C22" i="1"/>
  <c r="Y76" i="7" l="1"/>
  <c r="Y28" i="7"/>
  <c r="Y52" i="7"/>
  <c r="AC27" i="3"/>
  <c r="AA27" i="3"/>
  <c r="AD27" i="3"/>
  <c r="AB27" i="3"/>
  <c r="Z28" i="3"/>
  <c r="E3" i="8"/>
  <c r="I11" i="16" l="1"/>
  <c r="I29" i="1"/>
  <c r="DA20" i="15" s="1"/>
  <c r="I11" i="14"/>
  <c r="I11" i="6"/>
  <c r="I11" i="15"/>
  <c r="AK26" i="15"/>
  <c r="AK30" i="15"/>
  <c r="AK24" i="15"/>
  <c r="AK29" i="15"/>
  <c r="AK24" i="16"/>
  <c r="AK28" i="16"/>
  <c r="AK21" i="15"/>
  <c r="AK29" i="16"/>
  <c r="AK22" i="16"/>
  <c r="AK28" i="15"/>
  <c r="AK25" i="16"/>
  <c r="AK30" i="16"/>
  <c r="AK31" i="16"/>
  <c r="AK20" i="16"/>
  <c r="AK26" i="16"/>
  <c r="AK23" i="16"/>
  <c r="AK27" i="16"/>
  <c r="AK21" i="16"/>
  <c r="AK25" i="15"/>
  <c r="AK31" i="15"/>
  <c r="AK22" i="15"/>
  <c r="AK27" i="15"/>
  <c r="AK23" i="15"/>
  <c r="AK20" i="15"/>
  <c r="AK21" i="14"/>
  <c r="AK22" i="14"/>
  <c r="AK23" i="14"/>
  <c r="AK31" i="14"/>
  <c r="AK24" i="14"/>
  <c r="AK20" i="14"/>
  <c r="AK25" i="14"/>
  <c r="AK26" i="14"/>
  <c r="AK27" i="14"/>
  <c r="AK28" i="14"/>
  <c r="AK29" i="14"/>
  <c r="AK30" i="14"/>
  <c r="AA28" i="3"/>
  <c r="AB28" i="3"/>
  <c r="AC28" i="3"/>
  <c r="AD28" i="3"/>
  <c r="Z29" i="3"/>
  <c r="D76" i="7"/>
  <c r="D52" i="7"/>
  <c r="D28" i="7"/>
  <c r="AG29" i="14" l="1"/>
  <c r="AJ59" i="6"/>
  <c r="AK59" i="6" s="1"/>
  <c r="AJ52" i="6"/>
  <c r="AK52" i="6" s="1"/>
  <c r="AJ51" i="6"/>
  <c r="AK51" i="6" s="1"/>
  <c r="AJ60" i="6"/>
  <c r="AK60" i="6" s="1"/>
  <c r="AJ58" i="6"/>
  <c r="AK58" i="6" s="1"/>
  <c r="AJ57" i="6"/>
  <c r="AK57" i="6" s="1"/>
  <c r="AJ50" i="6"/>
  <c r="AK50" i="6" s="1"/>
  <c r="AJ54" i="6"/>
  <c r="AK54" i="6" s="1"/>
  <c r="AJ53" i="6"/>
  <c r="AK53" i="6" s="1"/>
  <c r="AJ49" i="6"/>
  <c r="AK49" i="6" s="1"/>
  <c r="AJ55" i="6"/>
  <c r="AK55" i="6" s="1"/>
  <c r="AJ56" i="6"/>
  <c r="AK56" i="6" s="1"/>
  <c r="AH40" i="14"/>
  <c r="AG51" i="6"/>
  <c r="AG51" i="15"/>
  <c r="I66" i="7"/>
  <c r="F86" i="7"/>
  <c r="F64" i="7"/>
  <c r="M63" i="7"/>
  <c r="I61" i="7"/>
  <c r="M64" i="7"/>
  <c r="I38" i="7"/>
  <c r="I88" i="7"/>
  <c r="I92" i="7"/>
  <c r="AH20" i="6"/>
  <c r="AG40" i="6"/>
  <c r="AG43" i="6"/>
  <c r="AG54" i="6"/>
  <c r="AG56" i="16"/>
  <c r="AH44" i="14"/>
  <c r="F83" i="7"/>
  <c r="AG23" i="14"/>
  <c r="AG21" i="6"/>
  <c r="F42" i="7"/>
  <c r="F36" i="7"/>
  <c r="I36" i="7"/>
  <c r="M36" i="7"/>
  <c r="F84" i="7"/>
  <c r="M68" i="7"/>
  <c r="I39" i="7"/>
  <c r="M91" i="7"/>
  <c r="I70" i="7"/>
  <c r="AG37" i="6"/>
  <c r="AG27" i="6"/>
  <c r="AG39" i="6"/>
  <c r="AG20" i="6"/>
  <c r="AG49" i="16"/>
  <c r="AG59" i="16"/>
  <c r="F91" i="7"/>
  <c r="AH29" i="6"/>
  <c r="M62" i="7"/>
  <c r="F88" i="7"/>
  <c r="F62" i="7"/>
  <c r="M38" i="7"/>
  <c r="F90" i="7"/>
  <c r="I85" i="7"/>
  <c r="F61" i="7"/>
  <c r="M59" i="7"/>
  <c r="I90" i="7"/>
  <c r="AG24" i="6"/>
  <c r="AG23" i="6"/>
  <c r="AG26" i="6"/>
  <c r="AH41" i="6"/>
  <c r="AH31" i="14"/>
  <c r="AG52" i="16"/>
  <c r="AG38" i="6"/>
  <c r="I65" i="7"/>
  <c r="AG44" i="6"/>
  <c r="F93" i="7"/>
  <c r="M44" i="7"/>
  <c r="F40" i="7"/>
  <c r="I69" i="7"/>
  <c r="F63" i="7"/>
  <c r="M88" i="7"/>
  <c r="F69" i="7"/>
  <c r="M41" i="7"/>
  <c r="M93" i="7"/>
  <c r="AG60" i="6"/>
  <c r="AG58" i="6"/>
  <c r="AG22" i="6"/>
  <c r="AH37" i="6"/>
  <c r="AH29" i="16"/>
  <c r="AH23" i="15"/>
  <c r="M40" i="7"/>
  <c r="AG57" i="6"/>
  <c r="F39" i="7"/>
  <c r="I37" i="7"/>
  <c r="F35" i="7"/>
  <c r="I41" i="7"/>
  <c r="M45" i="7"/>
  <c r="M65" i="7"/>
  <c r="F41" i="7"/>
  <c r="F94" i="7"/>
  <c r="I91" i="7"/>
  <c r="M84" i="7"/>
  <c r="M42" i="7"/>
  <c r="AG52" i="6"/>
  <c r="AG50" i="6"/>
  <c r="AG56" i="6"/>
  <c r="AH28" i="6"/>
  <c r="AG44" i="15"/>
  <c r="AG39" i="16"/>
  <c r="F87" i="7"/>
  <c r="I59" i="7"/>
  <c r="M92" i="7"/>
  <c r="AG29" i="16"/>
  <c r="I83" i="7"/>
  <c r="M37" i="7"/>
  <c r="F59" i="7"/>
  <c r="I35" i="7"/>
  <c r="F92" i="7"/>
  <c r="F65" i="7"/>
  <c r="F70" i="7"/>
  <c r="F43" i="7"/>
  <c r="F37" i="7"/>
  <c r="M69" i="7"/>
  <c r="I87" i="7"/>
  <c r="M43" i="7"/>
  <c r="AH44" i="6"/>
  <c r="AH43" i="6"/>
  <c r="AH42" i="6"/>
  <c r="AH24" i="6"/>
  <c r="AG59" i="14"/>
  <c r="AH22" i="14"/>
  <c r="F66" i="7"/>
  <c r="M60" i="7"/>
  <c r="M85" i="7"/>
  <c r="M35" i="7"/>
  <c r="F60" i="7"/>
  <c r="I45" i="7"/>
  <c r="M39" i="7"/>
  <c r="M70" i="7"/>
  <c r="M66" i="7"/>
  <c r="I86" i="7"/>
  <c r="I94" i="7"/>
  <c r="I62" i="7"/>
  <c r="AH40" i="6"/>
  <c r="AH39" i="6"/>
  <c r="AH38" i="6"/>
  <c r="AG49" i="6"/>
  <c r="AH21" i="14"/>
  <c r="M61" i="7"/>
  <c r="M89" i="7"/>
  <c r="AG57" i="15"/>
  <c r="AJ23" i="6"/>
  <c r="AK23" i="6" s="1"/>
  <c r="I40" i="7"/>
  <c r="I93" i="7"/>
  <c r="F46" i="7"/>
  <c r="I63" i="7"/>
  <c r="M67" i="7"/>
  <c r="F85" i="7"/>
  <c r="I44" i="7"/>
  <c r="I84" i="7"/>
  <c r="M83" i="7"/>
  <c r="AH30" i="6"/>
  <c r="AH27" i="6"/>
  <c r="M94" i="7"/>
  <c r="M46" i="7"/>
  <c r="I67" i="7"/>
  <c r="I42" i="7"/>
  <c r="F38" i="7"/>
  <c r="M87" i="7"/>
  <c r="F67" i="7"/>
  <c r="I64" i="7"/>
  <c r="M86" i="7"/>
  <c r="AH23" i="6"/>
  <c r="AH26" i="6"/>
  <c r="AH21" i="6"/>
  <c r="AG40" i="16"/>
  <c r="AG54" i="14"/>
  <c r="I60" i="7"/>
  <c r="AH31" i="6"/>
  <c r="AH25" i="6"/>
  <c r="F68" i="7"/>
  <c r="F89" i="7"/>
  <c r="F45" i="7"/>
  <c r="I43" i="7"/>
  <c r="F44" i="7"/>
  <c r="I46" i="7"/>
  <c r="M90" i="7"/>
  <c r="I68" i="7"/>
  <c r="I89" i="7"/>
  <c r="AG59" i="6"/>
  <c r="AH22" i="6"/>
  <c r="AG55" i="6"/>
  <c r="AG50" i="15"/>
  <c r="AG27" i="16"/>
  <c r="AG56" i="14"/>
  <c r="AH23" i="14"/>
  <c r="AG20" i="14"/>
  <c r="AA35" i="7" s="1"/>
  <c r="AG55" i="15"/>
  <c r="AG28" i="15"/>
  <c r="AG28" i="6"/>
  <c r="AG31" i="6"/>
  <c r="AG41" i="6"/>
  <c r="AG42" i="6"/>
  <c r="AG53" i="6"/>
  <c r="AG58" i="16"/>
  <c r="AH21" i="16"/>
  <c r="AG53" i="16"/>
  <c r="AH31" i="16"/>
  <c r="AG24" i="14"/>
  <c r="AG56" i="15"/>
  <c r="AH25" i="14"/>
  <c r="AH24" i="16"/>
  <c r="AG29" i="6"/>
  <c r="AG54" i="16"/>
  <c r="AG51" i="16"/>
  <c r="AG44" i="16"/>
  <c r="AG30" i="14"/>
  <c r="AH27" i="15"/>
  <c r="AG30" i="6"/>
  <c r="AG25" i="6"/>
  <c r="AG22" i="14"/>
  <c r="AH20" i="14"/>
  <c r="AG58" i="15"/>
  <c r="AG26" i="15"/>
  <c r="AH28" i="16"/>
  <c r="AG25" i="15"/>
  <c r="AH43" i="16"/>
  <c r="AG43" i="16"/>
  <c r="AH21" i="15"/>
  <c r="AG29" i="15"/>
  <c r="AG22" i="15"/>
  <c r="AG37" i="14"/>
  <c r="AH23" i="16"/>
  <c r="AH30" i="15"/>
  <c r="AG28" i="14"/>
  <c r="AH28" i="14"/>
  <c r="AH25" i="15"/>
  <c r="AH27" i="14"/>
  <c r="AG57" i="14"/>
  <c r="AH24" i="14"/>
  <c r="AG21" i="14"/>
  <c r="AA36" i="7" s="1"/>
  <c r="AH20" i="16"/>
  <c r="AH30" i="16"/>
  <c r="AH42" i="16"/>
  <c r="AH25" i="16"/>
  <c r="AH22" i="16"/>
  <c r="AG21" i="16"/>
  <c r="AA84" i="7" s="1"/>
  <c r="AH29" i="14"/>
  <c r="AH20" i="15"/>
  <c r="AG31" i="16"/>
  <c r="AG40" i="15"/>
  <c r="AG60" i="16"/>
  <c r="AH44" i="16"/>
  <c r="AG30" i="15"/>
  <c r="AH41" i="16"/>
  <c r="AH37" i="14"/>
  <c r="AG30" i="16"/>
  <c r="AH26" i="16"/>
  <c r="BW39" i="3"/>
  <c r="BW55" i="3"/>
  <c r="BW71" i="3"/>
  <c r="AG23" i="16"/>
  <c r="CH62" i="3"/>
  <c r="CG74" i="3"/>
  <c r="CH61" i="3"/>
  <c r="CG46" i="3"/>
  <c r="CG56" i="3"/>
  <c r="CH24" i="3"/>
  <c r="CG29" i="3"/>
  <c r="CG28" i="3"/>
  <c r="CH72" i="3"/>
  <c r="CG60" i="3"/>
  <c r="CH78" i="3"/>
  <c r="CG30" i="3"/>
  <c r="CG76" i="3"/>
  <c r="CG61" i="3"/>
  <c r="CH77" i="3"/>
  <c r="CH60" i="3"/>
  <c r="CH40" i="3"/>
  <c r="CH42" i="3"/>
  <c r="CG78" i="3"/>
  <c r="CH73" i="3"/>
  <c r="CH56" i="3"/>
  <c r="CH28" i="3"/>
  <c r="CH43" i="3"/>
  <c r="CG73" i="3"/>
  <c r="CH58" i="3"/>
  <c r="CH75" i="3"/>
  <c r="CG26" i="3"/>
  <c r="CH45" i="3"/>
  <c r="CH76" i="3"/>
  <c r="CG23" i="3"/>
  <c r="CH23" i="3"/>
  <c r="CG71" i="3"/>
  <c r="CG27" i="3"/>
  <c r="CG75" i="3"/>
  <c r="CG55" i="3"/>
  <c r="CG39" i="3"/>
  <c r="CH39" i="3"/>
  <c r="CH30" i="3"/>
  <c r="CG77" i="3"/>
  <c r="CG57" i="3"/>
  <c r="CG41" i="3"/>
  <c r="CH41" i="3"/>
  <c r="CG72" i="3"/>
  <c r="CH25" i="3"/>
  <c r="CH59" i="3"/>
  <c r="CG44" i="3"/>
  <c r="CG42" i="3"/>
  <c r="CH74" i="3"/>
  <c r="CH46" i="3"/>
  <c r="CH55" i="3"/>
  <c r="CG43" i="3"/>
  <c r="CG62" i="3"/>
  <c r="CG58" i="3"/>
  <c r="CG24" i="3"/>
  <c r="CH57" i="3"/>
  <c r="CH44" i="3"/>
  <c r="CH71" i="3"/>
  <c r="CH26" i="3"/>
  <c r="CH29" i="3"/>
  <c r="CG59" i="3"/>
  <c r="CG40" i="3"/>
  <c r="CG45" i="3"/>
  <c r="CG25" i="3"/>
  <c r="CH27" i="3"/>
  <c r="AG50" i="16"/>
  <c r="AG39" i="14"/>
  <c r="AG25" i="14"/>
  <c r="AG55" i="16"/>
  <c r="AG37" i="16"/>
  <c r="AJ31" i="6"/>
  <c r="AK31" i="6" s="1"/>
  <c r="AH22" i="15"/>
  <c r="AG24" i="15"/>
  <c r="AG40" i="14"/>
  <c r="AG43" i="14"/>
  <c r="AH40" i="15"/>
  <c r="AJ30" i="6"/>
  <c r="AK30" i="6" s="1"/>
  <c r="AG42" i="15"/>
  <c r="AH40" i="16"/>
  <c r="AG52" i="14"/>
  <c r="AJ20" i="6"/>
  <c r="AK20" i="6" s="1"/>
  <c r="AH29" i="15"/>
  <c r="AG44" i="14"/>
  <c r="AG41" i="16"/>
  <c r="AJ29" i="6"/>
  <c r="AK29" i="6" s="1"/>
  <c r="AG38" i="15"/>
  <c r="AG27" i="14"/>
  <c r="AH38" i="15"/>
  <c r="AG31" i="14"/>
  <c r="AG41" i="14"/>
  <c r="AH41" i="14"/>
  <c r="AG49" i="15"/>
  <c r="AA92" i="7"/>
  <c r="AA64" i="7"/>
  <c r="AA20" i="7"/>
  <c r="AD11" i="7"/>
  <c r="AH88" i="7"/>
  <c r="AD22" i="7"/>
  <c r="AH19" i="7"/>
  <c r="AD14" i="7"/>
  <c r="AA11" i="7"/>
  <c r="AA22" i="7"/>
  <c r="AD17" i="7"/>
  <c r="AA14" i="7"/>
  <c r="AH21" i="7"/>
  <c r="AA17" i="7"/>
  <c r="AD19" i="7"/>
  <c r="AD38" i="7"/>
  <c r="AH36" i="7"/>
  <c r="AA19" i="7"/>
  <c r="AD13" i="7"/>
  <c r="AD20" i="7"/>
  <c r="AH64" i="7"/>
  <c r="AD21" i="7"/>
  <c r="AH18" i="7"/>
  <c r="AH15" i="7"/>
  <c r="AA13" i="7"/>
  <c r="AA88" i="7"/>
  <c r="AA21" i="7"/>
  <c r="AH12" i="7"/>
  <c r="AH17" i="7"/>
  <c r="AD61" i="7"/>
  <c r="AH59" i="7"/>
  <c r="AH20" i="7"/>
  <c r="AD18" i="7"/>
  <c r="AD15" i="7"/>
  <c r="AH90" i="7"/>
  <c r="AH22" i="7"/>
  <c r="AA18" i="7"/>
  <c r="AA15" i="7"/>
  <c r="AH37" i="7"/>
  <c r="AD41" i="7"/>
  <c r="AH65" i="7"/>
  <c r="AD43" i="7"/>
  <c r="AA40" i="7"/>
  <c r="AD35" i="7"/>
  <c r="AH63" i="7"/>
  <c r="AA67" i="7"/>
  <c r="AD87" i="7"/>
  <c r="AH85" i="7"/>
  <c r="AA44" i="7"/>
  <c r="AH94" i="7"/>
  <c r="AD62" i="7"/>
  <c r="AA41" i="7"/>
  <c r="AA43" i="7"/>
  <c r="AH39" i="7"/>
  <c r="AA45" i="7"/>
  <c r="AH41" i="7"/>
  <c r="AD60" i="7"/>
  <c r="AD70" i="7"/>
  <c r="AH68" i="7"/>
  <c r="AA12" i="7"/>
  <c r="AH93" i="7"/>
  <c r="AA42" i="7"/>
  <c r="AA69" i="7"/>
  <c r="AH45" i="7"/>
  <c r="AA38" i="7"/>
  <c r="AH42" i="7"/>
  <c r="AH44" i="7"/>
  <c r="AA68" i="7"/>
  <c r="AH46" i="7"/>
  <c r="AH61" i="7"/>
  <c r="AA65" i="7"/>
  <c r="AA87" i="7"/>
  <c r="AH83" i="7"/>
  <c r="AD67" i="7"/>
  <c r="AD37" i="7"/>
  <c r="AD12" i="7"/>
  <c r="AH62" i="7"/>
  <c r="AD36" i="7"/>
  <c r="AA63" i="7"/>
  <c r="AH69" i="7"/>
  <c r="AD63" i="7"/>
  <c r="AD68" i="7"/>
  <c r="AH66" i="7"/>
  <c r="AH91" i="7"/>
  <c r="AH11" i="7"/>
  <c r="AD85" i="7"/>
  <c r="AH43" i="7"/>
  <c r="AA62" i="7"/>
  <c r="AD44" i="7"/>
  <c r="AD84" i="7"/>
  <c r="AD46" i="7"/>
  <c r="AD86" i="7"/>
  <c r="AH84" i="7"/>
  <c r="AH89" i="7"/>
  <c r="AA70" i="7"/>
  <c r="AA90" i="7"/>
  <c r="AD93" i="7"/>
  <c r="AH38" i="7"/>
  <c r="AD65" i="7"/>
  <c r="AA86" i="7"/>
  <c r="AA66" i="7"/>
  <c r="AA91" i="7"/>
  <c r="AH92" i="7"/>
  <c r="AD91" i="7"/>
  <c r="AD83" i="7"/>
  <c r="AD39" i="7"/>
  <c r="AA93" i="7"/>
  <c r="AH87" i="7"/>
  <c r="AH67" i="7"/>
  <c r="AD94" i="7"/>
  <c r="AA85" i="7"/>
  <c r="AA61" i="7"/>
  <c r="AA39" i="7"/>
  <c r="AD64" i="7"/>
  <c r="AH13" i="7"/>
  <c r="AD92" i="7"/>
  <c r="AD89" i="7"/>
  <c r="AA16" i="7"/>
  <c r="AH86" i="7"/>
  <c r="AA37" i="7"/>
  <c r="AH35" i="7"/>
  <c r="AH40" i="7"/>
  <c r="AD45" i="7"/>
  <c r="AD69" i="7"/>
  <c r="AH16" i="7"/>
  <c r="AA46" i="7"/>
  <c r="AA94" i="7"/>
  <c r="AD16" i="7"/>
  <c r="AD88" i="7"/>
  <c r="AD40" i="7"/>
  <c r="AA89" i="7"/>
  <c r="AD42" i="7"/>
  <c r="AD59" i="7"/>
  <c r="AD66" i="7"/>
  <c r="AD90" i="7"/>
  <c r="AH14" i="7"/>
  <c r="AH70" i="7"/>
  <c r="AH60" i="7"/>
  <c r="AH26" i="14"/>
  <c r="AH38" i="16"/>
  <c r="AG42" i="16"/>
  <c r="AH43" i="14"/>
  <c r="DB20" i="16"/>
  <c r="DA57" i="16"/>
  <c r="DA58" i="16"/>
  <c r="DA56" i="16"/>
  <c r="DA54" i="16"/>
  <c r="DA55" i="16"/>
  <c r="DA53" i="16"/>
  <c r="DA50" i="16"/>
  <c r="DA49" i="16"/>
  <c r="DA59" i="16"/>
  <c r="DA52" i="16"/>
  <c r="DA51" i="16"/>
  <c r="DA60" i="16"/>
  <c r="DB21" i="16"/>
  <c r="DA40" i="16"/>
  <c r="DB42" i="16"/>
  <c r="DB22" i="16"/>
  <c r="DA42" i="16"/>
  <c r="DB41" i="16"/>
  <c r="DB25" i="16"/>
  <c r="DB24" i="16"/>
  <c r="DA25" i="16"/>
  <c r="DA41" i="16"/>
  <c r="DB31" i="16"/>
  <c r="DB39" i="16"/>
  <c r="DA28" i="16"/>
  <c r="DB40" i="16"/>
  <c r="DA23" i="16"/>
  <c r="DA44" i="16"/>
  <c r="DA37" i="16"/>
  <c r="DB44" i="16"/>
  <c r="DA43" i="16"/>
  <c r="DB26" i="16"/>
  <c r="DB23" i="16"/>
  <c r="DB28" i="16"/>
  <c r="DB27" i="16"/>
  <c r="DB29" i="16"/>
  <c r="DA31" i="16"/>
  <c r="DB30" i="16"/>
  <c r="DA39" i="16"/>
  <c r="DA29" i="16"/>
  <c r="DA38" i="16"/>
  <c r="DB43" i="16"/>
  <c r="DA22" i="16"/>
  <c r="DA24" i="16"/>
  <c r="DA27" i="16"/>
  <c r="DA30" i="16"/>
  <c r="DA20" i="16"/>
  <c r="DB37" i="16"/>
  <c r="DB38" i="16"/>
  <c r="DA26" i="16"/>
  <c r="DA21" i="16"/>
  <c r="DA57" i="15"/>
  <c r="DA52" i="15"/>
  <c r="DA51" i="15"/>
  <c r="DA56" i="15"/>
  <c r="DA54" i="15"/>
  <c r="DA53" i="15"/>
  <c r="DB20" i="15"/>
  <c r="DA55" i="15"/>
  <c r="DA37" i="15"/>
  <c r="DA60" i="15"/>
  <c r="DA59" i="15"/>
  <c r="DA49" i="15"/>
  <c r="DA58" i="15"/>
  <c r="DA50" i="15"/>
  <c r="DB30" i="15"/>
  <c r="DA26" i="15"/>
  <c r="DB24" i="15"/>
  <c r="DA38" i="15"/>
  <c r="DA52" i="14"/>
  <c r="DA22" i="15"/>
  <c r="DB29" i="15"/>
  <c r="DB37" i="15"/>
  <c r="DB44" i="15"/>
  <c r="DA53" i="14"/>
  <c r="DB38" i="15"/>
  <c r="DA42" i="15"/>
  <c r="DA41" i="15"/>
  <c r="DA54" i="14"/>
  <c r="DA40" i="15"/>
  <c r="DB23" i="15"/>
  <c r="DA28" i="15"/>
  <c r="DA43" i="15"/>
  <c r="DB26" i="15"/>
  <c r="DA31" i="15"/>
  <c r="DA55" i="14"/>
  <c r="DA38" i="14"/>
  <c r="DB20" i="14"/>
  <c r="DB22" i="15"/>
  <c r="DA27" i="15"/>
  <c r="DB41" i="15"/>
  <c r="DA58" i="14"/>
  <c r="DA57" i="14"/>
  <c r="DA20" i="14"/>
  <c r="DA25" i="15"/>
  <c r="DA39" i="15"/>
  <c r="DA21" i="15"/>
  <c r="DA59" i="14"/>
  <c r="DA56" i="14"/>
  <c r="DA49" i="14"/>
  <c r="DB40" i="15"/>
  <c r="DB42" i="15"/>
  <c r="DB28" i="15"/>
  <c r="DA50" i="14"/>
  <c r="DB43" i="15"/>
  <c r="DB31" i="15"/>
  <c r="DA60" i="14"/>
  <c r="DB21" i="15"/>
  <c r="DB25" i="15"/>
  <c r="DA24" i="15"/>
  <c r="DA44" i="15"/>
  <c r="DA51" i="14"/>
  <c r="DA23" i="15"/>
  <c r="DA29" i="15"/>
  <c r="DB27" i="15"/>
  <c r="DA30" i="15"/>
  <c r="DB39" i="15"/>
  <c r="DB44" i="14"/>
  <c r="DB27" i="14"/>
  <c r="DB21" i="14"/>
  <c r="DA24" i="14"/>
  <c r="DA30" i="14"/>
  <c r="DA28" i="14"/>
  <c r="DA25" i="14"/>
  <c r="DA42" i="14"/>
  <c r="DA43" i="14"/>
  <c r="DA22" i="14"/>
  <c r="DB30" i="14"/>
  <c r="DB39" i="14"/>
  <c r="DA26" i="14"/>
  <c r="DA21" i="14"/>
  <c r="DA37" i="14"/>
  <c r="DB37" i="14"/>
  <c r="DA29" i="14"/>
  <c r="DA41" i="14"/>
  <c r="DB28" i="14"/>
  <c r="DB31" i="14"/>
  <c r="DB23" i="14"/>
  <c r="DB24" i="14"/>
  <c r="DA31" i="14"/>
  <c r="DB40" i="14"/>
  <c r="DB38" i="14"/>
  <c r="DB22" i="14"/>
  <c r="DB26" i="14"/>
  <c r="DB42" i="14"/>
  <c r="DB43" i="14"/>
  <c r="DA27" i="14"/>
  <c r="DB41" i="14"/>
  <c r="DB25" i="14"/>
  <c r="DA40" i="14"/>
  <c r="DA44" i="14"/>
  <c r="DA23" i="14"/>
  <c r="DB29" i="14"/>
  <c r="DA39" i="14"/>
  <c r="DA53" i="6"/>
  <c r="DA55" i="6"/>
  <c r="DA54" i="6"/>
  <c r="DA56" i="6"/>
  <c r="DA57" i="6"/>
  <c r="DA58" i="6"/>
  <c r="DA59" i="6"/>
  <c r="DA60" i="6"/>
  <c r="DA52" i="6"/>
  <c r="DA49" i="6"/>
  <c r="DA50" i="6"/>
  <c r="DA51" i="6"/>
  <c r="DA26" i="6"/>
  <c r="DA44" i="6"/>
  <c r="DA22" i="6"/>
  <c r="DA39" i="6"/>
  <c r="DA23" i="6"/>
  <c r="DA29" i="6"/>
  <c r="DA25" i="6"/>
  <c r="DB24" i="6"/>
  <c r="DB43" i="6"/>
  <c r="DA31" i="6"/>
  <c r="DB21" i="6"/>
  <c r="DB41" i="6"/>
  <c r="DA38" i="6"/>
  <c r="DB37" i="6"/>
  <c r="DA28" i="6"/>
  <c r="DB30" i="6"/>
  <c r="DB38" i="6"/>
  <c r="DB27" i="6"/>
  <c r="DA21" i="6"/>
  <c r="DB40" i="6"/>
  <c r="DA30" i="6"/>
  <c r="DA42" i="6"/>
  <c r="DB25" i="6"/>
  <c r="DA37" i="6"/>
  <c r="DA24" i="6"/>
  <c r="DB31" i="6"/>
  <c r="DB42" i="6"/>
  <c r="DB44" i="6"/>
  <c r="DA27" i="6"/>
  <c r="DB39" i="6"/>
  <c r="DB26" i="6"/>
  <c r="DA20" i="6"/>
  <c r="DB23" i="6"/>
  <c r="DA40" i="6"/>
  <c r="DB28" i="6"/>
  <c r="DB29" i="6"/>
  <c r="DA41" i="6"/>
  <c r="DB20" i="6"/>
  <c r="DB22" i="6"/>
  <c r="DA43" i="6"/>
  <c r="AG38" i="16"/>
  <c r="AH44" i="15"/>
  <c r="AG24" i="16"/>
  <c r="AG57" i="16"/>
  <c r="AJ21" i="6"/>
  <c r="AK21" i="6" s="1"/>
  <c r="AQ78" i="3"/>
  <c r="AQ62" i="3"/>
  <c r="AQ46" i="3"/>
  <c r="AQ30" i="3"/>
  <c r="AP75" i="3"/>
  <c r="AP59" i="3"/>
  <c r="AP43" i="3"/>
  <c r="AP27" i="3"/>
  <c r="AQ76" i="3"/>
  <c r="AQ44" i="3"/>
  <c r="AQ28" i="3"/>
  <c r="AP57" i="3"/>
  <c r="AQ59" i="3"/>
  <c r="AQ27" i="3"/>
  <c r="AP56" i="3"/>
  <c r="AP30" i="3"/>
  <c r="AQ77" i="3"/>
  <c r="AQ61" i="3"/>
  <c r="AQ45" i="3"/>
  <c r="AQ29" i="3"/>
  <c r="AP74" i="3"/>
  <c r="AP58" i="3"/>
  <c r="AP42" i="3"/>
  <c r="AP26" i="3"/>
  <c r="AQ60" i="3"/>
  <c r="AP73" i="3"/>
  <c r="AP41" i="3"/>
  <c r="AQ75" i="3"/>
  <c r="AQ43" i="3"/>
  <c r="AP72" i="3"/>
  <c r="AP40" i="3"/>
  <c r="AP71" i="3"/>
  <c r="AQ73" i="3"/>
  <c r="AQ57" i="3"/>
  <c r="AQ41" i="3"/>
  <c r="AP78" i="3"/>
  <c r="AP62" i="3"/>
  <c r="AP46" i="3"/>
  <c r="AQ72" i="3"/>
  <c r="AQ56" i="3"/>
  <c r="AQ40" i="3"/>
  <c r="AP77" i="3"/>
  <c r="AP61" i="3"/>
  <c r="AP45" i="3"/>
  <c r="AP29" i="3"/>
  <c r="AQ71" i="3"/>
  <c r="AQ55" i="3"/>
  <c r="AQ39" i="3"/>
  <c r="AP76" i="3"/>
  <c r="AP60" i="3"/>
  <c r="AP44" i="3"/>
  <c r="AP28" i="3"/>
  <c r="AQ74" i="3"/>
  <c r="AQ58" i="3"/>
  <c r="AQ42" i="3"/>
  <c r="AQ26" i="3"/>
  <c r="AP55" i="3"/>
  <c r="AP39" i="3"/>
  <c r="AQ25" i="3"/>
  <c r="AQ24" i="3"/>
  <c r="AQ23" i="3"/>
  <c r="I21" i="7"/>
  <c r="I18" i="7"/>
  <c r="I15" i="7"/>
  <c r="I20" i="7"/>
  <c r="I17" i="7"/>
  <c r="I13" i="7"/>
  <c r="I16" i="7"/>
  <c r="I12" i="7"/>
  <c r="I11" i="7"/>
  <c r="I22" i="7"/>
  <c r="I19" i="7"/>
  <c r="I14" i="7"/>
  <c r="AP25" i="3"/>
  <c r="F11" i="7"/>
  <c r="AP24" i="3"/>
  <c r="M11" i="7"/>
  <c r="AP23" i="3"/>
  <c r="F16" i="7"/>
  <c r="F19" i="7"/>
  <c r="F21" i="7"/>
  <c r="F18" i="7"/>
  <c r="F15" i="7"/>
  <c r="F14" i="7"/>
  <c r="F20" i="7"/>
  <c r="F22" i="7"/>
  <c r="F12" i="7"/>
  <c r="F13" i="7"/>
  <c r="F17" i="7"/>
  <c r="M16" i="7"/>
  <c r="M13" i="7"/>
  <c r="M15" i="7"/>
  <c r="M22" i="7"/>
  <c r="M14" i="7"/>
  <c r="M17" i="7"/>
  <c r="M19" i="7"/>
  <c r="M12" i="7"/>
  <c r="M18" i="7"/>
  <c r="M20" i="7"/>
  <c r="M21" i="7"/>
  <c r="AH24" i="15"/>
  <c r="AG39" i="15"/>
  <c r="AH42" i="14"/>
  <c r="AH39" i="14"/>
  <c r="AG38" i="14"/>
  <c r="AG20" i="15"/>
  <c r="AH39" i="15"/>
  <c r="AG28" i="16"/>
  <c r="AG31" i="15"/>
  <c r="AJ25" i="6"/>
  <c r="AK25" i="6" s="1"/>
  <c r="AH30" i="14"/>
  <c r="AG49" i="14"/>
  <c r="AH27" i="16"/>
  <c r="AG55" i="14"/>
  <c r="AG26" i="16"/>
  <c r="AG26" i="14"/>
  <c r="AH39" i="16"/>
  <c r="AG60" i="15"/>
  <c r="AG42" i="14"/>
  <c r="AJ28" i="6"/>
  <c r="AK28" i="6" s="1"/>
  <c r="AH38" i="14"/>
  <c r="AG59" i="15"/>
  <c r="AG23" i="15"/>
  <c r="AG51" i="14"/>
  <c r="AG43" i="15"/>
  <c r="AH41" i="15"/>
  <c r="AH28" i="15"/>
  <c r="AH37" i="15"/>
  <c r="AG53" i="15"/>
  <c r="AG60" i="14"/>
  <c r="AJ26" i="6"/>
  <c r="AK26" i="6" s="1"/>
  <c r="AJ24" i="6"/>
  <c r="AK24" i="6" s="1"/>
  <c r="AH26" i="15"/>
  <c r="AG37" i="15"/>
  <c r="AG20" i="16"/>
  <c r="AG22" i="16"/>
  <c r="AG41" i="15"/>
  <c r="AG50" i="14"/>
  <c r="AG52" i="15"/>
  <c r="AH42" i="15"/>
  <c r="AG21" i="15"/>
  <c r="AH43" i="15"/>
  <c r="AJ27" i="6"/>
  <c r="AK27" i="6" s="1"/>
  <c r="AH31" i="15"/>
  <c r="AG53" i="14"/>
  <c r="AG27" i="15"/>
  <c r="AG54" i="15"/>
  <c r="AH37" i="16"/>
  <c r="AG25" i="16"/>
  <c r="AG58" i="14"/>
  <c r="AJ22" i="6"/>
  <c r="AK22" i="6" s="1"/>
  <c r="AA29" i="3"/>
  <c r="AC29" i="3"/>
  <c r="AD29" i="3"/>
  <c r="AB29" i="3"/>
  <c r="Z30" i="3"/>
  <c r="DA19" i="15" l="1"/>
  <c r="FS67" i="3"/>
  <c r="HO70" i="3"/>
  <c r="FS51" i="3"/>
  <c r="HO54" i="3"/>
  <c r="FS35" i="3"/>
  <c r="HO38" i="3"/>
  <c r="AH19" i="6"/>
  <c r="AG19" i="6"/>
  <c r="CI24" i="3"/>
  <c r="CN24" i="3" s="1"/>
  <c r="CS33" i="3" s="1"/>
  <c r="CI77" i="3"/>
  <c r="CN77" i="3" s="1"/>
  <c r="CI62" i="3"/>
  <c r="CN62" i="3" s="1"/>
  <c r="CY60" i="3" s="1"/>
  <c r="CI42" i="3"/>
  <c r="CN42" i="3" s="1"/>
  <c r="CU39" i="3" s="1"/>
  <c r="CI44" i="3"/>
  <c r="CN44" i="3" s="1"/>
  <c r="CW45" i="3" s="1"/>
  <c r="CI75" i="3"/>
  <c r="CN75" i="3" s="1"/>
  <c r="CI55" i="3"/>
  <c r="CN55" i="3" s="1"/>
  <c r="DL70" i="3"/>
  <c r="CQ70" i="3"/>
  <c r="CM70" i="3"/>
  <c r="DL54" i="3"/>
  <c r="CQ54" i="3"/>
  <c r="CM54" i="3"/>
  <c r="DL38" i="3"/>
  <c r="CQ38" i="3"/>
  <c r="CM38" i="3"/>
  <c r="CI40" i="3"/>
  <c r="CN40" i="3" s="1"/>
  <c r="CI58" i="3"/>
  <c r="CN58" i="3" s="1"/>
  <c r="CI72" i="3"/>
  <c r="CN72" i="3" s="1"/>
  <c r="CI61" i="3"/>
  <c r="CN61" i="3" s="1"/>
  <c r="CI45" i="3"/>
  <c r="CN45" i="3" s="1"/>
  <c r="CI39" i="3"/>
  <c r="CN39" i="3" s="1"/>
  <c r="CI73" i="3"/>
  <c r="CN73" i="3" s="1"/>
  <c r="CI60" i="3"/>
  <c r="CN60" i="3" s="1"/>
  <c r="CI27" i="3"/>
  <c r="CN27" i="3" s="1"/>
  <c r="CI71" i="3"/>
  <c r="CN71" i="3" s="1"/>
  <c r="CI28" i="3"/>
  <c r="CN28" i="3" s="1"/>
  <c r="CI78" i="3"/>
  <c r="CN78" i="3" s="1"/>
  <c r="CI29" i="3"/>
  <c r="CN29" i="3" s="1"/>
  <c r="CI23" i="3"/>
  <c r="CN23" i="3" s="1"/>
  <c r="CI41" i="3"/>
  <c r="CN41" i="3" s="1"/>
  <c r="CI56" i="3"/>
  <c r="CN56" i="3" s="1"/>
  <c r="CI57" i="3"/>
  <c r="CN57" i="3" s="1"/>
  <c r="CI46" i="3"/>
  <c r="CN46" i="3" s="1"/>
  <c r="CI25" i="3"/>
  <c r="CN25" i="3" s="1"/>
  <c r="CI43" i="3"/>
  <c r="CN43" i="3" s="1"/>
  <c r="CI26" i="3"/>
  <c r="CN26" i="3" s="1"/>
  <c r="CI74" i="3"/>
  <c r="CN74" i="3" s="1"/>
  <c r="CI76" i="3"/>
  <c r="CN76" i="3" s="1"/>
  <c r="CI59" i="3"/>
  <c r="CN59" i="3" s="1"/>
  <c r="CI30" i="3"/>
  <c r="CN30" i="3" s="1"/>
  <c r="AA83" i="7"/>
  <c r="DA19" i="16"/>
  <c r="AA59" i="7"/>
  <c r="AR30" i="3"/>
  <c r="AW30" i="3" s="1"/>
  <c r="AA60" i="7"/>
  <c r="AR73" i="3"/>
  <c r="AW73" i="3" s="1"/>
  <c r="DB19" i="16"/>
  <c r="DA19" i="14"/>
  <c r="DB19" i="15"/>
  <c r="DA19" i="6"/>
  <c r="DB19" i="14"/>
  <c r="DB19" i="6"/>
  <c r="AR62" i="3"/>
  <c r="AW62" i="3" s="1"/>
  <c r="AR39" i="3"/>
  <c r="AW39" i="3" s="1"/>
  <c r="AR44" i="3"/>
  <c r="AW44" i="3" s="1"/>
  <c r="AR76" i="3"/>
  <c r="AW76" i="3" s="1"/>
  <c r="AR40" i="3"/>
  <c r="AW40" i="3" s="1"/>
  <c r="AR43" i="3"/>
  <c r="AW43" i="3" s="1"/>
  <c r="BE42" i="3" s="1"/>
  <c r="AR28" i="3"/>
  <c r="AW28" i="3" s="1"/>
  <c r="AR72" i="3"/>
  <c r="AW72" i="3" s="1"/>
  <c r="AR56" i="3"/>
  <c r="AW56" i="3" s="1"/>
  <c r="AR46" i="3"/>
  <c r="AW46" i="3" s="1"/>
  <c r="AR74" i="3"/>
  <c r="AW74" i="3" s="1"/>
  <c r="AR61" i="3"/>
  <c r="AW61" i="3" s="1"/>
  <c r="AR55" i="3"/>
  <c r="AW55" i="3" s="1"/>
  <c r="AR71" i="3"/>
  <c r="AW71" i="3" s="1"/>
  <c r="AR75" i="3"/>
  <c r="AW75" i="3" s="1"/>
  <c r="AR60" i="3"/>
  <c r="AW60" i="3" s="1"/>
  <c r="AR78" i="3"/>
  <c r="AW78" i="3" s="1"/>
  <c r="AR24" i="3"/>
  <c r="AW24" i="3" s="1"/>
  <c r="AR29" i="3"/>
  <c r="AW29" i="3" s="1"/>
  <c r="AR45" i="3"/>
  <c r="AW45" i="3" s="1"/>
  <c r="AR23" i="3"/>
  <c r="AW23" i="3" s="1"/>
  <c r="AR77" i="3"/>
  <c r="AW77" i="3" s="1"/>
  <c r="AR26" i="3"/>
  <c r="AW26" i="3" s="1"/>
  <c r="AR41" i="3"/>
  <c r="AW41" i="3" s="1"/>
  <c r="AR57" i="3"/>
  <c r="AW57" i="3" s="1"/>
  <c r="AR58" i="3"/>
  <c r="AW58" i="3" s="1"/>
  <c r="AR25" i="3"/>
  <c r="AW25" i="3" s="1"/>
  <c r="AR42" i="3"/>
  <c r="AW42" i="3" s="1"/>
  <c r="BD41" i="3" s="1"/>
  <c r="AR27" i="3"/>
  <c r="AW27" i="3" s="1"/>
  <c r="AR59" i="3"/>
  <c r="AW59" i="3" s="1"/>
  <c r="AH19" i="16"/>
  <c r="AH19" i="14"/>
  <c r="AG19" i="16"/>
  <c r="AH19" i="15"/>
  <c r="AG19" i="14"/>
  <c r="AG19" i="15"/>
  <c r="BG42" i="3"/>
  <c r="BH50" i="3"/>
  <c r="BH48" i="3"/>
  <c r="BH49" i="3"/>
  <c r="AB30" i="3"/>
  <c r="AC30" i="3"/>
  <c r="AD30" i="3"/>
  <c r="AA30" i="3"/>
  <c r="Z31" i="3"/>
  <c r="CR39" i="3" l="1"/>
  <c r="CR41" i="3"/>
  <c r="CR42" i="3"/>
  <c r="CR40" i="3"/>
  <c r="CR44" i="3"/>
  <c r="CR43" i="3"/>
  <c r="CR58" i="3"/>
  <c r="CR59" i="3"/>
  <c r="CR56" i="3"/>
  <c r="CR57" i="3"/>
  <c r="CR55" i="3"/>
  <c r="CR60" i="3"/>
  <c r="CR75" i="3"/>
  <c r="CR76" i="3"/>
  <c r="CR73" i="3"/>
  <c r="CR72" i="3"/>
  <c r="CR71" i="3"/>
  <c r="CR74" i="3"/>
  <c r="CS32" i="3"/>
  <c r="CS30" i="3"/>
  <c r="CS34" i="3"/>
  <c r="BF77" i="3"/>
  <c r="BF78" i="3"/>
  <c r="BF79" i="3"/>
  <c r="BF80" i="3"/>
  <c r="BF81" i="3"/>
  <c r="BF82" i="3"/>
  <c r="BA75" i="3"/>
  <c r="BA76" i="3"/>
  <c r="BA72" i="3"/>
  <c r="BA73" i="3"/>
  <c r="BA74" i="3"/>
  <c r="CY72" i="3"/>
  <c r="CY74" i="3"/>
  <c r="CY76" i="3"/>
  <c r="CY71" i="3"/>
  <c r="CY78" i="3"/>
  <c r="CY79" i="3"/>
  <c r="CY77" i="3"/>
  <c r="CY75" i="3"/>
  <c r="CY73" i="3"/>
  <c r="CW77" i="3"/>
  <c r="CW78" i="3"/>
  <c r="CW80" i="3"/>
  <c r="CW81" i="3"/>
  <c r="CW79" i="3"/>
  <c r="CW82" i="3"/>
  <c r="CV72" i="3"/>
  <c r="CV75" i="3"/>
  <c r="CV74" i="3"/>
  <c r="CV76" i="3"/>
  <c r="CV73" i="3"/>
  <c r="CV71" i="3"/>
  <c r="BD79" i="3"/>
  <c r="BD75" i="3"/>
  <c r="BD73" i="3"/>
  <c r="BD74" i="3"/>
  <c r="BD72" i="3"/>
  <c r="BD76" i="3"/>
  <c r="BD77" i="3"/>
  <c r="BD78" i="3"/>
  <c r="CU77" i="3"/>
  <c r="CU75" i="3"/>
  <c r="CU78" i="3"/>
  <c r="CU71" i="3"/>
  <c r="CU74" i="3"/>
  <c r="CU76" i="3"/>
  <c r="CU73" i="3"/>
  <c r="CU79" i="3"/>
  <c r="CU72" i="3"/>
  <c r="BE74" i="3"/>
  <c r="BE75" i="3"/>
  <c r="BE76" i="3"/>
  <c r="BE72" i="3"/>
  <c r="BE73" i="3"/>
  <c r="BG72" i="3"/>
  <c r="BG73" i="3"/>
  <c r="BB77" i="3"/>
  <c r="BB78" i="3"/>
  <c r="BB79" i="3"/>
  <c r="BB80" i="3"/>
  <c r="BB81" i="3"/>
  <c r="BB82" i="3"/>
  <c r="CT72" i="3"/>
  <c r="CT71" i="3"/>
  <c r="CT73" i="3"/>
  <c r="DH58" i="3"/>
  <c r="CX71" i="3"/>
  <c r="CX73" i="3"/>
  <c r="CX72" i="3"/>
  <c r="BC72" i="3"/>
  <c r="BC73" i="3"/>
  <c r="BH75" i="3"/>
  <c r="BH74" i="3"/>
  <c r="BH76" i="3"/>
  <c r="BH77" i="3"/>
  <c r="BH78" i="3"/>
  <c r="BH79" i="3"/>
  <c r="BH71" i="3"/>
  <c r="BH72" i="3"/>
  <c r="BH73" i="3"/>
  <c r="CS72" i="3"/>
  <c r="CS80" i="3"/>
  <c r="CS82" i="3"/>
  <c r="CS71" i="3"/>
  <c r="CS79" i="3"/>
  <c r="CS77" i="3"/>
  <c r="CS75" i="3"/>
  <c r="CS74" i="3"/>
  <c r="CS78" i="3"/>
  <c r="CS76" i="3"/>
  <c r="CS81" i="3"/>
  <c r="CS73" i="3"/>
  <c r="CY59" i="3"/>
  <c r="CT34" i="3"/>
  <c r="CT31" i="3"/>
  <c r="CT33" i="3"/>
  <c r="CT30" i="3"/>
  <c r="CT29" i="3"/>
  <c r="CT27" i="3"/>
  <c r="CT32" i="3"/>
  <c r="CT28" i="3"/>
  <c r="BC30" i="3"/>
  <c r="BC28" i="3"/>
  <c r="BC34" i="3"/>
  <c r="BC33" i="3"/>
  <c r="BC31" i="3"/>
  <c r="BC29" i="3"/>
  <c r="BC32" i="3"/>
  <c r="BC27" i="3"/>
  <c r="CS29" i="3"/>
  <c r="DI48" i="3"/>
  <c r="DI49" i="3"/>
  <c r="CS31" i="3"/>
  <c r="DH65" i="3"/>
  <c r="DH64" i="3"/>
  <c r="DH60" i="3"/>
  <c r="DH59" i="3"/>
  <c r="DH61" i="3"/>
  <c r="DH62" i="3"/>
  <c r="DH66" i="3"/>
  <c r="DH63" i="3"/>
  <c r="CY58" i="3"/>
  <c r="CY55" i="3"/>
  <c r="DI50" i="3"/>
  <c r="CY62" i="3"/>
  <c r="CY57" i="3"/>
  <c r="CY56" i="3"/>
  <c r="CY63" i="3"/>
  <c r="CY61" i="3"/>
  <c r="CW47" i="3"/>
  <c r="CW49" i="3"/>
  <c r="CW46" i="3"/>
  <c r="BE41" i="3"/>
  <c r="DE32" i="3"/>
  <c r="CU47" i="3"/>
  <c r="CU44" i="3"/>
  <c r="CW48" i="3"/>
  <c r="CW50" i="3"/>
  <c r="BE40" i="3"/>
  <c r="BE39" i="3"/>
  <c r="CU40" i="3"/>
  <c r="CU43" i="3"/>
  <c r="CU42" i="3"/>
  <c r="CU45" i="3"/>
  <c r="CU46" i="3"/>
  <c r="DE33" i="3"/>
  <c r="DE34" i="3"/>
  <c r="CU41" i="3"/>
  <c r="BM48" i="3"/>
  <c r="BM47" i="3"/>
  <c r="BM49" i="3"/>
  <c r="BM50" i="3"/>
  <c r="BM46" i="3"/>
  <c r="BC56" i="3"/>
  <c r="BM45" i="3"/>
  <c r="BM43" i="3"/>
  <c r="BC57" i="3"/>
  <c r="BM44" i="3"/>
  <c r="BM42" i="3"/>
  <c r="BA59" i="3"/>
  <c r="BA60" i="3"/>
  <c r="BA56" i="3"/>
  <c r="BA57" i="3"/>
  <c r="BA58" i="3"/>
  <c r="DD46" i="3"/>
  <c r="DD47" i="3"/>
  <c r="DD48" i="3"/>
  <c r="CT55" i="3"/>
  <c r="DD44" i="3"/>
  <c r="DD42" i="3"/>
  <c r="DD45" i="3"/>
  <c r="CT56" i="3"/>
  <c r="DD43" i="3"/>
  <c r="CT57" i="3"/>
  <c r="DD49" i="3"/>
  <c r="DD50" i="3"/>
  <c r="CX41" i="3"/>
  <c r="CX39" i="3"/>
  <c r="CX40" i="3"/>
  <c r="DH26" i="3"/>
  <c r="DH28" i="3"/>
  <c r="DH34" i="3"/>
  <c r="DH29" i="3"/>
  <c r="DH31" i="3"/>
  <c r="DH32" i="3"/>
  <c r="DH27" i="3"/>
  <c r="DH33" i="3"/>
  <c r="DH30" i="3"/>
  <c r="BM26" i="3"/>
  <c r="BM27" i="3"/>
  <c r="BM28" i="3"/>
  <c r="BM29" i="3"/>
  <c r="BM30" i="3"/>
  <c r="BM31" i="3"/>
  <c r="BM32" i="3"/>
  <c r="BM33" i="3"/>
  <c r="BM34" i="3"/>
  <c r="BQ44" i="3"/>
  <c r="BQ45" i="3"/>
  <c r="BG56" i="3"/>
  <c r="BQ46" i="3"/>
  <c r="BG57" i="3"/>
  <c r="BQ47" i="3"/>
  <c r="BQ43" i="3"/>
  <c r="BQ48" i="3"/>
  <c r="BQ42" i="3"/>
  <c r="BQ49" i="3"/>
  <c r="BQ50" i="3"/>
  <c r="DC39" i="3"/>
  <c r="DJ39" i="3" s="1"/>
  <c r="DC46" i="3"/>
  <c r="CS59" i="3"/>
  <c r="CS65" i="3"/>
  <c r="CS60" i="3"/>
  <c r="CS57" i="3"/>
  <c r="CS55" i="3"/>
  <c r="DC44" i="3"/>
  <c r="CS64" i="3"/>
  <c r="DC41" i="3"/>
  <c r="DJ41" i="3" s="1"/>
  <c r="CS63" i="3"/>
  <c r="DC40" i="3"/>
  <c r="DJ40" i="3" s="1"/>
  <c r="DC45" i="3"/>
  <c r="CS66" i="3"/>
  <c r="DC49" i="3"/>
  <c r="CS61" i="3"/>
  <c r="DC48" i="3"/>
  <c r="CS62" i="3"/>
  <c r="DC42" i="3"/>
  <c r="DC50" i="3"/>
  <c r="CS58" i="3"/>
  <c r="DC43" i="3"/>
  <c r="DC47" i="3"/>
  <c r="CS56" i="3"/>
  <c r="DH49" i="3"/>
  <c r="CX55" i="3"/>
  <c r="DH45" i="3"/>
  <c r="DH43" i="3"/>
  <c r="DH48" i="3"/>
  <c r="DH47" i="3"/>
  <c r="DH42" i="3"/>
  <c r="DH44" i="3"/>
  <c r="CX56" i="3"/>
  <c r="CX57" i="3"/>
  <c r="DH50" i="3"/>
  <c r="DH46" i="3"/>
  <c r="BN16" i="3"/>
  <c r="BD25" i="3"/>
  <c r="BN17" i="3"/>
  <c r="BD26" i="3"/>
  <c r="BN18" i="3"/>
  <c r="BD30" i="3"/>
  <c r="BD27" i="3"/>
  <c r="BD29" i="3"/>
  <c r="BD31" i="3"/>
  <c r="BD24" i="3"/>
  <c r="BD28" i="3"/>
  <c r="BN66" i="3"/>
  <c r="BN64" i="3"/>
  <c r="BN65" i="3"/>
  <c r="BH63" i="3"/>
  <c r="BH62" i="3"/>
  <c r="BH56" i="3"/>
  <c r="BR48" i="3"/>
  <c r="BH57" i="3"/>
  <c r="BR49" i="3"/>
  <c r="BH58" i="3"/>
  <c r="BR50" i="3"/>
  <c r="BH61" i="3"/>
  <c r="BH59" i="3"/>
  <c r="BH60" i="3"/>
  <c r="CT40" i="3"/>
  <c r="CT41" i="3"/>
  <c r="CT39" i="3"/>
  <c r="DD26" i="3"/>
  <c r="DD29" i="3"/>
  <c r="DD33" i="3"/>
  <c r="DD32" i="3"/>
  <c r="DD27" i="3"/>
  <c r="DD34" i="3"/>
  <c r="DD31" i="3"/>
  <c r="DD28" i="3"/>
  <c r="DD30" i="3"/>
  <c r="DC60" i="3"/>
  <c r="DC63" i="3"/>
  <c r="DC56" i="3"/>
  <c r="DJ56" i="3" s="1"/>
  <c r="DC57" i="3"/>
  <c r="DJ57" i="3" s="1"/>
  <c r="DC59" i="3"/>
  <c r="DC61" i="3"/>
  <c r="DC62" i="3"/>
  <c r="DC58" i="3"/>
  <c r="DC64" i="3"/>
  <c r="DC65" i="3"/>
  <c r="DC66" i="3"/>
  <c r="DC55" i="3"/>
  <c r="DJ55" i="3" s="1"/>
  <c r="BQ64" i="3"/>
  <c r="BQ59" i="3"/>
  <c r="BQ65" i="3"/>
  <c r="BQ60" i="3"/>
  <c r="BQ58" i="3"/>
  <c r="BQ61" i="3"/>
  <c r="BQ62" i="3"/>
  <c r="BQ63" i="3"/>
  <c r="BQ66" i="3"/>
  <c r="BR32" i="3"/>
  <c r="BR33" i="3"/>
  <c r="BR34" i="3"/>
  <c r="CR24" i="3"/>
  <c r="CR25" i="3"/>
  <c r="CR28" i="3"/>
  <c r="CR26" i="3"/>
  <c r="CR27" i="3"/>
  <c r="CR23" i="3"/>
  <c r="CU62" i="3"/>
  <c r="CU55" i="3"/>
  <c r="DE50" i="3"/>
  <c r="CU61" i="3"/>
  <c r="CU58" i="3"/>
  <c r="CU59" i="3"/>
  <c r="DE49" i="3"/>
  <c r="CU60" i="3"/>
  <c r="CU63" i="3"/>
  <c r="CU56" i="3"/>
  <c r="CU57" i="3"/>
  <c r="DE48" i="3"/>
  <c r="BA23" i="3"/>
  <c r="BA24" i="3"/>
  <c r="BA28" i="3"/>
  <c r="BA25" i="3"/>
  <c r="BA27" i="3"/>
  <c r="BA26" i="3"/>
  <c r="BB63" i="3"/>
  <c r="BB62" i="3"/>
  <c r="BB64" i="3"/>
  <c r="BB65" i="3"/>
  <c r="BB66" i="3"/>
  <c r="BB61" i="3"/>
  <c r="DI17" i="3"/>
  <c r="DI18" i="3"/>
  <c r="DI16" i="3"/>
  <c r="CY24" i="3"/>
  <c r="CY29" i="3"/>
  <c r="CY27" i="3"/>
  <c r="CY31" i="3"/>
  <c r="CY25" i="3"/>
  <c r="CY23" i="3"/>
  <c r="CY28" i="3"/>
  <c r="CY30" i="3"/>
  <c r="CY26" i="3"/>
  <c r="DH13" i="3"/>
  <c r="DH17" i="3"/>
  <c r="DH10" i="3"/>
  <c r="DH11" i="3"/>
  <c r="DH16" i="3"/>
  <c r="DH18" i="3"/>
  <c r="DH14" i="3"/>
  <c r="DH12" i="3"/>
  <c r="DH15" i="3"/>
  <c r="CX23" i="3"/>
  <c r="CX25" i="3"/>
  <c r="CX24" i="3"/>
  <c r="CS50" i="3"/>
  <c r="CS48" i="3"/>
  <c r="CS49" i="3"/>
  <c r="CS46" i="3"/>
  <c r="CS42" i="3"/>
  <c r="CS43" i="3"/>
  <c r="CS45" i="3"/>
  <c r="CS41" i="3"/>
  <c r="CS47" i="3"/>
  <c r="CS40" i="3"/>
  <c r="CS39" i="3"/>
  <c r="CS44" i="3"/>
  <c r="DC30" i="3"/>
  <c r="DC34" i="3"/>
  <c r="DC31" i="3"/>
  <c r="DC24" i="3"/>
  <c r="DC27" i="3"/>
  <c r="DC33" i="3"/>
  <c r="DC25" i="3"/>
  <c r="DC29" i="3"/>
  <c r="DC26" i="3"/>
  <c r="DC32" i="3"/>
  <c r="DC28" i="3"/>
  <c r="BQ26" i="3"/>
  <c r="BQ27" i="3"/>
  <c r="BQ28" i="3"/>
  <c r="BQ29" i="3"/>
  <c r="BQ30" i="3"/>
  <c r="BQ31" i="3"/>
  <c r="BQ32" i="3"/>
  <c r="BQ33" i="3"/>
  <c r="BQ34" i="3"/>
  <c r="CV59" i="3"/>
  <c r="CV55" i="3"/>
  <c r="CV58" i="3"/>
  <c r="CV56" i="3"/>
  <c r="CV57" i="3"/>
  <c r="CV60" i="3"/>
  <c r="DI64" i="3"/>
  <c r="DI65" i="3"/>
  <c r="DI66" i="3"/>
  <c r="BQ11" i="3"/>
  <c r="BQ12" i="3"/>
  <c r="BQ13" i="3"/>
  <c r="BQ14" i="3"/>
  <c r="BQ10" i="3"/>
  <c r="BQ15" i="3"/>
  <c r="BG24" i="3"/>
  <c r="BQ16" i="3"/>
  <c r="BG25" i="3"/>
  <c r="BQ17" i="3"/>
  <c r="BG23" i="3"/>
  <c r="BQ18" i="3"/>
  <c r="CW31" i="3"/>
  <c r="CW34" i="3"/>
  <c r="CW29" i="3"/>
  <c r="CW33" i="3"/>
  <c r="CW32" i="3"/>
  <c r="CW30" i="3"/>
  <c r="CR36" i="3"/>
  <c r="DB20" i="3"/>
  <c r="CR68" i="3"/>
  <c r="DB52" i="3"/>
  <c r="BE59" i="3"/>
  <c r="BE60" i="3"/>
  <c r="BE58" i="3"/>
  <c r="BE57" i="3"/>
  <c r="BE56" i="3"/>
  <c r="BB31" i="3"/>
  <c r="BB34" i="3"/>
  <c r="BB29" i="3"/>
  <c r="BB32" i="3"/>
  <c r="BB33" i="3"/>
  <c r="BB30" i="3"/>
  <c r="BF29" i="3"/>
  <c r="BF34" i="3"/>
  <c r="BF32" i="3"/>
  <c r="BF30" i="3"/>
  <c r="BF33" i="3"/>
  <c r="BF31" i="3"/>
  <c r="DE64" i="3"/>
  <c r="DE66" i="3"/>
  <c r="DE65" i="3"/>
  <c r="BR64" i="3"/>
  <c r="BR65" i="3"/>
  <c r="BR66" i="3"/>
  <c r="BH29" i="3"/>
  <c r="BH31" i="3"/>
  <c r="BH28" i="3"/>
  <c r="BH27" i="3"/>
  <c r="BR16" i="3"/>
  <c r="BH23" i="3"/>
  <c r="BH25" i="3"/>
  <c r="BR17" i="3"/>
  <c r="BH24" i="3"/>
  <c r="BR18" i="3"/>
  <c r="BH26" i="3"/>
  <c r="BH30" i="3"/>
  <c r="DE18" i="3"/>
  <c r="DE17" i="3"/>
  <c r="DE16" i="3"/>
  <c r="CU24" i="3"/>
  <c r="CU26" i="3"/>
  <c r="CU31" i="3"/>
  <c r="CU30" i="3"/>
  <c r="CU27" i="3"/>
  <c r="CU25" i="3"/>
  <c r="CU29" i="3"/>
  <c r="CU23" i="3"/>
  <c r="CU28" i="3"/>
  <c r="CV23" i="3"/>
  <c r="CV27" i="3"/>
  <c r="CV24" i="3"/>
  <c r="CV25" i="3"/>
  <c r="CV26" i="3"/>
  <c r="CV28" i="3"/>
  <c r="BE26" i="3"/>
  <c r="BE24" i="3"/>
  <c r="BE28" i="3"/>
  <c r="BE25" i="3"/>
  <c r="BE27" i="3"/>
  <c r="BD39" i="3"/>
  <c r="BN34" i="3"/>
  <c r="BN32" i="3"/>
  <c r="BN33" i="3"/>
  <c r="BF64" i="3"/>
  <c r="BF61" i="3"/>
  <c r="BF62" i="3"/>
  <c r="BF65" i="3"/>
  <c r="BF66" i="3"/>
  <c r="BF63" i="3"/>
  <c r="CV40" i="3"/>
  <c r="CV39" i="3"/>
  <c r="CV41" i="3"/>
  <c r="CV43" i="3"/>
  <c r="CV42" i="3"/>
  <c r="CV44" i="3"/>
  <c r="CW62" i="3"/>
  <c r="CW64" i="3"/>
  <c r="CW65" i="3"/>
  <c r="CW66" i="3"/>
  <c r="CW63" i="3"/>
  <c r="CW61" i="3"/>
  <c r="CR52" i="3"/>
  <c r="DB36" i="3"/>
  <c r="BM15" i="3"/>
  <c r="BM16" i="3"/>
  <c r="BM14" i="3"/>
  <c r="BM17" i="3"/>
  <c r="BC24" i="3"/>
  <c r="BC25" i="3"/>
  <c r="BM18" i="3"/>
  <c r="BC23" i="3"/>
  <c r="BM10" i="3"/>
  <c r="BM13" i="3"/>
  <c r="BM11" i="3"/>
  <c r="BM12" i="3"/>
  <c r="BM63" i="3"/>
  <c r="BM60" i="3"/>
  <c r="BM61" i="3"/>
  <c r="BM64" i="3"/>
  <c r="BM58" i="3"/>
  <c r="BM65" i="3"/>
  <c r="BM66" i="3"/>
  <c r="BM62" i="3"/>
  <c r="BM59" i="3"/>
  <c r="DD18" i="3"/>
  <c r="DD12" i="3"/>
  <c r="DD17" i="3"/>
  <c r="DD15" i="3"/>
  <c r="DD14" i="3"/>
  <c r="DD11" i="3"/>
  <c r="DD13" i="3"/>
  <c r="DD10" i="3"/>
  <c r="DD16" i="3"/>
  <c r="CT23" i="3"/>
  <c r="CT25" i="3"/>
  <c r="CT24" i="3"/>
  <c r="DD66" i="3"/>
  <c r="DD62" i="3"/>
  <c r="DD61" i="3"/>
  <c r="DD59" i="3"/>
  <c r="DD64" i="3"/>
  <c r="DD60" i="3"/>
  <c r="DD65" i="3"/>
  <c r="DD58" i="3"/>
  <c r="DD63" i="3"/>
  <c r="BD56" i="3"/>
  <c r="BD57" i="3"/>
  <c r="BD58" i="3"/>
  <c r="BD63" i="3"/>
  <c r="BD59" i="3"/>
  <c r="BD60" i="3"/>
  <c r="BN48" i="3"/>
  <c r="BD61" i="3"/>
  <c r="BN49" i="3"/>
  <c r="BN50" i="3"/>
  <c r="BD62" i="3"/>
  <c r="CY41" i="3"/>
  <c r="CY46" i="3"/>
  <c r="CY42" i="3"/>
  <c r="CY44" i="3"/>
  <c r="CY39" i="3"/>
  <c r="CY47" i="3"/>
  <c r="CY43" i="3"/>
  <c r="CY40" i="3"/>
  <c r="CY45" i="3"/>
  <c r="DI32" i="3"/>
  <c r="DI33" i="3"/>
  <c r="DI34" i="3"/>
  <c r="DB28" i="3"/>
  <c r="DB27" i="3"/>
  <c r="DB24" i="3"/>
  <c r="DB26" i="3"/>
  <c r="DB25" i="3"/>
  <c r="BD43" i="3"/>
  <c r="BD44" i="3"/>
  <c r="BD45" i="3"/>
  <c r="BD40" i="3"/>
  <c r="BD46" i="3"/>
  <c r="BD42" i="3"/>
  <c r="BD47" i="3"/>
  <c r="BA55" i="3"/>
  <c r="BC40" i="3"/>
  <c r="BG55" i="3"/>
  <c r="BB47" i="3"/>
  <c r="BB49" i="3"/>
  <c r="BG39" i="3"/>
  <c r="BA71" i="3"/>
  <c r="BC71" i="3"/>
  <c r="BE71" i="3"/>
  <c r="BB50" i="3"/>
  <c r="BB48" i="3"/>
  <c r="BB46" i="3"/>
  <c r="BG41" i="3"/>
  <c r="BG40" i="3"/>
  <c r="BE55" i="3"/>
  <c r="BD71" i="3"/>
  <c r="BG71" i="3"/>
  <c r="BC55" i="3"/>
  <c r="BH55" i="3"/>
  <c r="BD55" i="3"/>
  <c r="BH40" i="3"/>
  <c r="BH45" i="3"/>
  <c r="BH47" i="3"/>
  <c r="BH41" i="3"/>
  <c r="BH42" i="3"/>
  <c r="BH44" i="3"/>
  <c r="BH46" i="3"/>
  <c r="BH43" i="3"/>
  <c r="BH39" i="3"/>
  <c r="BC39" i="3"/>
  <c r="BC41" i="3"/>
  <c r="BE43" i="3"/>
  <c r="BE44" i="3"/>
  <c r="BB45" i="3"/>
  <c r="BE23" i="3"/>
  <c r="BD23" i="3"/>
  <c r="BA40" i="3"/>
  <c r="BA39" i="3"/>
  <c r="BA41" i="3"/>
  <c r="BA42" i="3"/>
  <c r="BA44" i="3"/>
  <c r="BA43" i="3"/>
  <c r="AC31" i="3"/>
  <c r="AD31" i="3"/>
  <c r="AB31" i="3"/>
  <c r="AA31" i="3"/>
  <c r="Z32" i="3"/>
  <c r="BI81" i="3" l="1"/>
  <c r="BU81" i="3" s="1"/>
  <c r="J93" i="7" s="1"/>
  <c r="S93" i="7" s="1"/>
  <c r="BI80" i="3"/>
  <c r="BU80" i="3" s="1"/>
  <c r="J92" i="7" s="1"/>
  <c r="S92" i="7" s="1"/>
  <c r="CZ81" i="3"/>
  <c r="DL81" i="3" s="1"/>
  <c r="AE93" i="7" s="1"/>
  <c r="AO93" i="7" s="1"/>
  <c r="CZ34" i="3"/>
  <c r="CZ49" i="3"/>
  <c r="DJ59" i="3"/>
  <c r="DJ62" i="3"/>
  <c r="DJ60" i="3"/>
  <c r="DJ25" i="3"/>
  <c r="BI64" i="3"/>
  <c r="DJ58" i="3"/>
  <c r="DJ24" i="3"/>
  <c r="BI49" i="3"/>
  <c r="DJ63" i="3"/>
  <c r="CZ45" i="3"/>
  <c r="CZ48" i="3"/>
  <c r="DJ15" i="3"/>
  <c r="BI82" i="3"/>
  <c r="BU82" i="3" s="1"/>
  <c r="J94" i="7" s="1"/>
  <c r="S94" i="7" s="1"/>
  <c r="BI50" i="3"/>
  <c r="CZ82" i="3"/>
  <c r="DL82" i="3" s="1"/>
  <c r="AE94" i="7" s="1"/>
  <c r="AO94" i="7" s="1"/>
  <c r="BI48" i="3"/>
  <c r="DJ61" i="3"/>
  <c r="CZ33" i="3"/>
  <c r="CZ66" i="3"/>
  <c r="DJ48" i="3"/>
  <c r="CZ57" i="3"/>
  <c r="DJ49" i="3"/>
  <c r="BI66" i="3"/>
  <c r="CZ65" i="3"/>
  <c r="CZ46" i="3"/>
  <c r="DJ30" i="3"/>
  <c r="CZ58" i="3"/>
  <c r="CZ71" i="3"/>
  <c r="DJ18" i="3"/>
  <c r="DJ26" i="3"/>
  <c r="CZ80" i="3"/>
  <c r="DL80" i="3" s="1"/>
  <c r="AE92" i="7" s="1"/>
  <c r="AO92" i="7" s="1"/>
  <c r="BI33" i="3"/>
  <c r="CZ50" i="3"/>
  <c r="CZ60" i="3"/>
  <c r="CZ76" i="3"/>
  <c r="DJ33" i="3"/>
  <c r="CZ72" i="3"/>
  <c r="CZ23" i="3"/>
  <c r="DJ10" i="3"/>
  <c r="DJ32" i="3"/>
  <c r="DJ43" i="3"/>
  <c r="DJ65" i="3"/>
  <c r="CZ78" i="3"/>
  <c r="CZ75" i="3"/>
  <c r="CZ27" i="3"/>
  <c r="DJ13" i="3"/>
  <c r="DJ34" i="3"/>
  <c r="DJ44" i="3"/>
  <c r="BI65" i="3"/>
  <c r="DJ64" i="3"/>
  <c r="CZ79" i="3"/>
  <c r="DL79" i="3" s="1"/>
  <c r="AE91" i="7" s="1"/>
  <c r="AO91" i="7" s="1"/>
  <c r="CZ73" i="3"/>
  <c r="CZ26" i="3"/>
  <c r="CZ24" i="3"/>
  <c r="CZ47" i="3"/>
  <c r="CZ42" i="3"/>
  <c r="DJ27" i="3"/>
  <c r="CZ77" i="3"/>
  <c r="CZ74" i="3"/>
  <c r="CZ25" i="3"/>
  <c r="DJ11" i="3"/>
  <c r="CZ41" i="3"/>
  <c r="DJ31" i="3"/>
  <c r="DJ45" i="3"/>
  <c r="DJ14" i="3"/>
  <c r="DJ66" i="3"/>
  <c r="CZ29" i="3"/>
  <c r="CZ63" i="3"/>
  <c r="CZ28" i="3"/>
  <c r="CZ43" i="3"/>
  <c r="DJ28" i="3"/>
  <c r="DJ46" i="3"/>
  <c r="CZ30" i="3"/>
  <c r="CZ62" i="3"/>
  <c r="DJ17" i="3"/>
  <c r="CZ39" i="3"/>
  <c r="DJ29" i="3"/>
  <c r="CZ56" i="3"/>
  <c r="DJ50" i="3"/>
  <c r="CZ31" i="3"/>
  <c r="CZ64" i="3"/>
  <c r="DJ16" i="3"/>
  <c r="CZ44" i="3"/>
  <c r="CZ55" i="3"/>
  <c r="DJ42" i="3"/>
  <c r="CZ32" i="3"/>
  <c r="CZ61" i="3"/>
  <c r="DJ12" i="3"/>
  <c r="CZ40" i="3"/>
  <c r="CZ59" i="3"/>
  <c r="DJ47" i="3"/>
  <c r="BI45" i="3"/>
  <c r="BI58" i="3"/>
  <c r="BI75" i="3"/>
  <c r="BU75" i="3" s="1"/>
  <c r="J87" i="7" s="1"/>
  <c r="S87" i="7" s="1"/>
  <c r="BI72" i="3"/>
  <c r="BU72" i="3" s="1"/>
  <c r="J84" i="7" s="1"/>
  <c r="S84" i="7" s="1"/>
  <c r="BI73" i="3"/>
  <c r="BU73" i="3" s="1"/>
  <c r="J85" i="7" s="1"/>
  <c r="S85" i="7" s="1"/>
  <c r="BI56" i="3"/>
  <c r="BI74" i="3"/>
  <c r="BU74" i="3" s="1"/>
  <c r="J86" i="7" s="1"/>
  <c r="S86" i="7" s="1"/>
  <c r="BI71" i="3"/>
  <c r="BU71" i="3" s="1"/>
  <c r="J83" i="7" s="1"/>
  <c r="S83" i="7" s="1"/>
  <c r="BI79" i="3"/>
  <c r="BU79" i="3" s="1"/>
  <c r="J91" i="7" s="1"/>
  <c r="S91" i="7" s="1"/>
  <c r="BI77" i="3"/>
  <c r="BU77" i="3" s="1"/>
  <c r="J89" i="7" s="1"/>
  <c r="S89" i="7" s="1"/>
  <c r="BI78" i="3"/>
  <c r="BU78" i="3" s="1"/>
  <c r="J90" i="7" s="1"/>
  <c r="S90" i="7" s="1"/>
  <c r="BI76" i="3"/>
  <c r="BU76" i="3" s="1"/>
  <c r="J88" i="7" s="1"/>
  <c r="S88" i="7" s="1"/>
  <c r="BI47" i="3"/>
  <c r="BS29" i="3"/>
  <c r="BI34" i="3"/>
  <c r="BI46" i="3"/>
  <c r="BI63" i="3"/>
  <c r="BS61" i="3"/>
  <c r="BS65" i="3"/>
  <c r="BS56" i="3"/>
  <c r="BS62" i="3"/>
  <c r="BS57" i="3"/>
  <c r="BS64" i="3"/>
  <c r="BS59" i="3"/>
  <c r="BS63" i="3"/>
  <c r="BS60" i="3"/>
  <c r="BS66" i="3"/>
  <c r="BS58" i="3"/>
  <c r="BS55" i="3"/>
  <c r="BI43" i="3"/>
  <c r="BI41" i="3"/>
  <c r="BI57" i="3"/>
  <c r="BI60" i="3"/>
  <c r="BI62" i="3"/>
  <c r="BI61" i="3"/>
  <c r="BI55" i="3"/>
  <c r="BI59" i="3"/>
  <c r="BS40" i="3"/>
  <c r="BS39" i="3"/>
  <c r="BS43" i="3"/>
  <c r="BS49" i="3"/>
  <c r="BS42" i="3"/>
  <c r="BS46" i="3"/>
  <c r="BS44" i="3"/>
  <c r="BS47" i="3"/>
  <c r="BS41" i="3"/>
  <c r="BS50" i="3"/>
  <c r="BS48" i="3"/>
  <c r="BS45" i="3"/>
  <c r="BS30" i="3"/>
  <c r="BS25" i="3"/>
  <c r="BS34" i="3"/>
  <c r="BS31" i="3"/>
  <c r="BI42" i="3"/>
  <c r="BI40" i="3"/>
  <c r="BS33" i="3"/>
  <c r="BS32" i="3"/>
  <c r="BS28" i="3"/>
  <c r="BS26" i="3"/>
  <c r="BS27" i="3"/>
  <c r="BI39" i="3"/>
  <c r="BI44" i="3"/>
  <c r="BS10" i="3"/>
  <c r="BS12" i="3"/>
  <c r="BI31" i="3"/>
  <c r="BI29" i="3"/>
  <c r="BI32" i="3"/>
  <c r="BI23" i="3"/>
  <c r="BS11" i="3"/>
  <c r="BI30" i="3"/>
  <c r="BS15" i="3"/>
  <c r="BS14" i="3"/>
  <c r="BS16" i="3"/>
  <c r="BS13" i="3"/>
  <c r="BS18" i="3"/>
  <c r="BS17" i="3"/>
  <c r="BI25" i="3"/>
  <c r="BI26" i="3"/>
  <c r="BI28" i="3"/>
  <c r="BI24" i="3"/>
  <c r="BI27" i="3"/>
  <c r="AD32" i="3"/>
  <c r="AA32" i="3"/>
  <c r="AB32" i="3"/>
  <c r="AC32" i="3"/>
  <c r="Z33" i="3"/>
  <c r="DL40" i="3" l="1"/>
  <c r="AE36" i="7" s="1"/>
  <c r="AO36" i="7" s="1"/>
  <c r="DL39" i="3"/>
  <c r="AE35" i="7" s="1"/>
  <c r="AO35" i="7" s="1"/>
  <c r="DL73" i="3"/>
  <c r="AE85" i="7" s="1"/>
  <c r="AO85" i="7" s="1"/>
  <c r="DL71" i="3"/>
  <c r="AE83" i="7" s="1"/>
  <c r="AO83" i="7" s="1"/>
  <c r="DL62" i="3"/>
  <c r="AE66" i="7" s="1"/>
  <c r="AO66" i="7" s="1"/>
  <c r="DL41" i="3"/>
  <c r="AE37" i="7" s="1"/>
  <c r="AO37" i="7" s="1"/>
  <c r="DL23" i="3"/>
  <c r="AE11" i="7" s="1"/>
  <c r="AO11" i="7" s="1"/>
  <c r="DL72" i="3"/>
  <c r="AE84" i="7" s="1"/>
  <c r="AO84" i="7" s="1"/>
  <c r="DL55" i="3"/>
  <c r="AE59" i="7" s="1"/>
  <c r="AO59" i="7" s="1"/>
  <c r="DL56" i="3"/>
  <c r="AE60" i="7" s="1"/>
  <c r="AO60" i="7" s="1"/>
  <c r="DL74" i="3"/>
  <c r="AE86" i="7" s="1"/>
  <c r="AO86" i="7" s="1"/>
  <c r="DL76" i="3"/>
  <c r="AE88" i="7" s="1"/>
  <c r="AO88" i="7" s="1"/>
  <c r="DL77" i="3"/>
  <c r="AE89" i="7" s="1"/>
  <c r="AO89" i="7" s="1"/>
  <c r="DL59" i="3"/>
  <c r="AE63" i="7" s="1"/>
  <c r="AO63" i="7" s="1"/>
  <c r="DL57" i="3"/>
  <c r="AE61" i="7" s="1"/>
  <c r="AO61" i="7" s="1"/>
  <c r="DL78" i="3"/>
  <c r="AE90" i="7" s="1"/>
  <c r="AO90" i="7" s="1"/>
  <c r="DL75" i="3"/>
  <c r="AE87" i="7" s="1"/>
  <c r="AO87" i="7" s="1"/>
  <c r="DL34" i="3"/>
  <c r="AE22" i="7" s="1"/>
  <c r="AO22" i="7" s="1"/>
  <c r="DL60" i="3"/>
  <c r="AE64" i="7" s="1"/>
  <c r="AO64" i="7" s="1"/>
  <c r="DL49" i="3"/>
  <c r="AE45" i="7" s="1"/>
  <c r="AO45" i="7" s="1"/>
  <c r="DL63" i="3"/>
  <c r="AE67" i="7" s="1"/>
  <c r="AO67" i="7" s="1"/>
  <c r="BU49" i="3"/>
  <c r="J45" i="7" s="1"/>
  <c r="S45" i="7" s="1"/>
  <c r="DL25" i="3"/>
  <c r="AE13" i="7" s="1"/>
  <c r="AO13" i="7" s="1"/>
  <c r="BU64" i="3"/>
  <c r="J68" i="7" s="1"/>
  <c r="S68" i="7" s="1"/>
  <c r="DL24" i="3"/>
  <c r="AE12" i="7" s="1"/>
  <c r="AO12" i="7" s="1"/>
  <c r="DL58" i="3"/>
  <c r="AE62" i="7" s="1"/>
  <c r="AO62" i="7" s="1"/>
  <c r="DL45" i="3"/>
  <c r="AE41" i="7" s="1"/>
  <c r="AO41" i="7" s="1"/>
  <c r="BU48" i="3"/>
  <c r="J44" i="7" s="1"/>
  <c r="S44" i="7" s="1"/>
  <c r="BU50" i="3"/>
  <c r="J46" i="7" s="1"/>
  <c r="S46" i="7" s="1"/>
  <c r="DL26" i="3"/>
  <c r="AE14" i="7" s="1"/>
  <c r="AO14" i="7" s="1"/>
  <c r="DL66" i="3"/>
  <c r="AE70" i="7" s="1"/>
  <c r="AO70" i="7" s="1"/>
  <c r="BU33" i="3"/>
  <c r="J21" i="7" s="1"/>
  <c r="S21" i="7" s="1"/>
  <c r="DL48" i="3"/>
  <c r="AE44" i="7" s="1"/>
  <c r="AO44" i="7" s="1"/>
  <c r="DL61" i="3"/>
  <c r="AE65" i="7" s="1"/>
  <c r="AO65" i="7" s="1"/>
  <c r="DL50" i="3"/>
  <c r="AE46" i="7" s="1"/>
  <c r="AO46" i="7" s="1"/>
  <c r="DL65" i="3"/>
  <c r="AE69" i="7" s="1"/>
  <c r="AO69" i="7" s="1"/>
  <c r="BU45" i="3"/>
  <c r="J41" i="7" s="1"/>
  <c r="S41" i="7" s="1"/>
  <c r="BU58" i="3"/>
  <c r="J62" i="7" s="1"/>
  <c r="S62" i="7" s="1"/>
  <c r="DL32" i="3"/>
  <c r="AE20" i="7" s="1"/>
  <c r="AO20" i="7" s="1"/>
  <c r="BU66" i="3"/>
  <c r="J70" i="7" s="1"/>
  <c r="S70" i="7" s="1"/>
  <c r="DL33" i="3"/>
  <c r="AE21" i="7" s="1"/>
  <c r="AO21" i="7" s="1"/>
  <c r="DL30" i="3"/>
  <c r="AE18" i="7" s="1"/>
  <c r="AO18" i="7" s="1"/>
  <c r="BU47" i="3"/>
  <c r="J43" i="7" s="1"/>
  <c r="S43" i="7" s="1"/>
  <c r="DL46" i="3"/>
  <c r="AE42" i="7" s="1"/>
  <c r="AO42" i="7" s="1"/>
  <c r="DL43" i="3"/>
  <c r="AE39" i="7" s="1"/>
  <c r="AO39" i="7" s="1"/>
  <c r="DL31" i="3"/>
  <c r="AE19" i="7" s="1"/>
  <c r="AO19" i="7" s="1"/>
  <c r="DL42" i="3"/>
  <c r="AE38" i="7" s="1"/>
  <c r="AO38" i="7" s="1"/>
  <c r="BU34" i="3"/>
  <c r="J22" i="7" s="1"/>
  <c r="S22" i="7" s="1"/>
  <c r="DL28" i="3"/>
  <c r="AE16" i="7" s="1"/>
  <c r="AO16" i="7" s="1"/>
  <c r="DL44" i="3"/>
  <c r="AE40" i="7" s="1"/>
  <c r="AO40" i="7" s="1"/>
  <c r="DL29" i="3"/>
  <c r="AE17" i="7" s="1"/>
  <c r="AO17" i="7" s="1"/>
  <c r="DL47" i="3"/>
  <c r="AE43" i="7" s="1"/>
  <c r="AO43" i="7" s="1"/>
  <c r="DL27" i="3"/>
  <c r="AE15" i="7" s="1"/>
  <c r="AO15" i="7" s="1"/>
  <c r="BU65" i="3"/>
  <c r="J69" i="7" s="1"/>
  <c r="S69" i="7" s="1"/>
  <c r="DL64" i="3"/>
  <c r="AE68" i="7" s="1"/>
  <c r="AO68" i="7" s="1"/>
  <c r="BU29" i="3"/>
  <c r="J17" i="7" s="1"/>
  <c r="S17" i="7" s="1"/>
  <c r="U92" i="7"/>
  <c r="U90" i="7"/>
  <c r="BU46" i="3"/>
  <c r="J42" i="7" s="1"/>
  <c r="S42" i="7" s="1"/>
  <c r="BU56" i="3"/>
  <c r="J60" i="7" s="1"/>
  <c r="S60" i="7" s="1"/>
  <c r="BU43" i="3"/>
  <c r="J39" i="7" s="1"/>
  <c r="S39" i="7" s="1"/>
  <c r="BU63" i="3"/>
  <c r="J67" i="7" s="1"/>
  <c r="S67" i="7" s="1"/>
  <c r="BU41" i="3"/>
  <c r="J37" i="7" s="1"/>
  <c r="S37" i="7" s="1"/>
  <c r="BU55" i="3"/>
  <c r="J59" i="7" s="1"/>
  <c r="S59" i="7" s="1"/>
  <c r="BU60" i="3"/>
  <c r="J64" i="7" s="1"/>
  <c r="S64" i="7" s="1"/>
  <c r="BU30" i="3"/>
  <c r="J18" i="7" s="1"/>
  <c r="S18" i="7" s="1"/>
  <c r="BU61" i="3"/>
  <c r="J65" i="7" s="1"/>
  <c r="S65" i="7" s="1"/>
  <c r="BU57" i="3"/>
  <c r="J61" i="7" s="1"/>
  <c r="S61" i="7" s="1"/>
  <c r="BU59" i="3"/>
  <c r="J63" i="7" s="1"/>
  <c r="S63" i="7" s="1"/>
  <c r="BU62" i="3"/>
  <c r="J66" i="7" s="1"/>
  <c r="S66" i="7" s="1"/>
  <c r="BU39" i="3"/>
  <c r="J35" i="7" s="1"/>
  <c r="S35" i="7" s="1"/>
  <c r="BU32" i="3"/>
  <c r="J20" i="7" s="1"/>
  <c r="S20" i="7" s="1"/>
  <c r="BU40" i="3"/>
  <c r="J36" i="7" s="1"/>
  <c r="S36" i="7" s="1"/>
  <c r="BU23" i="3"/>
  <c r="J11" i="7" s="1"/>
  <c r="S11" i="7" s="1"/>
  <c r="BU31" i="3"/>
  <c r="J19" i="7" s="1"/>
  <c r="S19" i="7" s="1"/>
  <c r="BU42" i="3"/>
  <c r="J38" i="7" s="1"/>
  <c r="S38" i="7" s="1"/>
  <c r="BU44" i="3"/>
  <c r="J40" i="7" s="1"/>
  <c r="S40" i="7" s="1"/>
  <c r="BU25" i="3"/>
  <c r="J13" i="7" s="1"/>
  <c r="S13" i="7" s="1"/>
  <c r="BU28" i="3"/>
  <c r="J16" i="7" s="1"/>
  <c r="S16" i="7" s="1"/>
  <c r="BU27" i="3"/>
  <c r="J15" i="7" s="1"/>
  <c r="S15" i="7" s="1"/>
  <c r="BU26" i="3"/>
  <c r="J14" i="7" s="1"/>
  <c r="S14" i="7" s="1"/>
  <c r="BU24" i="3"/>
  <c r="J12" i="7" s="1"/>
  <c r="S12" i="7" s="1"/>
  <c r="AB33" i="3"/>
  <c r="AC33" i="3"/>
  <c r="AD33" i="3"/>
  <c r="AA33" i="3"/>
  <c r="Z34" i="3"/>
  <c r="N94" i="7" l="1"/>
  <c r="O94" i="7" s="1"/>
  <c r="AK94" i="7" s="1"/>
  <c r="N92" i="7"/>
  <c r="O92" i="7" s="1"/>
  <c r="AK92" i="7" s="1"/>
  <c r="N93" i="7"/>
  <c r="N91" i="7"/>
  <c r="O91" i="7" s="1"/>
  <c r="AK91" i="7" s="1"/>
  <c r="N90" i="7"/>
  <c r="O90" i="7" s="1"/>
  <c r="AK90" i="7" s="1"/>
  <c r="N89" i="7"/>
  <c r="O89" i="7" s="1"/>
  <c r="AK89" i="7" s="1"/>
  <c r="N88" i="7"/>
  <c r="O88" i="7" s="1"/>
  <c r="AK88" i="7" s="1"/>
  <c r="N84" i="7"/>
  <c r="O84" i="7" s="1"/>
  <c r="AK84" i="7" s="1"/>
  <c r="N83" i="7"/>
  <c r="O83" i="7" s="1"/>
  <c r="AK83" i="7" s="1"/>
  <c r="N87" i="7"/>
  <c r="O87" i="7" s="1"/>
  <c r="AK87" i="7" s="1"/>
  <c r="N86" i="7"/>
  <c r="O86" i="7" s="1"/>
  <c r="AK86" i="7" s="1"/>
  <c r="N85" i="7"/>
  <c r="O85" i="7" s="1"/>
  <c r="AK85" i="7" s="1"/>
  <c r="AQ68" i="7"/>
  <c r="AQ66" i="7"/>
  <c r="AQ18" i="7"/>
  <c r="AQ20" i="7"/>
  <c r="AQ92" i="7"/>
  <c r="AQ90" i="7"/>
  <c r="AQ42" i="7"/>
  <c r="AQ44" i="7"/>
  <c r="O93" i="7"/>
  <c r="AK93" i="7" s="1"/>
  <c r="U94" i="7"/>
  <c r="U68" i="7"/>
  <c r="U66" i="7"/>
  <c r="U44" i="7"/>
  <c r="U42" i="7"/>
  <c r="U20" i="7"/>
  <c r="U18" i="7"/>
  <c r="AB34" i="3"/>
  <c r="AC34" i="3"/>
  <c r="AD34" i="3"/>
  <c r="AA34" i="3"/>
  <c r="Z35" i="3"/>
  <c r="AI11" i="7" l="1"/>
  <c r="AI13" i="7"/>
  <c r="AI22" i="7"/>
  <c r="AI21" i="7"/>
  <c r="AI20" i="7"/>
  <c r="AJ20" i="7" s="1"/>
  <c r="AI19" i="7"/>
  <c r="AI18" i="7"/>
  <c r="AJ18" i="7" s="1"/>
  <c r="AI17" i="7"/>
  <c r="AJ17" i="7" s="1"/>
  <c r="AI16" i="7"/>
  <c r="AJ16" i="7" s="1"/>
  <c r="AI15" i="7"/>
  <c r="AJ15" i="7" s="1"/>
  <c r="AI14" i="7"/>
  <c r="AJ14" i="7" s="1"/>
  <c r="AI12" i="7"/>
  <c r="AJ12" i="7" s="1"/>
  <c r="AI35" i="7"/>
  <c r="AJ35" i="7" s="1"/>
  <c r="AI46" i="7"/>
  <c r="AI45" i="7"/>
  <c r="AI44" i="7"/>
  <c r="AJ44" i="7" s="1"/>
  <c r="AI37" i="7"/>
  <c r="AJ37" i="7" s="1"/>
  <c r="AI43" i="7"/>
  <c r="AJ43" i="7" s="1"/>
  <c r="AI42" i="7"/>
  <c r="AJ42" i="7" s="1"/>
  <c r="AI41" i="7"/>
  <c r="AJ41" i="7" s="1"/>
  <c r="AI40" i="7"/>
  <c r="AJ40" i="7" s="1"/>
  <c r="AI39" i="7"/>
  <c r="AJ39" i="7" s="1"/>
  <c r="AI38" i="7"/>
  <c r="AJ38" i="7" s="1"/>
  <c r="AI36" i="7"/>
  <c r="AJ36" i="7" s="1"/>
  <c r="AI83" i="7"/>
  <c r="AJ83" i="7" s="1"/>
  <c r="AI94" i="7"/>
  <c r="AJ94" i="7" s="1"/>
  <c r="AI93" i="7"/>
  <c r="AI92" i="7"/>
  <c r="AJ92" i="7" s="1"/>
  <c r="AI91" i="7"/>
  <c r="AJ91" i="7" s="1"/>
  <c r="AI85" i="7"/>
  <c r="AJ85" i="7" s="1"/>
  <c r="AI90" i="7"/>
  <c r="AJ90" i="7" s="1"/>
  <c r="AI89" i="7"/>
  <c r="AJ89" i="7" s="1"/>
  <c r="AI88" i="7"/>
  <c r="AJ88" i="7" s="1"/>
  <c r="AI87" i="7"/>
  <c r="AJ87" i="7" s="1"/>
  <c r="AI86" i="7"/>
  <c r="AJ86" i="7" s="1"/>
  <c r="AI84" i="7"/>
  <c r="AJ84" i="7" s="1"/>
  <c r="AI59" i="7"/>
  <c r="AI70" i="7"/>
  <c r="AJ70" i="7" s="1"/>
  <c r="AI69" i="7"/>
  <c r="AI68" i="7"/>
  <c r="AJ68" i="7" s="1"/>
  <c r="AI67" i="7"/>
  <c r="AJ67" i="7" s="1"/>
  <c r="AI66" i="7"/>
  <c r="AJ66" i="7" s="1"/>
  <c r="AI61" i="7"/>
  <c r="AJ61" i="7" s="1"/>
  <c r="AI65" i="7"/>
  <c r="AJ65" i="7" s="1"/>
  <c r="AI64" i="7"/>
  <c r="AJ64" i="7" s="1"/>
  <c r="AI63" i="7"/>
  <c r="AJ63" i="7" s="1"/>
  <c r="AI62" i="7"/>
  <c r="AJ62" i="7" s="1"/>
  <c r="AI60" i="7"/>
  <c r="AJ60" i="7" s="1"/>
  <c r="AJ59" i="7"/>
  <c r="AJ46" i="7"/>
  <c r="N70" i="7"/>
  <c r="O70" i="7" s="1"/>
  <c r="AK70" i="7" s="1"/>
  <c r="N68" i="7"/>
  <c r="O68" i="7" s="1"/>
  <c r="AK68" i="7" s="1"/>
  <c r="N69" i="7"/>
  <c r="O69" i="7" s="1"/>
  <c r="AK69" i="7" s="1"/>
  <c r="N66" i="7"/>
  <c r="O66" i="7" s="1"/>
  <c r="AK66" i="7" s="1"/>
  <c r="N67" i="7"/>
  <c r="O67" i="7" s="1"/>
  <c r="AK67" i="7" s="1"/>
  <c r="N65" i="7"/>
  <c r="O65" i="7" s="1"/>
  <c r="AK65" i="7" s="1"/>
  <c r="N64" i="7"/>
  <c r="O64" i="7" s="1"/>
  <c r="AK64" i="7" s="1"/>
  <c r="N63" i="7"/>
  <c r="O63" i="7" s="1"/>
  <c r="AK63" i="7" s="1"/>
  <c r="N60" i="7"/>
  <c r="O60" i="7" s="1"/>
  <c r="AK60" i="7" s="1"/>
  <c r="N59" i="7"/>
  <c r="O59" i="7" s="1"/>
  <c r="AK59" i="7" s="1"/>
  <c r="N62" i="7"/>
  <c r="O62" i="7" s="1"/>
  <c r="AK62" i="7" s="1"/>
  <c r="N61" i="7"/>
  <c r="O61" i="7" s="1"/>
  <c r="AK61" i="7" s="1"/>
  <c r="N46" i="7"/>
  <c r="O46" i="7" s="1"/>
  <c r="AK46" i="7" s="1"/>
  <c r="N44" i="7"/>
  <c r="O44" i="7" s="1"/>
  <c r="AK44" i="7" s="1"/>
  <c r="N45" i="7"/>
  <c r="O45" i="7" s="1"/>
  <c r="AK45" i="7" s="1"/>
  <c r="N43" i="7"/>
  <c r="O43" i="7" s="1"/>
  <c r="AK43" i="7" s="1"/>
  <c r="N42" i="7"/>
  <c r="O42" i="7" s="1"/>
  <c r="AK42" i="7" s="1"/>
  <c r="N41" i="7"/>
  <c r="O41" i="7" s="1"/>
  <c r="AK41" i="7" s="1"/>
  <c r="N40" i="7"/>
  <c r="O40" i="7" s="1"/>
  <c r="AK40" i="7" s="1"/>
  <c r="N36" i="7"/>
  <c r="O36" i="7" s="1"/>
  <c r="AK36" i="7" s="1"/>
  <c r="N39" i="7"/>
  <c r="O39" i="7" s="1"/>
  <c r="AK39" i="7" s="1"/>
  <c r="N38" i="7"/>
  <c r="O38" i="7" s="1"/>
  <c r="AK38" i="7" s="1"/>
  <c r="N37" i="7"/>
  <c r="O37" i="7" s="1"/>
  <c r="AK37" i="7" s="1"/>
  <c r="N35" i="7"/>
  <c r="O35" i="7" s="1"/>
  <c r="AK35" i="7" s="1"/>
  <c r="AJ19" i="7"/>
  <c r="AJ22" i="7"/>
  <c r="AJ21" i="7"/>
  <c r="AJ13" i="7"/>
  <c r="AJ11" i="7"/>
  <c r="N19" i="7"/>
  <c r="O19" i="7" s="1"/>
  <c r="AK19" i="7" s="1"/>
  <c r="N18" i="7"/>
  <c r="O18" i="7" s="1"/>
  <c r="AK18" i="7" s="1"/>
  <c r="N17" i="7"/>
  <c r="O17" i="7" s="1"/>
  <c r="AK17" i="7" s="1"/>
  <c r="N16" i="7"/>
  <c r="O16" i="7" s="1"/>
  <c r="AK16" i="7" s="1"/>
  <c r="N15" i="7"/>
  <c r="O15" i="7" s="1"/>
  <c r="AK15" i="7" s="1"/>
  <c r="N14" i="7"/>
  <c r="O14" i="7" s="1"/>
  <c r="AK14" i="7" s="1"/>
  <c r="N22" i="7"/>
  <c r="O22" i="7" s="1"/>
  <c r="AK22" i="7" s="1"/>
  <c r="N13" i="7"/>
  <c r="O13" i="7" s="1"/>
  <c r="AK13" i="7" s="1"/>
  <c r="N12" i="7"/>
  <c r="O12" i="7" s="1"/>
  <c r="AK12" i="7" s="1"/>
  <c r="N20" i="7"/>
  <c r="O20" i="7" s="1"/>
  <c r="AK20" i="7" s="1"/>
  <c r="N11" i="7"/>
  <c r="O11" i="7" s="1"/>
  <c r="AK11" i="7" s="1"/>
  <c r="N21" i="7"/>
  <c r="O21" i="7" s="1"/>
  <c r="AK21" i="7" s="1"/>
  <c r="AQ22" i="7"/>
  <c r="AQ46" i="7"/>
  <c r="AQ70" i="7"/>
  <c r="AJ45" i="7"/>
  <c r="AJ93" i="7"/>
  <c r="AQ94" i="7"/>
  <c r="AJ69" i="7"/>
  <c r="AK96" i="7"/>
  <c r="O96" i="7"/>
  <c r="IA9" i="3" s="1"/>
  <c r="IE9" i="3" s="1"/>
  <c r="U46" i="7"/>
  <c r="U70" i="7"/>
  <c r="U22" i="7"/>
  <c r="AC35" i="3"/>
  <c r="AA35" i="3"/>
  <c r="AD35" i="3"/>
  <c r="AB35" i="3"/>
  <c r="Z36" i="3"/>
  <c r="AJ96" i="7" l="1"/>
  <c r="IP9" i="3" s="1"/>
  <c r="IT9" i="3" s="1"/>
  <c r="O72" i="7"/>
  <c r="IA8" i="3" s="1"/>
  <c r="IE8" i="3" s="1"/>
  <c r="AK72" i="7"/>
  <c r="AJ72" i="7"/>
  <c r="IP8" i="3" s="1"/>
  <c r="IT8" i="3" s="1"/>
  <c r="AK48" i="7"/>
  <c r="O48" i="7"/>
  <c r="IA7" i="3" s="1"/>
  <c r="IE7" i="3" s="1"/>
  <c r="AJ48" i="7"/>
  <c r="IP7" i="3" s="1"/>
  <c r="IT7" i="3" s="1"/>
  <c r="AK24" i="7"/>
  <c r="O24" i="7"/>
  <c r="AJ24" i="7"/>
  <c r="IP6" i="3" s="1"/>
  <c r="IT6" i="3" s="1"/>
  <c r="AA36" i="3"/>
  <c r="AB36" i="3"/>
  <c r="AC36" i="3"/>
  <c r="AD36" i="3"/>
  <c r="Z37" i="3"/>
  <c r="IU9" i="3" l="1"/>
  <c r="IU8" i="3"/>
  <c r="IU7" i="3"/>
  <c r="IU6" i="3"/>
  <c r="IA6" i="3"/>
  <c r="IE6" i="3" s="1"/>
  <c r="AB37" i="3"/>
  <c r="AA37" i="3"/>
  <c r="AC37" i="3"/>
  <c r="AD37" i="3"/>
  <c r="Z38" i="3"/>
  <c r="IY6" i="3" l="1"/>
  <c r="M11" i="8" s="1"/>
  <c r="IX6" i="3"/>
  <c r="L11" i="8" s="1"/>
  <c r="D8" i="20" s="1"/>
  <c r="IW6" i="3"/>
  <c r="K11" i="8" s="1"/>
  <c r="C8" i="20" s="1"/>
  <c r="IY7" i="3"/>
  <c r="M12" i="8" s="1"/>
  <c r="E9" i="20" s="1"/>
  <c r="IX7" i="3"/>
  <c r="L12" i="8" s="1"/>
  <c r="D9" i="20" s="1"/>
  <c r="IW7" i="3"/>
  <c r="K12" i="8" s="1"/>
  <c r="C9" i="20" s="1"/>
  <c r="IX8" i="3"/>
  <c r="L13" i="8" s="1"/>
  <c r="D10" i="20" s="1"/>
  <c r="IY8" i="3"/>
  <c r="M13" i="8" s="1"/>
  <c r="E10" i="20" s="1"/>
  <c r="IW8" i="3"/>
  <c r="K13" i="8" s="1"/>
  <c r="C10" i="20" s="1"/>
  <c r="IW9" i="3"/>
  <c r="K14" i="8" s="1"/>
  <c r="C11" i="20" s="1"/>
  <c r="IY9" i="3"/>
  <c r="M14" i="8" s="1"/>
  <c r="E11" i="20" s="1"/>
  <c r="IX9" i="3"/>
  <c r="L14" i="8" s="1"/>
  <c r="D11" i="20" s="1"/>
  <c r="IF9" i="3"/>
  <c r="IF8" i="3"/>
  <c r="IF7" i="3"/>
  <c r="IF6" i="3"/>
  <c r="AB38" i="3"/>
  <c r="AA38" i="3"/>
  <c r="AC38" i="3"/>
  <c r="AD38" i="3"/>
  <c r="Z39" i="3"/>
  <c r="M8" i="8" l="1"/>
  <c r="E5" i="20" s="1"/>
  <c r="E8" i="20"/>
  <c r="J14" i="8"/>
  <c r="B11" i="20" s="1"/>
  <c r="IV6" i="3"/>
  <c r="J11" i="8" s="1"/>
  <c r="B8" i="20" s="1"/>
  <c r="J13" i="8"/>
  <c r="B10" i="20" s="1"/>
  <c r="IH7" i="3"/>
  <c r="C12" i="8" s="1"/>
  <c r="II7" i="3"/>
  <c r="D12" i="8" s="1"/>
  <c r="IJ7" i="3"/>
  <c r="E12" i="8" s="1"/>
  <c r="B12" i="8"/>
  <c r="IH8" i="3"/>
  <c r="C13" i="8" s="1"/>
  <c r="II8" i="3"/>
  <c r="D13" i="8" s="1"/>
  <c r="B13" i="8"/>
  <c r="IJ8" i="3"/>
  <c r="E13" i="8" s="1"/>
  <c r="II9" i="3"/>
  <c r="D14" i="8" s="1"/>
  <c r="IH9" i="3"/>
  <c r="C14" i="8" s="1"/>
  <c r="B14" i="8"/>
  <c r="IJ9" i="3"/>
  <c r="E14" i="8" s="1"/>
  <c r="II6" i="3"/>
  <c r="D11" i="8" s="1"/>
  <c r="IJ6" i="3"/>
  <c r="E11" i="8" s="1"/>
  <c r="B11" i="8"/>
  <c r="IH6" i="3"/>
  <c r="C11" i="8" s="1"/>
  <c r="AD39" i="3"/>
  <c r="AA39" i="3"/>
  <c r="AB39" i="3"/>
  <c r="AC39" i="3"/>
  <c r="Z40" i="3"/>
  <c r="J12" i="8" l="1"/>
  <c r="B9" i="20" s="1"/>
  <c r="E8" i="8"/>
  <c r="AB40" i="3"/>
  <c r="AC40" i="3"/>
  <c r="AD40" i="3"/>
  <c r="AA40" i="3"/>
  <c r="Z41" i="3"/>
  <c r="AC41" i="3" l="1"/>
  <c r="AB41" i="3"/>
  <c r="AD41" i="3"/>
  <c r="AA41" i="3"/>
  <c r="Z42" i="3"/>
  <c r="AC42" i="3" l="1"/>
  <c r="AD42" i="3"/>
  <c r="AB42" i="3"/>
  <c r="AA42" i="3"/>
  <c r="Z43" i="3"/>
  <c r="AA43" i="3" l="1"/>
  <c r="AD43" i="3"/>
  <c r="AB43" i="3"/>
  <c r="AC43" i="3"/>
  <c r="Z44" i="3"/>
  <c r="AA44" i="3" l="1"/>
  <c r="AB44" i="3"/>
  <c r="AC44" i="3"/>
  <c r="AD44" i="3"/>
  <c r="Z45" i="3"/>
  <c r="AB45" i="3" l="1"/>
  <c r="AC45" i="3"/>
  <c r="AD45" i="3"/>
  <c r="AA45" i="3"/>
  <c r="Z46" i="3"/>
  <c r="AC46" i="3" l="1"/>
  <c r="AD46" i="3"/>
  <c r="AB46" i="3"/>
  <c r="AA46" i="3"/>
  <c r="Z47" i="3"/>
  <c r="AD47" i="3" l="1"/>
  <c r="AA47" i="3"/>
  <c r="AB47" i="3"/>
  <c r="AC47" i="3"/>
  <c r="Z48" i="3"/>
  <c r="AA48" i="3" l="1"/>
  <c r="AB48" i="3"/>
  <c r="AC48" i="3"/>
  <c r="AD48" i="3"/>
  <c r="Z49" i="3"/>
  <c r="AB49" i="3" l="1"/>
  <c r="AC49" i="3"/>
  <c r="AD49" i="3"/>
  <c r="AA49" i="3"/>
  <c r="Z50" i="3"/>
  <c r="AC50" i="3" l="1"/>
  <c r="AD50" i="3"/>
  <c r="AB50" i="3"/>
  <c r="AA50" i="3"/>
  <c r="Z52" i="3"/>
  <c r="Z51" i="3"/>
  <c r="AA51" i="3" l="1"/>
  <c r="AB51" i="3"/>
  <c r="AC51" i="3"/>
  <c r="AD51" i="3"/>
  <c r="AA52" i="3"/>
  <c r="AB52" i="3"/>
  <c r="AC52" i="3"/>
  <c r="AD52"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<sst xmlns="http://schemas.openxmlformats.org/spreadsheetml/2006/main" count="2433" uniqueCount="443">
  <si>
    <t>-. Debe cumplimentar esta Hoja Excel y anexarla a la cuenta justificativa (Solicitud de Cobro) del expediente.</t>
  </si>
  <si>
    <t>HOJA/PESTAÑA "EXPEDIENTE"</t>
  </si>
  <si>
    <t>-. En la Hoja/Pestaña "EXPEDIENTE" se deberá cumplimentar:</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</si>
  <si>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</si>
  <si>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</si>
  <si>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</si>
  <si>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</si>
  <si>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t>e) Dentro de la primera pestaña ("Crear nuevo") seleccionamos la opción "Adobe Acrobat Document", marcamos la opción "Mostrar como icono" y pulsamos el botón "Aceptar".</t>
  </si>
  <si>
    <t>g) De forma automática se incluye una imagen con el logotipo de Archivo PDF, que corresponde al archivo recién insertado.</t>
  </si>
  <si>
    <t>BENEFICIARIO:</t>
  </si>
  <si>
    <t>PROGRAMA:</t>
  </si>
  <si>
    <t>AÑO:</t>
  </si>
  <si>
    <t>DIVISIÓN:</t>
  </si>
  <si>
    <t>LÍNEA:</t>
  </si>
  <si>
    <t>Nº EXPEDIENTE:</t>
  </si>
  <si>
    <t>(dd/mm/aa)</t>
  </si>
  <si>
    <t>FECHA FINAL PLAZO JUSTIFICACIÓN:</t>
  </si>
  <si>
    <t>meses</t>
  </si>
  <si>
    <t>FECHA FINAL EJECUCIÓN</t>
  </si>
  <si>
    <t>DIA FINAL EJECUCIÓN</t>
  </si>
  <si>
    <t>MES FINAL EJECUCIÓN</t>
  </si>
  <si>
    <t>AÑO FINAL DE EJECUCIÓN</t>
  </si>
  <si>
    <t>FECHA FINAL PROV. JUSTIFICACIÓN</t>
  </si>
  <si>
    <t>FECHA FINAL DE JUSTIFICACIÓN</t>
  </si>
  <si>
    <t>NOMBRE:</t>
  </si>
  <si>
    <t>PRIMER APELLIDO:</t>
  </si>
  <si>
    <t>SEGUNDO APELLIDO:</t>
  </si>
  <si>
    <t>ACRÓNIMO:</t>
  </si>
  <si>
    <t>ENE</t>
  </si>
  <si>
    <t>FEB</t>
  </si>
  <si>
    <t>MAR</t>
  </si>
  <si>
    <t>ABR</t>
  </si>
  <si>
    <t>MAY</t>
  </si>
  <si>
    <t>JUN</t>
  </si>
  <si>
    <t>JUL</t>
  </si>
  <si>
    <t>AGO</t>
  </si>
  <si>
    <t>SEP</t>
  </si>
  <si>
    <t>OCT</t>
  </si>
  <si>
    <t>NOV</t>
  </si>
  <si>
    <t>DIC</t>
  </si>
  <si>
    <t>Contingencias comunes:</t>
  </si>
  <si>
    <t>Desempleo:</t>
  </si>
  <si>
    <t>Formación profesional:</t>
  </si>
  <si>
    <t>TIPO COTIZACIÓN SS EMPRESA</t>
  </si>
  <si>
    <t>PERÍODO DE
LIQUIDACIÓN</t>
  </si>
  <si>
    <t>ENERO</t>
  </si>
  <si>
    <t>FEBRERO</t>
  </si>
  <si>
    <t>MARZO</t>
  </si>
  <si>
    <t>ABRIL</t>
  </si>
  <si>
    <t>MAYO</t>
  </si>
  <si>
    <t>JUNIO</t>
  </si>
  <si>
    <t>JULIO</t>
  </si>
  <si>
    <t>AGOSTO</t>
  </si>
  <si>
    <t>SEPTIEMBRE</t>
  </si>
  <si>
    <t>OCTUBRE</t>
  </si>
  <si>
    <t>NOVIEMBRE</t>
  </si>
  <si>
    <t>DICIEMBRE</t>
  </si>
  <si>
    <t>SALARIO
BASE</t>
  </si>
  <si>
    <t>TOTAL</t>
  </si>
  <si>
    <t>RETENCIÓN
IRPF
TRABAJADOR</t>
  </si>
  <si>
    <t>IMPORTE
LÍQUIDO
PERCIBIDO</t>
  </si>
  <si>
    <t>AT y EP:</t>
  </si>
  <si>
    <t>Fondo garantía salarial:</t>
  </si>
  <si>
    <t>PERÍODO DEVENGO</t>
  </si>
  <si>
    <t>FECHA
VALOR
ABONO
NÓMINA</t>
  </si>
  <si>
    <t>DATOS TRABAJADOR</t>
  </si>
  <si>
    <t>SEGURIDAD
SOCIAL
TRABAJADOR</t>
  </si>
  <si>
    <t>EN SU CASO,
OBSERVACIONES DEL BENEFICIARIO</t>
  </si>
  <si>
    <t>INICIO
(dd/mm/aa)</t>
  </si>
  <si>
    <t>FIN
(dd/mm/aa)</t>
  </si>
  <si>
    <t>IDENTIFICACIÓN
NÓMINA</t>
  </si>
  <si>
    <t>IRPF</t>
  </si>
  <si>
    <t>COMPLEMENTOS NÓMINA INCLUIDOS EN CONVENIO</t>
  </si>
  <si>
    <r>
      <t xml:space="preserve">COMPLEMENTOS NÓMINA </t>
    </r>
    <r>
      <rPr>
        <b/>
        <sz val="10"/>
        <color rgb="FFFF0000"/>
        <rFont val="Century Gothic"/>
        <family val="2"/>
      </rPr>
      <t>NO</t>
    </r>
    <r>
      <rPr>
        <b/>
        <sz val="8"/>
        <color theme="1"/>
        <rFont val="Century Gothic"/>
        <family val="2"/>
      </rPr>
      <t xml:space="preserve"> INCLUIDOS EN CONVENIO</t>
    </r>
  </si>
  <si>
    <t>BONIF.
SEG.
SOCIAL</t>
  </si>
  <si>
    <t>FECHA
VALOR
ABONO
SEG.SOC.</t>
  </si>
  <si>
    <t>MES</t>
  </si>
  <si>
    <t>IMPORTE
MENSUAL
IRPF</t>
  </si>
  <si>
    <t>GASTO
IRPF
SUBVENCIONABLE</t>
  </si>
  <si>
    <t>TOTAL
DEVENGADO
NÓMINA</t>
  </si>
  <si>
    <t>GASTO
SEGURIDAD
SOCIAL
SUBVENCIONABLE</t>
  </si>
  <si>
    <t>TOTAL
SUBVENC.</t>
  </si>
  <si>
    <t>GASTO
TOTAL
MENSUAL
SUBVENCIONADO</t>
  </si>
  <si>
    <t>GASTO
MENSUAL
NÓMINA
SUBVENCIONABLE</t>
  </si>
  <si>
    <t>FECHA
VALOR
INGRESO
IRPF
(MODELO 111)</t>
  </si>
  <si>
    <t>IMPORTES SUBVENCIONABLES</t>
  </si>
  <si>
    <t>TOTAL
DÍAS
(indicados en nómina)</t>
  </si>
  <si>
    <t>IDENTIFICACIÓN DE LA NÓMINA</t>
  </si>
  <si>
    <r>
      <t xml:space="preserve">IMPORTES </t>
    </r>
    <r>
      <rPr>
        <b/>
        <sz val="10"/>
        <color rgb="FFFF0000"/>
        <rFont val="Century Gothic"/>
        <family val="2"/>
      </rPr>
      <t>NO</t>
    </r>
    <r>
      <rPr>
        <b/>
        <sz val="10"/>
        <color theme="1"/>
        <rFont val="Century Gothic"/>
        <family val="2"/>
      </rPr>
      <t xml:space="preserve"> SUBVENCIONABLES</t>
    </r>
  </si>
  <si>
    <r>
      <t xml:space="preserve">PERCEPCIONES
</t>
    </r>
    <r>
      <rPr>
        <b/>
        <sz val="8"/>
        <color rgb="FFFF0000"/>
        <rFont val="Century Gothic"/>
        <family val="2"/>
      </rPr>
      <t>NO</t>
    </r>
    <r>
      <rPr>
        <b/>
        <sz val="8"/>
        <color theme="1"/>
        <rFont val="Century Gothic"/>
        <family val="2"/>
      </rPr>
      <t xml:space="preserve">
SALARIALES</t>
    </r>
  </si>
  <si>
    <t>INSERTAR DOCUMENTO(S) DE PAGO DE NÓMINA
(PDF)</t>
  </si>
  <si>
    <t>INSERTAR
ARCHIVO
NÓNIMA
(PDF)</t>
  </si>
  <si>
    <t>nº 82, de 11 de abril de 2023</t>
  </si>
  <si>
    <t>NOTA 2:</t>
  </si>
  <si>
    <t>NOTA 3:</t>
  </si>
  <si>
    <t>El porcentaje se reflejará con dos cifras decimales.</t>
  </si>
  <si>
    <t>IMPORTE
NÓMINA
A CONSIDERAR
SUBVENCIONABLE</t>
  </si>
  <si>
    <r>
      <t xml:space="preserve">COMPLEMENTO
CONVENIO
</t>
    </r>
    <r>
      <rPr>
        <b/>
        <sz val="8"/>
        <color theme="1"/>
        <rFont val="Century Gothic"/>
        <family val="2"/>
      </rPr>
      <t>1</t>
    </r>
  </si>
  <si>
    <r>
      <t xml:space="preserve">COMPLEMENTO
CONVENIO
</t>
    </r>
    <r>
      <rPr>
        <b/>
        <sz val="8"/>
        <color theme="1"/>
        <rFont val="Century Gothic"/>
        <family val="2"/>
      </rPr>
      <t>2</t>
    </r>
  </si>
  <si>
    <r>
      <t xml:space="preserve">COMPLEMENTO
CONVENIO
</t>
    </r>
    <r>
      <rPr>
        <b/>
        <sz val="8"/>
        <color theme="1"/>
        <rFont val="Century Gothic"/>
        <family val="2"/>
      </rPr>
      <t>3</t>
    </r>
  </si>
  <si>
    <r>
      <t xml:space="preserve">COMPLEMENTO
CONVENIO
</t>
    </r>
    <r>
      <rPr>
        <b/>
        <sz val="8"/>
        <color theme="1"/>
        <rFont val="Century Gothic"/>
        <family val="2"/>
      </rPr>
      <t>4</t>
    </r>
  </si>
  <si>
    <r>
      <t xml:space="preserve">COMPLEMENTO
CONVENIO
</t>
    </r>
    <r>
      <rPr>
        <b/>
        <sz val="8"/>
        <color theme="1"/>
        <rFont val="Century Gothic"/>
        <family val="2"/>
      </rPr>
      <t>5</t>
    </r>
  </si>
  <si>
    <r>
      <t xml:space="preserve">COMPLEMENTO
FUERA DE
CONVENIO
</t>
    </r>
    <r>
      <rPr>
        <b/>
        <sz val="8"/>
        <color theme="1"/>
        <rFont val="Century Gothic"/>
        <family val="2"/>
      </rPr>
      <t>1</t>
    </r>
  </si>
  <si>
    <r>
      <t xml:space="preserve">COMPLEMENTO
FUERA DE
CONVENIO
</t>
    </r>
    <r>
      <rPr>
        <b/>
        <sz val="8"/>
        <color theme="1"/>
        <rFont val="Century Gothic"/>
        <family val="2"/>
      </rPr>
      <t>2</t>
    </r>
  </si>
  <si>
    <r>
      <t xml:space="preserve">COMPLEMENTO
FUERA DE
CONVENIO
</t>
    </r>
    <r>
      <rPr>
        <b/>
        <sz val="8"/>
        <color theme="1"/>
        <rFont val="Century Gothic"/>
        <family val="2"/>
      </rPr>
      <t>3</t>
    </r>
  </si>
  <si>
    <r>
      <t xml:space="preserve">COMPLEMENTO
FUERA DE
CONVENIO
</t>
    </r>
    <r>
      <rPr>
        <b/>
        <sz val="8"/>
        <color theme="1"/>
        <rFont val="Century Gothic"/>
        <family val="2"/>
      </rPr>
      <t>4</t>
    </r>
  </si>
  <si>
    <r>
      <t xml:space="preserve">COMPLEMENTO
FUERA DE
CONVENIO
</t>
    </r>
    <r>
      <rPr>
        <b/>
        <sz val="8"/>
        <color theme="1"/>
        <rFont val="Century Gothic"/>
        <family val="2"/>
      </rPr>
      <t>5</t>
    </r>
  </si>
  <si>
    <r>
      <rPr>
        <b/>
        <sz val="8"/>
        <color theme="1"/>
        <rFont val="Century Gothic"/>
        <family val="2"/>
      </rPr>
      <t>TOTAL</t>
    </r>
    <r>
      <rPr>
        <b/>
        <sz val="6"/>
        <color theme="1"/>
        <rFont val="Century Gothic"/>
        <family val="2"/>
      </rPr>
      <t xml:space="preserve">
COMPLEMENTO
FUERA
CONVENIO</t>
    </r>
  </si>
  <si>
    <r>
      <rPr>
        <b/>
        <sz val="8"/>
        <rFont val="Century Gothic"/>
        <family val="2"/>
      </rPr>
      <t>TOTAL</t>
    </r>
    <r>
      <rPr>
        <b/>
        <sz val="6"/>
        <rFont val="Century Gothic"/>
        <family val="2"/>
      </rPr>
      <t xml:space="preserve">
COMPLEMENTO
SEGÚN
CONVENIO</t>
    </r>
  </si>
  <si>
    <t>APLICACIÓN FECHA ABONO</t>
  </si>
  <si>
    <t>IRPF
SUBVENCIONABLE</t>
  </si>
  <si>
    <t>MESES
DEVENGO</t>
  </si>
  <si>
    <t>NOTA 5:</t>
  </si>
  <si>
    <t>a) El período de devengo se encuentre comprendido, al menos parcialmente, dentro del plazo de ejecución del proyecto.</t>
  </si>
  <si>
    <t xml:space="preserve">Solamente cumplimentar los datos correspondientes a "OTRAS NÓMINAS" que cumplan simultáneamente los dos siguientes criterios: </t>
  </si>
  <si>
    <t>Sólamente cumplimentar los datos correspondientes a aquellas nóminas de meses en los que el trabajador tenga dedicación al proyecto. Las celdas correspondientes a los meses en los que no se refleje dedicación se colorearán automáticamente en verde.</t>
  </si>
  <si>
    <t>NÓMINA</t>
  </si>
  <si>
    <t>OTRAS
NÓMINAS</t>
  </si>
  <si>
    <t>REPERCUSIÓN
MENSUAL (EXTRAS,...)</t>
  </si>
  <si>
    <t>FECHA
VALOR
INGRESO
IRPF</t>
  </si>
  <si>
    <t>-. Como norma general, hay que cumplimentar datos en las celdas de color azul. Las celdas en color naranja indican que será necesario insertar algún tipo de documento en formato pdf.</t>
  </si>
  <si>
    <t>HOJA/PESTAÑA "% DEDICACIÓN TRABAJADOR"</t>
  </si>
  <si>
    <t>-. La inserción de archivos digitalizados, en formato pdf, se realiza de la siguiente manera:</t>
  </si>
  <si>
    <t>a) BLOQUE 1: Tabla de cotizaciones.</t>
  </si>
  <si>
    <t>b) BLOQUE 2: Nóminas mensuales.</t>
  </si>
  <si>
    <t>c) BLOQUE 3: Otras nóminas.</t>
  </si>
  <si>
    <t>d) BLOQUE 4: Seguridad Social empresa.</t>
  </si>
  <si>
    <t>-. BLOQUE 1: Tabla de cotizaciones.</t>
  </si>
  <si>
    <t>-. BLOQUE 2: Nóminas mensuales.</t>
  </si>
  <si>
    <t>Este formulario debe emitirse y ser firmado por el trabajador y el responsable con anterioridad a la primera imputación mensual del trabajador al proyecto.</t>
  </si>
  <si>
    <t>NOTA 6:</t>
  </si>
  <si>
    <t>El pocentaje de dedicación mensual se calculará dividiendo el número de horas (días, para el caso de dedicación a jornada completa) dedicadas al proyecto en el mes entre el número de horas laborables del mes (días laborables, para el caso de dedicación a jornada completa) de acuerdo con el calendario laboral de la empresa.</t>
  </si>
  <si>
    <t xml:space="preserve">NOTA 1: </t>
  </si>
  <si>
    <t>NOTA 4:</t>
  </si>
  <si>
    <t>IMPORTE</t>
  </si>
  <si>
    <t>&gt;100%</t>
  </si>
  <si>
    <t>TRABAJADOR</t>
  </si>
  <si>
    <t>HOJA/PESTAÑA "IDENTIFICACIÓN DEL TRABAJADOR"</t>
  </si>
  <si>
    <t>-. En la Hoja/Pestaña "IDENTIFICACIÓN DEL TRABAJADOR" se deberá cumplimentar el nombre y apellidos del trabajador (celdas D11, D12 y D13).</t>
  </si>
  <si>
    <t>EXISTE ALGÚN % SUPERIOR A 100%;</t>
  </si>
  <si>
    <t>FIRMA DEL TRABAJADOR:</t>
  </si>
  <si>
    <t>FIRMA DEL RESPONSABLE:</t>
  </si>
  <si>
    <t>FECHA EMISIÓN (1):</t>
  </si>
  <si>
    <t>INSERTAR CONTRATO
DE TRABAJO (PDF)</t>
  </si>
  <si>
    <t>Una vez cumplimentada la fecha de emisión y los porcentajes de dedicación mensual, se imprimirá la hoja firmándola tanto el trabajador como su responsable y se incorporará como archivo en formato pdf (celdas Q15:T15).</t>
  </si>
  <si>
    <t>a) Celda C9: nombre o razón social del beneficiario.</t>
  </si>
  <si>
    <t>FECHA INICIO PLAZO DE EJECUCIÓN:</t>
  </si>
  <si>
    <t>FECHA FINAL PLAZO EJECUCIÓN DEL PROYECTO (*):</t>
  </si>
  <si>
    <t>NOTA: la fecha reflejada debe cumplir dos requisitos: por un lado, ser anterior a la fecha de finalización del plazo de ejecución del proyecto y, por otro lado, no exisitir dedicación del trabajador en un mes anterior al de la firma de dicho documento.</t>
  </si>
  <si>
    <t>NOTA 1: El pocentaje de dedicación mensual se calculará dividiendo el número de horas (días, para el caso de dedicación a jornada completa) dedicadas al proyecto en el mes entre el número de horas laborables del mes (días laborables, para el caso de dedicación a jornada completa) de acuerdo con el calendario laboral de la empresa.</t>
  </si>
  <si>
    <t>NOTA 2: El porcentaje se reflejará con dos cifras decimales.</t>
  </si>
  <si>
    <t>NOTA:  Las filas correspondientes a los meses en los que no se hubiese reflejado dedicación estarán coloreadas en verde.</t>
  </si>
  <si>
    <t>-. A la hora de cumplimentar los complementos de la nómina mensual hay que diferenciar entre aquellos incluidos en el Convenio (SUBVENCIONABLES) y aquellos no incluidos en el Convenio (NO SUBVENCIONABLES).</t>
  </si>
  <si>
    <t>INSERTAR INFORME DATOS
PARA LA COTIZACIÓN (Idc)</t>
  </si>
  <si>
    <t>INSERTAR  ESTE FORMULARIO DE
DEDICACIÓN FIRMADO (PDF)</t>
  </si>
  <si>
    <t>-. En las columnas "AC" y "AD" hay que insertar, respectivamente, los archivos en formato pdf de la nómina mensual y los documentos acreditativos del pago de la misma.</t>
  </si>
  <si>
    <t xml:space="preserve">-. De forma análoga, se procederá a cumplimentar el bloque correspondiente a "OTRAS NÓMINAS", teniendo en cuenta que para que sean subvencionables, total o parcialmente, será necesario que cumplan simultáneamente los dos siguientes criterios: </t>
  </si>
  <si>
    <t>b) La fecha valor de abono de la nómina y/o de su IRPF sea anterior a la finalización del plazo de justificación.</t>
  </si>
  <si>
    <t>NOTA: la repercusión mensual de las "OTRAS NÓMINAS" en el coste mensual del trabajador se hace en función del período de devengo indicado para cada una de ellas por lo que hay que prestar especial atención a las fechas que se indiquen.</t>
  </si>
  <si>
    <t>-.  BLOQUE 4: Seguridad Social empresa:</t>
  </si>
  <si>
    <t>Se entenderá día laborable aquel que no sea festivo de acuerdo con el calendario laboral de la empresa.</t>
  </si>
  <si>
    <t>GASTO
TOTAL
MENSUAL
CON REPERCUSIÓN 
DE VACACIONES</t>
  </si>
  <si>
    <t>INSERTAR 
ARCHIVO NÓMINA (PDF)</t>
  </si>
  <si>
    <t/>
  </si>
  <si>
    <t>-. Insertar los archivos, en formato pdf, de la nómina mensual y los documentos acreditativos del pago de la misma.</t>
  </si>
  <si>
    <t>CT01</t>
  </si>
  <si>
    <t>CT02</t>
  </si>
  <si>
    <t>PORCENTAJE DEDICACIÓN POR EJERCICIO</t>
  </si>
  <si>
    <t>PORCENTAJE DE DEDICACIÓN MENSUAL AL PROYECTO POR EJERCICIO</t>
  </si>
  <si>
    <t>c) Celda D22: número del expediente.</t>
  </si>
  <si>
    <t>EXISTE ALGÚN % SUPERIOR A 100%</t>
  </si>
  <si>
    <t>EJERCICIO</t>
  </si>
  <si>
    <t>ACRÓNIMO</t>
  </si>
  <si>
    <t>TOTAL TRABAJADOR:</t>
  </si>
  <si>
    <t>PRIMER EJERCICIO</t>
  </si>
  <si>
    <t>SEGUNDO EJERCICIO</t>
  </si>
  <si>
    <t>TERCER EJERCICIO</t>
  </si>
  <si>
    <t>CUARTO EJERCICIO</t>
  </si>
  <si>
    <t>INSERTAR DOCUMENTO(S) DE
PAGO DE NÓMINA (PDF)</t>
  </si>
  <si>
    <t>MES CON DEDICACIÓN</t>
  </si>
  <si>
    <t>MESES CON DEDICACIÓN EJERC.:</t>
  </si>
  <si>
    <t>FINAL:</t>
  </si>
  <si>
    <t>INICIO:</t>
  </si>
  <si>
    <t>PRIMERA DEDICACIÓN FACTIBLE:</t>
  </si>
  <si>
    <t>ÚLTIMA DEDICACIÓN FACTIBLE:</t>
  </si>
  <si>
    <r>
      <t xml:space="preserve">OTRAS NÓMINAS (por ejemplo, pagas extraordinarias, atrasos...).
</t>
    </r>
    <r>
      <rPr>
        <b/>
        <sz val="10"/>
        <color theme="1"/>
        <rFont val="Century Gothic"/>
        <family val="2"/>
      </rPr>
      <t xml:space="preserve">
NOTA: en el caso, por ejemplo, de nómina de atrasos se incluirá en este bloque el importe de la Seguridad Social correspondiente al trabajador. La Seguridad Social correspondiente a la empresa se reflejará, en el mes correspondiente, en el siguiente bloque (SEGURIDAD SOCIAL EMPRESA)</t>
    </r>
  </si>
  <si>
    <t>IMPORTE
SEG. SOCIAL
EMPRESA
MENSUAL</t>
  </si>
  <si>
    <t>IMPORTE
SEG. SOC.
EMPRESA
OTRAS NÓMINAS</t>
  </si>
  <si>
    <t>IMPORTE
TOTAL
SEG. SOCIAL
EMPRESA</t>
  </si>
  <si>
    <t>TOTAL
DEVENGADO
NOMINA
SUBVENCIONABLE</t>
  </si>
  <si>
    <t>S.S.
TRABAJADOR</t>
  </si>
  <si>
    <t>DEVENGADO
NOMINA
TOTAL
SIN S.S</t>
  </si>
  <si>
    <t xml:space="preserve">LÍQUIDO
NÓMINA
SUBVENCIONABLE
</t>
  </si>
  <si>
    <t>EMPRESA</t>
  </si>
  <si>
    <t>IRPF NÓMINA (MODELO 111)</t>
  </si>
  <si>
    <t>SEGURIDAD SOCIAL</t>
  </si>
  <si>
    <t>GASTO LÍQUIDO
MENSUAL
A CONSIDERAR
(excl. SS e IRPF)</t>
  </si>
  <si>
    <t>GASTO
MENSUAL
SEGURIDAD
SOCIAL</t>
  </si>
  <si>
    <t>INICIO DEDICACIÓN:</t>
  </si>
  <si>
    <t>1º DEDICACIÓN POR FORMULARIO:</t>
  </si>
  <si>
    <t>PRIMERA
IMPUTACIÓN</t>
  </si>
  <si>
    <t>ÚLTIMA
IMPUTACIÓN</t>
  </si>
  <si>
    <t>DEVENGO</t>
  </si>
  <si>
    <t>FECHA
VALOR
ABONO
IRPF</t>
  </si>
  <si>
    <t>MESES EN
EJERCICIO</t>
  </si>
  <si>
    <t>REPERCUSIÓN
MENSUAL</t>
  </si>
  <si>
    <t>FILTRO RESUMEN</t>
  </si>
  <si>
    <t>PAGO S.S</t>
  </si>
  <si>
    <t>PROGRAMA DE AYUDAS DIRIGIDAS A LOS CCTT DE LA REGIÓN DE MURCIA DESTINADAS A LA REALIZACIÓN DE ACTIVIDADES DE I+D DE CARÁCTER NO ECONÓMICO.</t>
  </si>
  <si>
    <t>FUERA PLAZO</t>
  </si>
  <si>
    <t>NOTA 7:</t>
  </si>
  <si>
    <t>FECHA
FUERA PLAZO</t>
  </si>
  <si>
    <t>MES
ANT
PLAZO</t>
  </si>
  <si>
    <t>MES
POST
PLAZO</t>
  </si>
  <si>
    <t>MESES DEL EJERCICIO EN LOS QUE EL TRABAJADOR HA DISFRUTADO
DE ALGÚN DIA DE VACACIONES O PERMISO RETRIBUIDO</t>
  </si>
  <si>
    <t>MES
EN
PLAZO</t>
  </si>
  <si>
    <t>d) Celda F27: se deberá incluir la fecha final del plazo de ejecución del proyecto/actividad.</t>
  </si>
  <si>
    <t>HOJA/PESTAÑA "GASTOS TRABAJADOR EJERCICIO X".</t>
  </si>
  <si>
    <t>Nº DÍAS
LABORABLES
DISFRUTADOS
COMO
PERMISO
RETRIBUIDO</t>
  </si>
  <si>
    <t>Nº DÍAS
LABORABLES
DISFRUTADOS
COMO
VACACIONES</t>
  </si>
  <si>
    <t>REPERCUSIÓN DIAS FDS EN PERMISOS RETRIBUIDOS</t>
  </si>
  <si>
    <t>SUMA DE PORCENTAJES DE DEDICACIÓN</t>
  </si>
  <si>
    <t>COSTE TOTAL AÑO SEGÚN BENEFICIARIO</t>
  </si>
  <si>
    <t>COSTE TOTAL AÑO CON REPERCUSIÓN DE VACACIONES</t>
  </si>
  <si>
    <t>CTE. CORRECTOR</t>
  </si>
  <si>
    <t>PROGRAMA</t>
  </si>
  <si>
    <t>CONVOCATORIA</t>
  </si>
  <si>
    <t>PLAZO DE EJECUCIÓN</t>
  </si>
  <si>
    <t>DEPT</t>
  </si>
  <si>
    <t>NOMBRE PROGRAMA</t>
  </si>
  <si>
    <t>BORM BBRR</t>
  </si>
  <si>
    <t>LÍNEA ÚNICA:</t>
  </si>
  <si>
    <t>BORM BASES REGULADORAS
(Y MODIFCACIONES)</t>
  </si>
  <si>
    <t>INICIO COMÚN:</t>
  </si>
  <si>
    <t>SÍ</t>
  </si>
  <si>
    <t>INICIAL</t>
  </si>
  <si>
    <t>MODIFICACIÓN 1</t>
  </si>
  <si>
    <t>MODIFICACIÓN 2</t>
  </si>
  <si>
    <t>FECHA INICIO (dd/mm/aa)</t>
  </si>
  <si>
    <t>MESES JUSTIFICACIÓN TRAS EJECUCIÓN</t>
  </si>
  <si>
    <t>BORM EXTRACTO
CONVOCATORIA
(Y MODIFICACIONES):</t>
  </si>
  <si>
    <t>(*): Se deberá indicar la fecha de presentación de la solicitud de ayuda o la fecha de inicio del plazo de ejecución de acuerdo con lo dispuesto en el segundo punto de las condiciones particulares de la Resolución Individual de Concesión de Ayuda.</t>
  </si>
  <si>
    <t>(**): La fecha final del plazo de ejecución del proyecto/actividad viene reflejada en el segundo punto de las condiciones particulares de la Resolución Individual de Concesión de Ayuda.</t>
  </si>
  <si>
    <t>BORM BASES REGULADORAS
(Y MODIFICACIONES):</t>
  </si>
  <si>
    <t>BORM EXTRACTO
 CONVOCATORIA
 (Y MODIFICACIONES):</t>
  </si>
  <si>
    <t>INFO</t>
  </si>
  <si>
    <t>FECHAS DEFINITIVAS</t>
  </si>
  <si>
    <t>USUARIO:</t>
  </si>
  <si>
    <t>USUARIOS</t>
  </si>
  <si>
    <t>HOJA</t>
  </si>
  <si>
    <t>MAESTRO</t>
  </si>
  <si>
    <t>VISUALIZACIÓN</t>
  </si>
  <si>
    <t>RANGO</t>
  </si>
  <si>
    <t>USUARIOS INTERNOS</t>
  </si>
  <si>
    <t>FJI</t>
  </si>
  <si>
    <t>FJM</t>
  </si>
  <si>
    <t>FPP</t>
  </si>
  <si>
    <t>FSL</t>
  </si>
  <si>
    <t>JJL</t>
  </si>
  <si>
    <t>PCP</t>
  </si>
  <si>
    <t>SRM</t>
  </si>
  <si>
    <t>VMA</t>
  </si>
  <si>
    <t>COMODIN</t>
  </si>
  <si>
    <t>USUARIOS EXTERNOS</t>
  </si>
  <si>
    <t>EX1</t>
  </si>
  <si>
    <t>EX2</t>
  </si>
  <si>
    <t>EX3</t>
  </si>
  <si>
    <t>EX4</t>
  </si>
  <si>
    <t>EX5</t>
  </si>
  <si>
    <t>OBSERVACIONES INFO</t>
  </si>
  <si>
    <t>BENEF</t>
  </si>
  <si>
    <t>FINAL</t>
  </si>
  <si>
    <t>SALARIO BASE</t>
  </si>
  <si>
    <t>IMPORTE
NÓMINA
SUBVENC.</t>
  </si>
  <si>
    <t>BENEF.
COMPLEM.
CONV. 1</t>
  </si>
  <si>
    <t>INFO
COMPLEM.
CONV. 1</t>
  </si>
  <si>
    <t>FINAL
COMPLEM.
CONV. 1</t>
  </si>
  <si>
    <t>BENEF.
COMPLEM.
CONV. 2</t>
  </si>
  <si>
    <t>INFO
COMPLEM.
CONV. 2</t>
  </si>
  <si>
    <t>FINAL
COMPLEM.
CONV. 2</t>
  </si>
  <si>
    <t>BENEF.
COMPLEM.
CONV. 3</t>
  </si>
  <si>
    <t>INFO
COMPLEM.
CONV. 3</t>
  </si>
  <si>
    <t>FINAL
COMPLEM.
CONV. 3</t>
  </si>
  <si>
    <t>BENEF.
COMPLEM.
CONV. 4</t>
  </si>
  <si>
    <t>INFO
COMPLEM.
CONV. 4</t>
  </si>
  <si>
    <t>FINAL
COMPLEM.
CONV. 4</t>
  </si>
  <si>
    <t>BENEF.
COMPLEM.
CONV. 5</t>
  </si>
  <si>
    <t>INFO
COMPLEM.
CONV. 5</t>
  </si>
  <si>
    <t>FINAL
COMPLEM.
CONV. 5</t>
  </si>
  <si>
    <t>TOTAL
COMPLEM.
CONVENIO</t>
  </si>
  <si>
    <t>En el caso de que alguna de las fecha valor de abono de nómina, de ingreso de IRPF o de abono de las Seguridad Social empresa no se encuentre dentro del plazo de ejecución o sea posterior a la finalización del plazo de justificación, la celda se coloreará en naranja.</t>
  </si>
  <si>
    <t>BENEF.
COMPL. NO
CONV. 1</t>
  </si>
  <si>
    <t>INFO
COMPL. NO
CONV. 1</t>
  </si>
  <si>
    <t>FINAL
COMPL. NO
CONV. 1</t>
  </si>
  <si>
    <t>BENEF.
COMPL. NO
CONV. 2</t>
  </si>
  <si>
    <t>INFO
COMPL. NO
CONV. 2</t>
  </si>
  <si>
    <t>FINAL
COMPL. NO
CONV. 2</t>
  </si>
  <si>
    <t>BENEF.
COMPL. NO
CONV. 3</t>
  </si>
  <si>
    <t>INFO
COMPL. NO
CONV. 3</t>
  </si>
  <si>
    <t>FINAL
COMPL. NO
CONV. 3</t>
  </si>
  <si>
    <t>BENEF.
COMPL. NO
CONV. 4</t>
  </si>
  <si>
    <t>INFO
COMPL. NO
CONV. 4</t>
  </si>
  <si>
    <t>FINAL
COMPL. NO
CONV. 4</t>
  </si>
  <si>
    <t>BENEF.
COMPL. NO
CONV. 5</t>
  </si>
  <si>
    <t>INFO
COMPL. NO
CONV. 5</t>
  </si>
  <si>
    <t>FINAL
COMPL. NO
CONV. 5</t>
  </si>
  <si>
    <t>TOTAL
COMPL. NO
CONVENIO</t>
  </si>
  <si>
    <t>INICIO
BENEF</t>
  </si>
  <si>
    <t>INICIO
INFO</t>
  </si>
  <si>
    <t>BASE COTIZACIÓN</t>
  </si>
  <si>
    <t>FIN
BENEF</t>
  </si>
  <si>
    <t>FIN
INFO</t>
  </si>
  <si>
    <t>TOTAL DÍAS</t>
  </si>
  <si>
    <t>SEG. SOC. OTRAS NÓM.</t>
  </si>
  <si>
    <t>BONIF. SEG. SOCIAL</t>
  </si>
  <si>
    <t>FECHA ABONO SEG.SOC.</t>
  </si>
  <si>
    <t>SEG. SOC. TRABAJ.</t>
  </si>
  <si>
    <t>RET. IRPF TRABAJ.</t>
  </si>
  <si>
    <t>FECHA INGRESO IRPF</t>
  </si>
  <si>
    <t>FECHA ABONO NÓM.</t>
  </si>
  <si>
    <t>OBSERVACIONES</t>
  </si>
  <si>
    <t>Nº</t>
  </si>
  <si>
    <t>TOT</t>
  </si>
  <si>
    <t>AT</t>
  </si>
  <si>
    <t>AW</t>
  </si>
  <si>
    <t>AZ</t>
  </si>
  <si>
    <t>BC</t>
  </si>
  <si>
    <t>BF</t>
  </si>
  <si>
    <t>BI</t>
  </si>
  <si>
    <t>BL</t>
  </si>
  <si>
    <t>BR</t>
  </si>
  <si>
    <t>BU</t>
  </si>
  <si>
    <t>BX</t>
  </si>
  <si>
    <t>CA</t>
  </si>
  <si>
    <t>CD</t>
  </si>
  <si>
    <t>CH</t>
  </si>
  <si>
    <t>CM</t>
  </si>
  <si>
    <t>CP</t>
  </si>
  <si>
    <t>CT</t>
  </si>
  <si>
    <t>CW</t>
  </si>
  <si>
    <t>AQ</t>
  </si>
  <si>
    <t>INFORME</t>
  </si>
  <si>
    <t>Nº DE INCIDENCIAS</t>
  </si>
  <si>
    <t>OBSERVACIONES
INFO</t>
  </si>
  <si>
    <t>GASTO
TOTAL
MENSUAL
SUBVENCIONADO
INFO</t>
  </si>
  <si>
    <t>GASTO
TOTAL
MENSUAL
SUBVENCIONADO
BENEFICIARIO</t>
  </si>
  <si>
    <t>MESES DURACIÓN PROYECTO</t>
  </si>
  <si>
    <t>¿DATOS NECESARIOS?</t>
  </si>
  <si>
    <t>LÍQUIDO
NÓMINA
SUBVENC.
(EXCLUIDOS
SEG. SOC E IRPF)</t>
  </si>
  <si>
    <t>REPERCUSIÓN MENSUAL DE OTRAS NÓMINAS (LÍQUIDO E IRPF)</t>
  </si>
  <si>
    <t>OTRAS NÓM.</t>
  </si>
  <si>
    <t>SEG. SOCIAL TRABAJADOR OTRAS NÓMINAS</t>
  </si>
  <si>
    <t>FECHA
PAGO
NÓMINA</t>
  </si>
  <si>
    <t>ÚLTIMO
DÍA MES
SIGUIENTE</t>
  </si>
  <si>
    <t>FIN
DE
MES</t>
  </si>
  <si>
    <t>INICIO
DE
MES</t>
  </si>
  <si>
    <t>Las pagas no devengadas a "mes completo" pierden la parte proporcional de un mes al final</t>
  </si>
  <si>
    <t>MES
DENTRO
PLAZO</t>
  </si>
  <si>
    <t>OTRAS
NOMINAS
1</t>
  </si>
  <si>
    <t>OTRAS
NOMINAS
2</t>
  </si>
  <si>
    <t>OTRAS
NOMINAS
3</t>
  </si>
  <si>
    <t>OTRAS
NOMINAS
4</t>
  </si>
  <si>
    <t>OTRAS
NOMINAS
5</t>
  </si>
  <si>
    <t>OTRAS
NOMINAS
6</t>
  </si>
  <si>
    <t>OTRAS
NOMINAS
7</t>
  </si>
  <si>
    <t>OTRAS
NOMINAS
8</t>
  </si>
  <si>
    <t>OTRAS
NOMINAS
9</t>
  </si>
  <si>
    <t>OTRAS
NOMINAS
10</t>
  </si>
  <si>
    <t>OTRAS
NOMINAS
11</t>
  </si>
  <si>
    <t>OTRAS
NOMINAS
12</t>
  </si>
  <si>
    <t>OTRAS
NOMINAS
13</t>
  </si>
  <si>
    <t>OTRAS
NOMINAS
14</t>
  </si>
  <si>
    <t>OTRAS
NOMINAS
15</t>
  </si>
  <si>
    <t>OTRAS
NOMINAS
16</t>
  </si>
  <si>
    <t>OTRAS
NOMINAS
17</t>
  </si>
  <si>
    <t>OTRAS
NOMINAS
18</t>
  </si>
  <si>
    <t>OTRAS
NOMINAS
19</t>
  </si>
  <si>
    <t>OTRAS
NOMINAS
20</t>
  </si>
  <si>
    <t>OTRAS
NOMINAS
21</t>
  </si>
  <si>
    <t>OTRAS
NOMINAS
22</t>
  </si>
  <si>
    <t>OTRAS
NOMINAS
23</t>
  </si>
  <si>
    <t>OTRAS
NOMINAS
24</t>
  </si>
  <si>
    <t>OTRAS
NOMINAS
25</t>
  </si>
  <si>
    <t>OTRAS
NOMINAS
26</t>
  </si>
  <si>
    <t>OTRAS
NOMINAS
27</t>
  </si>
  <si>
    <t>OTRAS
NOMINAS
28</t>
  </si>
  <si>
    <t>OTRAS
NOMINAS
29</t>
  </si>
  <si>
    <t>OTRAS
NOMINAS
30</t>
  </si>
  <si>
    <t>OTRAS
NOMINAS
31</t>
  </si>
  <si>
    <t>OTRAS
NOMINAS
32</t>
  </si>
  <si>
    <r>
      <t>f) Seleccionamos el archivo PDF correspondiente al archivo a insertar.</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</si>
  <si>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b) Celda C20: modalidad del expediente.</t>
  </si>
  <si>
    <t>-.A continuación y para cada uno de los ejercicios, se seleccionarán los meses en los que se hubiese disfrutado de algún día de vacaciones y/o días de permiso retribuido:</t>
  </si>
  <si>
    <t>-. Reflejar el número de días de dicho mes en los que el trabajador disfrutó de días de vacaciones y/o permiso retribuido.</t>
  </si>
  <si>
    <t>-. A continuación y para cada mes de cada ejercicio dentro del plazo de ejecución del proyecto, se irán cumplimentando los porcentajes de dedicación mensual.</t>
  </si>
  <si>
    <t>-. Antes de imprimir esta hoja/pestaña hay que insertar los siguientes archivos:</t>
  </si>
  <si>
    <t>a) Informe de datos para la Cotización (Idc) emitido por la Tesorería General de la Seguridad Social como archivo en formato pdf (celdas G15:J15)</t>
  </si>
  <si>
    <t>b) Contrato de trabajo como archivo en formato pdf (celdas K15:N15).</t>
  </si>
  <si>
    <t>-. Por último, se imprimirá esta hoja/pestaña y, una vez firmada tanto por el trabajador como por su responsable, se insertará como archivo en formato pdf (celdas O15:R15).</t>
  </si>
  <si>
    <t>-. La Hoja/Pestaña "GASTOS TRABAJADOR EJERCICIO X" está dividida en 4 bloques:</t>
  </si>
  <si>
    <t xml:space="preserve">-. Sólamente es necesario cumplimentar los datos correspondientes a aquellas nóminas de meses en los que el trabajador haya tenido dedicación al proyecto. </t>
  </si>
  <si>
    <t>-. Hay que cumplimentar, para cada nómina, los importes correspondientes a "Seguridad social del trabajador" (columna "X") y "Retención IRPF del trabajador" (columna "Y"). Así mismo, hay que cumplimentar la fecha valor de abono de la nómina (columna "AA") y la fecha valor de ingreso de IRPF (columna "AB").</t>
  </si>
  <si>
    <t>-. BLOQUE 3: Otras nóminas (por ejemplo, pagas extraordinarias, atrasos, ...).</t>
  </si>
  <si>
    <t>a) La base de cotización (columna "D")</t>
  </si>
  <si>
    <t>b) El importe de la Seguridad Social relativo a las OTRAS NÓMINAS que se hubiese abonado en el mes (columna "F").</t>
  </si>
  <si>
    <t>c) Si fuera el caso, bonificaciones en el importe a abonar de la Seguridad Social (columna "H")</t>
  </si>
  <si>
    <t>NOM
Y S.S.</t>
  </si>
  <si>
    <t>IMPORTES NO SUBVENCIONABLES</t>
  </si>
  <si>
    <t>COMPLEMENTOS NÓMINA NO INCLUIDOS EN CONVENIO</t>
  </si>
  <si>
    <t>PERCEP. NO SALARIAL</t>
  </si>
  <si>
    <r>
      <rPr>
        <b/>
        <sz val="8"/>
        <rFont val="Century Gothic"/>
        <family val="2"/>
      </rPr>
      <t xml:space="preserve">COMPLEMENTOS NÓMINA </t>
    </r>
    <r>
      <rPr>
        <b/>
        <sz val="10"/>
        <rFont val="Century Gothic"/>
        <family val="2"/>
      </rPr>
      <t>NO</t>
    </r>
    <r>
      <rPr>
        <b/>
        <sz val="8"/>
        <rFont val="Century Gothic"/>
        <family val="2"/>
      </rPr>
      <t xml:space="preserve"> INCLUIDOS EN CONVENIO</t>
    </r>
  </si>
  <si>
    <r>
      <t xml:space="preserve">COMPLEMENTOS NÓMINA </t>
    </r>
    <r>
      <rPr>
        <b/>
        <sz val="10"/>
        <rFont val="Century Gothic"/>
        <family val="2"/>
      </rPr>
      <t>NO</t>
    </r>
    <r>
      <rPr>
        <b/>
        <sz val="8"/>
        <rFont val="Century Gothic"/>
        <family val="2"/>
      </rPr>
      <t xml:space="preserve"> INCLUIDOS EN CONVENIO</t>
    </r>
  </si>
  <si>
    <t>-. Seleccionar el mes del ejercicio en el que se disfrutó de algún día de vacaciones y/o permiso retribuido.</t>
  </si>
  <si>
    <t>-. En la Hoja/Pestaña "% DEDICACIÓN TRABAJADOR" se debera cumplimentar, en primer lugar, la fecha de emeisión (Celda F9).</t>
  </si>
  <si>
    <t>Se cumplimentarán los porcentajes correspondientes a Contigencias comunes, AT y EP, desempleo, formación profesional y fondo de garantía salarial. (celdas F9 a F13).</t>
  </si>
  <si>
    <t>-. En la columna "AE" se puede incorporar, si fuera necesario, cualquier observación que el beneficiario considere oportuna.</t>
  </si>
  <si>
    <t>-. En este bloque se reflejara, para cada mes del ejercicicio en los que el trabajdor haya tenido dedicación al proyecto:</t>
  </si>
  <si>
    <t>d) Fecha de valor del abono del recibo de liquidación de cotizaciones mensual (RLC) (columna "G").</t>
  </si>
  <si>
    <t>DATOS DEL CONTRATO</t>
  </si>
  <si>
    <t>¿HA ESTADO CONTRATADO DURANTE TODO EL PLAZO DE EJECUCIÓN DEL PROYECTO?</t>
  </si>
  <si>
    <t>NO</t>
  </si>
  <si>
    <t>FECHA INICIO DE CONTRATO:</t>
  </si>
  <si>
    <t>A FECHA DE FINALIZACIÓN DEL PLAZO DE EJECUCIÓN DEL PROYECTO ¿SEGUÍA CONTRATADO EL TRABAJADOR?</t>
  </si>
  <si>
    <t>FECHA FINALIZACIÓN DEL CONTRATO:</t>
  </si>
  <si>
    <t>INICIO PLAZO EJECUCIÓN:</t>
  </si>
  <si>
    <t>FINAL PLAZO DE EJECUCIÓN:</t>
  </si>
  <si>
    <t>FECHA EFECTIVA INICIO TRABAJO:</t>
  </si>
  <si>
    <t>FECHA EFECTIVA FINAL TRABAJO:</t>
  </si>
  <si>
    <t>FIN:</t>
  </si>
  <si>
    <t>DÍAS:</t>
  </si>
  <si>
    <t>Máx. mensual tiempo completo</t>
  </si>
  <si>
    <t>CONVOCATORIA: COSTE MENSUAL MÁXIMO</t>
  </si>
  <si>
    <t>INSTRUCCIONES PARA LA CORRECTA CUMPLIMENTACIÓN DEL MOD60.
 GASTO PERSONAL</t>
  </si>
  <si>
    <t>IPRO</t>
  </si>
  <si>
    <t>PROGRAMA DE APOYO A INVERSIONES PRODUCTIVAS Y TECNOLÓGICAS, COFINANCIADAS POR EL FEDER</t>
  </si>
  <si>
    <t>APRO</t>
  </si>
  <si>
    <t>PRIV</t>
  </si>
  <si>
    <t>PROGRAMA DE AYUDAS DIRIGIDAS A LA ENTRADA DE INVERSORES PRIVADOS EN EMPRESAS INNOVADORAS CON ALTO POTENCIAL DE CRECIMIENTO (FEDER)</t>
  </si>
  <si>
    <t>nº 105, de 8 de mayo de 2024</t>
  </si>
  <si>
    <t>EPTE</t>
  </si>
  <si>
    <t>PROGRAMA DE AYUDAS PARA LA REALZIACIÓN DE PROYECTOS EMPRESARIALES EN LA FASE DE CREACIÓN Y CONSOLIDACIÓN DE EMPRESAS CON POTENCIAL TECNOLÓGICO Y ESCALABLES</t>
  </si>
  <si>
    <t>nº 100, 2 de mayo de 2024</t>
  </si>
  <si>
    <t>nº 145, 24 de junio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</si>
</sst>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dd/mm/yy"/>
  </numFmts>
  <fonts count="35" x14ac:knownFonts="1">
    <font>
      <sz val="10"/>
      <color theme="1"/>
      <name val="Century Gothic"/>
      <family val="2"/>
    </font>
    <font>
      <sz val="10"/>
      <color theme="1"/>
      <name val="Century Gothic"/>
      <family val="2"/>
    </font>
    <font>
      <b/>
      <sz val="10"/>
      <color theme="1"/>
      <name val="Century Gothic"/>
      <family val="2"/>
    </font>
    <font>
      <sz val="10"/>
      <color theme="0"/>
      <name val="Century Gothic"/>
      <family val="2"/>
    </font>
    <font>
      <sz val="10"/>
      <name val="Century Gothic"/>
      <family val="2"/>
    </font>
    <font>
      <b/>
      <sz val="12"/>
      <name val="Century Gothic"/>
      <family val="2"/>
    </font>
    <font>
      <b/>
      <sz val="10"/>
      <name val="Century Gothic"/>
      <family val="2"/>
    </font>
    <font>
      <b/>
      <sz val="10"/>
      <color rgb="FFFF0000"/>
      <name val="Century Gothic"/>
      <family val="2"/>
    </font>
    <font>
      <sz val="10"/>
      <name val="Arial"/>
      <family val="2"/>
    </font>
    <font>
      <sz val="9"/>
      <name val="Century Gothic"/>
      <family val="2"/>
    </font>
    <font>
      <sz val="8"/>
      <name val="Century Gothic"/>
      <family val="2"/>
    </font>
    <font>
      <b/>
      <sz val="12"/>
      <color theme="1"/>
      <name val="Century Gothic"/>
      <family val="2"/>
    </font>
    <font>
      <sz val="8"/>
      <color theme="1"/>
      <name val="Century Gothic"/>
      <family val="2"/>
    </font>
    <font>
      <b/>
      <sz val="8"/>
      <color theme="1"/>
      <name val="Century Gothic"/>
      <family val="2"/>
    </font>
    <font>
      <b/>
      <sz val="14"/>
      <color theme="1"/>
      <name val="Century Gothic"/>
      <family val="2"/>
    </font>
    <font>
      <sz val="12"/>
      <color theme="1"/>
      <name val="Century Gothic"/>
      <family val="2"/>
    </font>
    <font>
      <b/>
      <u/>
      <sz val="11"/>
      <color theme="1"/>
      <name val="Century Gothic"/>
      <family val="2"/>
    </font>
    <font>
      <b/>
      <sz val="8"/>
      <name val="Century Gothic"/>
      <family val="2"/>
    </font>
    <font>
      <b/>
      <sz val="8"/>
      <color rgb="FFFF0000"/>
      <name val="Century Gothic"/>
      <family val="2"/>
    </font>
    <font>
      <sz val="11"/>
      <color theme="1"/>
      <name val="Century Gothic"/>
      <family val="2"/>
    </font>
    <font>
      <b/>
      <sz val="6"/>
      <color theme="1"/>
      <name val="Century Gothic"/>
      <family val="2"/>
    </font>
    <font>
      <b/>
      <sz val="6"/>
      <name val="Century Gothic"/>
      <family val="2"/>
    </font>
    <font>
      <b/>
      <sz val="11"/>
      <color theme="1"/>
      <name val="Century Gothic"/>
      <family val="2"/>
    </font>
    <font>
      <b/>
      <sz val="9"/>
      <name val="Century Gothic"/>
      <family val="2"/>
    </font>
    <font>
      <b/>
      <sz val="11"/>
      <name val="Century Gothic"/>
      <family val="2"/>
    </font>
    <font>
      <sz val="6"/>
      <color theme="1"/>
      <name val="Century Gothic"/>
      <family val="2"/>
    </font>
    <font>
      <sz val="9"/>
      <color theme="1"/>
      <name val="Century Gothic"/>
      <family val="2"/>
    </font>
    <font>
      <b/>
      <sz val="9"/>
      <color theme="1"/>
      <name val="Century Gothic"/>
      <family val="2"/>
    </font>
    <font>
      <sz val="7"/>
      <color theme="1"/>
      <name val="Century Gothic"/>
      <family val="2"/>
    </font>
    <font>
      <sz val="10"/>
      <name val="Nunito Sans"/>
    </font>
    <font>
      <b/>
      <sz val="10"/>
      <name val="Nunito Sans"/>
    </font>
    <font>
      <b/>
      <sz val="10"/>
      <color rgb="FFFF0000"/>
      <name val="Nunito Sans"/>
    </font>
    <font>
      <b/>
      <sz val="9"/>
      <name val="Nunito Sans"/>
    </font>
    <font>
      <b/>
      <sz val="7"/>
      <color theme="1"/>
      <name val="Century Gothic"/>
      <family val="2"/>
    </font>
    <font>
      <b/>
      <sz val="7"/>
      <name val="Century Gothic"/>
      <family val="2"/>
    </font>
  </fonts>
  <fills count="19">
    <fill>
      <patternFill patternType="none"/>
    </fill>
    <fill>
      <patternFill patternType="gray125"/>
    </fill>
    <fill>
      <patternFill patternType="solid">
        <fgColor theme="0" tint="-0.14999847407452621"/>
        <bgColor indexed="64"/>
      </patternFill>
    </fill>
    <fill>
      <patternFill patternType="solid">
        <fgColor rgb="FFE7F1F9"/>
        <bgColor indexed="64"/>
      </patternFill>
    </fill>
    <fill>
      <patternFill patternType="solid">
        <fgColor theme="8" tint="0.79998168889431442"/>
        <bgColor indexed="64"/>
      </patternFill>
    </fill>
    <fill>
      <patternFill patternType="solid">
        <fgColor rgb="FFFFE57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9999"/>
        <bgColor indexed="64"/>
      </patternFill>
    </fill>
    <fill>
      <patternFill patternType="solid">
        <fgColor theme="9" tint="0.39997558519241921"/>
        <bgColor indexed="64"/>
      </patternFill>
    </fill>
    <fill>
      <patternFill patternType="solid">
        <fgColor rgb="FFCCCCFF"/>
        <bgColor indexed="64"/>
      </patternFill>
    </fill>
    <fill>
      <patternFill patternType="solid">
        <fgColor rgb="FFFFFF00"/>
        <bgColor indexed="64"/>
      </patternFill>
    </fill>
    <fill>
      <patternFill patternType="solid">
        <fgColor rgb="FFDDEE00"/>
        <bgColor rgb="FFCCFFFF"/>
      </patternFill>
    </fill>
    <fill>
      <patternFill patternType="solid">
        <fgColor theme="0" tint="-0.249977111117893"/>
        <bgColor indexed="64"/>
      </patternFill>
    </fill>
    <fill>
      <patternFill patternType="solid">
        <fgColor rgb="FFDDEE00"/>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FF0000"/>
        <bgColor indexed="64"/>
      </patternFill>
    </fill>
    <fill>
      <patternFill patternType="solid">
        <fgColor theme="0"/>
        <bgColor indexed="64"/>
      </patternFill>
    </fill>
  </fills>
  <borders count="157">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indexed="64"/>
      </right>
      <top style="thin">
        <color indexed="64"/>
      </top>
      <bottom/>
      <diagonal/>
    </border>
    <border>
      <left style="thin">
        <color auto="1"/>
      </left>
      <right style="medium">
        <color indexed="64"/>
      </right>
      <top style="thin">
        <color auto="1"/>
      </top>
      <bottom style="thin">
        <color auto="1"/>
      </bottom>
      <diagonal/>
    </border>
    <border>
      <left style="medium">
        <color indexed="64"/>
      </left>
      <right style="thin">
        <color indexed="64"/>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auto="1"/>
      </left>
      <right style="medium">
        <color indexed="64"/>
      </right>
      <top/>
      <bottom style="thin">
        <color indexed="64"/>
      </bottom>
      <diagonal/>
    </border>
    <border>
      <left style="medium">
        <color indexed="64"/>
      </left>
      <right style="thin">
        <color auto="1"/>
      </right>
      <top/>
      <bottom style="thin">
        <color auto="1"/>
      </bottom>
      <diagonal/>
    </border>
    <border>
      <left/>
      <right style="thin">
        <color auto="1"/>
      </right>
      <top style="medium">
        <color indexed="64"/>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ck">
        <color auto="1"/>
      </left>
      <right/>
      <top style="thick">
        <color auto="1"/>
      </top>
      <bottom style="medium">
        <color indexed="64"/>
      </bottom>
      <diagonal/>
    </border>
    <border>
      <left/>
      <right/>
      <top style="thick">
        <color auto="1"/>
      </top>
      <bottom style="medium">
        <color indexed="64"/>
      </bottom>
      <diagonal/>
    </border>
    <border>
      <left style="thick">
        <color auto="1"/>
      </left>
      <right style="thin">
        <color indexed="64"/>
      </right>
      <top/>
      <bottom style="medium">
        <color indexed="64"/>
      </bottom>
      <diagonal/>
    </border>
    <border>
      <left style="thin">
        <color indexed="64"/>
      </left>
      <right style="thick">
        <color auto="1"/>
      </right>
      <top/>
      <bottom style="thin">
        <color indexed="64"/>
      </bottom>
      <diagonal/>
    </border>
    <border>
      <left style="thick">
        <color auto="1"/>
      </left>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n">
        <color auto="1"/>
      </right>
      <top style="medium">
        <color indexed="64"/>
      </top>
      <bottom style="thin">
        <color auto="1"/>
      </bottom>
      <diagonal/>
    </border>
    <border>
      <left style="thick">
        <color auto="1"/>
      </left>
      <right style="thin">
        <color auto="1"/>
      </right>
      <top style="thin">
        <color auto="1"/>
      </top>
      <bottom style="medium">
        <color indexed="64"/>
      </bottom>
      <diagonal/>
    </border>
    <border>
      <left style="thick">
        <color auto="1"/>
      </left>
      <right style="thin">
        <color indexed="64"/>
      </right>
      <top/>
      <bottom style="thin">
        <color indexed="64"/>
      </bottom>
      <diagonal/>
    </border>
    <border>
      <left style="thick">
        <color auto="1"/>
      </left>
      <right style="thin">
        <color auto="1"/>
      </right>
      <top style="thin">
        <color auto="1"/>
      </top>
      <bottom style="thin">
        <color auto="1"/>
      </bottom>
      <diagonal/>
    </border>
    <border>
      <left style="thin">
        <color indexed="64"/>
      </left>
      <right style="thin">
        <color indexed="64"/>
      </right>
      <top style="thick">
        <color indexed="64"/>
      </top>
      <bottom/>
      <diagonal/>
    </border>
    <border>
      <left style="thick">
        <color auto="1"/>
      </left>
      <right/>
      <top style="thick">
        <color auto="1"/>
      </top>
      <bottom/>
      <diagonal/>
    </border>
    <border>
      <left/>
      <right style="thick">
        <color auto="1"/>
      </right>
      <top style="thick">
        <color auto="1"/>
      </top>
      <bottom/>
      <diagonal/>
    </border>
    <border>
      <left style="thick">
        <color indexed="64"/>
      </left>
      <right/>
      <top/>
      <bottom/>
      <diagonal/>
    </border>
    <border>
      <left/>
      <right/>
      <top style="thick">
        <color auto="1"/>
      </top>
      <bottom/>
      <diagonal/>
    </border>
    <border>
      <left/>
      <right/>
      <top style="medium">
        <color indexed="64"/>
      </top>
      <bottom style="thick">
        <color auto="1"/>
      </bottom>
      <diagonal/>
    </border>
    <border>
      <left/>
      <right style="thick">
        <color auto="1"/>
      </right>
      <top/>
      <bottom style="thin">
        <color indexed="64"/>
      </bottom>
      <diagonal/>
    </border>
    <border>
      <left/>
      <right style="thick">
        <color auto="1"/>
      </right>
      <top style="thin">
        <color auto="1"/>
      </top>
      <bottom style="thin">
        <color auto="1"/>
      </bottom>
      <diagonal/>
    </border>
    <border>
      <left/>
      <right/>
      <top style="thick">
        <color auto="1"/>
      </top>
      <bottom style="thick">
        <color auto="1"/>
      </bottom>
      <diagonal/>
    </border>
    <border>
      <left style="thin">
        <color indexed="64"/>
      </left>
      <right style="thick">
        <color indexed="64"/>
      </right>
      <top style="thick">
        <color indexed="64"/>
      </top>
      <bottom style="thin">
        <color indexed="64"/>
      </bottom>
      <diagonal/>
    </border>
    <border>
      <left style="medium">
        <color indexed="64"/>
      </left>
      <right style="thick">
        <color indexed="64"/>
      </right>
      <top/>
      <bottom/>
      <diagonal/>
    </border>
    <border>
      <left style="medium">
        <color indexed="64"/>
      </left>
      <right style="thick">
        <color indexed="64"/>
      </right>
      <top/>
      <bottom style="medium">
        <color indexed="64"/>
      </bottom>
      <diagonal/>
    </border>
    <border>
      <left/>
      <right style="thick">
        <color indexed="64"/>
      </right>
      <top style="thick">
        <color auto="1"/>
      </top>
      <bottom style="thick">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auto="1"/>
      </right>
      <top style="medium">
        <color auto="1"/>
      </top>
      <bottom/>
      <diagonal/>
    </border>
    <border>
      <left style="medium">
        <color auto="1"/>
      </left>
      <right style="thin">
        <color indexed="64"/>
      </right>
      <top/>
      <bottom/>
      <diagonal/>
    </border>
    <border>
      <left style="thin">
        <color auto="1"/>
      </left>
      <right style="medium">
        <color auto="1"/>
      </right>
      <top/>
      <bottom/>
      <diagonal/>
    </border>
    <border>
      <left style="thin">
        <color indexed="64"/>
      </left>
      <right style="medium">
        <color auto="1"/>
      </right>
      <top/>
      <bottom style="medium">
        <color indexed="64"/>
      </bottom>
      <diagonal/>
    </border>
    <border>
      <left style="medium">
        <color auto="1"/>
      </left>
      <right/>
      <top style="thin">
        <color auto="1"/>
      </top>
      <bottom style="thin">
        <color auto="1"/>
      </bottom>
      <diagonal/>
    </border>
    <border>
      <left style="thin">
        <color auto="1"/>
      </left>
      <right style="medium">
        <color auto="1"/>
      </right>
      <top style="thin">
        <color auto="1"/>
      </top>
      <bottom/>
      <diagonal/>
    </border>
    <border>
      <left/>
      <right style="medium">
        <color auto="1"/>
      </right>
      <top style="thick">
        <color auto="1"/>
      </top>
      <bottom style="medium">
        <color indexed="64"/>
      </bottom>
      <diagonal/>
    </border>
    <border>
      <left style="medium">
        <color indexed="64"/>
      </left>
      <right/>
      <top style="thick">
        <color auto="1"/>
      </top>
      <bottom/>
      <diagonal/>
    </border>
    <border>
      <left/>
      <right style="medium">
        <color indexed="64"/>
      </right>
      <top style="thick">
        <color auto="1"/>
      </top>
      <bottom/>
      <diagonal/>
    </border>
    <border>
      <left style="medium">
        <color auto="1"/>
      </left>
      <right style="thin">
        <color auto="1"/>
      </right>
      <top style="thick">
        <color auto="1"/>
      </top>
      <bottom/>
      <diagonal/>
    </border>
    <border>
      <left style="thin">
        <color indexed="64"/>
      </left>
      <right style="medium">
        <color auto="1"/>
      </right>
      <top style="thick">
        <color auto="1"/>
      </top>
      <bottom/>
      <diagonal/>
    </border>
    <border>
      <left style="medium">
        <color auto="1"/>
      </left>
      <right style="thick">
        <color auto="1"/>
      </right>
      <top style="thick">
        <color auto="1"/>
      </top>
      <bottom/>
      <diagonal/>
    </border>
    <border>
      <left style="thick">
        <color auto="1"/>
      </left>
      <right style="thin">
        <color auto="1"/>
      </right>
      <top style="medium">
        <color auto="1"/>
      </top>
      <bottom/>
      <diagonal/>
    </border>
    <border>
      <left style="thick">
        <color auto="1"/>
      </left>
      <right/>
      <top style="medium">
        <color indexed="64"/>
      </top>
      <bottom style="thin">
        <color auto="1"/>
      </bottom>
      <diagonal/>
    </border>
    <border>
      <left style="medium">
        <color auto="1"/>
      </left>
      <right style="thick">
        <color auto="1"/>
      </right>
      <top/>
      <bottom style="thin">
        <color indexed="64"/>
      </bottom>
      <diagonal/>
    </border>
    <border>
      <left style="medium">
        <color auto="1"/>
      </left>
      <right style="thick">
        <color auto="1"/>
      </right>
      <top style="thin">
        <color auto="1"/>
      </top>
      <bottom style="thin">
        <color auto="1"/>
      </bottom>
      <diagonal/>
    </border>
    <border>
      <left style="medium">
        <color auto="1"/>
      </left>
      <right style="thick">
        <color auto="1"/>
      </right>
      <top style="thin">
        <color auto="1"/>
      </top>
      <bottom/>
      <diagonal/>
    </border>
    <border>
      <left/>
      <right style="medium">
        <color indexed="64"/>
      </right>
      <top/>
      <bottom style="thick">
        <color auto="1"/>
      </bottom>
      <diagonal/>
    </border>
    <border>
      <left/>
      <right style="medium">
        <color auto="1"/>
      </right>
      <top style="thin">
        <color auto="1"/>
      </top>
      <bottom style="thick">
        <color auto="1"/>
      </bottom>
      <diagonal/>
    </border>
    <border>
      <left style="medium">
        <color indexed="64"/>
      </left>
      <right/>
      <top/>
      <bottom style="thick">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style="thin">
        <color auto="1"/>
      </top>
      <bottom style="medium">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top style="thin">
        <color auto="1"/>
      </top>
      <bottom style="medium">
        <color indexed="64"/>
      </bottom>
      <diagonal/>
    </border>
    <border>
      <left style="medium">
        <color indexed="64"/>
      </left>
      <right style="medium">
        <color indexed="64"/>
      </right>
      <top style="thick">
        <color auto="1"/>
      </top>
      <bottom/>
      <diagonal/>
    </border>
    <border>
      <left style="medium">
        <color indexed="64"/>
      </left>
      <right style="medium">
        <color indexed="64"/>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style="medium">
        <color indexed="64"/>
      </left>
      <right style="thin">
        <color indexed="64"/>
      </right>
      <top style="medium">
        <color auto="1"/>
      </top>
      <bottom style="medium">
        <color indexed="64"/>
      </bottom>
      <diagonal/>
    </border>
    <border>
      <left style="thin">
        <color indexed="64"/>
      </left>
      <right style="thin">
        <color indexed="64"/>
      </right>
      <top style="medium">
        <color auto="1"/>
      </top>
      <bottom style="medium">
        <color indexed="64"/>
      </bottom>
      <diagonal/>
    </border>
    <border>
      <left style="thin">
        <color indexed="64"/>
      </left>
      <right style="medium">
        <color indexed="64"/>
      </right>
      <top style="medium">
        <color auto="1"/>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style="thin">
        <color auto="1"/>
      </left>
      <right style="thick">
        <color auto="1"/>
      </right>
      <top style="medium">
        <color indexed="64"/>
      </top>
      <bottom style="thin">
        <color auto="1"/>
      </bottom>
      <diagonal/>
    </border>
    <border>
      <left/>
      <right style="thin">
        <color auto="1"/>
      </right>
      <top style="thin">
        <color auto="1"/>
      </top>
      <bottom style="medium">
        <color indexed="64"/>
      </bottom>
      <diagonal/>
    </border>
    <border>
      <left style="medium">
        <color auto="1"/>
      </left>
      <right/>
      <top/>
      <bottom style="thin">
        <color auto="1"/>
      </bottom>
      <diagonal/>
    </border>
    <border>
      <left style="medium">
        <color auto="1"/>
      </left>
      <right/>
      <top style="thick">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thick">
        <color indexed="64"/>
      </left>
      <right style="thin">
        <color indexed="64"/>
      </right>
      <top style="thick">
        <color auto="1"/>
      </top>
      <bottom style="thin">
        <color indexed="64"/>
      </bottom>
      <diagonal/>
    </border>
    <border>
      <left style="thin">
        <color indexed="64"/>
      </left>
      <right style="thin">
        <color indexed="64"/>
      </right>
      <top style="thick">
        <color auto="1"/>
      </top>
      <bottom style="thin">
        <color indexed="64"/>
      </bottom>
      <diagonal/>
    </border>
    <border>
      <left style="thin">
        <color indexed="64"/>
      </left>
      <right/>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top style="thick">
        <color indexed="64"/>
      </top>
      <bottom style="thin">
        <color indexed="64"/>
      </bottom>
      <diagonal/>
    </border>
    <border>
      <left/>
      <right style="thin">
        <color indexed="64"/>
      </right>
      <top style="thick">
        <color auto="1"/>
      </top>
      <bottom style="thin">
        <color indexed="64"/>
      </bottom>
      <diagonal/>
    </border>
    <border>
      <left style="thick">
        <color auto="1"/>
      </left>
      <right style="thin">
        <color auto="1"/>
      </right>
      <top style="thick">
        <color auto="1"/>
      </top>
      <bottom style="thick">
        <color indexed="64"/>
      </bottom>
      <diagonal/>
    </border>
    <border>
      <left style="thin">
        <color auto="1"/>
      </left>
      <right style="thin">
        <color auto="1"/>
      </right>
      <top style="thick">
        <color auto="1"/>
      </top>
      <bottom style="thick">
        <color indexed="64"/>
      </bottom>
      <diagonal/>
    </border>
    <border>
      <left style="thick">
        <color auto="1"/>
      </left>
      <right/>
      <top style="thick">
        <color auto="1"/>
      </top>
      <bottom style="thin">
        <color auto="1"/>
      </bottom>
      <diagonal/>
    </border>
    <border>
      <left/>
      <right style="thick">
        <color auto="1"/>
      </right>
      <top style="thick">
        <color auto="1"/>
      </top>
      <bottom style="thin">
        <color indexed="64"/>
      </bottom>
      <diagonal/>
    </border>
    <border>
      <left style="thick">
        <color auto="1"/>
      </left>
      <right style="medium">
        <color auto="1"/>
      </right>
      <top style="medium">
        <color indexed="64"/>
      </top>
      <bottom style="thin">
        <color auto="1"/>
      </bottom>
      <diagonal/>
    </border>
    <border>
      <left style="thick">
        <color auto="1"/>
      </left>
      <right style="medium">
        <color indexed="64"/>
      </right>
      <top/>
      <bottom style="medium">
        <color auto="1"/>
      </bottom>
      <diagonal/>
    </border>
    <border>
      <left style="thick">
        <color auto="1"/>
      </left>
      <right/>
      <top style="thin">
        <color auto="1"/>
      </top>
      <bottom style="medium">
        <color auto="1"/>
      </bottom>
      <diagonal/>
    </border>
    <border>
      <left style="thick">
        <color auto="1"/>
      </left>
      <right style="medium">
        <color auto="1"/>
      </right>
      <top style="thin">
        <color auto="1"/>
      </top>
      <bottom style="medium">
        <color indexed="64"/>
      </bottom>
      <diagonal/>
    </border>
    <border>
      <left style="thick">
        <color auto="1"/>
      </left>
      <right style="medium">
        <color auto="1"/>
      </right>
      <top/>
      <bottom style="thin">
        <color indexed="64"/>
      </bottom>
      <diagonal/>
    </border>
    <border>
      <left style="thick">
        <color auto="1"/>
      </left>
      <right style="medium">
        <color auto="1"/>
      </right>
      <top style="thin">
        <color auto="1"/>
      </top>
      <bottom style="thin">
        <color auto="1"/>
      </bottom>
      <diagonal/>
    </border>
    <border>
      <left/>
      <right style="medium">
        <color indexed="64"/>
      </right>
      <top/>
      <bottom style="thin">
        <color indexed="64"/>
      </bottom>
      <diagonal/>
    </border>
    <border>
      <left/>
      <right style="thick">
        <color indexed="64"/>
      </right>
      <top/>
      <bottom style="medium">
        <color auto="1"/>
      </bottom>
      <diagonal/>
    </border>
    <border>
      <left style="thick">
        <color auto="1"/>
      </left>
      <right style="thin">
        <color indexed="64"/>
      </right>
      <top style="thick">
        <color auto="1"/>
      </top>
      <bottom/>
      <diagonal/>
    </border>
    <border>
      <left style="thin">
        <color indexed="64"/>
      </left>
      <right style="thick">
        <color indexed="64"/>
      </right>
      <top style="thick">
        <color indexed="64"/>
      </top>
      <bottom/>
      <diagonal/>
    </border>
    <border>
      <left style="thin">
        <color indexed="64"/>
      </left>
      <right style="thick">
        <color indexed="64"/>
      </right>
      <top/>
      <bottom style="medium">
        <color indexed="64"/>
      </bottom>
      <diagonal/>
    </border>
    <border>
      <left style="medium">
        <color auto="1"/>
      </left>
      <right/>
      <top style="thick">
        <color auto="1"/>
      </top>
      <bottom style="thin">
        <color auto="1"/>
      </bottom>
      <diagonal/>
    </border>
    <border>
      <left/>
      <right style="medium">
        <color auto="1"/>
      </right>
      <top style="thick">
        <color auto="1"/>
      </top>
      <bottom style="thin">
        <color auto="1"/>
      </bottom>
      <diagonal/>
    </border>
    <border>
      <left style="thin">
        <color indexed="64"/>
      </left>
      <right style="thick">
        <color indexed="64"/>
      </right>
      <top style="thin">
        <color indexed="64"/>
      </top>
      <bottom style="medium">
        <color auto="1"/>
      </bottom>
      <diagonal/>
    </border>
    <border>
      <left style="thin">
        <color auto="1"/>
      </left>
      <right style="medium">
        <color auto="1"/>
      </right>
      <top style="thick">
        <color auto="1"/>
      </top>
      <bottom style="thick">
        <color indexed="64"/>
      </bottom>
      <diagonal/>
    </border>
    <border>
      <left style="thin">
        <color auto="1"/>
      </left>
      <right style="medium">
        <color auto="1"/>
      </right>
      <top style="thick">
        <color indexed="64"/>
      </top>
      <bottom style="thin">
        <color indexed="64"/>
      </bottom>
      <diagonal/>
    </border>
    <border>
      <left style="medium">
        <color indexed="64"/>
      </left>
      <right/>
      <top style="medium">
        <color indexed="64"/>
      </top>
      <bottom style="thick">
        <color auto="1"/>
      </bottom>
      <diagonal/>
    </border>
    <border>
      <left/>
      <right style="medium">
        <color indexed="64"/>
      </right>
      <top style="medium">
        <color indexed="64"/>
      </top>
      <bottom style="thick">
        <color auto="1"/>
      </bottom>
      <diagonal/>
    </border>
    <border>
      <left/>
      <right style="thick">
        <color indexed="64"/>
      </right>
      <top style="thin">
        <color indexed="64"/>
      </top>
      <bottom style="medium">
        <color auto="1"/>
      </bottom>
      <diagonal/>
    </border>
    <border>
      <left/>
      <right style="thick">
        <color indexed="64"/>
      </right>
      <top style="medium">
        <color indexed="64"/>
      </top>
      <bottom style="thick">
        <color auto="1"/>
      </bottom>
      <diagonal/>
    </border>
    <border>
      <left style="medium">
        <color indexed="64"/>
      </left>
      <right style="thin">
        <color indexed="64"/>
      </right>
      <top style="thick">
        <color auto="1"/>
      </top>
      <bottom style="thin">
        <color indexed="64"/>
      </bottom>
      <diagonal/>
    </border>
    <border>
      <left/>
      <right style="thick">
        <color indexed="64"/>
      </right>
      <top/>
      <bottom/>
      <diagonal/>
    </border>
    <border>
      <left style="thick">
        <color auto="1"/>
      </left>
      <right style="medium">
        <color indexed="64"/>
      </right>
      <top/>
      <bottom/>
      <diagonal/>
    </border>
    <border>
      <left/>
      <right style="medium">
        <color indexed="64"/>
      </right>
      <top style="thin">
        <color indexed="64"/>
      </top>
      <bottom/>
      <diagonal/>
    </border>
    <border>
      <left style="thick">
        <color auto="1"/>
      </left>
      <right/>
      <top style="thin">
        <color auto="1"/>
      </top>
      <bottom/>
      <diagonal/>
    </border>
    <border>
      <left style="thick">
        <color auto="1"/>
      </left>
      <right/>
      <top style="medium">
        <color auto="1"/>
      </top>
      <bottom style="thick">
        <color auto="1"/>
      </bottom>
      <diagonal/>
    </border>
    <border>
      <left/>
      <right style="thick">
        <color auto="1"/>
      </right>
      <top style="medium">
        <color indexed="64"/>
      </top>
      <bottom style="thin">
        <color auto="1"/>
      </bottom>
      <diagonal/>
    </border>
    <border>
      <left/>
      <right style="thick">
        <color auto="1"/>
      </right>
      <top style="thin">
        <color indexed="64"/>
      </top>
      <bottom/>
      <diagonal/>
    </border>
    <border>
      <left style="medium">
        <color indexed="64"/>
      </left>
      <right style="thin">
        <color auto="1"/>
      </right>
      <top style="medium">
        <color indexed="64"/>
      </top>
      <bottom/>
      <diagonal/>
    </border>
    <border>
      <left style="thin">
        <color indexed="64"/>
      </left>
      <right style="thick">
        <color indexed="64"/>
      </right>
      <top/>
      <bottom/>
      <diagonal/>
    </border>
    <border>
      <left style="thick">
        <color auto="1"/>
      </left>
      <right style="thin">
        <color auto="1"/>
      </right>
      <top style="thin">
        <color auto="1"/>
      </top>
      <bottom/>
      <diagonal/>
    </border>
    <border>
      <left style="medium">
        <color indexed="64"/>
      </left>
      <right style="medium">
        <color indexed="64"/>
      </right>
      <top style="thin">
        <color indexed="64"/>
      </top>
      <bottom/>
      <diagonal/>
    </border>
    <border>
      <left style="medium">
        <color auto="1"/>
      </left>
      <right/>
      <top style="thin">
        <color auto="1"/>
      </top>
      <bottom/>
      <diagonal/>
    </border>
    <border>
      <left style="thick">
        <color auto="1"/>
      </left>
      <right/>
      <top/>
      <bottom style="thin">
        <color indexed="64"/>
      </bottom>
      <diagonal/>
    </border>
    <border>
      <left style="thick">
        <color indexed="64"/>
      </left>
      <right/>
      <top/>
      <bottom style="medium">
        <color auto="1"/>
      </bottom>
      <diagonal/>
    </border>
  </borders>
  <cellStyleXfs count="3">
    <xf numFmtId="0" fontId="0" fillId="0" borderId="0"/>
    <xf numFmtId="9" fontId="1" fillId="0" borderId="0" applyFont="0" applyFill="0" applyBorder="0" applyAlignment="0" applyProtection="0"/>
    <xf numFmtId="0" fontId="8" fillId="0" borderId="0"/>
  </cellStyleXfs>
  <cellXfs count="1033">
    <xf numFmtId="0" fontId="0" fillId="0" borderId="0" xfId="0"/>
    <xf numFmtId="0" fontId="4" fillId="0" borderId="0" xfId="0" applyFont="1" applyAlignment="1">
      <alignment vertical="center"/>
    </xf>
    <xf numFmtId="165" fontId="4" fillId="3" borderId="1" xfId="2" applyNumberFormat="1" applyFont="1" applyFill="1" applyBorder="1" applyAlignment="1" applyProtection="1">
      <alignment horizontal="left" vertical="center"/>
      <protection locked="0"/>
    </xf>
    <xf numFmtId="0" fontId="4" fillId="0" borderId="0" xfId="0" applyFont="1"/>
    <xf numFmtId="0" fontId="0" fillId="0" borderId="0" xfId="0" applyAlignment="1">
      <alignment vertical="center"/>
    </xf>
    <xf numFmtId="166" fontId="4" fillId="4" borderId="1" xfId="0" applyNumberFormat="1" applyFont="1" applyFill="1" applyBorder="1" applyAlignment="1" applyProtection="1">
      <alignment horizontal="center" vertical="center"/>
      <protection locked="0"/>
    </xf>
    <xf numFmtId="0" fontId="0" fillId="0" borderId="0" xfId="0" applyAlignment="1">
      <alignment horizontal="center" vertical="center"/>
    </xf>
    <xf numFmtId="0" fontId="2" fillId="0" borderId="0" xfId="0" applyFont="1" applyAlignment="1">
      <alignment vertical="center"/>
    </xf>
    <xf numFmtId="0" fontId="0" fillId="0" borderId="54"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10" fontId="0" fillId="0" borderId="42" xfId="0" applyNumberFormat="1" applyBorder="1" applyAlignment="1">
      <alignment vertical="center"/>
    </xf>
    <xf numFmtId="0" fontId="0" fillId="6" borderId="43" xfId="0" applyFill="1" applyBorder="1" applyAlignment="1">
      <alignment vertical="center"/>
    </xf>
    <xf numFmtId="0" fontId="0" fillId="6" borderId="44" xfId="0" applyFill="1" applyBorder="1" applyAlignment="1">
      <alignment vertical="center"/>
    </xf>
    <xf numFmtId="0" fontId="0" fillId="6" borderId="44" xfId="0" applyFill="1" applyBorder="1" applyAlignment="1">
      <alignment horizontal="center" vertical="center"/>
    </xf>
    <xf numFmtId="0" fontId="0" fillId="6" borderId="45" xfId="0" applyFill="1" applyBorder="1" applyAlignment="1">
      <alignment horizontal="center" vertical="center"/>
    </xf>
    <xf numFmtId="0" fontId="13" fillId="8" borderId="64" xfId="0" applyFont="1" applyFill="1" applyBorder="1" applyAlignment="1">
      <alignment horizontal="center" vertical="center"/>
    </xf>
    <xf numFmtId="0" fontId="13" fillId="8" borderId="27" xfId="0" applyFont="1" applyFill="1" applyBorder="1" applyAlignment="1">
      <alignment horizontal="center" vertical="center" wrapText="1"/>
    </xf>
    <xf numFmtId="0" fontId="20" fillId="7" borderId="18" xfId="0" applyFont="1" applyFill="1" applyBorder="1" applyAlignment="1">
      <alignment horizontal="center" vertical="center" wrapText="1"/>
    </xf>
    <xf numFmtId="0" fontId="21" fillId="7" borderId="18" xfId="0" applyFont="1" applyFill="1" applyBorder="1" applyAlignment="1">
      <alignment horizontal="center" vertical="center" wrapText="1"/>
    </xf>
    <xf numFmtId="0" fontId="13" fillId="8" borderId="64" xfId="0" applyFont="1" applyFill="1" applyBorder="1" applyAlignment="1">
      <alignment horizontal="center" vertical="center" wrapText="1"/>
    </xf>
    <xf numFmtId="0" fontId="20" fillId="7" borderId="24" xfId="0" applyFont="1" applyFill="1" applyBorder="1" applyAlignment="1">
      <alignment horizontal="center" vertical="center" wrapText="1"/>
    </xf>
    <xf numFmtId="0" fontId="13" fillId="8" borderId="27" xfId="0" applyFont="1" applyFill="1" applyBorder="1" applyAlignment="1">
      <alignment horizontal="center" vertical="center"/>
    </xf>
    <xf numFmtId="4" fontId="0" fillId="0" borderId="1" xfId="0" applyNumberFormat="1" applyBorder="1" applyAlignment="1">
      <alignment vertical="center"/>
    </xf>
    <xf numFmtId="4" fontId="0" fillId="0" borderId="14" xfId="0" applyNumberFormat="1" applyBorder="1" applyAlignment="1">
      <alignment vertical="center"/>
    </xf>
    <xf numFmtId="4" fontId="0" fillId="8" borderId="64" xfId="0" applyNumberFormat="1" applyFill="1" applyBorder="1" applyAlignment="1">
      <alignment vertical="center"/>
    </xf>
    <xf numFmtId="4" fontId="0" fillId="0" borderId="12" xfId="0" applyNumberFormat="1" applyBorder="1" applyAlignment="1">
      <alignment vertical="center"/>
    </xf>
    <xf numFmtId="4" fontId="2" fillId="8" borderId="27" xfId="0" applyNumberFormat="1" applyFont="1" applyFill="1" applyBorder="1" applyAlignment="1">
      <alignment vertical="center"/>
    </xf>
    <xf numFmtId="4" fontId="0" fillId="0" borderId="91" xfId="0" applyNumberFormat="1" applyBorder="1" applyAlignment="1">
      <alignment vertical="center"/>
    </xf>
    <xf numFmtId="4" fontId="0" fillId="0" borderId="18" xfId="0" applyNumberFormat="1" applyBorder="1" applyAlignment="1">
      <alignment vertical="center"/>
    </xf>
    <xf numFmtId="4" fontId="0" fillId="0" borderId="33" xfId="0" applyNumberFormat="1" applyBorder="1" applyAlignment="1">
      <alignment vertical="center"/>
    </xf>
    <xf numFmtId="0" fontId="0" fillId="6" borderId="83" xfId="0" applyFill="1" applyBorder="1" applyAlignment="1">
      <alignment vertical="center"/>
    </xf>
    <xf numFmtId="0" fontId="0" fillId="8" borderId="85" xfId="0" applyFill="1" applyBorder="1" applyAlignment="1">
      <alignment vertical="center"/>
    </xf>
    <xf numFmtId="0" fontId="0" fillId="8" borderId="44" xfId="0" applyFill="1" applyBorder="1" applyAlignment="1">
      <alignment vertical="center"/>
    </xf>
    <xf numFmtId="0" fontId="0" fillId="8" borderId="83" xfId="0" applyFill="1" applyBorder="1" applyAlignment="1">
      <alignment vertical="center"/>
    </xf>
    <xf numFmtId="0" fontId="15" fillId="0" borderId="0" xfId="0" applyFont="1" applyAlignment="1">
      <alignment vertical="center"/>
    </xf>
    <xf numFmtId="0" fontId="13" fillId="7" borderId="18" xfId="0" applyFont="1" applyFill="1" applyBorder="1" applyAlignment="1">
      <alignment horizontal="center" vertical="center" wrapText="1"/>
    </xf>
    <xf numFmtId="0" fontId="13" fillId="7" borderId="19" xfId="0" applyFont="1" applyFill="1" applyBorder="1" applyAlignment="1">
      <alignment horizontal="center" vertical="center" wrapText="1"/>
    </xf>
    <xf numFmtId="4" fontId="0" fillId="0" borderId="21" xfId="0" applyNumberFormat="1" applyBorder="1" applyAlignment="1">
      <alignment vertical="center"/>
    </xf>
    <xf numFmtId="4" fontId="0" fillId="0" borderId="22" xfId="0" applyNumberFormat="1" applyBorder="1" applyAlignment="1">
      <alignment vertical="center"/>
    </xf>
    <xf numFmtId="4" fontId="2" fillId="8" borderId="64" xfId="0" applyNumberFormat="1" applyFont="1" applyFill="1" applyBorder="1" applyAlignment="1">
      <alignment vertical="center"/>
    </xf>
    <xf numFmtId="4" fontId="0" fillId="0" borderId="96" xfId="0" applyNumberFormat="1" applyBorder="1" applyAlignment="1">
      <alignment vertical="center"/>
    </xf>
    <xf numFmtId="4" fontId="0" fillId="0" borderId="16" xfId="0" applyNumberFormat="1" applyBorder="1" applyAlignment="1">
      <alignment vertical="center"/>
    </xf>
    <xf numFmtId="4" fontId="0" fillId="0" borderId="97" xfId="0" applyNumberFormat="1" applyBorder="1" applyAlignment="1">
      <alignment vertical="center"/>
    </xf>
    <xf numFmtId="0" fontId="0" fillId="8" borderId="55" xfId="0" applyFill="1" applyBorder="1" applyAlignment="1">
      <alignment vertical="center"/>
    </xf>
    <xf numFmtId="0" fontId="2" fillId="0" borderId="48" xfId="0" applyFont="1" applyBorder="1" applyAlignment="1">
      <alignment vertical="center"/>
    </xf>
    <xf numFmtId="0" fontId="2" fillId="0" borderId="49" xfId="0" applyFont="1" applyBorder="1" applyAlignment="1">
      <alignment vertical="center"/>
    </xf>
    <xf numFmtId="10" fontId="0" fillId="4" borderId="59" xfId="1" applyNumberFormat="1" applyFont="1" applyFill="1" applyBorder="1" applyAlignment="1" applyProtection="1">
      <alignment vertical="center"/>
      <protection locked="0"/>
    </xf>
    <xf numFmtId="10" fontId="0" fillId="4" borderId="42" xfId="1" applyNumberFormat="1" applyFont="1" applyFill="1" applyBorder="1" applyAlignment="1" applyProtection="1">
      <alignment vertical="center"/>
      <protection locked="0"/>
    </xf>
    <xf numFmtId="0" fontId="0" fillId="4" borderId="30" xfId="0" applyFill="1" applyBorder="1" applyAlignment="1" applyProtection="1">
      <alignment horizontal="center" vertical="center"/>
      <protection locked="0"/>
    </xf>
    <xf numFmtId="4" fontId="0" fillId="4" borderId="31" xfId="0" applyNumberFormat="1" applyFill="1" applyBorder="1" applyAlignment="1" applyProtection="1">
      <alignment vertical="center"/>
      <protection locked="0"/>
    </xf>
    <xf numFmtId="4" fontId="0" fillId="4" borderId="12" xfId="0" applyNumberFormat="1" applyFill="1" applyBorder="1" applyAlignment="1" applyProtection="1">
      <alignment vertical="center"/>
      <protection locked="0"/>
    </xf>
    <xf numFmtId="0" fontId="0" fillId="4" borderId="16" xfId="0" applyFill="1" applyBorder="1" applyAlignment="1" applyProtection="1">
      <alignment horizontal="center" vertical="center"/>
      <protection locked="0"/>
    </xf>
    <xf numFmtId="4" fontId="0" fillId="4" borderId="23" xfId="0" applyNumberFormat="1" applyFill="1" applyBorder="1" applyAlignment="1" applyProtection="1">
      <alignment vertical="center"/>
      <protection locked="0"/>
    </xf>
    <xf numFmtId="4" fontId="0" fillId="4" borderId="1" xfId="0" applyNumberFormat="1" applyFill="1" applyBorder="1" applyAlignment="1" applyProtection="1">
      <alignment vertical="center"/>
      <protection locked="0"/>
    </xf>
    <xf numFmtId="4" fontId="0" fillId="4" borderId="15" xfId="0" applyNumberFormat="1" applyFill="1" applyBorder="1" applyAlignment="1" applyProtection="1">
      <alignment vertical="center"/>
      <protection locked="0"/>
    </xf>
    <xf numFmtId="4" fontId="0" fillId="4" borderId="33" xfId="0" applyNumberFormat="1" applyFill="1" applyBorder="1" applyAlignment="1" applyProtection="1">
      <alignment vertical="center"/>
      <protection locked="0"/>
    </xf>
    <xf numFmtId="4" fontId="0" fillId="4" borderId="24" xfId="0" applyNumberFormat="1" applyFill="1" applyBorder="1" applyAlignment="1" applyProtection="1">
      <alignment vertical="center"/>
      <protection locked="0"/>
    </xf>
    <xf numFmtId="4" fontId="0" fillId="4" borderId="18" xfId="0" applyNumberFormat="1" applyFill="1" applyBorder="1" applyAlignment="1" applyProtection="1">
      <alignment vertical="center"/>
      <protection locked="0"/>
    </xf>
    <xf numFmtId="4" fontId="0" fillId="4" borderId="30" xfId="0" applyNumberFormat="1" applyFill="1" applyBorder="1" applyAlignment="1" applyProtection="1">
      <alignment vertical="center"/>
      <protection locked="0"/>
    </xf>
    <xf numFmtId="4" fontId="0" fillId="4" borderId="16" xfId="0" applyNumberFormat="1" applyFill="1" applyBorder="1" applyAlignment="1" applyProtection="1">
      <alignment vertical="center"/>
      <protection locked="0"/>
    </xf>
    <xf numFmtId="4" fontId="0" fillId="4" borderId="19" xfId="0" applyNumberFormat="1" applyFill="1" applyBorder="1" applyAlignment="1" applyProtection="1">
      <alignment vertical="center"/>
      <protection locked="0"/>
    </xf>
    <xf numFmtId="166" fontId="0" fillId="4" borderId="12" xfId="0" applyNumberFormat="1" applyFill="1" applyBorder="1" applyAlignment="1" applyProtection="1">
      <alignment horizontal="center" vertical="center"/>
      <protection locked="0"/>
    </xf>
    <xf numFmtId="166" fontId="0" fillId="4" borderId="30" xfId="0" applyNumberFormat="1" applyFill="1" applyBorder="1" applyAlignment="1" applyProtection="1">
      <alignment horizontal="center" vertical="center"/>
      <protection locked="0"/>
    </xf>
    <xf numFmtId="166" fontId="0" fillId="4" borderId="1" xfId="0" applyNumberFormat="1" applyFill="1" applyBorder="1" applyAlignment="1" applyProtection="1">
      <alignment horizontal="center" vertical="center"/>
      <protection locked="0"/>
    </xf>
    <xf numFmtId="166" fontId="0" fillId="4" borderId="16" xfId="0" applyNumberFormat="1" applyFill="1" applyBorder="1" applyAlignment="1" applyProtection="1">
      <alignment horizontal="center" vertical="center"/>
      <protection locked="0"/>
    </xf>
    <xf numFmtId="0" fontId="0" fillId="5" borderId="31" xfId="0" applyFill="1" applyBorder="1" applyAlignment="1" applyProtection="1">
      <alignment vertical="center"/>
      <protection locked="0"/>
    </xf>
    <xf numFmtId="0" fontId="0" fillId="5" borderId="30" xfId="0" applyFill="1" applyBorder="1" applyAlignment="1" applyProtection="1">
      <alignment vertical="center"/>
      <protection locked="0"/>
    </xf>
    <xf numFmtId="0" fontId="0" fillId="4" borderId="80" xfId="0" applyFill="1" applyBorder="1" applyAlignment="1" applyProtection="1">
      <alignment vertical="center"/>
      <protection locked="0"/>
    </xf>
    <xf numFmtId="0" fontId="0" fillId="5" borderId="23" xfId="0" applyFill="1" applyBorder="1" applyAlignment="1" applyProtection="1">
      <alignment vertical="center"/>
      <protection locked="0"/>
    </xf>
    <xf numFmtId="0" fontId="0" fillId="5" borderId="16" xfId="0" applyFill="1" applyBorder="1" applyAlignment="1" applyProtection="1">
      <alignment vertical="center"/>
      <protection locked="0"/>
    </xf>
    <xf numFmtId="0" fontId="0" fillId="4" borderId="81" xfId="0" applyFill="1" applyBorder="1" applyAlignment="1" applyProtection="1">
      <alignment vertical="center"/>
      <protection locked="0"/>
    </xf>
    <xf numFmtId="0" fontId="0" fillId="5" borderId="15" xfId="0" applyFill="1" applyBorder="1" applyAlignment="1" applyProtection="1">
      <alignment vertical="center"/>
      <protection locked="0"/>
    </xf>
    <xf numFmtId="0" fontId="0" fillId="5" borderId="71" xfId="0" applyFill="1" applyBorder="1" applyAlignment="1" applyProtection="1">
      <alignment vertical="center"/>
      <protection locked="0"/>
    </xf>
    <xf numFmtId="0" fontId="0" fillId="4" borderId="82" xfId="0" applyFill="1" applyBorder="1" applyAlignment="1" applyProtection="1">
      <alignment vertical="center"/>
      <protection locked="0"/>
    </xf>
    <xf numFmtId="0" fontId="0" fillId="4" borderId="48" xfId="0" applyFill="1" applyBorder="1" applyAlignment="1" applyProtection="1">
      <alignment vertical="center"/>
      <protection locked="0"/>
    </xf>
    <xf numFmtId="0" fontId="0" fillId="4" borderId="49" xfId="0" applyFill="1" applyBorder="1" applyAlignment="1" applyProtection="1">
      <alignment vertical="center"/>
      <protection locked="0"/>
    </xf>
    <xf numFmtId="4" fontId="0" fillId="4" borderId="20" xfId="0" applyNumberFormat="1" applyFill="1" applyBorder="1" applyAlignment="1" applyProtection="1">
      <alignment vertical="center"/>
      <protection locked="0"/>
    </xf>
    <xf numFmtId="4" fontId="0" fillId="4" borderId="21" xfId="0" applyNumberFormat="1" applyFill="1" applyBorder="1" applyAlignment="1" applyProtection="1">
      <alignment vertical="center"/>
      <protection locked="0"/>
    </xf>
    <xf numFmtId="4" fontId="2" fillId="4" borderId="22" xfId="0" applyNumberFormat="1" applyFont="1" applyFill="1" applyBorder="1" applyAlignment="1" applyProtection="1">
      <alignment vertical="center"/>
      <protection locked="0"/>
    </xf>
    <xf numFmtId="4" fontId="2" fillId="4" borderId="16" xfId="0" applyNumberFormat="1" applyFont="1" applyFill="1" applyBorder="1" applyAlignment="1" applyProtection="1">
      <alignment vertical="center"/>
      <protection locked="0"/>
    </xf>
    <xf numFmtId="4" fontId="2" fillId="4" borderId="19" xfId="0" applyNumberFormat="1" applyFont="1" applyFill="1" applyBorder="1" applyAlignment="1" applyProtection="1">
      <alignment vertical="center"/>
      <protection locked="0"/>
    </xf>
    <xf numFmtId="166" fontId="0" fillId="4" borderId="40" xfId="0" applyNumberFormat="1" applyFill="1" applyBorder="1" applyAlignment="1" applyProtection="1">
      <alignment horizontal="center" vertical="center"/>
      <protection locked="0"/>
    </xf>
    <xf numFmtId="0" fontId="0" fillId="0" borderId="0" xfId="0" applyAlignment="1">
      <alignment horizontal="right" vertical="center" indent="1"/>
    </xf>
    <xf numFmtId="0" fontId="11" fillId="0" borderId="0" xfId="0" applyFont="1" applyAlignment="1">
      <alignment horizontal="right" vertical="center" indent="1"/>
    </xf>
    <xf numFmtId="0" fontId="11" fillId="0" borderId="0" xfId="0" applyFont="1" applyAlignment="1">
      <alignment vertical="center"/>
    </xf>
    <xf numFmtId="0" fontId="11" fillId="0" borderId="0" xfId="0" applyFont="1" applyAlignment="1">
      <alignment horizontal="right" vertical="center"/>
    </xf>
    <xf numFmtId="0" fontId="0" fillId="0" borderId="0" xfId="0" applyAlignment="1">
      <alignment horizontal="left" vertical="center"/>
    </xf>
    <xf numFmtId="0" fontId="0" fillId="0" borderId="1" xfId="0" applyBorder="1" applyAlignment="1">
      <alignment horizontal="center" vertical="center"/>
    </xf>
    <xf numFmtId="0" fontId="2" fillId="10" borderId="86" xfId="0" applyFont="1" applyFill="1" applyBorder="1" applyAlignment="1">
      <alignment vertical="top"/>
    </xf>
    <xf numFmtId="0" fontId="11" fillId="0" borderId="0" xfId="0" applyFont="1" applyAlignment="1">
      <alignment horizontal="left" vertical="center"/>
    </xf>
    <xf numFmtId="0" fontId="2" fillId="0" borderId="0" xfId="0" applyFont="1" applyAlignment="1">
      <alignment horizontal="left" vertical="center"/>
    </xf>
    <xf numFmtId="0" fontId="2" fillId="0" borderId="51" xfId="0" applyFont="1" applyBorder="1" applyAlignment="1">
      <alignment horizontal="left" vertical="center"/>
    </xf>
    <xf numFmtId="0" fontId="2" fillId="0" borderId="41" xfId="0" applyFont="1" applyBorder="1" applyAlignment="1">
      <alignment horizontal="left" vertical="center"/>
    </xf>
    <xf numFmtId="0" fontId="2" fillId="10" borderId="63" xfId="0" applyFont="1" applyFill="1" applyBorder="1" applyAlignment="1">
      <alignment vertical="top"/>
    </xf>
    <xf numFmtId="0" fontId="0" fillId="10" borderId="64" xfId="0" applyFill="1" applyBorder="1" applyAlignment="1">
      <alignment vertical="top"/>
    </xf>
    <xf numFmtId="0" fontId="0" fillId="10" borderId="65" xfId="0" applyFill="1" applyBorder="1" applyAlignment="1">
      <alignment vertical="top"/>
    </xf>
    <xf numFmtId="0" fontId="3" fillId="0" borderId="0" xfId="0" applyFont="1" applyAlignment="1">
      <alignment vertical="center"/>
    </xf>
    <xf numFmtId="17"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0" fillId="0" borderId="3" xfId="0" applyBorder="1" applyAlignment="1" applyProtection="1">
      <alignment horizontal="center"/>
      <protection locked="0"/>
    </xf>
    <xf numFmtId="0" fontId="0" fillId="0" borderId="0" xfId="0" applyAlignment="1" applyProtection="1">
      <alignment horizontal="center"/>
      <protection locked="0"/>
    </xf>
    <xf numFmtId="0" fontId="0" fillId="0" borderId="0" xfId="0" applyAlignment="1">
      <alignment horizontal="center"/>
    </xf>
    <xf numFmtId="0" fontId="11" fillId="0" borderId="0" xfId="0" applyFont="1" applyAlignment="1">
      <alignment horizontal="right"/>
    </xf>
    <xf numFmtId="0" fontId="0" fillId="4" borderId="57" xfId="0" applyFill="1" applyBorder="1" applyAlignment="1" applyProtection="1">
      <alignment vertical="center" wrapText="1"/>
      <protection locked="0"/>
    </xf>
    <xf numFmtId="0" fontId="0" fillId="4" borderId="56" xfId="0" applyFill="1" applyBorder="1" applyAlignment="1" applyProtection="1">
      <alignment vertical="center" wrapText="1"/>
      <protection locked="0"/>
    </xf>
    <xf numFmtId="4" fontId="0" fillId="0" borderId="5" xfId="0" applyNumberFormat="1" applyBorder="1" applyAlignment="1">
      <alignment horizontal="center" vertical="center"/>
    </xf>
    <xf numFmtId="4" fontId="0" fillId="0" borderId="103" xfId="0" applyNumberFormat="1" applyBorder="1" applyAlignment="1">
      <alignment horizontal="center" vertical="center"/>
    </xf>
    <xf numFmtId="166" fontId="0" fillId="4" borderId="104" xfId="0" applyNumberFormat="1" applyFill="1" applyBorder="1" applyAlignment="1" applyProtection="1">
      <alignment horizontal="center" vertical="center"/>
      <protection locked="0"/>
    </xf>
    <xf numFmtId="0" fontId="15" fillId="0" borderId="0" xfId="0" applyFont="1" applyAlignment="1">
      <alignment horizontal="center" vertical="center"/>
    </xf>
    <xf numFmtId="0" fontId="4" fillId="0" borderId="0" xfId="2" applyFont="1" applyAlignment="1">
      <alignment vertical="center"/>
    </xf>
    <xf numFmtId="0" fontId="6" fillId="0" borderId="0" xfId="2" applyFont="1" applyAlignment="1">
      <alignment vertical="center"/>
    </xf>
    <xf numFmtId="0" fontId="4" fillId="0" borderId="0" xfId="2" applyFont="1" applyAlignment="1">
      <alignment horizontal="left" vertical="center" indent="1"/>
    </xf>
    <xf numFmtId="164" fontId="4" fillId="0" borderId="0" xfId="2" applyNumberFormat="1" applyFont="1" applyAlignment="1">
      <alignment horizontal="left" vertical="center" indent="1"/>
    </xf>
    <xf numFmtId="0" fontId="3" fillId="0" borderId="0" xfId="2" applyFont="1" applyAlignment="1">
      <alignment horizontal="right" vertical="center"/>
    </xf>
    <xf numFmtId="0" fontId="9" fillId="0" borderId="0" xfId="2" applyFont="1" applyAlignment="1">
      <alignment horizontal="center" vertical="center"/>
    </xf>
    <xf numFmtId="0" fontId="4" fillId="0" borderId="0" xfId="2" applyFont="1" applyAlignment="1">
      <alignment horizontal="center" vertical="center"/>
    </xf>
    <xf numFmtId="0" fontId="6" fillId="0" borderId="0" xfId="0" applyFont="1"/>
    <xf numFmtId="166" fontId="4" fillId="5" borderId="1" xfId="0" applyNumberFormat="1" applyFont="1" applyFill="1" applyBorder="1" applyAlignment="1">
      <alignment horizontal="center" vertical="center"/>
    </xf>
    <xf numFmtId="0" fontId="0" fillId="0" borderId="18" xfId="0" applyBorder="1" applyAlignment="1">
      <alignment horizontal="center"/>
    </xf>
    <xf numFmtId="0" fontId="0" fillId="0" borderId="1" xfId="0" applyBorder="1" applyAlignment="1" applyProtection="1">
      <alignment horizontal="center" vertical="center"/>
      <protection hidden="1"/>
    </xf>
    <xf numFmtId="0" fontId="0" fillId="0" borderId="1" xfId="0" applyBorder="1" applyAlignment="1" applyProtection="1">
      <alignment horizontal="left" vertical="center" indent="1"/>
      <protection hidden="1"/>
    </xf>
    <xf numFmtId="4" fontId="0" fillId="0" borderId="1" xfId="0" applyNumberFormat="1" applyBorder="1" applyAlignment="1" applyProtection="1">
      <alignment horizontal="right" vertical="center" indent="1"/>
      <protection hidden="1"/>
    </xf>
    <xf numFmtId="0" fontId="0" fillId="0" borderId="0" xfId="0" applyAlignment="1" applyProtection="1">
      <alignment horizontal="center" vertical="center"/>
      <protection hidden="1"/>
    </xf>
    <xf numFmtId="0" fontId="0" fillId="0" borderId="0" xfId="0" applyAlignment="1" applyProtection="1">
      <alignment horizontal="left" vertical="center" indent="1"/>
      <protection hidden="1"/>
    </xf>
    <xf numFmtId="4" fontId="0" fillId="0" borderId="0" xfId="0" applyNumberFormat="1" applyAlignment="1" applyProtection="1">
      <alignment horizontal="right" vertical="center" indent="1"/>
      <protection hidden="1"/>
    </xf>
    <xf numFmtId="0" fontId="0" fillId="0" borderId="0" xfId="0" applyAlignment="1" applyProtection="1">
      <alignment vertical="center"/>
      <protection hidden="1"/>
    </xf>
    <xf numFmtId="0" fontId="11" fillId="0" borderId="0" xfId="0" applyFont="1" applyAlignment="1" applyProtection="1">
      <alignment horizontal="right" vertical="center"/>
      <protection hidden="1"/>
    </xf>
    <xf numFmtId="0" fontId="0" fillId="0" borderId="0" xfId="0" applyAlignment="1" applyProtection="1">
      <alignment horizontal="right" vertical="center"/>
      <protection hidden="1"/>
    </xf>
    <xf numFmtId="4" fontId="11" fillId="0" borderId="0" xfId="0" applyNumberFormat="1" applyFont="1" applyAlignment="1" applyProtection="1">
      <alignment horizontal="right" vertical="center"/>
      <protection hidden="1"/>
    </xf>
    <xf numFmtId="4" fontId="0" fillId="0" borderId="0" xfId="0" applyNumberFormat="1" applyAlignment="1" applyProtection="1">
      <alignment horizontal="right" vertical="center"/>
      <protection hidden="1"/>
    </xf>
    <xf numFmtId="0" fontId="2" fillId="0" borderId="0" xfId="0" applyFont="1" applyAlignment="1" applyProtection="1">
      <alignment horizontal="right" vertical="center"/>
      <protection hidden="1"/>
    </xf>
    <xf numFmtId="0" fontId="22" fillId="0" borderId="86" xfId="0" applyFont="1" applyBorder="1" applyAlignment="1" applyProtection="1">
      <alignment horizontal="right" vertical="center"/>
      <protection hidden="1"/>
    </xf>
    <xf numFmtId="4" fontId="22" fillId="0" borderId="88" xfId="0" applyNumberFormat="1" applyFont="1" applyBorder="1" applyAlignment="1" applyProtection="1">
      <alignment horizontal="right" vertical="center" indent="1"/>
      <protection hidden="1"/>
    </xf>
    <xf numFmtId="0" fontId="2" fillId="0" borderId="0" xfId="0" applyFont="1" applyAlignment="1" applyProtection="1">
      <alignment horizontal="center" vertical="center"/>
      <protection hidden="1"/>
    </xf>
    <xf numFmtId="0" fontId="29" fillId="0" borderId="0" xfId="2" applyFont="1" applyAlignment="1" applyProtection="1">
      <alignment vertical="center"/>
      <protection hidden="1"/>
    </xf>
    <xf numFmtId="0" fontId="6" fillId="14" borderId="1" xfId="2" applyFont="1" applyFill="1" applyBorder="1" applyAlignment="1">
      <alignment horizontal="left" vertical="center" indent="1"/>
    </xf>
    <xf numFmtId="164" fontId="6" fillId="14" borderId="1" xfId="2" applyNumberFormat="1" applyFont="1" applyFill="1" applyBorder="1" applyAlignment="1">
      <alignment horizontal="left" vertical="center" indent="1"/>
    </xf>
    <xf numFmtId="0" fontId="6" fillId="14" borderId="1" xfId="0" applyFont="1" applyFill="1" applyBorder="1" applyAlignment="1">
      <alignment horizontal="left" vertical="center" indent="1"/>
    </xf>
    <xf numFmtId="0" fontId="29" fillId="0" borderId="0" xfId="2" applyFont="1" applyAlignment="1" applyProtection="1">
      <alignment horizontal="center" vertical="center"/>
      <protection hidden="1"/>
    </xf>
    <xf numFmtId="0" fontId="4" fillId="0" borderId="0" xfId="2" applyFont="1" applyAlignment="1">
      <alignment vertical="center" wrapText="1"/>
    </xf>
    <xf numFmtId="166" fontId="4" fillId="14" borderId="1" xfId="0" applyNumberFormat="1" applyFont="1" applyFill="1" applyBorder="1" applyAlignment="1">
      <alignment horizontal="center" vertical="center"/>
    </xf>
    <xf numFmtId="0" fontId="30" fillId="0" borderId="0" xfId="2" applyFont="1" applyProtection="1">
      <protection hidden="1"/>
    </xf>
    <xf numFmtId="0" fontId="29" fillId="0" borderId="0" xfId="2" applyFont="1" applyProtection="1">
      <protection hidden="1"/>
    </xf>
    <xf numFmtId="0" fontId="29" fillId="0" borderId="0" xfId="2" applyFont="1" applyAlignment="1" applyProtection="1">
      <alignment horizontal="center"/>
      <protection hidden="1"/>
    </xf>
    <xf numFmtId="0" fontId="4" fillId="0" borderId="12" xfId="2" applyFont="1" applyBorder="1" applyAlignment="1">
      <alignment horizontal="center" vertical="center"/>
    </xf>
    <xf numFmtId="0" fontId="3" fillId="0" borderId="9" xfId="0" applyFont="1" applyBorder="1" applyAlignment="1">
      <alignment horizontal="center" vertical="center"/>
    </xf>
    <xf numFmtId="0" fontId="2" fillId="14" borderId="99" xfId="0" applyFont="1" applyFill="1" applyBorder="1" applyAlignment="1">
      <alignment horizontal="center" vertical="center"/>
    </xf>
    <xf numFmtId="0" fontId="13" fillId="14" borderId="100" xfId="0" applyFont="1" applyFill="1" applyBorder="1" applyAlignment="1">
      <alignment horizontal="center" vertical="center" wrapText="1"/>
    </xf>
    <xf numFmtId="0" fontId="2" fillId="14" borderId="100" xfId="0" applyFont="1" applyFill="1" applyBorder="1" applyAlignment="1">
      <alignment horizontal="center" vertical="center" wrapText="1"/>
    </xf>
    <xf numFmtId="0" fontId="2" fillId="14" borderId="101" xfId="0" applyFont="1" applyFill="1" applyBorder="1" applyAlignment="1">
      <alignment horizontal="center" vertical="center" wrapText="1"/>
    </xf>
    <xf numFmtId="0" fontId="2" fillId="14" borderId="1" xfId="0" applyFont="1" applyFill="1" applyBorder="1" applyAlignment="1" applyProtection="1">
      <alignment horizontal="center" vertical="center"/>
      <protection hidden="1"/>
    </xf>
    <xf numFmtId="4" fontId="2" fillId="14" borderId="1" xfId="0" applyNumberFormat="1" applyFont="1" applyFill="1" applyBorder="1" applyAlignment="1" applyProtection="1">
      <alignment horizontal="center" vertical="center"/>
      <protection hidden="1"/>
    </xf>
    <xf numFmtId="0" fontId="2" fillId="0" borderId="46" xfId="0" applyFont="1" applyBorder="1" applyAlignment="1">
      <alignment horizontal="center" vertical="center"/>
    </xf>
    <xf numFmtId="0" fontId="2" fillId="0" borderId="49" xfId="0" applyFont="1" applyBorder="1" applyAlignment="1">
      <alignment horizontal="center" vertical="center"/>
    </xf>
    <xf numFmtId="4" fontId="0" fillId="0" borderId="98" xfId="0" applyNumberFormat="1" applyBorder="1" applyAlignment="1">
      <alignment vertical="center"/>
    </xf>
    <xf numFmtId="4" fontId="0" fillId="0" borderId="19" xfId="0" applyNumberFormat="1" applyBorder="1" applyAlignment="1">
      <alignment vertical="center"/>
    </xf>
    <xf numFmtId="4" fontId="0" fillId="4" borderId="22" xfId="0" applyNumberFormat="1" applyFill="1" applyBorder="1" applyAlignment="1" applyProtection="1">
      <alignment vertical="center"/>
      <protection locked="0"/>
    </xf>
    <xf numFmtId="4" fontId="0" fillId="4" borderId="71" xfId="0" applyNumberFormat="1" applyFill="1" applyBorder="1" applyAlignment="1" applyProtection="1">
      <alignment vertical="center"/>
      <protection locked="0"/>
    </xf>
    <xf numFmtId="0" fontId="0" fillId="6" borderId="138" xfId="0" applyFill="1" applyBorder="1" applyAlignment="1">
      <alignment vertical="center"/>
    </xf>
    <xf numFmtId="0" fontId="0" fillId="0" borderId="12" xfId="0" applyBorder="1" applyAlignment="1">
      <alignment horizontal="center" vertical="center"/>
    </xf>
    <xf numFmtId="0" fontId="0" fillId="6" borderId="55" xfId="0" applyFill="1" applyBorder="1" applyAlignment="1">
      <alignment vertical="center"/>
    </xf>
    <xf numFmtId="166" fontId="0" fillId="4" borderId="18" xfId="0" applyNumberFormat="1" applyFill="1" applyBorder="1" applyAlignment="1" applyProtection="1">
      <alignment horizontal="center" vertical="center"/>
      <protection locked="0"/>
    </xf>
    <xf numFmtId="166" fontId="0" fillId="4" borderId="19" xfId="0" applyNumberFormat="1" applyFill="1" applyBorder="1" applyAlignment="1" applyProtection="1">
      <alignment horizontal="center" vertical="center"/>
      <protection locked="0"/>
    </xf>
    <xf numFmtId="0" fontId="0" fillId="6" borderId="141" xfId="0" applyFill="1" applyBorder="1" applyAlignment="1">
      <alignment vertical="center"/>
    </xf>
    <xf numFmtId="0" fontId="2" fillId="0" borderId="47" xfId="0" applyFont="1" applyBorder="1" applyAlignment="1">
      <alignment horizontal="center" vertical="center"/>
    </xf>
    <xf numFmtId="4" fontId="0" fillId="4" borderId="18" xfId="0" applyNumberFormat="1" applyFill="1" applyBorder="1" applyAlignment="1" applyProtection="1">
      <alignment horizontal="right" vertical="center"/>
      <protection locked="0"/>
    </xf>
    <xf numFmtId="166" fontId="0" fillId="4" borderId="135" xfId="0" applyNumberFormat="1" applyFill="1" applyBorder="1" applyAlignment="1" applyProtection="1">
      <alignment horizontal="center" vertical="center"/>
      <protection locked="0"/>
    </xf>
    <xf numFmtId="4" fontId="2" fillId="8" borderId="0" xfId="0" applyNumberFormat="1" applyFont="1" applyFill="1" applyAlignment="1">
      <alignment vertical="center"/>
    </xf>
    <xf numFmtId="0" fontId="0" fillId="4" borderId="47" xfId="0" applyFill="1" applyBorder="1" applyAlignment="1" applyProtection="1">
      <alignment vertical="center"/>
      <protection locked="0"/>
    </xf>
    <xf numFmtId="0" fontId="0" fillId="5" borderId="24" xfId="0" applyFill="1" applyBorder="1" applyAlignment="1" applyProtection="1">
      <alignment vertical="center"/>
      <protection locked="0"/>
    </xf>
    <xf numFmtId="0" fontId="0" fillId="5" borderId="19" xfId="0" applyFill="1" applyBorder="1" applyAlignment="1" applyProtection="1">
      <alignment vertical="center"/>
      <protection locked="0"/>
    </xf>
    <xf numFmtId="0" fontId="0" fillId="4" borderId="140" xfId="0" applyFill="1" applyBorder="1" applyAlignment="1" applyProtection="1">
      <alignment vertical="center" wrapText="1"/>
      <protection locked="0"/>
    </xf>
    <xf numFmtId="166" fontId="0" fillId="4" borderId="68" xfId="0" applyNumberFormat="1" applyFill="1" applyBorder="1" applyAlignment="1" applyProtection="1">
      <alignment horizontal="center" vertical="center"/>
      <protection locked="0"/>
    </xf>
    <xf numFmtId="4" fontId="0" fillId="0" borderId="145" xfId="0" applyNumberFormat="1" applyBorder="1" applyAlignment="1">
      <alignment vertical="center"/>
    </xf>
    <xf numFmtId="166" fontId="0" fillId="4" borderId="34" xfId="0" applyNumberFormat="1" applyFill="1" applyBorder="1" applyAlignment="1" applyProtection="1">
      <alignment horizontal="center" vertical="center"/>
      <protection locked="0"/>
    </xf>
    <xf numFmtId="0" fontId="0" fillId="4" borderId="71" xfId="0" applyFill="1" applyBorder="1" applyAlignment="1" applyProtection="1">
      <alignment horizontal="center" vertical="center"/>
      <protection locked="0"/>
    </xf>
    <xf numFmtId="0" fontId="0" fillId="6" borderId="147" xfId="0" applyFill="1" applyBorder="1" applyAlignment="1">
      <alignment vertical="center"/>
    </xf>
    <xf numFmtId="0" fontId="0" fillId="6" borderId="139" xfId="0" applyFill="1" applyBorder="1" applyAlignment="1">
      <alignment vertical="center"/>
    </xf>
    <xf numFmtId="0" fontId="0" fillId="14" borderId="44" xfId="0" applyFill="1" applyBorder="1" applyAlignment="1">
      <alignment vertical="center"/>
    </xf>
    <xf numFmtId="0" fontId="0" fillId="14" borderId="45" xfId="0" applyFill="1" applyBorder="1" applyAlignment="1">
      <alignment vertical="center"/>
    </xf>
    <xf numFmtId="0" fontId="0" fillId="14" borderId="55" xfId="0" applyFill="1" applyBorder="1" applyAlignment="1">
      <alignment vertical="center"/>
    </xf>
    <xf numFmtId="0" fontId="0" fillId="0" borderId="1" xfId="0" applyBorder="1" applyAlignment="1">
      <alignment vertical="center"/>
    </xf>
    <xf numFmtId="0" fontId="0" fillId="4" borderId="152" xfId="0" applyFill="1" applyBorder="1" applyAlignment="1" applyProtection="1">
      <alignment vertical="center"/>
      <protection locked="0"/>
    </xf>
    <xf numFmtId="166" fontId="0" fillId="4" borderId="33" xfId="0" applyNumberFormat="1" applyFill="1" applyBorder="1" applyAlignment="1" applyProtection="1">
      <alignment horizontal="center" vertical="center"/>
      <protection locked="0"/>
    </xf>
    <xf numFmtId="166" fontId="0" fillId="4" borderId="71" xfId="0" applyNumberFormat="1" applyFill="1" applyBorder="1" applyAlignment="1" applyProtection="1">
      <alignment horizontal="center" vertical="center"/>
      <protection locked="0"/>
    </xf>
    <xf numFmtId="4" fontId="0" fillId="0" borderId="71" xfId="0" applyNumberFormat="1" applyBorder="1" applyAlignment="1">
      <alignment vertical="center"/>
    </xf>
    <xf numFmtId="4" fontId="0" fillId="0" borderId="153" xfId="0" applyNumberFormat="1" applyBorder="1" applyAlignment="1">
      <alignment vertical="center"/>
    </xf>
    <xf numFmtId="4" fontId="0" fillId="0" borderId="34" xfId="0" applyNumberFormat="1" applyBorder="1" applyAlignment="1">
      <alignment vertical="center"/>
    </xf>
    <xf numFmtId="0" fontId="0" fillId="4" borderId="149" xfId="0" applyFill="1" applyBorder="1" applyAlignment="1" applyProtection="1">
      <alignment vertical="center" wrapText="1"/>
      <protection locked="0"/>
    </xf>
    <xf numFmtId="0" fontId="0" fillId="14" borderId="141" xfId="0" applyFill="1" applyBorder="1" applyAlignment="1">
      <alignment vertical="center"/>
    </xf>
    <xf numFmtId="0" fontId="2" fillId="0" borderId="152" xfId="0" applyFont="1" applyBorder="1" applyAlignment="1">
      <alignment vertical="center"/>
    </xf>
    <xf numFmtId="4" fontId="0" fillId="4" borderId="33" xfId="0" applyNumberFormat="1" applyFill="1" applyBorder="1" applyAlignment="1" applyProtection="1">
      <alignment horizontal="right" vertical="center"/>
      <protection locked="0"/>
    </xf>
    <xf numFmtId="4" fontId="0" fillId="0" borderId="2" xfId="0" applyNumberFormat="1" applyBorder="1" applyAlignment="1">
      <alignment horizontal="center" vertical="center"/>
    </xf>
    <xf numFmtId="166" fontId="0" fillId="4" borderId="151" xfId="0" applyNumberFormat="1" applyFill="1" applyBorder="1" applyAlignment="1" applyProtection="1">
      <alignment horizontal="center" vertical="center"/>
      <protection locked="0"/>
    </xf>
    <xf numFmtId="0" fontId="2" fillId="0" borderId="48" xfId="0" applyFont="1" applyBorder="1" applyAlignment="1">
      <alignment horizontal="center" vertical="center"/>
    </xf>
    <xf numFmtId="0" fontId="2" fillId="0" borderId="152" xfId="0" applyFont="1" applyBorder="1" applyAlignment="1">
      <alignment horizontal="center" vertical="center"/>
    </xf>
    <xf numFmtId="4" fontId="0" fillId="0" borderId="95" xfId="0" applyNumberFormat="1" applyBorder="1" applyAlignment="1">
      <alignment horizontal="right" vertical="center"/>
    </xf>
    <xf numFmtId="4" fontId="0" fillId="0" borderId="103" xfId="0" applyNumberFormat="1" applyBorder="1" applyAlignment="1">
      <alignment horizontal="right" vertical="center"/>
    </xf>
    <xf numFmtId="4" fontId="0" fillId="0" borderId="114" xfId="0" applyNumberFormat="1" applyBorder="1" applyAlignment="1">
      <alignment horizontal="right" vertical="center"/>
    </xf>
    <xf numFmtId="4" fontId="0" fillId="0" borderId="5" xfId="0" applyNumberFormat="1" applyBorder="1" applyAlignment="1">
      <alignment horizontal="right" vertical="center"/>
    </xf>
    <xf numFmtId="4" fontId="0" fillId="0" borderId="2" xfId="0" applyNumberFormat="1" applyBorder="1" applyAlignment="1">
      <alignment horizontal="right" vertical="center"/>
    </xf>
    <xf numFmtId="0" fontId="2" fillId="9" borderId="1" xfId="0" applyFont="1" applyFill="1" applyBorder="1" applyAlignment="1" applyProtection="1">
      <alignment horizontal="center" vertical="center"/>
      <protection hidden="1"/>
    </xf>
    <xf numFmtId="4" fontId="2" fillId="9" borderId="1" xfId="0" applyNumberFormat="1" applyFont="1" applyFill="1" applyBorder="1" applyAlignment="1" applyProtection="1">
      <alignment horizontal="center" vertical="center"/>
      <protection hidden="1"/>
    </xf>
    <xf numFmtId="0" fontId="29" fillId="0" borderId="0" xfId="0" applyFont="1" applyAlignment="1" applyProtection="1">
      <alignment vertical="center"/>
      <protection hidden="1"/>
    </xf>
    <xf numFmtId="0" fontId="30" fillId="0" borderId="0" xfId="0" applyFont="1" applyAlignment="1" applyProtection="1">
      <alignment horizontal="center" vertical="center"/>
      <protection hidden="1"/>
    </xf>
    <xf numFmtId="0" fontId="29" fillId="0" borderId="0" xfId="0" applyFont="1" applyAlignment="1" applyProtection="1">
      <alignment horizontal="center" vertical="center"/>
      <protection hidden="1"/>
    </xf>
    <xf numFmtId="4" fontId="11" fillId="0" borderId="0" xfId="0" applyNumberFormat="1" applyFont="1" applyAlignment="1" applyProtection="1">
      <alignment horizontal="left" vertical="center"/>
      <protection hidden="1"/>
    </xf>
    <xf numFmtId="0" fontId="0" fillId="0" borderId="0" xfId="0" applyAlignment="1" applyProtection="1">
      <alignment horizontal="left" vertical="center"/>
      <protection hidden="1"/>
    </xf>
    <xf numFmtId="4" fontId="0" fillId="0" borderId="1" xfId="0" applyNumberFormat="1" applyBorder="1" applyAlignment="1" applyProtection="1">
      <alignment horizontal="center" vertical="center"/>
      <protection hidden="1"/>
    </xf>
    <xf numFmtId="14" fontId="4" fillId="0" borderId="0" xfId="2" applyNumberFormat="1" applyFont="1" applyAlignment="1">
      <alignment horizontal="center" vertical="center"/>
    </xf>
    <xf numFmtId="0" fontId="26" fillId="0" borderId="0" xfId="0" applyFont="1" applyAlignment="1" applyProtection="1">
      <alignment vertical="center"/>
      <protection hidden="1"/>
    </xf>
    <xf numFmtId="0" fontId="13" fillId="0" borderId="0" xfId="0" applyFont="1" applyAlignment="1" applyProtection="1">
      <alignment horizontal="center" vertical="center"/>
      <protection hidden="1"/>
    </xf>
    <xf numFmtId="0" fontId="22" fillId="0" borderId="0" xfId="0" applyFont="1" applyAlignment="1" applyProtection="1">
      <alignment horizontal="left" vertical="center"/>
      <protection hidden="1"/>
    </xf>
    <xf numFmtId="0" fontId="11" fillId="0" borderId="0" xfId="0" applyFont="1" applyAlignment="1" applyProtection="1">
      <alignment horizontal="left" vertical="center"/>
      <protection hidden="1"/>
    </xf>
    <xf numFmtId="0" fontId="2" fillId="0" borderId="0" xfId="0" applyFont="1" applyAlignment="1" applyProtection="1">
      <alignment horizontal="left" vertical="center"/>
      <protection hidden="1"/>
    </xf>
    <xf numFmtId="0" fontId="2" fillId="0" borderId="0" xfId="0" applyFont="1" applyAlignment="1" applyProtection="1">
      <alignment vertical="center"/>
      <protection hidden="1"/>
    </xf>
    <xf numFmtId="0" fontId="2" fillId="9" borderId="96" xfId="0" applyFont="1" applyFill="1" applyBorder="1" applyAlignment="1" applyProtection="1">
      <alignment horizontal="center" vertical="center" wrapText="1"/>
      <protection hidden="1"/>
    </xf>
    <xf numFmtId="0" fontId="17" fillId="9" borderId="24" xfId="0" applyFont="1" applyFill="1" applyBorder="1" applyAlignment="1" applyProtection="1">
      <alignment horizontal="center" vertical="center" wrapText="1"/>
      <protection hidden="1"/>
    </xf>
    <xf numFmtId="0" fontId="13" fillId="9" borderId="18" xfId="0" applyFont="1" applyFill="1" applyBorder="1" applyAlignment="1" applyProtection="1">
      <alignment horizontal="center" vertical="center" wrapText="1"/>
      <protection hidden="1"/>
    </xf>
    <xf numFmtId="0" fontId="17" fillId="9" borderId="19" xfId="0" applyFont="1" applyFill="1" applyBorder="1" applyAlignment="1" applyProtection="1">
      <alignment horizontal="center" vertical="center" wrapText="1"/>
      <protection hidden="1"/>
    </xf>
    <xf numFmtId="0" fontId="13" fillId="9" borderId="24" xfId="0" applyFont="1" applyFill="1" applyBorder="1" applyAlignment="1" applyProtection="1">
      <alignment horizontal="center" vertical="center" wrapText="1"/>
      <protection hidden="1"/>
    </xf>
    <xf numFmtId="0" fontId="13" fillId="9" borderId="19" xfId="0" applyFont="1" applyFill="1" applyBorder="1" applyAlignment="1" applyProtection="1">
      <alignment horizontal="center" vertical="center" wrapText="1"/>
      <protection hidden="1"/>
    </xf>
    <xf numFmtId="0" fontId="13" fillId="9" borderId="98" xfId="0" applyFont="1" applyFill="1" applyBorder="1" applyAlignment="1" applyProtection="1">
      <alignment horizontal="center" vertical="center" wrapText="1"/>
      <protection hidden="1"/>
    </xf>
    <xf numFmtId="0" fontId="2" fillId="0" borderId="13" xfId="0" applyFont="1" applyBorder="1" applyAlignment="1" applyProtection="1">
      <alignment vertical="center"/>
      <protection hidden="1"/>
    </xf>
    <xf numFmtId="10" fontId="0" fillId="0" borderId="96" xfId="1" applyNumberFormat="1" applyFont="1" applyFill="1" applyBorder="1" applyAlignment="1" applyProtection="1">
      <alignment horizontal="right" vertical="center" indent="1"/>
      <protection hidden="1"/>
    </xf>
    <xf numFmtId="4" fontId="0" fillId="0" borderId="32" xfId="0" applyNumberFormat="1" applyBorder="1" applyAlignment="1" applyProtection="1">
      <alignment horizontal="right" vertical="center" indent="1"/>
      <protection hidden="1"/>
    </xf>
    <xf numFmtId="166" fontId="0" fillId="0" borderId="21" xfId="0" applyNumberFormat="1" applyBorder="1" applyAlignment="1" applyProtection="1">
      <alignment horizontal="center" vertical="center"/>
      <protection hidden="1"/>
    </xf>
    <xf numFmtId="4" fontId="2" fillId="0" borderId="22" xfId="0" applyNumberFormat="1" applyFont="1" applyBorder="1" applyAlignment="1" applyProtection="1">
      <alignment horizontal="right" vertical="center" indent="1"/>
      <protection hidden="1"/>
    </xf>
    <xf numFmtId="4" fontId="0" fillId="0" borderId="20" xfId="0" applyNumberFormat="1" applyBorder="1" applyAlignment="1" applyProtection="1">
      <alignment horizontal="right" vertical="center" indent="1"/>
      <protection hidden="1"/>
    </xf>
    <xf numFmtId="4" fontId="2" fillId="0" borderId="96" xfId="0" applyNumberFormat="1" applyFont="1" applyBorder="1" applyAlignment="1" applyProtection="1">
      <alignment horizontal="right" vertical="center" indent="1"/>
      <protection hidden="1"/>
    </xf>
    <xf numFmtId="4" fontId="2" fillId="9" borderId="14" xfId="0" applyNumberFormat="1" applyFont="1" applyFill="1" applyBorder="1" applyAlignment="1" applyProtection="1">
      <alignment horizontal="right" vertical="center" indent="1"/>
      <protection hidden="1"/>
    </xf>
    <xf numFmtId="4" fontId="2" fillId="14" borderId="14" xfId="0" applyNumberFormat="1" applyFont="1" applyFill="1" applyBorder="1" applyAlignment="1" applyProtection="1">
      <alignment horizontal="right" vertical="center" indent="1"/>
      <protection hidden="1"/>
    </xf>
    <xf numFmtId="0" fontId="2" fillId="0" borderId="70" xfId="0" applyFont="1" applyBorder="1" applyAlignment="1" applyProtection="1">
      <alignment vertical="center"/>
      <protection hidden="1"/>
    </xf>
    <xf numFmtId="10" fontId="0" fillId="0" borderId="97" xfId="1" applyNumberFormat="1" applyFont="1" applyFill="1" applyBorder="1" applyAlignment="1" applyProtection="1">
      <alignment horizontal="right" vertical="center" indent="1"/>
      <protection hidden="1"/>
    </xf>
    <xf numFmtId="4" fontId="0" fillId="0" borderId="11" xfId="0" applyNumberFormat="1" applyBorder="1" applyAlignment="1" applyProtection="1">
      <alignment horizontal="right" vertical="center" indent="1"/>
      <protection hidden="1"/>
    </xf>
    <xf numFmtId="166" fontId="0" fillId="0" borderId="1" xfId="0" applyNumberFormat="1" applyBorder="1" applyAlignment="1" applyProtection="1">
      <alignment horizontal="center" vertical="center"/>
      <protection hidden="1"/>
    </xf>
    <xf numFmtId="4" fontId="2" fillId="0" borderId="16" xfId="0" applyNumberFormat="1" applyFont="1" applyBorder="1" applyAlignment="1" applyProtection="1">
      <alignment horizontal="right" vertical="center" indent="1"/>
      <protection hidden="1"/>
    </xf>
    <xf numFmtId="4" fontId="0" fillId="0" borderId="23" xfId="0" applyNumberFormat="1" applyBorder="1" applyAlignment="1" applyProtection="1">
      <alignment horizontal="right" vertical="center" indent="1"/>
      <protection hidden="1"/>
    </xf>
    <xf numFmtId="4" fontId="2" fillId="0" borderId="97" xfId="0" applyNumberFormat="1" applyFont="1" applyBorder="1" applyAlignment="1" applyProtection="1">
      <alignment horizontal="right" vertical="center" indent="1"/>
      <protection hidden="1"/>
    </xf>
    <xf numFmtId="4" fontId="2" fillId="9" borderId="91" xfId="0" applyNumberFormat="1" applyFont="1" applyFill="1" applyBorder="1" applyAlignment="1" applyProtection="1">
      <alignment horizontal="right" vertical="center" indent="1"/>
      <protection hidden="1"/>
    </xf>
    <xf numFmtId="4" fontId="2" fillId="14" borderId="91" xfId="0" applyNumberFormat="1" applyFont="1" applyFill="1" applyBorder="1" applyAlignment="1" applyProtection="1">
      <alignment horizontal="right" vertical="center" indent="1"/>
      <protection hidden="1"/>
    </xf>
    <xf numFmtId="4" fontId="0" fillId="0" borderId="0" xfId="0" applyNumberFormat="1" applyAlignment="1" applyProtection="1">
      <alignment horizontal="center" vertical="center"/>
      <protection hidden="1"/>
    </xf>
    <xf numFmtId="10" fontId="0" fillId="0" borderId="0" xfId="0" applyNumberFormat="1" applyAlignment="1" applyProtection="1">
      <alignment horizontal="left" vertical="center"/>
      <protection hidden="1"/>
    </xf>
    <xf numFmtId="4" fontId="0" fillId="0" borderId="0" xfId="0" applyNumberFormat="1" applyAlignment="1" applyProtection="1">
      <alignment horizontal="left" vertical="center"/>
      <protection hidden="1"/>
    </xf>
    <xf numFmtId="0" fontId="2" fillId="0" borderId="92" xfId="0" applyFont="1" applyBorder="1" applyAlignment="1" applyProtection="1">
      <alignment vertical="center"/>
      <protection hidden="1"/>
    </xf>
    <xf numFmtId="10" fontId="0" fillId="0" borderId="98" xfId="1" applyNumberFormat="1" applyFont="1" applyFill="1" applyBorder="1" applyAlignment="1" applyProtection="1">
      <alignment horizontal="right" vertical="center" indent="1"/>
      <protection hidden="1"/>
    </xf>
    <xf numFmtId="4" fontId="0" fillId="0" borderId="105" xfId="0" applyNumberFormat="1" applyBorder="1" applyAlignment="1" applyProtection="1">
      <alignment horizontal="right" vertical="center" indent="1"/>
      <protection hidden="1"/>
    </xf>
    <xf numFmtId="166" fontId="0" fillId="0" borderId="18" xfId="0" applyNumberFormat="1" applyBorder="1" applyAlignment="1" applyProtection="1">
      <alignment horizontal="center" vertical="center"/>
      <protection hidden="1"/>
    </xf>
    <xf numFmtId="4" fontId="2" fillId="0" borderId="19" xfId="0" applyNumberFormat="1" applyFont="1" applyBorder="1" applyAlignment="1" applyProtection="1">
      <alignment horizontal="right" vertical="center" indent="1"/>
      <protection hidden="1"/>
    </xf>
    <xf numFmtId="4" fontId="0" fillId="0" borderId="24" xfId="0" applyNumberFormat="1" applyBorder="1" applyAlignment="1" applyProtection="1">
      <alignment horizontal="right" vertical="center" indent="1"/>
      <protection hidden="1"/>
    </xf>
    <xf numFmtId="4" fontId="2" fillId="0" borderId="98" xfId="0" applyNumberFormat="1" applyFont="1" applyBorder="1" applyAlignment="1" applyProtection="1">
      <alignment horizontal="right" vertical="center" indent="1"/>
      <protection hidden="1"/>
    </xf>
    <xf numFmtId="4" fontId="2" fillId="9" borderId="89" xfId="0" applyNumberFormat="1" applyFont="1" applyFill="1" applyBorder="1" applyAlignment="1" applyProtection="1">
      <alignment horizontal="right" vertical="center" indent="1"/>
      <protection hidden="1"/>
    </xf>
    <xf numFmtId="4" fontId="2" fillId="14" borderId="89" xfId="0" applyNumberFormat="1" applyFont="1" applyFill="1" applyBorder="1" applyAlignment="1" applyProtection="1">
      <alignment horizontal="right" vertical="center" indent="1"/>
      <protection hidden="1"/>
    </xf>
    <xf numFmtId="0" fontId="0" fillId="0" borderId="0" xfId="0" applyAlignment="1" applyProtection="1">
      <alignment horizontal="right" vertical="center" indent="1"/>
      <protection hidden="1"/>
    </xf>
    <xf numFmtId="0" fontId="12" fillId="0" borderId="0" xfId="0" applyFont="1" applyAlignment="1" applyProtection="1">
      <alignment vertical="center"/>
      <protection hidden="1"/>
    </xf>
    <xf numFmtId="0" fontId="0" fillId="0" borderId="86" xfId="0" applyBorder="1" applyAlignment="1" applyProtection="1">
      <alignment vertical="center"/>
      <protection hidden="1"/>
    </xf>
    <xf numFmtId="0" fontId="22" fillId="0" borderId="87" xfId="0" applyFont="1" applyBorder="1" applyAlignment="1" applyProtection="1">
      <alignment horizontal="right" vertical="center" indent="1"/>
      <protection hidden="1"/>
    </xf>
    <xf numFmtId="0" fontId="11" fillId="0" borderId="0" xfId="0" applyFont="1" applyAlignment="1" applyProtection="1">
      <alignment vertical="center"/>
      <protection hidden="1"/>
    </xf>
    <xf numFmtId="0" fontId="11" fillId="9" borderId="62" xfId="0" applyFont="1" applyFill="1" applyBorder="1" applyAlignment="1" applyProtection="1">
      <alignment vertical="center"/>
      <protection hidden="1"/>
    </xf>
    <xf numFmtId="0" fontId="2" fillId="15" borderId="118" xfId="0" applyFont="1" applyFill="1" applyBorder="1" applyAlignment="1" applyProtection="1">
      <alignment horizontal="center" vertical="center"/>
      <protection hidden="1"/>
    </xf>
    <xf numFmtId="0" fontId="2" fillId="14" borderId="119" xfId="0" applyFont="1" applyFill="1" applyBorder="1" applyAlignment="1" applyProtection="1">
      <alignment horizontal="center" vertical="center"/>
      <protection hidden="1"/>
    </xf>
    <xf numFmtId="0" fontId="2" fillId="15" borderId="136" xfId="0" applyFont="1" applyFill="1" applyBorder="1" applyAlignment="1" applyProtection="1">
      <alignment horizontal="center" vertical="center"/>
      <protection hidden="1"/>
    </xf>
    <xf numFmtId="0" fontId="0" fillId="16" borderId="54" xfId="0" applyFill="1" applyBorder="1" applyAlignment="1" applyProtection="1">
      <alignment vertical="center"/>
      <protection hidden="1"/>
    </xf>
    <xf numFmtId="10" fontId="0" fillId="15" borderId="111" xfId="1" applyNumberFormat="1" applyFont="1" applyFill="1" applyBorder="1" applyAlignment="1" applyProtection="1">
      <alignment vertical="center"/>
      <protection hidden="1"/>
    </xf>
    <xf numFmtId="10" fontId="2" fillId="0" borderId="112" xfId="1" applyNumberFormat="1" applyFont="1" applyFill="1" applyBorder="1" applyAlignment="1" applyProtection="1">
      <alignment vertical="center"/>
      <protection hidden="1"/>
    </xf>
    <xf numFmtId="10" fontId="0" fillId="15" borderId="137" xfId="1" applyNumberFormat="1" applyFont="1" applyFill="1" applyBorder="1" applyAlignment="1" applyProtection="1">
      <alignment vertical="center"/>
      <protection hidden="1"/>
    </xf>
    <xf numFmtId="0" fontId="0" fillId="16" borderId="0" xfId="0" applyFill="1" applyAlignment="1" applyProtection="1">
      <alignment vertical="center"/>
      <protection hidden="1"/>
    </xf>
    <xf numFmtId="10" fontId="0" fillId="15" borderId="49" xfId="1" applyNumberFormat="1" applyFont="1" applyFill="1" applyBorder="1" applyAlignment="1" applyProtection="1">
      <alignment vertical="center"/>
      <protection hidden="1"/>
    </xf>
    <xf numFmtId="10" fontId="2" fillId="0" borderId="1" xfId="1" applyNumberFormat="1" applyFont="1" applyFill="1" applyBorder="1" applyAlignment="1" applyProtection="1">
      <alignment vertical="center"/>
      <protection hidden="1"/>
    </xf>
    <xf numFmtId="10" fontId="0" fillId="15" borderId="16" xfId="1" applyNumberFormat="1" applyFont="1" applyFill="1" applyBorder="1" applyAlignment="1" applyProtection="1">
      <alignment vertical="center"/>
      <protection hidden="1"/>
    </xf>
    <xf numFmtId="0" fontId="0" fillId="16" borderId="28" xfId="0" applyFill="1" applyBorder="1" applyAlignment="1" applyProtection="1">
      <alignment vertical="center"/>
      <protection hidden="1"/>
    </xf>
    <xf numFmtId="10" fontId="0" fillId="15" borderId="47" xfId="0" applyNumberFormat="1" applyFill="1" applyBorder="1" applyAlignment="1" applyProtection="1">
      <alignment vertical="center"/>
      <protection hidden="1"/>
    </xf>
    <xf numFmtId="10" fontId="0" fillId="16" borderId="18" xfId="0" applyNumberFormat="1" applyFill="1" applyBorder="1" applyAlignment="1" applyProtection="1">
      <alignment vertical="center"/>
      <protection hidden="1"/>
    </xf>
    <xf numFmtId="10" fontId="2" fillId="15" borderId="19" xfId="0" applyNumberFormat="1" applyFont="1" applyFill="1" applyBorder="1" applyAlignment="1" applyProtection="1">
      <alignment vertical="center"/>
      <protection hidden="1"/>
    </xf>
    <xf numFmtId="0" fontId="26" fillId="0" borderId="115" xfId="0" applyFont="1" applyBorder="1" applyAlignment="1" applyProtection="1">
      <alignment vertical="center"/>
      <protection hidden="1"/>
    </xf>
    <xf numFmtId="0" fontId="26" fillId="0" borderId="140" xfId="0" applyFont="1" applyBorder="1" applyAlignment="1" applyProtection="1">
      <alignment vertical="center"/>
      <protection hidden="1"/>
    </xf>
    <xf numFmtId="0" fontId="0" fillId="6" borderId="43" xfId="0" applyFill="1" applyBorder="1" applyAlignment="1" applyProtection="1">
      <alignment vertical="center"/>
      <protection hidden="1"/>
    </xf>
    <xf numFmtId="0" fontId="0" fillId="6" borderId="44" xfId="0" applyFill="1" applyBorder="1" applyAlignment="1" applyProtection="1">
      <alignment vertical="center"/>
      <protection hidden="1"/>
    </xf>
    <xf numFmtId="0" fontId="0" fillId="6" borderId="45" xfId="0" applyFill="1" applyBorder="1" applyAlignment="1" applyProtection="1">
      <alignment vertical="center"/>
      <protection hidden="1"/>
    </xf>
    <xf numFmtId="0" fontId="2" fillId="6" borderId="73" xfId="0" applyFont="1" applyFill="1" applyBorder="1" applyAlignment="1" applyProtection="1">
      <alignment vertical="center" wrapText="1"/>
      <protection hidden="1"/>
    </xf>
    <xf numFmtId="0" fontId="13" fillId="8" borderId="64" xfId="0" applyFont="1" applyFill="1" applyBorder="1" applyAlignment="1" applyProtection="1">
      <alignment horizontal="center" vertical="center"/>
      <protection hidden="1"/>
    </xf>
    <xf numFmtId="0" fontId="13" fillId="8" borderId="27" xfId="0" applyFont="1" applyFill="1" applyBorder="1" applyAlignment="1" applyProtection="1">
      <alignment horizontal="center" vertical="center" wrapText="1"/>
      <protection hidden="1"/>
    </xf>
    <xf numFmtId="0" fontId="2" fillId="6" borderId="106" xfId="0" applyFont="1" applyFill="1" applyBorder="1" applyAlignment="1" applyProtection="1">
      <alignment vertical="center" wrapText="1"/>
      <protection hidden="1"/>
    </xf>
    <xf numFmtId="0" fontId="2" fillId="15" borderId="24" xfId="0" applyFont="1" applyFill="1" applyBorder="1" applyAlignment="1" applyProtection="1">
      <alignment horizontal="center" vertical="center" wrapText="1"/>
      <protection hidden="1"/>
    </xf>
    <xf numFmtId="0" fontId="2" fillId="14" borderId="18" xfId="0" applyFont="1" applyFill="1" applyBorder="1" applyAlignment="1" applyProtection="1">
      <alignment horizontal="center" vertical="center" wrapText="1"/>
      <protection hidden="1"/>
    </xf>
    <xf numFmtId="0" fontId="2" fillId="15" borderId="19" xfId="0" applyFont="1" applyFill="1" applyBorder="1" applyAlignment="1" applyProtection="1">
      <alignment horizontal="center" vertical="center" wrapText="1"/>
      <protection hidden="1"/>
    </xf>
    <xf numFmtId="0" fontId="13" fillId="15" borderId="24" xfId="0" applyFont="1" applyFill="1" applyBorder="1" applyAlignment="1" applyProtection="1">
      <alignment horizontal="center" vertical="center" wrapText="1"/>
      <protection hidden="1"/>
    </xf>
    <xf numFmtId="0" fontId="13" fillId="14" borderId="18" xfId="0" applyFont="1" applyFill="1" applyBorder="1" applyAlignment="1" applyProtection="1">
      <alignment horizontal="center" vertical="center" wrapText="1"/>
      <protection hidden="1"/>
    </xf>
    <xf numFmtId="0" fontId="13" fillId="15" borderId="18" xfId="0" applyFont="1" applyFill="1" applyBorder="1" applyAlignment="1" applyProtection="1">
      <alignment horizontal="center" vertical="center" wrapText="1"/>
      <protection hidden="1"/>
    </xf>
    <xf numFmtId="0" fontId="17" fillId="0" borderId="19" xfId="0" applyFont="1" applyBorder="1" applyAlignment="1" applyProtection="1">
      <alignment horizontal="center" vertical="center" wrapText="1"/>
      <protection hidden="1"/>
    </xf>
    <xf numFmtId="0" fontId="13" fillId="8" borderId="64" xfId="0" applyFont="1" applyFill="1" applyBorder="1" applyAlignment="1" applyProtection="1">
      <alignment horizontal="center" vertical="center" wrapText="1"/>
      <protection hidden="1"/>
    </xf>
    <xf numFmtId="0" fontId="2" fillId="15" borderId="24" xfId="0" applyFont="1" applyFill="1" applyBorder="1" applyAlignment="1" applyProtection="1">
      <alignment horizontal="center" vertical="center"/>
      <protection hidden="1"/>
    </xf>
    <xf numFmtId="0" fontId="2" fillId="14" borderId="18" xfId="0" applyFont="1" applyFill="1" applyBorder="1" applyAlignment="1" applyProtection="1">
      <alignment horizontal="center" vertical="center"/>
      <protection hidden="1"/>
    </xf>
    <xf numFmtId="0" fontId="2" fillId="15" borderId="19" xfId="0" applyFont="1" applyFill="1" applyBorder="1" applyAlignment="1" applyProtection="1">
      <alignment horizontal="center" vertical="center"/>
      <protection hidden="1"/>
    </xf>
    <xf numFmtId="0" fontId="13" fillId="8" borderId="27" xfId="0" applyFont="1" applyFill="1" applyBorder="1" applyAlignment="1" applyProtection="1">
      <alignment horizontal="center" vertical="center"/>
      <protection hidden="1"/>
    </xf>
    <xf numFmtId="0" fontId="2" fillId="6" borderId="24" xfId="0" applyFont="1" applyFill="1" applyBorder="1" applyAlignment="1" applyProtection="1">
      <alignment horizontal="center" vertical="center" wrapText="1"/>
      <protection hidden="1"/>
    </xf>
    <xf numFmtId="0" fontId="2" fillId="6" borderId="132" xfId="0" applyFont="1" applyFill="1" applyBorder="1" applyAlignment="1" applyProtection="1">
      <alignment horizontal="center" vertical="center" wrapText="1"/>
      <protection hidden="1"/>
    </xf>
    <xf numFmtId="0" fontId="2" fillId="0" borderId="79" xfId="0" applyFont="1" applyBorder="1" applyAlignment="1" applyProtection="1">
      <alignment horizontal="center" vertical="center"/>
      <protection hidden="1"/>
    </xf>
    <xf numFmtId="0" fontId="0" fillId="15" borderId="31" xfId="0" applyFill="1" applyBorder="1" applyAlignment="1" applyProtection="1">
      <alignment horizontal="center" vertical="center"/>
      <protection hidden="1"/>
    </xf>
    <xf numFmtId="0" fontId="0" fillId="15" borderId="30" xfId="0" applyFill="1" applyBorder="1" applyAlignment="1" applyProtection="1">
      <alignment horizontal="center" vertical="center"/>
      <protection hidden="1"/>
    </xf>
    <xf numFmtId="4" fontId="0" fillId="15" borderId="31" xfId="0" applyNumberFormat="1" applyFill="1" applyBorder="1" applyAlignment="1" applyProtection="1">
      <alignment vertical="center"/>
      <protection hidden="1"/>
    </xf>
    <xf numFmtId="4" fontId="0" fillId="15" borderId="128" xfId="0" applyNumberFormat="1" applyFill="1" applyBorder="1" applyAlignment="1" applyProtection="1">
      <alignment vertical="center"/>
      <protection hidden="1"/>
    </xf>
    <xf numFmtId="4" fontId="0" fillId="15" borderId="12" xfId="0" applyNumberFormat="1" applyFill="1" applyBorder="1" applyAlignment="1" applyProtection="1">
      <alignment vertical="center"/>
      <protection hidden="1"/>
    </xf>
    <xf numFmtId="4" fontId="0" fillId="0" borderId="16" xfId="0" applyNumberFormat="1" applyBorder="1" applyAlignment="1" applyProtection="1">
      <alignment vertical="center"/>
      <protection hidden="1"/>
    </xf>
    <xf numFmtId="4" fontId="0" fillId="0" borderId="14" xfId="0" applyNumberFormat="1" applyBorder="1" applyAlignment="1" applyProtection="1">
      <alignment vertical="center"/>
      <protection hidden="1"/>
    </xf>
    <xf numFmtId="4" fontId="0" fillId="8" borderId="64" xfId="0" applyNumberFormat="1" applyFill="1" applyBorder="1" applyAlignment="1" applyProtection="1">
      <alignment vertical="center"/>
      <protection hidden="1"/>
    </xf>
    <xf numFmtId="4" fontId="0" fillId="15" borderId="7" xfId="0" applyNumberFormat="1" applyFill="1" applyBorder="1" applyAlignment="1" applyProtection="1">
      <alignment vertical="center"/>
      <protection hidden="1"/>
    </xf>
    <xf numFmtId="4" fontId="0" fillId="15" borderId="20" xfId="0" applyNumberFormat="1" applyFill="1" applyBorder="1" applyAlignment="1" applyProtection="1">
      <alignment vertical="center"/>
      <protection hidden="1"/>
    </xf>
    <xf numFmtId="4" fontId="0" fillId="15" borderId="22" xfId="0" applyNumberFormat="1" applyFill="1" applyBorder="1" applyAlignment="1" applyProtection="1">
      <alignment vertical="center"/>
      <protection hidden="1"/>
    </xf>
    <xf numFmtId="4" fontId="2" fillId="8" borderId="27" xfId="0" applyNumberFormat="1" applyFont="1" applyFill="1" applyBorder="1" applyAlignment="1" applyProtection="1">
      <alignment vertical="center"/>
      <protection hidden="1"/>
    </xf>
    <xf numFmtId="4" fontId="0" fillId="0" borderId="96" xfId="0" applyNumberFormat="1" applyBorder="1" applyAlignment="1" applyProtection="1">
      <alignment vertical="center"/>
      <protection hidden="1"/>
    </xf>
    <xf numFmtId="4" fontId="0" fillId="0" borderId="109" xfId="0" applyNumberFormat="1" applyBorder="1" applyAlignment="1" applyProtection="1">
      <alignment vertical="center"/>
      <protection hidden="1"/>
    </xf>
    <xf numFmtId="166" fontId="0" fillId="15" borderId="31" xfId="0" applyNumberFormat="1" applyFill="1" applyBorder="1" applyAlignment="1" applyProtection="1">
      <alignment horizontal="center" vertical="center"/>
      <protection hidden="1"/>
    </xf>
    <xf numFmtId="166" fontId="0" fillId="15" borderId="30" xfId="0" applyNumberFormat="1" applyFill="1" applyBorder="1" applyAlignment="1" applyProtection="1">
      <alignment horizontal="center" vertical="center"/>
      <protection hidden="1"/>
    </xf>
    <xf numFmtId="166" fontId="0" fillId="15" borderId="23" xfId="0" applyNumberFormat="1" applyFill="1" applyBorder="1" applyAlignment="1" applyProtection="1">
      <alignment horizontal="center" vertical="center"/>
      <protection hidden="1"/>
    </xf>
    <xf numFmtId="166" fontId="0" fillId="15" borderId="16" xfId="0" applyNumberFormat="1" applyFill="1" applyBorder="1" applyAlignment="1" applyProtection="1">
      <alignment horizontal="center" vertical="center"/>
      <protection hidden="1"/>
    </xf>
    <xf numFmtId="1" fontId="0" fillId="0" borderId="20" xfId="0" applyNumberFormat="1" applyBorder="1" applyAlignment="1" applyProtection="1">
      <alignment horizontal="center" vertical="center"/>
      <protection hidden="1"/>
    </xf>
    <xf numFmtId="0" fontId="2" fillId="0" borderId="41" xfId="0" applyFont="1" applyBorder="1" applyAlignment="1" applyProtection="1">
      <alignment horizontal="center" vertical="center"/>
      <protection hidden="1"/>
    </xf>
    <xf numFmtId="0" fontId="0" fillId="15" borderId="23" xfId="0" applyFill="1" applyBorder="1" applyAlignment="1" applyProtection="1">
      <alignment horizontal="center" vertical="center"/>
      <protection hidden="1"/>
    </xf>
    <xf numFmtId="0" fontId="0" fillId="15" borderId="16" xfId="0" applyFill="1" applyBorder="1" applyAlignment="1" applyProtection="1">
      <alignment horizontal="center" vertical="center"/>
      <protection hidden="1"/>
    </xf>
    <xf numFmtId="4" fontId="0" fillId="15" borderId="23" xfId="0" applyNumberFormat="1" applyFill="1" applyBorder="1" applyAlignment="1" applyProtection="1">
      <alignment vertical="center"/>
      <protection hidden="1"/>
    </xf>
    <xf numFmtId="4" fontId="0" fillId="15" borderId="91" xfId="0" applyNumberFormat="1" applyFill="1" applyBorder="1" applyAlignment="1" applyProtection="1">
      <alignment vertical="center"/>
      <protection hidden="1"/>
    </xf>
    <xf numFmtId="4" fontId="0" fillId="15" borderId="1" xfId="0" applyNumberFormat="1" applyFill="1" applyBorder="1" applyAlignment="1" applyProtection="1">
      <alignment vertical="center"/>
      <protection hidden="1"/>
    </xf>
    <xf numFmtId="4" fontId="0" fillId="0" borderId="91" xfId="0" applyNumberFormat="1" applyBorder="1" applyAlignment="1" applyProtection="1">
      <alignment vertical="center"/>
      <protection hidden="1"/>
    </xf>
    <xf numFmtId="4" fontId="0" fillId="15" borderId="11" xfId="0" applyNumberFormat="1" applyFill="1" applyBorder="1" applyAlignment="1" applyProtection="1">
      <alignment vertical="center"/>
      <protection hidden="1"/>
    </xf>
    <xf numFmtId="4" fontId="0" fillId="15" borderId="16" xfId="0" applyNumberFormat="1" applyFill="1" applyBorder="1" applyAlignment="1" applyProtection="1">
      <alignment vertical="center"/>
      <protection hidden="1"/>
    </xf>
    <xf numFmtId="4" fontId="0" fillId="0" borderId="97" xfId="0" applyNumberFormat="1" applyBorder="1" applyAlignment="1" applyProtection="1">
      <alignment vertical="center"/>
      <protection hidden="1"/>
    </xf>
    <xf numFmtId="1" fontId="0" fillId="0" borderId="23" xfId="0" applyNumberFormat="1" applyBorder="1" applyAlignment="1" applyProtection="1">
      <alignment horizontal="center" vertical="center"/>
      <protection hidden="1"/>
    </xf>
    <xf numFmtId="0" fontId="0" fillId="15" borderId="24" xfId="0" applyFill="1" applyBorder="1" applyAlignment="1" applyProtection="1">
      <alignment horizontal="center" vertical="center"/>
      <protection hidden="1"/>
    </xf>
    <xf numFmtId="0" fontId="0" fillId="15" borderId="19" xfId="0" applyFill="1" applyBorder="1" applyAlignment="1" applyProtection="1">
      <alignment horizontal="center" vertical="center"/>
      <protection hidden="1"/>
    </xf>
    <xf numFmtId="4" fontId="0" fillId="15" borderId="24" xfId="0" applyNumberFormat="1" applyFill="1" applyBorder="1" applyAlignment="1" applyProtection="1">
      <alignment vertical="center"/>
      <protection hidden="1"/>
    </xf>
    <xf numFmtId="4" fontId="0" fillId="15" borderId="89" xfId="0" applyNumberFormat="1" applyFill="1" applyBorder="1" applyAlignment="1" applyProtection="1">
      <alignment vertical="center"/>
      <protection hidden="1"/>
    </xf>
    <xf numFmtId="4" fontId="0" fillId="15" borderId="18" xfId="0" applyNumberFormat="1" applyFill="1" applyBorder="1" applyAlignment="1" applyProtection="1">
      <alignment vertical="center"/>
      <protection hidden="1"/>
    </xf>
    <xf numFmtId="4" fontId="0" fillId="0" borderId="19" xfId="0" applyNumberFormat="1" applyBorder="1" applyAlignment="1" applyProtection="1">
      <alignment vertical="center"/>
      <protection hidden="1"/>
    </xf>
    <xf numFmtId="4" fontId="0" fillId="0" borderId="98" xfId="0" applyNumberFormat="1" applyBorder="1" applyAlignment="1" applyProtection="1">
      <alignment vertical="center"/>
      <protection hidden="1"/>
    </xf>
    <xf numFmtId="4" fontId="0" fillId="15" borderId="105" xfId="0" applyNumberFormat="1" applyFill="1" applyBorder="1" applyAlignment="1" applyProtection="1">
      <alignment vertical="center"/>
      <protection hidden="1"/>
    </xf>
    <xf numFmtId="4" fontId="0" fillId="15" borderId="19" xfId="0" applyNumberFormat="1" applyFill="1" applyBorder="1" applyAlignment="1" applyProtection="1">
      <alignment vertical="center"/>
      <protection hidden="1"/>
    </xf>
    <xf numFmtId="166" fontId="0" fillId="15" borderId="17" xfId="0" applyNumberFormat="1" applyFill="1" applyBorder="1" applyAlignment="1" applyProtection="1">
      <alignment horizontal="center" vertical="center"/>
      <protection hidden="1"/>
    </xf>
    <xf numFmtId="166" fontId="0" fillId="15" borderId="69" xfId="0" applyNumberFormat="1" applyFill="1" applyBorder="1" applyAlignment="1" applyProtection="1">
      <alignment horizontal="center" vertical="center"/>
      <protection hidden="1"/>
    </xf>
    <xf numFmtId="166" fontId="0" fillId="15" borderId="24" xfId="0" applyNumberFormat="1" applyFill="1" applyBorder="1" applyAlignment="1" applyProtection="1">
      <alignment horizontal="center" vertical="center"/>
      <protection hidden="1"/>
    </xf>
    <xf numFmtId="166" fontId="0" fillId="15" borderId="19" xfId="0" applyNumberFormat="1" applyFill="1" applyBorder="1" applyAlignment="1" applyProtection="1">
      <alignment horizontal="center" vertical="center"/>
      <protection hidden="1"/>
    </xf>
    <xf numFmtId="1" fontId="0" fillId="0" borderId="24" xfId="0" applyNumberFormat="1" applyBorder="1" applyAlignment="1" applyProtection="1">
      <alignment horizontal="center" vertical="center"/>
      <protection hidden="1"/>
    </xf>
    <xf numFmtId="0" fontId="0" fillId="6" borderId="83" xfId="0" applyFill="1" applyBorder="1" applyAlignment="1" applyProtection="1">
      <alignment vertical="center"/>
      <protection hidden="1"/>
    </xf>
    <xf numFmtId="0" fontId="0" fillId="8" borderId="85" xfId="0" applyFill="1" applyBorder="1" applyAlignment="1" applyProtection="1">
      <alignment vertical="center"/>
      <protection hidden="1"/>
    </xf>
    <xf numFmtId="0" fontId="0" fillId="8" borderId="44" xfId="0" applyFill="1" applyBorder="1" applyAlignment="1" applyProtection="1">
      <alignment vertical="center"/>
      <protection hidden="1"/>
    </xf>
    <xf numFmtId="0" fontId="0" fillId="8" borderId="83" xfId="0" applyFill="1" applyBorder="1" applyAlignment="1" applyProtection="1">
      <alignment vertical="center"/>
      <protection hidden="1"/>
    </xf>
    <xf numFmtId="0" fontId="0" fillId="6" borderId="85" xfId="0" applyFill="1" applyBorder="1" applyAlignment="1" applyProtection="1">
      <alignment vertical="center"/>
      <protection hidden="1"/>
    </xf>
    <xf numFmtId="0" fontId="0" fillId="6" borderId="55" xfId="0" applyFill="1" applyBorder="1" applyAlignment="1" applyProtection="1">
      <alignment vertical="center"/>
      <protection hidden="1"/>
    </xf>
    <xf numFmtId="0" fontId="0" fillId="6" borderId="141" xfId="0" applyFill="1" applyBorder="1" applyAlignment="1" applyProtection="1">
      <alignment vertical="center"/>
      <protection hidden="1"/>
    </xf>
    <xf numFmtId="0" fontId="15" fillId="0" borderId="0" xfId="0" applyFont="1" applyAlignment="1" applyProtection="1">
      <alignment vertical="center"/>
      <protection hidden="1"/>
    </xf>
    <xf numFmtId="0" fontId="2" fillId="14" borderId="114" xfId="0" applyFont="1" applyFill="1" applyBorder="1" applyAlignment="1" applyProtection="1">
      <alignment horizontal="center" vertical="center" wrapText="1"/>
      <protection hidden="1"/>
    </xf>
    <xf numFmtId="0" fontId="0" fillId="0" borderId="126" xfId="0" applyBorder="1" applyAlignment="1" applyProtection="1">
      <alignment vertical="center"/>
      <protection hidden="1"/>
    </xf>
    <xf numFmtId="166" fontId="0" fillId="15" borderId="20" xfId="0" applyNumberFormat="1" applyFill="1" applyBorder="1" applyAlignment="1" applyProtection="1">
      <alignment horizontal="center" vertical="center"/>
      <protection hidden="1"/>
    </xf>
    <xf numFmtId="166" fontId="0" fillId="15" borderId="22" xfId="0" applyNumberFormat="1" applyFill="1" applyBorder="1" applyAlignment="1" applyProtection="1">
      <alignment horizontal="center" vertical="center"/>
      <protection hidden="1"/>
    </xf>
    <xf numFmtId="4" fontId="2" fillId="8" borderId="64" xfId="0" applyNumberFormat="1" applyFont="1" applyFill="1" applyBorder="1" applyAlignment="1" applyProtection="1">
      <alignment vertical="center"/>
      <protection hidden="1"/>
    </xf>
    <xf numFmtId="4" fontId="0" fillId="0" borderId="22" xfId="0" applyNumberFormat="1" applyBorder="1" applyAlignment="1" applyProtection="1">
      <alignment vertical="center"/>
      <protection hidden="1"/>
    </xf>
    <xf numFmtId="4" fontId="0" fillId="15" borderId="14" xfId="0" applyNumberFormat="1" applyFill="1" applyBorder="1" applyAlignment="1" applyProtection="1">
      <alignment vertical="center"/>
      <protection hidden="1"/>
    </xf>
    <xf numFmtId="0" fontId="0" fillId="0" borderId="127" xfId="0" applyBorder="1" applyAlignment="1" applyProtection="1">
      <alignment vertical="center"/>
      <protection hidden="1"/>
    </xf>
    <xf numFmtId="4" fontId="0" fillId="15" borderId="30" xfId="0" applyNumberFormat="1" applyFill="1" applyBorder="1" applyAlignment="1" applyProtection="1">
      <alignment vertical="center"/>
      <protection hidden="1"/>
    </xf>
    <xf numFmtId="4" fontId="0" fillId="15" borderId="15" xfId="0" applyNumberFormat="1" applyFill="1" applyBorder="1" applyAlignment="1" applyProtection="1">
      <alignment vertical="center"/>
      <protection hidden="1"/>
    </xf>
    <xf numFmtId="4" fontId="0" fillId="15" borderId="4" xfId="0" applyNumberFormat="1" applyFill="1" applyBorder="1" applyAlignment="1" applyProtection="1">
      <alignment vertical="center"/>
      <protection hidden="1"/>
    </xf>
    <xf numFmtId="4" fontId="0" fillId="15" borderId="33" xfId="0" applyNumberFormat="1" applyFill="1" applyBorder="1" applyAlignment="1" applyProtection="1">
      <alignment vertical="center"/>
      <protection hidden="1"/>
    </xf>
    <xf numFmtId="0" fontId="0" fillId="0" borderId="125" xfId="0" applyBorder="1" applyAlignment="1" applyProtection="1">
      <alignment vertical="center"/>
      <protection hidden="1"/>
    </xf>
    <xf numFmtId="4" fontId="0" fillId="15" borderId="17" xfId="0" applyNumberFormat="1" applyFill="1" applyBorder="1" applyAlignment="1" applyProtection="1">
      <alignment vertical="center"/>
      <protection hidden="1"/>
    </xf>
    <xf numFmtId="4" fontId="0" fillId="15" borderId="69" xfId="0" applyNumberFormat="1" applyFill="1" applyBorder="1" applyAlignment="1" applyProtection="1">
      <alignment vertical="center"/>
      <protection hidden="1"/>
    </xf>
    <xf numFmtId="4" fontId="0" fillId="0" borderId="94" xfId="0" applyNumberFormat="1" applyBorder="1" applyAlignment="1" applyProtection="1">
      <alignment vertical="center"/>
      <protection hidden="1"/>
    </xf>
    <xf numFmtId="0" fontId="0" fillId="6" borderId="84" xfId="0" applyFill="1" applyBorder="1" applyAlignment="1" applyProtection="1">
      <alignment vertical="center"/>
      <protection hidden="1"/>
    </xf>
    <xf numFmtId="0" fontId="0" fillId="8" borderId="55" xfId="0" applyFill="1" applyBorder="1" applyAlignment="1" applyProtection="1">
      <alignment vertical="center"/>
      <protection hidden="1"/>
    </xf>
    <xf numFmtId="0" fontId="0" fillId="6" borderId="138" xfId="0" applyFill="1" applyBorder="1" applyAlignment="1" applyProtection="1">
      <alignment vertical="center"/>
      <protection hidden="1"/>
    </xf>
    <xf numFmtId="0" fontId="2" fillId="6" borderId="64" xfId="0" applyFont="1" applyFill="1" applyBorder="1" applyAlignment="1" applyProtection="1">
      <alignment horizontal="center" vertical="center" wrapText="1"/>
      <protection hidden="1"/>
    </xf>
    <xf numFmtId="0" fontId="2" fillId="15" borderId="17" xfId="0" applyFont="1" applyFill="1" applyBorder="1" applyAlignment="1" applyProtection="1">
      <alignment horizontal="center" vertical="center" wrapText="1"/>
      <protection hidden="1"/>
    </xf>
    <xf numFmtId="0" fontId="2" fillId="14" borderId="113" xfId="0" applyFont="1" applyFill="1" applyBorder="1" applyAlignment="1" applyProtection="1">
      <alignment horizontal="center" vertical="center" wrapText="1"/>
      <protection hidden="1"/>
    </xf>
    <xf numFmtId="0" fontId="2" fillId="15" borderId="69" xfId="0" applyFont="1" applyFill="1" applyBorder="1" applyAlignment="1" applyProtection="1">
      <alignment horizontal="center" vertical="center" wrapText="1"/>
      <protection hidden="1"/>
    </xf>
    <xf numFmtId="0" fontId="2" fillId="14" borderId="36" xfId="0" applyFont="1" applyFill="1" applyBorder="1" applyAlignment="1" applyProtection="1">
      <alignment horizontal="center" vertical="center" wrapText="1"/>
      <protection hidden="1"/>
    </xf>
    <xf numFmtId="4" fontId="0" fillId="0" borderId="96" xfId="0" applyNumberFormat="1" applyBorder="1" applyAlignment="1" applyProtection="1">
      <alignment horizontal="center" vertical="center"/>
      <protection hidden="1"/>
    </xf>
    <xf numFmtId="4" fontId="0" fillId="0" borderId="97" xfId="0" applyNumberFormat="1" applyBorder="1" applyAlignment="1" applyProtection="1">
      <alignment horizontal="center" vertical="center"/>
      <protection hidden="1"/>
    </xf>
    <xf numFmtId="1" fontId="0" fillId="0" borderId="23" xfId="0" applyNumberFormat="1" applyBorder="1" applyAlignment="1" applyProtection="1">
      <alignment horizontal="center" vertical="center" wrapText="1"/>
      <protection hidden="1"/>
    </xf>
    <xf numFmtId="0" fontId="2" fillId="0" borderId="125" xfId="0" applyFont="1" applyBorder="1" applyAlignment="1" applyProtection="1">
      <alignment horizontal="center" vertical="center"/>
      <protection hidden="1"/>
    </xf>
    <xf numFmtId="4" fontId="0" fillId="15" borderId="24" xfId="0" applyNumberFormat="1" applyFill="1" applyBorder="1" applyAlignment="1" applyProtection="1">
      <alignment horizontal="right" vertical="center"/>
      <protection hidden="1"/>
    </xf>
    <xf numFmtId="4" fontId="0" fillId="15" borderId="19" xfId="0" applyNumberFormat="1" applyFill="1" applyBorder="1" applyAlignment="1" applyProtection="1">
      <alignment horizontal="right" vertical="center"/>
      <protection hidden="1"/>
    </xf>
    <xf numFmtId="4" fontId="0" fillId="0" borderId="98" xfId="0" applyNumberFormat="1" applyBorder="1" applyAlignment="1" applyProtection="1">
      <alignment horizontal="center" vertical="center"/>
      <protection hidden="1"/>
    </xf>
    <xf numFmtId="1" fontId="0" fillId="0" borderId="24" xfId="0" applyNumberFormat="1" applyBorder="1" applyAlignment="1" applyProtection="1">
      <alignment horizontal="center" vertical="center" wrapText="1"/>
      <protection hidden="1"/>
    </xf>
    <xf numFmtId="0" fontId="0" fillId="9" borderId="55" xfId="0" applyFill="1" applyBorder="1" applyAlignment="1" applyProtection="1">
      <alignment vertical="center"/>
      <protection hidden="1"/>
    </xf>
    <xf numFmtId="0" fontId="0" fillId="9" borderId="44" xfId="0" applyFill="1" applyBorder="1" applyAlignment="1" applyProtection="1">
      <alignment vertical="center"/>
      <protection hidden="1"/>
    </xf>
    <xf numFmtId="0" fontId="0" fillId="9" borderId="45" xfId="0" applyFill="1" applyBorder="1" applyAlignment="1" applyProtection="1">
      <alignment vertical="center"/>
      <protection hidden="1"/>
    </xf>
    <xf numFmtId="0" fontId="4" fillId="0" borderId="1" xfId="0" applyFont="1" applyBorder="1" applyAlignment="1" applyProtection="1">
      <alignment horizontal="center" vertical="center"/>
      <protection hidden="1"/>
    </xf>
    <xf numFmtId="0" fontId="29" fillId="0" borderId="0" xfId="0" applyFont="1" applyAlignment="1" applyProtection="1">
      <alignment horizontal="left" vertical="center" wrapText="1" indent="1"/>
      <protection hidden="1"/>
    </xf>
    <xf numFmtId="0" fontId="29" fillId="0" borderId="0" xfId="0" applyFont="1" applyAlignment="1" applyProtection="1">
      <alignment vertical="center"/>
      <protection locked="0" hidden="1"/>
    </xf>
    <xf numFmtId="17" fontId="0" fillId="4" borderId="1" xfId="0" applyNumberFormat="1" applyFill="1" applyBorder="1" applyAlignment="1" applyProtection="1">
      <alignment horizontal="center" vertical="center"/>
      <protection locked="0"/>
    </xf>
    <xf numFmtId="0" fontId="0" fillId="4" borderId="1" xfId="0" applyFill="1" applyBorder="1" applyAlignment="1" applyProtection="1">
      <alignment horizontal="center" vertical="center"/>
      <protection locked="0"/>
    </xf>
    <xf numFmtId="0" fontId="0" fillId="0" borderId="1" xfId="0" applyBorder="1" applyProtection="1">
      <protection locked="0"/>
    </xf>
    <xf numFmtId="0" fontId="4" fillId="0" borderId="0" xfId="0" applyFont="1" applyProtection="1">
      <protection hidden="1"/>
    </xf>
    <xf numFmtId="0" fontId="4" fillId="0" borderId="0" xfId="0" applyFont="1" applyAlignment="1" applyProtection="1">
      <alignment horizontal="center"/>
      <protection hidden="1"/>
    </xf>
    <xf numFmtId="0" fontId="4" fillId="0" borderId="0" xfId="0" applyFont="1" applyAlignment="1" applyProtection="1">
      <alignment vertical="center"/>
      <protection hidden="1"/>
    </xf>
    <xf numFmtId="0" fontId="4" fillId="0" borderId="0" xfId="0" applyFont="1" applyAlignment="1" applyProtection="1">
      <alignment horizontal="center" vertical="center"/>
      <protection hidden="1"/>
    </xf>
    <xf numFmtId="0" fontId="7" fillId="0" borderId="0" xfId="0" applyFont="1" applyAlignment="1" applyProtection="1">
      <alignment horizontal="left" vertical="center"/>
      <protection hidden="1"/>
    </xf>
    <xf numFmtId="0" fontId="4" fillId="4" borderId="0" xfId="0" applyFont="1" applyFill="1" applyProtection="1">
      <protection hidden="1"/>
    </xf>
    <xf numFmtId="0" fontId="4" fillId="0" borderId="1" xfId="0" applyFont="1" applyBorder="1" applyAlignment="1" applyProtection="1">
      <alignment horizontal="center"/>
      <protection hidden="1"/>
    </xf>
    <xf numFmtId="0" fontId="30" fillId="14" borderId="1" xfId="0" applyFont="1" applyFill="1" applyBorder="1" applyAlignment="1" applyProtection="1">
      <alignment horizontal="center" vertical="center"/>
      <protection hidden="1"/>
    </xf>
    <xf numFmtId="0" fontId="29" fillId="0" borderId="1" xfId="0" applyFont="1" applyBorder="1" applyAlignment="1" applyProtection="1">
      <alignment vertical="center"/>
      <protection hidden="1"/>
    </xf>
    <xf numFmtId="0" fontId="29" fillId="4" borderId="1" xfId="0" applyFont="1" applyFill="1" applyBorder="1" applyAlignment="1" applyProtection="1">
      <alignment horizontal="center" vertical="center"/>
      <protection hidden="1"/>
    </xf>
    <xf numFmtId="0" fontId="32" fillId="14" borderId="102" xfId="0" applyFont="1" applyFill="1" applyBorder="1" applyAlignment="1" applyProtection="1">
      <alignment horizontal="center" vertical="center"/>
      <protection hidden="1"/>
    </xf>
    <xf numFmtId="0" fontId="29" fillId="0" borderId="102" xfId="0" applyFont="1" applyBorder="1" applyAlignment="1" applyProtection="1">
      <alignment horizontal="center" vertical="center"/>
      <protection hidden="1"/>
    </xf>
    <xf numFmtId="17" fontId="4" fillId="11" borderId="33" xfId="0" applyNumberFormat="1" applyFont="1" applyFill="1" applyBorder="1" applyAlignment="1" applyProtection="1">
      <alignment horizontal="center"/>
      <protection hidden="1"/>
    </xf>
    <xf numFmtId="17" fontId="4" fillId="0" borderId="33" xfId="0" applyNumberFormat="1" applyFont="1" applyBorder="1" applyAlignment="1" applyProtection="1">
      <alignment horizontal="center"/>
      <protection hidden="1"/>
    </xf>
    <xf numFmtId="0" fontId="4" fillId="0" borderId="33" xfId="0" applyFont="1" applyBorder="1" applyAlignment="1" applyProtection="1">
      <alignment horizontal="center"/>
      <protection hidden="1"/>
    </xf>
    <xf numFmtId="0" fontId="29" fillId="0" borderId="1" xfId="0" applyFont="1" applyBorder="1" applyAlignment="1" applyProtection="1">
      <alignment horizontal="center" vertical="center"/>
      <protection hidden="1"/>
    </xf>
    <xf numFmtId="0" fontId="31" fillId="0" borderId="0" xfId="0" applyFont="1" applyAlignment="1" applyProtection="1">
      <alignment horizontal="right" vertical="center"/>
      <protection hidden="1"/>
    </xf>
    <xf numFmtId="0" fontId="32" fillId="14" borderId="96" xfId="0" applyFont="1" applyFill="1" applyBorder="1" applyAlignment="1" applyProtection="1">
      <alignment horizontal="center" vertical="center"/>
      <protection hidden="1"/>
    </xf>
    <xf numFmtId="0" fontId="29" fillId="0" borderId="96" xfId="0" applyFont="1" applyBorder="1" applyAlignment="1" applyProtection="1">
      <alignment horizontal="center" vertical="center"/>
      <protection hidden="1"/>
    </xf>
    <xf numFmtId="0" fontId="4" fillId="11" borderId="103" xfId="0" applyFont="1" applyFill="1" applyBorder="1" applyProtection="1">
      <protection hidden="1"/>
    </xf>
    <xf numFmtId="17" fontId="4" fillId="0" borderId="34" xfId="0" applyNumberFormat="1" applyFont="1" applyBorder="1" applyAlignment="1" applyProtection="1">
      <alignment horizontal="center"/>
      <protection hidden="1"/>
    </xf>
    <xf numFmtId="0" fontId="6" fillId="14" borderId="1" xfId="0" applyFont="1" applyFill="1" applyBorder="1" applyAlignment="1" applyProtection="1">
      <alignment horizontal="center" vertical="center"/>
      <protection hidden="1"/>
    </xf>
    <xf numFmtId="0" fontId="6" fillId="9" borderId="1" xfId="0" applyFont="1" applyFill="1" applyBorder="1" applyAlignment="1" applyProtection="1">
      <alignment horizontal="center" vertical="center"/>
      <protection hidden="1"/>
    </xf>
    <xf numFmtId="0" fontId="4" fillId="0" borderId="1" xfId="0" applyFont="1" applyBorder="1" applyProtection="1">
      <protection hidden="1"/>
    </xf>
    <xf numFmtId="0" fontId="4" fillId="0" borderId="34" xfId="0" applyFont="1" applyBorder="1" applyAlignment="1" applyProtection="1">
      <alignment horizontal="center"/>
      <protection hidden="1"/>
    </xf>
    <xf numFmtId="164" fontId="29" fillId="4" borderId="1" xfId="0" applyNumberFormat="1" applyFont="1" applyFill="1" applyBorder="1" applyAlignment="1" applyProtection="1">
      <alignment horizontal="center" vertical="center"/>
      <protection hidden="1"/>
    </xf>
    <xf numFmtId="0" fontId="29" fillId="4" borderId="11" xfId="0" applyFont="1" applyFill="1" applyBorder="1" applyAlignment="1" applyProtection="1">
      <alignment vertical="center"/>
      <protection hidden="1"/>
    </xf>
    <xf numFmtId="0" fontId="29" fillId="4" borderId="1" xfId="0" applyFont="1" applyFill="1" applyBorder="1" applyAlignment="1" applyProtection="1">
      <alignment horizontal="left" vertical="center"/>
      <protection hidden="1"/>
    </xf>
    <xf numFmtId="0" fontId="32" fillId="14" borderId="98" xfId="0" applyFont="1" applyFill="1" applyBorder="1" applyAlignment="1" applyProtection="1">
      <alignment horizontal="center" vertical="center"/>
      <protection hidden="1"/>
    </xf>
    <xf numFmtId="0" fontId="29" fillId="0" borderId="98" xfId="0" applyFont="1" applyBorder="1" applyAlignment="1" applyProtection="1">
      <alignment horizontal="center" vertical="center"/>
      <protection hidden="1"/>
    </xf>
    <xf numFmtId="0" fontId="4" fillId="0" borderId="103" xfId="0" applyFont="1" applyBorder="1" applyProtection="1">
      <protection hidden="1"/>
    </xf>
    <xf numFmtId="0" fontId="4" fillId="0" borderId="1" xfId="0" applyFont="1" applyBorder="1" applyAlignment="1" applyProtection="1">
      <alignment vertical="center"/>
      <protection hidden="1"/>
    </xf>
    <xf numFmtId="14" fontId="4" fillId="0" borderId="1" xfId="0" applyNumberFormat="1" applyFont="1" applyBorder="1" applyAlignment="1" applyProtection="1">
      <alignment vertical="center"/>
      <protection hidden="1"/>
    </xf>
    <xf numFmtId="0" fontId="4" fillId="0" borderId="20" xfId="0" applyFont="1" applyBorder="1" applyAlignment="1" applyProtection="1">
      <alignment vertical="center"/>
      <protection hidden="1"/>
    </xf>
    <xf numFmtId="0" fontId="4" fillId="0" borderId="21" xfId="0" applyFont="1" applyBorder="1" applyAlignment="1" applyProtection="1">
      <alignment vertical="center"/>
      <protection hidden="1"/>
    </xf>
    <xf numFmtId="0" fontId="4" fillId="0" borderId="22" xfId="0" applyFont="1" applyBorder="1" applyAlignment="1" applyProtection="1">
      <alignment vertical="center"/>
      <protection hidden="1"/>
    </xf>
    <xf numFmtId="0" fontId="4" fillId="0" borderId="109" xfId="0" applyFont="1" applyBorder="1" applyAlignment="1" applyProtection="1">
      <alignment vertical="center"/>
      <protection hidden="1"/>
    </xf>
    <xf numFmtId="0" fontId="4" fillId="0" borderId="128" xfId="0" applyFont="1" applyBorder="1" applyAlignment="1" applyProtection="1">
      <alignment vertical="center"/>
      <protection hidden="1"/>
    </xf>
    <xf numFmtId="166" fontId="4" fillId="0" borderId="1" xfId="0" quotePrefix="1" applyNumberFormat="1" applyFont="1" applyBorder="1" applyAlignment="1" applyProtection="1">
      <alignment horizontal="center" vertical="center"/>
      <protection hidden="1"/>
    </xf>
    <xf numFmtId="14" fontId="29" fillId="4" borderId="1" xfId="0" applyNumberFormat="1" applyFont="1" applyFill="1" applyBorder="1" applyAlignment="1" applyProtection="1">
      <alignment vertical="center"/>
      <protection hidden="1"/>
    </xf>
    <xf numFmtId="0" fontId="29" fillId="0" borderId="109" xfId="0" applyFont="1" applyBorder="1" applyAlignment="1" applyProtection="1">
      <alignment horizontal="center" vertical="center"/>
      <protection hidden="1"/>
    </xf>
    <xf numFmtId="0" fontId="4" fillId="0" borderId="31" xfId="0" applyFont="1" applyBorder="1" applyAlignment="1" applyProtection="1">
      <alignment vertical="center"/>
      <protection hidden="1"/>
    </xf>
    <xf numFmtId="0" fontId="4" fillId="0" borderId="12" xfId="0" applyFont="1" applyBorder="1" applyAlignment="1" applyProtection="1">
      <alignment vertical="center"/>
      <protection hidden="1"/>
    </xf>
    <xf numFmtId="0" fontId="4" fillId="0" borderId="30" xfId="0" applyFont="1" applyBorder="1" applyAlignment="1" applyProtection="1">
      <alignment vertical="center"/>
      <protection hidden="1"/>
    </xf>
    <xf numFmtId="0" fontId="4" fillId="0" borderId="97" xfId="0" applyFont="1" applyBorder="1" applyAlignment="1" applyProtection="1">
      <alignment vertical="center"/>
      <protection hidden="1"/>
    </xf>
    <xf numFmtId="0" fontId="4" fillId="0" borderId="23" xfId="0" applyFont="1" applyBorder="1" applyAlignment="1" applyProtection="1">
      <alignment vertical="center"/>
      <protection hidden="1"/>
    </xf>
    <xf numFmtId="0" fontId="4" fillId="0" borderId="16" xfId="0" applyFont="1" applyBorder="1" applyAlignment="1" applyProtection="1">
      <alignment vertical="center"/>
      <protection hidden="1"/>
    </xf>
    <xf numFmtId="0" fontId="4" fillId="0" borderId="91" xfId="0" applyFont="1" applyBorder="1" applyAlignment="1" applyProtection="1">
      <alignment vertical="center"/>
      <protection hidden="1"/>
    </xf>
    <xf numFmtId="0" fontId="30" fillId="0" borderId="0" xfId="0" applyFont="1" applyAlignment="1" applyProtection="1">
      <alignment horizontal="left" vertical="center"/>
      <protection hidden="1"/>
    </xf>
    <xf numFmtId="0" fontId="29" fillId="0" borderId="97" xfId="0" applyFont="1" applyBorder="1" applyAlignment="1" applyProtection="1">
      <alignment horizontal="center" vertical="center"/>
      <protection hidden="1"/>
    </xf>
    <xf numFmtId="0" fontId="4" fillId="0" borderId="12" xfId="0" applyFont="1" applyBorder="1" applyAlignment="1" applyProtection="1">
      <alignment horizontal="center"/>
      <protection hidden="1"/>
    </xf>
    <xf numFmtId="0" fontId="29" fillId="3" borderId="1" xfId="0" applyFont="1" applyFill="1" applyBorder="1" applyAlignment="1" applyProtection="1">
      <alignment horizontal="center" vertical="center"/>
      <protection hidden="1"/>
    </xf>
    <xf numFmtId="0" fontId="29" fillId="0" borderId="0" xfId="0" applyFont="1" applyAlignment="1" applyProtection="1">
      <alignment horizontal="left" vertical="center"/>
      <protection hidden="1"/>
    </xf>
    <xf numFmtId="166" fontId="29" fillId="0" borderId="1" xfId="0" applyNumberFormat="1" applyFont="1" applyBorder="1" applyAlignment="1" applyProtection="1">
      <alignment vertical="center"/>
      <protection hidden="1"/>
    </xf>
    <xf numFmtId="0" fontId="4" fillId="0" borderId="17" xfId="0" applyFont="1" applyBorder="1" applyAlignment="1" applyProtection="1">
      <alignment vertical="center"/>
      <protection hidden="1"/>
    </xf>
    <xf numFmtId="0" fontId="4" fillId="0" borderId="36" xfId="0" applyFont="1" applyBorder="1" applyAlignment="1" applyProtection="1">
      <alignment vertical="center"/>
      <protection hidden="1"/>
    </xf>
    <xf numFmtId="0" fontId="4" fillId="0" borderId="69" xfId="0" applyFont="1" applyBorder="1" applyAlignment="1" applyProtection="1">
      <alignment vertical="center"/>
      <protection hidden="1"/>
    </xf>
    <xf numFmtId="0" fontId="4" fillId="0" borderId="98" xfId="0" applyFont="1" applyBorder="1" applyAlignment="1" applyProtection="1">
      <alignment vertical="center"/>
      <protection hidden="1"/>
    </xf>
    <xf numFmtId="0" fontId="4" fillId="0" borderId="24" xfId="0" applyFont="1" applyBorder="1" applyAlignment="1" applyProtection="1">
      <alignment vertical="center"/>
      <protection hidden="1"/>
    </xf>
    <xf numFmtId="0" fontId="4" fillId="0" borderId="18" xfId="0" applyFont="1" applyBorder="1" applyAlignment="1" applyProtection="1">
      <alignment vertical="center"/>
      <protection hidden="1"/>
    </xf>
    <xf numFmtId="0" fontId="4" fillId="0" borderId="19" xfId="0" applyFont="1" applyBorder="1" applyAlignment="1" applyProtection="1">
      <alignment vertical="center"/>
      <protection hidden="1"/>
    </xf>
    <xf numFmtId="0" fontId="4" fillId="0" borderId="89" xfId="0" applyFont="1" applyBorder="1" applyAlignment="1" applyProtection="1">
      <alignment vertical="center"/>
      <protection hidden="1"/>
    </xf>
    <xf numFmtId="14" fontId="4" fillId="0" borderId="0" xfId="0" applyNumberFormat="1" applyFont="1" applyAlignment="1" applyProtection="1">
      <alignment vertical="center"/>
      <protection hidden="1"/>
    </xf>
    <xf numFmtId="0" fontId="6" fillId="14" borderId="108" xfId="0" applyFont="1" applyFill="1" applyBorder="1" applyAlignment="1" applyProtection="1">
      <alignment horizontal="center" vertical="center"/>
      <protection hidden="1"/>
    </xf>
    <xf numFmtId="0" fontId="6" fillId="9" borderId="108" xfId="0" applyFont="1" applyFill="1" applyBorder="1" applyAlignment="1" applyProtection="1">
      <alignment horizontal="center" vertical="center"/>
      <protection hidden="1"/>
    </xf>
    <xf numFmtId="166" fontId="4" fillId="11" borderId="1" xfId="0" quotePrefix="1" applyNumberFormat="1" applyFont="1" applyFill="1" applyBorder="1" applyAlignment="1" applyProtection="1">
      <alignment horizontal="center" vertical="center"/>
      <protection hidden="1"/>
    </xf>
    <xf numFmtId="0" fontId="2" fillId="2" borderId="94" xfId="0" applyFont="1" applyFill="1" applyBorder="1" applyAlignment="1" applyProtection="1">
      <alignment horizontal="center" vertical="center"/>
      <protection hidden="1"/>
    </xf>
    <xf numFmtId="0" fontId="6" fillId="14" borderId="94" xfId="0" applyFont="1" applyFill="1" applyBorder="1" applyAlignment="1" applyProtection="1">
      <alignment horizontal="center" vertical="center"/>
      <protection hidden="1"/>
    </xf>
    <xf numFmtId="0" fontId="6" fillId="9" borderId="94" xfId="0" applyFont="1" applyFill="1" applyBorder="1" applyAlignment="1" applyProtection="1">
      <alignment horizontal="center" vertical="center"/>
      <protection hidden="1"/>
    </xf>
    <xf numFmtId="0" fontId="6" fillId="14" borderId="86" xfId="0" applyFont="1" applyFill="1" applyBorder="1" applyAlignment="1" applyProtection="1">
      <alignment horizontal="center" vertical="center"/>
      <protection hidden="1"/>
    </xf>
    <xf numFmtId="0" fontId="6" fillId="2" borderId="99" xfId="0" applyFont="1" applyFill="1" applyBorder="1" applyAlignment="1" applyProtection="1">
      <alignment horizontal="center" vertical="center"/>
      <protection hidden="1"/>
    </xf>
    <xf numFmtId="0" fontId="6" fillId="2" borderId="100" xfId="0" applyFont="1" applyFill="1" applyBorder="1" applyAlignment="1" applyProtection="1">
      <alignment horizontal="center" vertical="center"/>
      <protection hidden="1"/>
    </xf>
    <xf numFmtId="0" fontId="6" fillId="2" borderId="101" xfId="0" applyFont="1" applyFill="1" applyBorder="1" applyAlignment="1" applyProtection="1">
      <alignment horizontal="center" vertical="center"/>
      <protection hidden="1"/>
    </xf>
    <xf numFmtId="0" fontId="6" fillId="9" borderId="86" xfId="0" applyFont="1" applyFill="1" applyBorder="1" applyAlignment="1" applyProtection="1">
      <alignment horizontal="center" vertical="center"/>
      <protection hidden="1"/>
    </xf>
    <xf numFmtId="0" fontId="6" fillId="14" borderId="102" xfId="0" applyFont="1" applyFill="1" applyBorder="1" applyAlignment="1" applyProtection="1">
      <alignment horizontal="center"/>
      <protection hidden="1"/>
    </xf>
    <xf numFmtId="0" fontId="4" fillId="2" borderId="96" xfId="0" applyFont="1" applyFill="1" applyBorder="1" applyAlignment="1" applyProtection="1">
      <alignment vertical="center"/>
      <protection hidden="1"/>
    </xf>
    <xf numFmtId="4" fontId="4" fillId="0" borderId="32" xfId="0" applyNumberFormat="1" applyFont="1" applyBorder="1" applyAlignment="1" applyProtection="1">
      <alignment vertical="center"/>
      <protection hidden="1"/>
    </xf>
    <xf numFmtId="4" fontId="4" fillId="0" borderId="21" xfId="0" quotePrefix="1" applyNumberFormat="1" applyFont="1" applyBorder="1" applyAlignment="1" applyProtection="1">
      <alignment vertical="center"/>
      <protection hidden="1"/>
    </xf>
    <xf numFmtId="4" fontId="4" fillId="0" borderId="22" xfId="0" applyNumberFormat="1" applyFont="1" applyBorder="1" applyAlignment="1" applyProtection="1">
      <alignment vertical="center"/>
      <protection hidden="1"/>
    </xf>
    <xf numFmtId="4" fontId="4" fillId="0" borderId="20" xfId="0" quotePrefix="1" applyNumberFormat="1" applyFont="1" applyBorder="1" applyAlignment="1" applyProtection="1">
      <alignment vertical="center"/>
      <protection hidden="1"/>
    </xf>
    <xf numFmtId="166" fontId="4" fillId="0" borderId="21" xfId="0" quotePrefix="1" applyNumberFormat="1" applyFont="1" applyBorder="1" applyAlignment="1" applyProtection="1">
      <alignment vertical="center"/>
      <protection hidden="1"/>
    </xf>
    <xf numFmtId="166" fontId="4" fillId="0" borderId="22" xfId="0" quotePrefix="1" applyNumberFormat="1" applyFont="1" applyBorder="1" applyAlignment="1" applyProtection="1">
      <alignment vertical="center"/>
      <protection hidden="1"/>
    </xf>
    <xf numFmtId="4" fontId="4" fillId="0" borderId="20" xfId="0" applyNumberFormat="1" applyFont="1" applyBorder="1" applyAlignment="1" applyProtection="1">
      <alignment vertical="center"/>
      <protection hidden="1"/>
    </xf>
    <xf numFmtId="166" fontId="4" fillId="0" borderId="20" xfId="0" applyNumberFormat="1" applyFont="1" applyBorder="1" applyAlignment="1" applyProtection="1">
      <alignment horizontal="center" vertical="center"/>
      <protection hidden="1"/>
    </xf>
    <xf numFmtId="166" fontId="4" fillId="0" borderId="21" xfId="0" applyNumberFormat="1" applyFont="1" applyBorder="1" applyAlignment="1" applyProtection="1">
      <alignment horizontal="center" vertical="center"/>
      <protection hidden="1"/>
    </xf>
    <xf numFmtId="0" fontId="4" fillId="0" borderId="22" xfId="0" applyFont="1" applyBorder="1" applyAlignment="1" applyProtection="1">
      <alignment horizontal="center" vertical="center"/>
      <protection hidden="1"/>
    </xf>
    <xf numFmtId="0" fontId="4" fillId="0" borderId="96" xfId="0" applyFont="1" applyBorder="1" applyAlignment="1" applyProtection="1">
      <alignment horizontal="center" vertical="center"/>
      <protection hidden="1"/>
    </xf>
    <xf numFmtId="0" fontId="4" fillId="0" borderId="14" xfId="0" applyFont="1" applyBorder="1" applyAlignment="1" applyProtection="1">
      <alignment vertical="center"/>
      <protection hidden="1"/>
    </xf>
    <xf numFmtId="0" fontId="4" fillId="0" borderId="96" xfId="0" applyFont="1" applyBorder="1" applyAlignment="1" applyProtection="1">
      <alignment vertical="center"/>
      <protection hidden="1"/>
    </xf>
    <xf numFmtId="0" fontId="6" fillId="9" borderId="102" xfId="0" applyFont="1" applyFill="1" applyBorder="1" applyAlignment="1" applyProtection="1">
      <alignment horizontal="center"/>
      <protection hidden="1"/>
    </xf>
    <xf numFmtId="0" fontId="4" fillId="0" borderId="20" xfId="0" applyFont="1" applyBorder="1" applyAlignment="1" applyProtection="1">
      <alignment horizontal="left" vertical="center"/>
      <protection hidden="1"/>
    </xf>
    <xf numFmtId="0" fontId="4" fillId="0" borderId="21" xfId="0" applyFont="1" applyBorder="1" applyAlignment="1" applyProtection="1">
      <alignment horizontal="center" vertical="center"/>
      <protection hidden="1"/>
    </xf>
    <xf numFmtId="4" fontId="4" fillId="0" borderId="21" xfId="0" applyNumberFormat="1" applyFont="1" applyBorder="1" applyAlignment="1" applyProtection="1">
      <alignment vertical="center"/>
      <protection hidden="1"/>
    </xf>
    <xf numFmtId="166" fontId="4" fillId="0" borderId="12" xfId="0" quotePrefix="1" applyNumberFormat="1" applyFont="1" applyBorder="1" applyAlignment="1" applyProtection="1">
      <alignment vertical="center"/>
      <protection hidden="1"/>
    </xf>
    <xf numFmtId="4" fontId="4" fillId="0" borderId="12" xfId="0" applyNumberFormat="1" applyFont="1" applyBorder="1" applyAlignment="1" applyProtection="1">
      <alignment vertical="center"/>
      <protection hidden="1"/>
    </xf>
    <xf numFmtId="0" fontId="4" fillId="2" borderId="97" xfId="0" applyFont="1" applyFill="1" applyBorder="1" applyAlignment="1" applyProtection="1">
      <alignment vertical="center"/>
      <protection hidden="1"/>
    </xf>
    <xf numFmtId="4" fontId="4" fillId="0" borderId="11" xfId="0" applyNumberFormat="1" applyFont="1" applyBorder="1" applyAlignment="1" applyProtection="1">
      <alignment vertical="center"/>
      <protection hidden="1"/>
    </xf>
    <xf numFmtId="4" fontId="4" fillId="0" borderId="1" xfId="0" quotePrefix="1" applyNumberFormat="1" applyFont="1" applyBorder="1" applyAlignment="1" applyProtection="1">
      <alignment vertical="center"/>
      <protection hidden="1"/>
    </xf>
    <xf numFmtId="4" fontId="4" fillId="0" borderId="16" xfId="0" applyNumberFormat="1" applyFont="1" applyBorder="1" applyAlignment="1" applyProtection="1">
      <alignment vertical="center"/>
      <protection hidden="1"/>
    </xf>
    <xf numFmtId="4" fontId="4" fillId="0" borderId="23" xfId="0" quotePrefix="1" applyNumberFormat="1" applyFont="1" applyBorder="1" applyAlignment="1" applyProtection="1">
      <alignment vertical="center"/>
      <protection hidden="1"/>
    </xf>
    <xf numFmtId="166" fontId="4" fillId="0" borderId="1" xfId="0" quotePrefix="1" applyNumberFormat="1" applyFont="1" applyBorder="1" applyAlignment="1" applyProtection="1">
      <alignment vertical="center"/>
      <protection hidden="1"/>
    </xf>
    <xf numFmtId="166" fontId="4" fillId="0" borderId="16" xfId="0" quotePrefix="1" applyNumberFormat="1" applyFont="1" applyBorder="1" applyAlignment="1" applyProtection="1">
      <alignment vertical="center"/>
      <protection hidden="1"/>
    </xf>
    <xf numFmtId="4" fontId="4" fillId="0" borderId="23" xfId="0" applyNumberFormat="1" applyFont="1" applyBorder="1" applyAlignment="1" applyProtection="1">
      <alignment vertical="center"/>
      <protection hidden="1"/>
    </xf>
    <xf numFmtId="166" fontId="4" fillId="0" borderId="23" xfId="0" applyNumberFormat="1" applyFont="1" applyBorder="1" applyAlignment="1" applyProtection="1">
      <alignment horizontal="center" vertical="center"/>
      <protection hidden="1"/>
    </xf>
    <xf numFmtId="166" fontId="4" fillId="0" borderId="1" xfId="0" applyNumberFormat="1" applyFont="1" applyBorder="1" applyAlignment="1" applyProtection="1">
      <alignment horizontal="center" vertical="center"/>
      <protection hidden="1"/>
    </xf>
    <xf numFmtId="0" fontId="4" fillId="0" borderId="16" xfId="0" applyFont="1" applyBorder="1" applyAlignment="1" applyProtection="1">
      <alignment horizontal="center" vertical="center"/>
      <protection hidden="1"/>
    </xf>
    <xf numFmtId="0" fontId="4" fillId="0" borderId="97" xfId="0" applyFont="1" applyBorder="1" applyAlignment="1" applyProtection="1">
      <alignment horizontal="center" vertical="center"/>
      <protection hidden="1"/>
    </xf>
    <xf numFmtId="0" fontId="4" fillId="0" borderId="23" xfId="0" applyFont="1" applyBorder="1" applyAlignment="1" applyProtection="1">
      <alignment horizontal="left" vertical="center"/>
      <protection hidden="1"/>
    </xf>
    <xf numFmtId="4" fontId="4" fillId="0" borderId="1" xfId="0" applyNumberFormat="1" applyFont="1" applyBorder="1" applyAlignment="1" applyProtection="1">
      <alignment vertical="center"/>
      <protection hidden="1"/>
    </xf>
    <xf numFmtId="0" fontId="4" fillId="2" borderId="98" xfId="0" applyFont="1" applyFill="1" applyBorder="1" applyAlignment="1" applyProtection="1">
      <alignment vertical="center"/>
      <protection hidden="1"/>
    </xf>
    <xf numFmtId="4" fontId="4" fillId="0" borderId="105" xfId="0" applyNumberFormat="1" applyFont="1" applyBorder="1" applyAlignment="1" applyProtection="1">
      <alignment vertical="center"/>
      <protection hidden="1"/>
    </xf>
    <xf numFmtId="4" fontId="4" fillId="0" borderId="18" xfId="0" quotePrefix="1" applyNumberFormat="1" applyFont="1" applyBorder="1" applyAlignment="1" applyProtection="1">
      <alignment vertical="center"/>
      <protection hidden="1"/>
    </xf>
    <xf numFmtId="4" fontId="4" fillId="0" borderId="19" xfId="0" applyNumberFormat="1" applyFont="1" applyBorder="1" applyAlignment="1" applyProtection="1">
      <alignment vertical="center"/>
      <protection hidden="1"/>
    </xf>
    <xf numFmtId="4" fontId="4" fillId="0" borderId="24" xfId="0" quotePrefix="1" applyNumberFormat="1" applyFont="1" applyBorder="1" applyAlignment="1" applyProtection="1">
      <alignment vertical="center"/>
      <protection hidden="1"/>
    </xf>
    <xf numFmtId="166" fontId="4" fillId="0" borderId="18" xfId="0" quotePrefix="1" applyNumberFormat="1" applyFont="1" applyBorder="1" applyAlignment="1" applyProtection="1">
      <alignment vertical="center"/>
      <protection hidden="1"/>
    </xf>
    <xf numFmtId="166" fontId="4" fillId="0" borderId="19" xfId="0" quotePrefix="1" applyNumberFormat="1" applyFont="1" applyBorder="1" applyAlignment="1" applyProtection="1">
      <alignment vertical="center"/>
      <protection hidden="1"/>
    </xf>
    <xf numFmtId="4" fontId="4" fillId="0" borderId="24" xfId="0" applyNumberFormat="1" applyFont="1" applyBorder="1" applyAlignment="1" applyProtection="1">
      <alignment vertical="center"/>
      <protection hidden="1"/>
    </xf>
    <xf numFmtId="166" fontId="4" fillId="0" borderId="24" xfId="0" applyNumberFormat="1" applyFont="1" applyBorder="1" applyAlignment="1" applyProtection="1">
      <alignment horizontal="center" vertical="center"/>
      <protection hidden="1"/>
    </xf>
    <xf numFmtId="166" fontId="4" fillId="0" borderId="18" xfId="0" applyNumberFormat="1" applyFont="1" applyBorder="1" applyAlignment="1" applyProtection="1">
      <alignment horizontal="center" vertical="center"/>
      <protection hidden="1"/>
    </xf>
    <xf numFmtId="0" fontId="4" fillId="0" borderId="19" xfId="0" applyFont="1" applyBorder="1" applyAlignment="1" applyProtection="1">
      <alignment horizontal="center" vertical="center"/>
      <protection hidden="1"/>
    </xf>
    <xf numFmtId="0" fontId="4" fillId="0" borderId="98" xfId="0" applyFont="1" applyBorder="1" applyAlignment="1" applyProtection="1">
      <alignment horizontal="center" vertical="center"/>
      <protection hidden="1"/>
    </xf>
    <xf numFmtId="0" fontId="4" fillId="0" borderId="24" xfId="0" applyFont="1" applyBorder="1" applyAlignment="1" applyProtection="1">
      <alignment horizontal="left" vertical="center"/>
      <protection hidden="1"/>
    </xf>
    <xf numFmtId="0" fontId="4" fillId="0" borderId="18" xfId="0" applyFont="1" applyBorder="1" applyAlignment="1" applyProtection="1">
      <alignment horizontal="center" vertical="center"/>
      <protection hidden="1"/>
    </xf>
    <xf numFmtId="4" fontId="4" fillId="0" borderId="18" xfId="0" applyNumberFormat="1" applyFont="1" applyBorder="1" applyAlignment="1" applyProtection="1">
      <alignment vertical="center"/>
      <protection hidden="1"/>
    </xf>
    <xf numFmtId="0" fontId="6" fillId="14" borderId="102" xfId="0" applyFont="1" applyFill="1" applyBorder="1" applyAlignment="1" applyProtection="1">
      <alignment horizontal="center" vertical="center"/>
      <protection hidden="1"/>
    </xf>
    <xf numFmtId="166" fontId="4" fillId="0" borderId="0" xfId="0" quotePrefix="1" applyNumberFormat="1" applyFont="1" applyAlignment="1" applyProtection="1">
      <alignment vertical="center"/>
      <protection hidden="1"/>
    </xf>
    <xf numFmtId="4" fontId="4" fillId="0" borderId="0" xfId="0" applyNumberFormat="1" applyFont="1" applyAlignment="1" applyProtection="1">
      <alignment vertical="center"/>
      <protection hidden="1"/>
    </xf>
    <xf numFmtId="17" fontId="4" fillId="0" borderId="12" xfId="0" applyNumberFormat="1" applyFont="1" applyBorder="1" applyAlignment="1" applyProtection="1">
      <alignment horizontal="center"/>
      <protection hidden="1"/>
    </xf>
    <xf numFmtId="0" fontId="4" fillId="0" borderId="12" xfId="0" applyFont="1" applyBorder="1" applyProtection="1">
      <protection hidden="1"/>
    </xf>
    <xf numFmtId="0" fontId="4" fillId="0" borderId="0" xfId="0" applyFont="1" applyProtection="1">
      <protection locked="0" hidden="1"/>
    </xf>
    <xf numFmtId="0" fontId="0" fillId="0" borderId="12" xfId="0" applyBorder="1" applyAlignment="1" applyProtection="1">
      <alignment horizontal="center" vertical="center"/>
      <protection hidden="1"/>
    </xf>
    <xf numFmtId="4" fontId="0" fillId="0" borderId="7" xfId="0" applyNumberFormat="1" applyBorder="1" applyAlignment="1" applyProtection="1">
      <alignment vertical="center"/>
      <protection hidden="1"/>
    </xf>
    <xf numFmtId="4" fontId="0" fillId="0" borderId="12" xfId="0" applyNumberFormat="1" applyBorder="1" applyAlignment="1" applyProtection="1">
      <alignment vertical="center"/>
      <protection hidden="1"/>
    </xf>
    <xf numFmtId="4" fontId="0" fillId="0" borderId="21" xfId="0" applyNumberFormat="1" applyBorder="1" applyAlignment="1" applyProtection="1">
      <alignment vertical="center"/>
      <protection hidden="1"/>
    </xf>
    <xf numFmtId="166" fontId="0" fillId="0" borderId="5" xfId="0" applyNumberFormat="1" applyBorder="1" applyAlignment="1" applyProtection="1">
      <alignment horizontal="center" vertical="center"/>
      <protection hidden="1"/>
    </xf>
    <xf numFmtId="0" fontId="26" fillId="0" borderId="104" xfId="0" applyFont="1" applyBorder="1" applyAlignment="1" applyProtection="1">
      <alignment horizontal="left" vertical="center" wrapText="1" indent="1"/>
      <protection hidden="1"/>
    </xf>
    <xf numFmtId="4" fontId="0" fillId="0" borderId="11" xfId="0" applyNumberFormat="1" applyBorder="1" applyAlignment="1" applyProtection="1">
      <alignment vertical="center"/>
      <protection hidden="1"/>
    </xf>
    <xf numFmtId="4" fontId="0" fillId="0" borderId="1" xfId="0" applyNumberFormat="1" applyBorder="1" applyAlignment="1" applyProtection="1">
      <alignment vertical="center"/>
      <protection hidden="1"/>
    </xf>
    <xf numFmtId="0" fontId="26" fillId="0" borderId="42" xfId="0" applyFont="1" applyBorder="1" applyAlignment="1" applyProtection="1">
      <alignment horizontal="left" vertical="center" wrapText="1" indent="1"/>
      <protection hidden="1"/>
    </xf>
    <xf numFmtId="0" fontId="0" fillId="0" borderId="18" xfId="0" applyBorder="1" applyAlignment="1" applyProtection="1">
      <alignment horizontal="center" vertical="center"/>
      <protection hidden="1"/>
    </xf>
    <xf numFmtId="4" fontId="0" fillId="0" borderId="105" xfId="0" applyNumberFormat="1" applyBorder="1" applyAlignment="1" applyProtection="1">
      <alignment vertical="center"/>
      <protection hidden="1"/>
    </xf>
    <xf numFmtId="4" fontId="0" fillId="0" borderId="18" xfId="0" applyNumberFormat="1" applyBorder="1" applyAlignment="1" applyProtection="1">
      <alignment vertical="center"/>
      <protection hidden="1"/>
    </xf>
    <xf numFmtId="166" fontId="0" fillId="0" borderId="113" xfId="0" applyNumberFormat="1" applyBorder="1" applyAlignment="1" applyProtection="1">
      <alignment horizontal="center" vertical="center"/>
      <protection hidden="1"/>
    </xf>
    <xf numFmtId="0" fontId="26" fillId="0" borderId="135" xfId="0" applyFont="1" applyBorder="1" applyAlignment="1" applyProtection="1">
      <alignment horizontal="left" vertical="center" wrapText="1" indent="1"/>
      <protection hidden="1"/>
    </xf>
    <xf numFmtId="166" fontId="0" fillId="0" borderId="12" xfId="0" applyNumberFormat="1" applyBorder="1" applyAlignment="1" applyProtection="1">
      <alignment horizontal="center" vertical="center"/>
      <protection hidden="1"/>
    </xf>
    <xf numFmtId="4" fontId="0" fillId="0" borderId="32" xfId="0" applyNumberFormat="1" applyBorder="1" applyAlignment="1" applyProtection="1">
      <alignment vertical="center"/>
      <protection hidden="1"/>
    </xf>
    <xf numFmtId="4" fontId="0" fillId="0" borderId="4" xfId="0" applyNumberFormat="1" applyBorder="1" applyAlignment="1" applyProtection="1">
      <alignment vertical="center"/>
      <protection hidden="1"/>
    </xf>
    <xf numFmtId="4" fontId="0" fillId="0" borderId="33" xfId="0" applyNumberFormat="1" applyBorder="1" applyAlignment="1" applyProtection="1">
      <alignment vertical="center"/>
      <protection hidden="1"/>
    </xf>
    <xf numFmtId="4" fontId="0" fillId="0" borderId="36" xfId="0" applyNumberFormat="1" applyBorder="1" applyAlignment="1" applyProtection="1">
      <alignment vertical="center"/>
      <protection hidden="1"/>
    </xf>
    <xf numFmtId="4" fontId="0" fillId="0" borderId="18" xfId="0" applyNumberFormat="1" applyBorder="1" applyAlignment="1" applyProtection="1">
      <alignment horizontal="right" vertical="center"/>
      <protection hidden="1"/>
    </xf>
    <xf numFmtId="166" fontId="0" fillId="0" borderId="36" xfId="0" applyNumberFormat="1" applyBorder="1" applyAlignment="1" applyProtection="1">
      <alignment horizontal="center" vertical="center"/>
      <protection hidden="1"/>
    </xf>
    <xf numFmtId="0" fontId="3" fillId="0" borderId="0" xfId="0" applyFont="1" applyProtection="1">
      <protection locked="0" hidden="1"/>
    </xf>
    <xf numFmtId="0" fontId="2" fillId="14" borderId="96" xfId="0" applyFont="1" applyFill="1" applyBorder="1" applyAlignment="1" applyProtection="1">
      <alignment horizontal="center" vertical="center" wrapText="1"/>
      <protection hidden="1"/>
    </xf>
    <xf numFmtId="0" fontId="17" fillId="14" borderId="24" xfId="0" applyFont="1" applyFill="1" applyBorder="1" applyAlignment="1" applyProtection="1">
      <alignment horizontal="center" vertical="center" wrapText="1"/>
      <protection hidden="1"/>
    </xf>
    <xf numFmtId="0" fontId="17" fillId="14" borderId="19" xfId="0" applyFont="1" applyFill="1" applyBorder="1" applyAlignment="1" applyProtection="1">
      <alignment horizontal="center" vertical="center" wrapText="1"/>
      <protection hidden="1"/>
    </xf>
    <xf numFmtId="0" fontId="13" fillId="14" borderId="24" xfId="0" applyFont="1" applyFill="1" applyBorder="1" applyAlignment="1" applyProtection="1">
      <alignment horizontal="center" vertical="center" wrapText="1"/>
      <protection hidden="1"/>
    </xf>
    <xf numFmtId="0" fontId="13" fillId="14" borderId="19" xfId="0" applyFont="1" applyFill="1" applyBorder="1" applyAlignment="1" applyProtection="1">
      <alignment horizontal="center" vertical="center" wrapText="1"/>
      <protection hidden="1"/>
    </xf>
    <xf numFmtId="0" fontId="13" fillId="14" borderId="98" xfId="0" applyFont="1" applyFill="1" applyBorder="1" applyAlignment="1" applyProtection="1">
      <alignment horizontal="center" vertical="center" wrapText="1"/>
      <protection hidden="1"/>
    </xf>
    <xf numFmtId="0" fontId="0" fillId="0" borderId="0" xfId="0" applyProtection="1">
      <protection hidden="1"/>
    </xf>
    <xf numFmtId="0" fontId="5" fillId="0" borderId="0" xfId="0" applyFont="1" applyAlignment="1" applyProtection="1">
      <alignment vertical="center"/>
      <protection hidden="1"/>
    </xf>
    <xf numFmtId="0" fontId="2" fillId="14" borderId="99" xfId="0" applyFont="1" applyFill="1" applyBorder="1" applyAlignment="1" applyProtection="1">
      <alignment horizontal="left" vertical="center" indent="1"/>
      <protection hidden="1"/>
    </xf>
    <xf numFmtId="14" fontId="4" fillId="4" borderId="101" xfId="0" applyNumberFormat="1" applyFont="1" applyFill="1" applyBorder="1" applyAlignment="1" applyProtection="1">
      <alignment horizontal="center" vertical="center"/>
      <protection locked="0" hidden="1"/>
    </xf>
    <xf numFmtId="0" fontId="2" fillId="10" borderId="63" xfId="0" applyFont="1" applyFill="1" applyBorder="1" applyAlignment="1" applyProtection="1">
      <alignment horizontal="left" vertical="center" indent="1"/>
      <protection hidden="1"/>
    </xf>
    <xf numFmtId="0" fontId="2" fillId="10" borderId="65" xfId="0" applyFont="1" applyFill="1" applyBorder="1" applyAlignment="1" applyProtection="1">
      <alignment vertical="center"/>
      <protection hidden="1"/>
    </xf>
    <xf numFmtId="0" fontId="2" fillId="14" borderId="102" xfId="0" applyFont="1" applyFill="1" applyBorder="1" applyAlignment="1" applyProtection="1">
      <alignment horizontal="center" vertical="center"/>
      <protection hidden="1"/>
    </xf>
    <xf numFmtId="0" fontId="0" fillId="4" borderId="102" xfId="0" applyFill="1" applyBorder="1" applyAlignment="1" applyProtection="1">
      <alignment vertical="center"/>
      <protection locked="0" hidden="1"/>
    </xf>
    <xf numFmtId="0" fontId="0" fillId="10" borderId="64" xfId="0" applyFill="1" applyBorder="1" applyAlignment="1" applyProtection="1">
      <alignment vertical="center"/>
      <protection hidden="1"/>
    </xf>
    <xf numFmtId="0" fontId="19" fillId="0" borderId="0" xfId="0" applyFont="1" applyAlignment="1" applyProtection="1">
      <alignment vertical="center"/>
      <protection hidden="1"/>
    </xf>
    <xf numFmtId="0" fontId="0" fillId="10" borderId="65" xfId="0" applyFill="1" applyBorder="1" applyAlignment="1" applyProtection="1">
      <alignment vertical="center"/>
      <protection hidden="1"/>
    </xf>
    <xf numFmtId="0" fontId="2" fillId="10" borderId="86" xfId="0" applyFont="1" applyFill="1" applyBorder="1" applyAlignment="1" applyProtection="1">
      <alignment horizontal="left" vertical="center" indent="1"/>
      <protection hidden="1"/>
    </xf>
    <xf numFmtId="0" fontId="0" fillId="10" borderId="87" xfId="0" applyFill="1" applyBorder="1" applyAlignment="1" applyProtection="1">
      <alignment vertical="center"/>
      <protection hidden="1"/>
    </xf>
    <xf numFmtId="0" fontId="16" fillId="10" borderId="87" xfId="0" applyFont="1" applyFill="1" applyBorder="1" applyAlignment="1" applyProtection="1">
      <alignment vertical="center"/>
      <protection hidden="1"/>
    </xf>
    <xf numFmtId="0" fontId="0" fillId="10" borderId="88" xfId="0" applyFill="1" applyBorder="1" applyAlignment="1" applyProtection="1">
      <alignment vertical="center"/>
      <protection hidden="1"/>
    </xf>
    <xf numFmtId="0" fontId="0" fillId="0" borderId="0" xfId="0" applyAlignment="1" applyProtection="1">
      <alignment textRotation="255" wrapText="1"/>
      <protection hidden="1"/>
    </xf>
    <xf numFmtId="0" fontId="16" fillId="0" borderId="0" xfId="0" applyFont="1" applyAlignment="1" applyProtection="1">
      <alignment vertical="center"/>
      <protection hidden="1"/>
    </xf>
    <xf numFmtId="166" fontId="0" fillId="0" borderId="0" xfId="0" applyNumberFormat="1" applyAlignment="1" applyProtection="1">
      <alignment vertical="center"/>
      <protection hidden="1"/>
    </xf>
    <xf numFmtId="166" fontId="25" fillId="0" borderId="0" xfId="0" applyNumberFormat="1" applyFont="1" applyAlignment="1" applyProtection="1">
      <alignment horizontal="center" vertical="center"/>
      <protection hidden="1"/>
    </xf>
    <xf numFmtId="166" fontId="0" fillId="0" borderId="0" xfId="0" applyNumberFormat="1" applyAlignment="1" applyProtection="1">
      <alignment horizontal="right" vertical="center"/>
      <protection hidden="1"/>
    </xf>
    <xf numFmtId="0" fontId="0" fillId="0" borderId="2" xfId="0" applyBorder="1" applyAlignment="1" applyProtection="1">
      <alignment vertical="center"/>
      <protection hidden="1"/>
    </xf>
    <xf numFmtId="0" fontId="26" fillId="0" borderId="3" xfId="0" applyFont="1" applyBorder="1" applyAlignment="1" applyProtection="1">
      <alignment horizontal="center" vertical="center"/>
      <protection hidden="1"/>
    </xf>
    <xf numFmtId="0" fontId="0" fillId="0" borderId="3" xfId="0"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0" borderId="5" xfId="0" applyBorder="1" applyAlignment="1" applyProtection="1">
      <alignment vertical="center"/>
      <protection hidden="1"/>
    </xf>
    <xf numFmtId="166" fontId="26" fillId="0" borderId="6" xfId="0" applyNumberFormat="1" applyFont="1" applyBorder="1" applyAlignment="1" applyProtection="1">
      <alignment horizontal="right" vertical="center"/>
      <protection hidden="1"/>
    </xf>
    <xf numFmtId="166" fontId="28" fillId="0" borderId="6" xfId="0" applyNumberFormat="1" applyFont="1" applyBorder="1" applyAlignment="1" applyProtection="1">
      <alignment horizontal="center" vertical="center"/>
      <protection hidden="1"/>
    </xf>
    <xf numFmtId="166" fontId="28" fillId="0" borderId="7" xfId="0" applyNumberFormat="1" applyFont="1" applyBorder="1" applyAlignment="1" applyProtection="1">
      <alignment horizontal="center" vertical="center"/>
      <protection hidden="1"/>
    </xf>
    <xf numFmtId="166" fontId="26" fillId="0" borderId="3" xfId="0" applyNumberFormat="1" applyFont="1" applyBorder="1" applyAlignment="1" applyProtection="1">
      <alignment vertical="center"/>
      <protection hidden="1"/>
    </xf>
    <xf numFmtId="0" fontId="19" fillId="0" borderId="0" xfId="0" applyFont="1" applyAlignment="1" applyProtection="1">
      <alignment horizontal="center" vertical="center"/>
      <protection hidden="1"/>
    </xf>
    <xf numFmtId="10" fontId="19" fillId="0" borderId="0" xfId="0" applyNumberFormat="1" applyFont="1" applyAlignment="1" applyProtection="1">
      <alignment vertical="center"/>
      <protection hidden="1"/>
    </xf>
    <xf numFmtId="0" fontId="19" fillId="0" borderId="0" xfId="0" applyFont="1" applyProtection="1">
      <protection hidden="1"/>
    </xf>
    <xf numFmtId="0" fontId="23" fillId="14" borderId="99" xfId="2" applyFont="1" applyFill="1" applyBorder="1" applyAlignment="1" applyProtection="1">
      <alignment horizontal="center" vertical="center"/>
      <protection hidden="1"/>
    </xf>
    <xf numFmtId="0" fontId="23" fillId="14" borderId="100" xfId="2" applyFont="1" applyFill="1" applyBorder="1" applyAlignment="1" applyProtection="1">
      <alignment horizontal="center" vertical="center"/>
      <protection hidden="1"/>
    </xf>
    <xf numFmtId="0" fontId="23" fillId="14" borderId="101" xfId="2" applyFont="1" applyFill="1" applyBorder="1" applyAlignment="1" applyProtection="1">
      <alignment horizontal="center" vertical="center"/>
      <protection hidden="1"/>
    </xf>
    <xf numFmtId="166" fontId="26" fillId="0" borderId="0" xfId="0" applyNumberFormat="1" applyFont="1" applyAlignment="1" applyProtection="1">
      <alignment horizontal="center" vertical="center"/>
      <protection hidden="1"/>
    </xf>
    <xf numFmtId="10" fontId="12" fillId="4" borderId="12" xfId="0" applyNumberFormat="1" applyFont="1" applyFill="1" applyBorder="1" applyAlignment="1" applyProtection="1">
      <alignment horizontal="center" vertical="center"/>
      <protection locked="0" hidden="1"/>
    </xf>
    <xf numFmtId="10" fontId="12" fillId="0" borderId="0" xfId="0" applyNumberFormat="1" applyFont="1" applyAlignment="1" applyProtection="1">
      <alignment horizontal="center" vertical="center"/>
      <protection locked="0" hidden="1"/>
    </xf>
    <xf numFmtId="0" fontId="5" fillId="12" borderId="1" xfId="0" applyFont="1" applyFill="1" applyBorder="1" applyAlignment="1" applyProtection="1">
      <alignment horizontal="center" vertical="center" wrapText="1"/>
      <protection hidden="1"/>
    </xf>
    <xf numFmtId="49" fontId="4" fillId="0" borderId="0" xfId="0" applyNumberFormat="1" applyFont="1" applyAlignment="1" applyProtection="1">
      <alignment vertical="center" wrapText="1"/>
      <protection hidden="1"/>
    </xf>
    <xf numFmtId="49" fontId="4" fillId="0" borderId="0" xfId="0" quotePrefix="1" applyNumberFormat="1" applyFont="1" applyAlignment="1" applyProtection="1">
      <alignment vertical="center" wrapText="1"/>
      <protection hidden="1"/>
    </xf>
    <xf numFmtId="0" fontId="4" fillId="0" borderId="0" xfId="0" quotePrefix="1" applyFont="1" applyAlignment="1" applyProtection="1">
      <alignment horizontal="left" vertical="center" wrapText="1"/>
      <protection hidden="1"/>
    </xf>
    <xf numFmtId="49" fontId="4" fillId="0" borderId="0" xfId="0" applyNumberFormat="1" applyFont="1" applyAlignment="1" applyProtection="1">
      <alignment horizontal="left" vertical="center" wrapText="1" indent="1"/>
      <protection hidden="1"/>
    </xf>
    <xf numFmtId="49" fontId="4" fillId="0" borderId="0" xfId="0" quotePrefix="1" applyNumberFormat="1" applyFont="1" applyAlignment="1" applyProtection="1">
      <alignment horizontal="left" vertical="center" wrapText="1"/>
      <protection hidden="1"/>
    </xf>
    <xf numFmtId="49" fontId="6" fillId="2" borderId="0" xfId="0" applyNumberFormat="1" applyFont="1" applyFill="1" applyAlignment="1" applyProtection="1">
      <alignment horizontal="center" vertical="center"/>
      <protection hidden="1"/>
    </xf>
    <xf numFmtId="49" fontId="4" fillId="0" borderId="0" xfId="0" applyNumberFormat="1" applyFont="1" applyAlignment="1" applyProtection="1">
      <alignment vertical="center"/>
      <protection hidden="1"/>
    </xf>
    <xf numFmtId="49" fontId="4" fillId="0" borderId="0" xfId="0" applyNumberFormat="1" applyFont="1" applyAlignment="1" applyProtection="1">
      <alignment horizontal="left" vertical="center" indent="1"/>
      <protection hidden="1"/>
    </xf>
    <xf numFmtId="49" fontId="4" fillId="0" borderId="0" xfId="0" quotePrefix="1" applyNumberFormat="1" applyFont="1" applyAlignment="1" applyProtection="1">
      <alignment horizontal="left" vertical="center" wrapText="1" indent="1"/>
      <protection hidden="1"/>
    </xf>
    <xf numFmtId="0" fontId="4" fillId="0" borderId="0" xfId="0" quotePrefix="1" applyFont="1" applyAlignment="1" applyProtection="1">
      <alignment vertical="center" wrapText="1"/>
      <protection hidden="1"/>
    </xf>
    <xf numFmtId="0" fontId="4" fillId="0" borderId="0" xfId="0" quotePrefix="1" applyFont="1" applyAlignment="1" applyProtection="1">
      <alignment horizontal="left" vertical="center" wrapText="1" indent="1"/>
      <protection hidden="1"/>
    </xf>
    <xf numFmtId="0" fontId="4" fillId="0" borderId="0" xfId="0" applyFont="1" applyAlignment="1" applyProtection="1">
      <alignment horizontal="left" vertical="center" wrapText="1" indent="1"/>
      <protection hidden="1"/>
    </xf>
    <xf numFmtId="0" fontId="4" fillId="0" borderId="0" xfId="0" applyFont="1" applyAlignment="1" applyProtection="1">
      <alignment horizontal="left" vertical="center" indent="1"/>
      <protection hidden="1"/>
    </xf>
    <xf numFmtId="0" fontId="4" fillId="0" borderId="0" xfId="0" quotePrefix="1" applyFont="1" applyAlignment="1" applyProtection="1">
      <alignment vertical="center"/>
      <protection hidden="1"/>
    </xf>
    <xf numFmtId="0" fontId="4" fillId="0" borderId="0" xfId="0" quotePrefix="1" applyFont="1" applyAlignment="1" applyProtection="1">
      <alignment horizontal="left" vertical="center" indent="1"/>
      <protection hidden="1"/>
    </xf>
    <xf numFmtId="0" fontId="6" fillId="0" borderId="0" xfId="0" quotePrefix="1" applyFont="1" applyAlignment="1" applyProtection="1">
      <alignment vertical="center"/>
      <protection hidden="1"/>
    </xf>
    <xf numFmtId="49" fontId="4" fillId="0" borderId="0" xfId="0" applyNumberFormat="1" applyFont="1" applyAlignment="1" applyProtection="1">
      <alignment horizontal="left" vertical="center" wrapText="1" indent="2"/>
      <protection hidden="1"/>
    </xf>
    <xf numFmtId="0" fontId="4" fillId="0" borderId="0" xfId="0" quotePrefix="1" applyFont="1" applyAlignment="1" applyProtection="1">
      <alignment horizontal="left" vertical="center" wrapText="1" indent="2"/>
      <protection hidden="1"/>
    </xf>
    <xf numFmtId="0" fontId="4" fillId="0" borderId="0" xfId="0" quotePrefix="1" applyFont="1" applyAlignment="1" applyProtection="1">
      <alignment horizontal="left" vertical="center" indent="2"/>
      <protection hidden="1"/>
    </xf>
    <xf numFmtId="0" fontId="0" fillId="0" borderId="103" xfId="0" applyBorder="1" applyAlignment="1">
      <alignment vertical="center"/>
    </xf>
    <xf numFmtId="166" fontId="0" fillId="0" borderId="1" xfId="0" applyNumberFormat="1" applyBorder="1" applyAlignment="1">
      <alignment horizontal="left" vertical="center" indent="1"/>
    </xf>
    <xf numFmtId="166" fontId="0" fillId="0" borderId="1" xfId="0" applyNumberFormat="1" applyBorder="1" applyAlignment="1">
      <alignment vertical="center"/>
    </xf>
    <xf numFmtId="0" fontId="0" fillId="0" borderId="1" xfId="0" applyBorder="1" applyAlignment="1">
      <alignment horizontal="left" vertical="center" indent="1"/>
    </xf>
    <xf numFmtId="0" fontId="0" fillId="0" borderId="0" xfId="0" applyAlignment="1">
      <alignment horizontal="left" vertical="center" indent="1"/>
    </xf>
    <xf numFmtId="0" fontId="0" fillId="0" borderId="0" xfId="0" applyAlignment="1">
      <alignment horizontal="right" vertical="center"/>
    </xf>
    <xf numFmtId="4" fontId="29" fillId="4" borderId="1" xfId="0" applyNumberFormat="1" applyFont="1" applyFill="1" applyBorder="1" applyAlignment="1" applyProtection="1">
      <alignment horizontal="right" vertical="center"/>
      <protection hidden="1"/>
    </xf>
    <xf numFmtId="0" fontId="30" fillId="0" borderId="1" xfId="0" applyFont="1" applyBorder="1" applyAlignment="1" applyProtection="1">
      <alignment vertical="center"/>
      <protection hidden="1"/>
    </xf>
    <xf numFmtId="0" fontId="29" fillId="18" borderId="1" xfId="2" applyFont="1" applyFill="1" applyBorder="1" applyAlignment="1" applyProtection="1">
      <alignment horizontal="center"/>
      <protection locked="0" hidden="1"/>
    </xf>
    <xf numFmtId="166" fontId="4" fillId="4" borderId="1" xfId="0" applyNumberFormat="1" applyFont="1" applyFill="1" applyBorder="1" applyAlignment="1">
      <alignment horizontal="center" vertical="center"/>
    </xf>
    <xf numFmtId="0" fontId="4" fillId="0" borderId="0" xfId="0" quotePrefix="1" applyFont="1" applyAlignment="1" applyProtection="1">
      <alignment horizontal="left" vertical="center" wrapText="1" indent="1"/>
      <protection hidden="1"/>
    </xf>
    <xf numFmtId="0" fontId="29" fillId="0" borderId="0" xfId="2" applyFont="1" applyAlignment="1" applyProtection="1">
      <alignment horizontal="left" vertical="top" wrapText="1"/>
      <protection hidden="1"/>
    </xf>
    <xf numFmtId="0" fontId="6" fillId="0" borderId="0" xfId="2" applyFont="1" applyAlignment="1">
      <alignment horizontal="left" vertical="center"/>
    </xf>
    <xf numFmtId="14" fontId="4" fillId="3" borderId="2" xfId="2" applyNumberFormat="1" applyFont="1" applyFill="1" applyBorder="1" applyAlignment="1" applyProtection="1">
      <alignment horizontal="left" vertical="center" wrapText="1" indent="1"/>
      <protection locked="0"/>
    </xf>
    <xf numFmtId="0" fontId="4" fillId="3" borderId="3" xfId="2" applyFont="1" applyFill="1" applyBorder="1" applyAlignment="1" applyProtection="1">
      <alignment horizontal="left" vertical="center" wrapText="1" indent="1"/>
      <protection locked="0"/>
    </xf>
    <xf numFmtId="0" fontId="4" fillId="3" borderId="4" xfId="2" applyFont="1" applyFill="1" applyBorder="1" applyAlignment="1" applyProtection="1">
      <alignment horizontal="left" vertical="center" wrapText="1" indent="1"/>
      <protection locked="0"/>
    </xf>
    <xf numFmtId="0" fontId="4" fillId="3" borderId="5" xfId="2" applyFont="1" applyFill="1" applyBorder="1" applyAlignment="1" applyProtection="1">
      <alignment horizontal="left" vertical="center" wrapText="1" indent="1"/>
      <protection locked="0"/>
    </xf>
    <xf numFmtId="0" fontId="4" fillId="3" borderId="6" xfId="2" applyFont="1" applyFill="1" applyBorder="1" applyAlignment="1" applyProtection="1">
      <alignment horizontal="left" vertical="center" wrapText="1" indent="1"/>
      <protection locked="0"/>
    </xf>
    <xf numFmtId="0" fontId="4" fillId="3" borderId="7" xfId="2" applyFont="1" applyFill="1" applyBorder="1" applyAlignment="1" applyProtection="1">
      <alignment horizontal="left" vertical="center" wrapText="1" indent="1"/>
      <protection locked="0"/>
    </xf>
    <xf numFmtId="0" fontId="6" fillId="0" borderId="8" xfId="2" applyFont="1" applyBorder="1" applyAlignment="1">
      <alignment horizontal="left" vertical="center"/>
    </xf>
    <xf numFmtId="0" fontId="6" fillId="14" borderId="2" xfId="2" applyFont="1" applyFill="1" applyBorder="1" applyAlignment="1">
      <alignment horizontal="left" vertical="center" wrapText="1" indent="1"/>
    </xf>
    <xf numFmtId="0" fontId="6" fillId="14" borderId="3" xfId="2" applyFont="1" applyFill="1" applyBorder="1" applyAlignment="1">
      <alignment horizontal="left" vertical="center" wrapText="1" indent="1"/>
    </xf>
    <xf numFmtId="0" fontId="6" fillId="14" borderId="4" xfId="2" applyFont="1" applyFill="1" applyBorder="1" applyAlignment="1">
      <alignment horizontal="left" vertical="center" wrapText="1" indent="1"/>
    </xf>
    <xf numFmtId="0" fontId="6" fillId="14" borderId="9" xfId="2" applyFont="1" applyFill="1" applyBorder="1" applyAlignment="1">
      <alignment horizontal="left" vertical="center" wrapText="1" indent="1"/>
    </xf>
    <xf numFmtId="0" fontId="6" fillId="14" borderId="0" xfId="2" applyFont="1" applyFill="1" applyAlignment="1">
      <alignment horizontal="left" vertical="center" wrapText="1" indent="1"/>
    </xf>
    <xf numFmtId="0" fontId="6" fillId="14" borderId="8" xfId="2" applyFont="1" applyFill="1" applyBorder="1" applyAlignment="1">
      <alignment horizontal="left" vertical="center" wrapText="1" indent="1"/>
    </xf>
    <xf numFmtId="0" fontId="6" fillId="14" borderId="5" xfId="2" applyFont="1" applyFill="1" applyBorder="1" applyAlignment="1">
      <alignment horizontal="left" vertical="center" wrapText="1" indent="1"/>
    </xf>
    <xf numFmtId="0" fontId="6" fillId="14" borderId="6" xfId="2" applyFont="1" applyFill="1" applyBorder="1" applyAlignment="1">
      <alignment horizontal="left" vertical="center" wrapText="1" indent="1"/>
    </xf>
    <xf numFmtId="0" fontId="6" fillId="14" borderId="7" xfId="2" applyFont="1" applyFill="1" applyBorder="1" applyAlignment="1">
      <alignment horizontal="left" vertical="center" wrapText="1" indent="1"/>
    </xf>
    <xf numFmtId="0" fontId="30" fillId="0" borderId="0" xfId="2" applyFont="1" applyAlignment="1" applyProtection="1">
      <alignment horizontal="center" vertical="center" wrapText="1"/>
      <protection hidden="1"/>
    </xf>
    <xf numFmtId="0" fontId="30" fillId="14" borderId="1" xfId="2" applyFont="1" applyFill="1" applyBorder="1" applyAlignment="1" applyProtection="1">
      <alignment horizontal="center" vertical="center" wrapText="1"/>
      <protection hidden="1"/>
    </xf>
    <xf numFmtId="164" fontId="30" fillId="14" borderId="1" xfId="2" applyNumberFormat="1" applyFont="1" applyFill="1" applyBorder="1" applyAlignment="1" applyProtection="1">
      <alignment horizontal="center" vertical="center" wrapText="1"/>
      <protection hidden="1"/>
    </xf>
    <xf numFmtId="0" fontId="0" fillId="0" borderId="0" xfId="0" applyAlignment="1">
      <alignment horizontal="left" vertical="center"/>
    </xf>
    <xf numFmtId="0" fontId="0" fillId="0" borderId="0" xfId="0" applyAlignment="1">
      <alignment horizontal="left" vertical="center" wrapText="1"/>
    </xf>
    <xf numFmtId="0" fontId="0" fillId="4" borderId="1" xfId="0" applyFill="1" applyBorder="1" applyAlignment="1" applyProtection="1">
      <alignment horizontal="left" vertical="center" indent="1"/>
      <protection locked="0"/>
    </xf>
    <xf numFmtId="0" fontId="7" fillId="0" borderId="0" xfId="0" applyFont="1" applyAlignment="1">
      <alignment horizontal="left" wrapText="1"/>
    </xf>
    <xf numFmtId="0" fontId="2" fillId="14" borderId="65" xfId="0" applyFont="1" applyFill="1" applyBorder="1" applyAlignment="1">
      <alignment horizontal="center" vertical="center" wrapText="1"/>
    </xf>
    <xf numFmtId="0" fontId="2" fillId="14" borderId="28" xfId="0" applyFont="1" applyFill="1" applyBorder="1" applyAlignment="1">
      <alignment horizontal="center" vertical="center" wrapText="1"/>
    </xf>
    <xf numFmtId="0" fontId="2" fillId="14" borderId="29" xfId="0" applyFont="1" applyFill="1" applyBorder="1" applyAlignment="1">
      <alignment horizontal="center" vertical="center" wrapText="1"/>
    </xf>
    <xf numFmtId="0" fontId="2" fillId="14" borderId="86" xfId="0" applyFont="1" applyFill="1" applyBorder="1" applyAlignment="1">
      <alignment horizontal="center" vertical="center"/>
    </xf>
    <xf numFmtId="0" fontId="2" fillId="14" borderId="87" xfId="0" applyFont="1" applyFill="1" applyBorder="1" applyAlignment="1">
      <alignment horizontal="center" vertical="center"/>
    </xf>
    <xf numFmtId="0" fontId="2" fillId="14" borderId="88" xfId="0" applyFont="1" applyFill="1" applyBorder="1" applyAlignment="1">
      <alignment horizontal="center" vertical="center"/>
    </xf>
    <xf numFmtId="0" fontId="2" fillId="0" borderId="5" xfId="0" applyFont="1" applyBorder="1" applyAlignment="1">
      <alignment horizontal="left" vertical="center" indent="1"/>
    </xf>
    <xf numFmtId="0" fontId="2" fillId="0" borderId="7" xfId="0" applyFont="1" applyBorder="1" applyAlignment="1">
      <alignment horizontal="left" vertical="center" indent="1"/>
    </xf>
    <xf numFmtId="0" fontId="2" fillId="0" borderId="103" xfId="0" applyFont="1" applyBorder="1" applyAlignment="1">
      <alignment horizontal="left" vertical="center" indent="1"/>
    </xf>
    <xf numFmtId="0" fontId="2" fillId="0" borderId="11" xfId="0" applyFont="1" applyBorder="1" applyAlignment="1">
      <alignment horizontal="left" vertical="center" indent="1"/>
    </xf>
    <xf numFmtId="0" fontId="0" fillId="4" borderId="12" xfId="0" applyFill="1" applyBorder="1" applyAlignment="1" applyProtection="1">
      <alignment horizontal="left" vertical="center" indent="1"/>
      <protection locked="0"/>
    </xf>
    <xf numFmtId="0" fontId="2" fillId="0" borderId="1" xfId="0" applyFont="1" applyBorder="1" applyAlignment="1">
      <alignment horizontal="center" vertical="center" wrapText="1"/>
    </xf>
    <xf numFmtId="0" fontId="2" fillId="0" borderId="103" xfId="0" applyFont="1" applyBorder="1" applyAlignment="1">
      <alignment horizontal="left" vertical="center" wrapText="1" indent="1"/>
    </xf>
    <xf numFmtId="0" fontId="2" fillId="0" borderId="10" xfId="0" applyFont="1" applyBorder="1" applyAlignment="1">
      <alignment horizontal="left" vertical="center" wrapText="1" indent="1"/>
    </xf>
    <xf numFmtId="0" fontId="2" fillId="0" borderId="11" xfId="0" applyFont="1" applyBorder="1" applyAlignment="1">
      <alignment horizontal="left" vertical="center" wrapText="1" indent="1"/>
    </xf>
    <xf numFmtId="0" fontId="2" fillId="0" borderId="1" xfId="0" applyFont="1" applyBorder="1" applyAlignment="1">
      <alignment horizontal="left" vertical="center" indent="1"/>
    </xf>
    <xf numFmtId="0" fontId="2" fillId="0" borderId="0" xfId="0" applyFont="1" applyAlignment="1" applyProtection="1">
      <alignment horizontal="left" vertical="center" wrapText="1" indent="1"/>
      <protection hidden="1"/>
    </xf>
    <xf numFmtId="0" fontId="24" fillId="14" borderId="86" xfId="2" applyFont="1" applyFill="1" applyBorder="1" applyAlignment="1" applyProtection="1">
      <alignment horizontal="center" vertical="center"/>
      <protection hidden="1"/>
    </xf>
    <xf numFmtId="0" fontId="24" fillId="14" borderId="87" xfId="2" applyFont="1" applyFill="1" applyBorder="1" applyAlignment="1" applyProtection="1">
      <alignment horizontal="center" vertical="center"/>
      <protection hidden="1"/>
    </xf>
    <xf numFmtId="0" fontId="24" fillId="14" borderId="88" xfId="2" applyFont="1" applyFill="1" applyBorder="1" applyAlignment="1" applyProtection="1">
      <alignment horizontal="center" vertical="center"/>
      <protection hidden="1"/>
    </xf>
    <xf numFmtId="10" fontId="6" fillId="14" borderId="86" xfId="2" applyNumberFormat="1" applyFont="1" applyFill="1" applyBorder="1" applyAlignment="1" applyProtection="1">
      <alignment horizontal="center" vertical="center"/>
      <protection hidden="1"/>
    </xf>
    <xf numFmtId="10" fontId="6" fillId="14" borderId="87" xfId="2" applyNumberFormat="1" applyFont="1" applyFill="1" applyBorder="1" applyAlignment="1" applyProtection="1">
      <alignment horizontal="center" vertical="center"/>
      <protection hidden="1"/>
    </xf>
    <xf numFmtId="10" fontId="6" fillId="14" borderId="88" xfId="2" applyNumberFormat="1" applyFont="1" applyFill="1" applyBorder="1" applyAlignment="1" applyProtection="1">
      <alignment horizontal="center" vertical="center"/>
      <protection hidden="1"/>
    </xf>
    <xf numFmtId="0" fontId="2" fillId="4" borderId="12" xfId="0" applyFont="1" applyFill="1" applyBorder="1" applyAlignment="1" applyProtection="1">
      <alignment horizontal="left" vertical="center" wrapText="1" indent="1"/>
      <protection hidden="1"/>
    </xf>
    <xf numFmtId="0" fontId="0" fillId="10" borderId="28" xfId="0" applyFill="1" applyBorder="1" applyAlignment="1" applyProtection="1">
      <alignment horizontal="left" vertical="top" wrapText="1"/>
      <protection hidden="1"/>
    </xf>
    <xf numFmtId="0" fontId="0" fillId="10" borderId="29" xfId="0" applyFill="1" applyBorder="1" applyAlignment="1" applyProtection="1">
      <alignment horizontal="left" vertical="top" wrapText="1"/>
      <protection hidden="1"/>
    </xf>
    <xf numFmtId="0" fontId="2" fillId="14" borderId="63" xfId="0" applyFont="1" applyFill="1" applyBorder="1" applyAlignment="1" applyProtection="1">
      <alignment horizontal="center" vertical="center" wrapText="1"/>
      <protection hidden="1"/>
    </xf>
    <xf numFmtId="0" fontId="2" fillId="14" borderId="26" xfId="0" applyFont="1" applyFill="1" applyBorder="1" applyAlignment="1" applyProtection="1">
      <alignment horizontal="center" vertical="center" wrapText="1"/>
      <protection hidden="1"/>
    </xf>
    <xf numFmtId="0" fontId="2" fillId="14" borderId="65" xfId="0" applyFont="1" applyFill="1" applyBorder="1" applyAlignment="1" applyProtection="1">
      <alignment horizontal="center" vertical="center" wrapText="1"/>
      <protection hidden="1"/>
    </xf>
    <xf numFmtId="0" fontId="2" fillId="14" borderId="29" xfId="0" applyFont="1" applyFill="1" applyBorder="1" applyAlignment="1" applyProtection="1">
      <alignment horizontal="center" vertical="center" wrapText="1"/>
      <protection hidden="1"/>
    </xf>
    <xf numFmtId="0" fontId="28" fillId="0" borderId="0" xfId="0" applyFont="1" applyAlignment="1" applyProtection="1">
      <alignment horizontal="center" vertical="center" wrapText="1"/>
      <protection hidden="1"/>
    </xf>
    <xf numFmtId="0" fontId="28" fillId="0" borderId="0" xfId="0" applyFont="1" applyAlignment="1" applyProtection="1">
      <alignment horizontal="center" vertical="center"/>
      <protection hidden="1"/>
    </xf>
    <xf numFmtId="0" fontId="27" fillId="0" borderId="0" xfId="0" applyFont="1" applyAlignment="1" applyProtection="1">
      <alignment horizontal="left" vertical="center" indent="1"/>
      <protection hidden="1"/>
    </xf>
    <xf numFmtId="0" fontId="0" fillId="10" borderId="25" xfId="0" applyFill="1" applyBorder="1" applyAlignment="1" applyProtection="1">
      <alignment horizontal="left" vertical="center" wrapText="1"/>
      <protection hidden="1"/>
    </xf>
    <xf numFmtId="0" fontId="0" fillId="10" borderId="26" xfId="0" applyFill="1" applyBorder="1" applyAlignment="1" applyProtection="1">
      <alignment horizontal="left" vertical="center" wrapText="1"/>
      <protection hidden="1"/>
    </xf>
    <xf numFmtId="0" fontId="0" fillId="10" borderId="0" xfId="0" applyFill="1" applyAlignment="1" applyProtection="1">
      <alignment horizontal="left" vertical="center" wrapText="1"/>
      <protection hidden="1"/>
    </xf>
    <xf numFmtId="0" fontId="0" fillId="10" borderId="27" xfId="0" applyFill="1" applyBorder="1" applyAlignment="1" applyProtection="1">
      <alignment horizontal="left" vertical="center" wrapText="1"/>
      <protection hidden="1"/>
    </xf>
    <xf numFmtId="0" fontId="0" fillId="10" borderId="28" xfId="0" applyFill="1" applyBorder="1" applyAlignment="1" applyProtection="1">
      <alignment horizontal="left" vertical="center" wrapText="1"/>
      <protection hidden="1"/>
    </xf>
    <xf numFmtId="0" fontId="0" fillId="10" borderId="29" xfId="0" applyFill="1" applyBorder="1" applyAlignment="1" applyProtection="1">
      <alignment horizontal="left" vertical="center" wrapText="1"/>
      <protection hidden="1"/>
    </xf>
    <xf numFmtId="0" fontId="2" fillId="14" borderId="86" xfId="0" applyFont="1" applyFill="1" applyBorder="1" applyAlignment="1" applyProtection="1">
      <alignment horizontal="center" vertical="center" wrapText="1"/>
      <protection hidden="1"/>
    </xf>
    <xf numFmtId="0" fontId="2" fillId="14" borderId="87" xfId="0" applyFont="1" applyFill="1" applyBorder="1" applyAlignment="1" applyProtection="1">
      <alignment horizontal="center" vertical="center" wrapText="1"/>
      <protection hidden="1"/>
    </xf>
    <xf numFmtId="0" fontId="2" fillId="14" borderId="88" xfId="0" applyFont="1" applyFill="1" applyBorder="1" applyAlignment="1" applyProtection="1">
      <alignment horizontal="center" vertical="center" wrapText="1"/>
      <protection hidden="1"/>
    </xf>
    <xf numFmtId="0" fontId="2" fillId="14" borderId="25" xfId="0" applyFont="1" applyFill="1" applyBorder="1" applyAlignment="1" applyProtection="1">
      <alignment horizontal="center" vertical="center" wrapText="1"/>
      <protection hidden="1"/>
    </xf>
    <xf numFmtId="0" fontId="0" fillId="5" borderId="86" xfId="0" applyFill="1" applyBorder="1" applyAlignment="1" applyProtection="1">
      <alignment horizontal="center" vertical="center"/>
      <protection locked="0" hidden="1"/>
    </xf>
    <xf numFmtId="0" fontId="0" fillId="5" borderId="87" xfId="0" applyFill="1" applyBorder="1" applyAlignment="1" applyProtection="1">
      <alignment horizontal="center" vertical="center"/>
      <protection locked="0" hidden="1"/>
    </xf>
    <xf numFmtId="0" fontId="0" fillId="5" borderId="88" xfId="0" applyFill="1" applyBorder="1" applyAlignment="1" applyProtection="1">
      <alignment horizontal="center" vertical="center"/>
      <protection locked="0" hidden="1"/>
    </xf>
    <xf numFmtId="0" fontId="0" fillId="0" borderId="0" xfId="0" applyAlignment="1">
      <alignment horizontal="center" vertical="center"/>
    </xf>
    <xf numFmtId="0" fontId="0" fillId="0" borderId="6" xfId="0" applyBorder="1" applyAlignment="1">
      <alignment horizontal="center" vertical="center"/>
    </xf>
    <xf numFmtId="0" fontId="34" fillId="7" borderId="13" xfId="0" applyFont="1" applyFill="1" applyBorder="1" applyAlignment="1" applyProtection="1">
      <alignment horizontal="center" vertical="center" wrapText="1"/>
      <protection hidden="1"/>
    </xf>
    <xf numFmtId="0" fontId="34" fillId="7" borderId="110" xfId="0" applyFont="1" applyFill="1" applyBorder="1" applyAlignment="1" applyProtection="1">
      <alignment horizontal="center" vertical="center" wrapText="1"/>
      <protection hidden="1"/>
    </xf>
    <xf numFmtId="0" fontId="34" fillId="7" borderId="14" xfId="0" applyFont="1" applyFill="1" applyBorder="1" applyAlignment="1" applyProtection="1">
      <alignment horizontal="center" vertical="center" wrapText="1"/>
      <protection hidden="1"/>
    </xf>
    <xf numFmtId="0" fontId="27" fillId="6" borderId="133" xfId="0" applyFont="1" applyFill="1" applyBorder="1" applyAlignment="1" applyProtection="1">
      <alignment horizontal="center" vertical="center" wrapText="1"/>
      <protection hidden="1"/>
    </xf>
    <xf numFmtId="0" fontId="27" fillId="6" borderId="116" xfId="0" applyFont="1" applyFill="1" applyBorder="1" applyAlignment="1" applyProtection="1">
      <alignment horizontal="center" vertical="center" wrapText="1"/>
      <protection hidden="1"/>
    </xf>
    <xf numFmtId="0" fontId="27" fillId="6" borderId="134" xfId="0" applyFont="1" applyFill="1" applyBorder="1" applyAlignment="1" applyProtection="1">
      <alignment horizontal="center" vertical="center" wrapText="1"/>
      <protection hidden="1"/>
    </xf>
    <xf numFmtId="0" fontId="2" fillId="15" borderId="23" xfId="0" applyFont="1" applyFill="1" applyBorder="1" applyAlignment="1" applyProtection="1">
      <alignment horizontal="center" vertical="center" wrapText="1"/>
      <protection hidden="1"/>
    </xf>
    <xf numFmtId="0" fontId="2" fillId="15" borderId="24" xfId="0" applyFont="1" applyFill="1" applyBorder="1" applyAlignment="1" applyProtection="1">
      <alignment horizontal="center" vertical="center" wrapText="1"/>
      <protection hidden="1"/>
    </xf>
    <xf numFmtId="0" fontId="2" fillId="14" borderId="1" xfId="0" applyFont="1" applyFill="1" applyBorder="1" applyAlignment="1" applyProtection="1">
      <alignment horizontal="center" vertical="center" wrapText="1"/>
      <protection hidden="1"/>
    </xf>
    <xf numFmtId="0" fontId="2" fillId="14" borderId="18" xfId="0" applyFont="1" applyFill="1" applyBorder="1" applyAlignment="1" applyProtection="1">
      <alignment horizontal="center" vertical="center" wrapText="1"/>
      <protection hidden="1"/>
    </xf>
    <xf numFmtId="0" fontId="2" fillId="15" borderId="16" xfId="0" applyFont="1" applyFill="1" applyBorder="1" applyAlignment="1" applyProtection="1">
      <alignment horizontal="center" vertical="center" wrapText="1"/>
      <protection hidden="1"/>
    </xf>
    <xf numFmtId="0" fontId="2" fillId="15" borderId="19" xfId="0" applyFont="1" applyFill="1" applyBorder="1" applyAlignment="1" applyProtection="1">
      <alignment horizontal="center" vertical="center" wrapText="1"/>
      <protection hidden="1"/>
    </xf>
    <xf numFmtId="0" fontId="0" fillId="0" borderId="33" xfId="0" applyBorder="1" applyAlignment="1">
      <alignment horizontal="center" vertical="center"/>
    </xf>
    <xf numFmtId="0" fontId="0" fillId="0" borderId="12" xfId="0" applyBorder="1" applyAlignment="1">
      <alignment horizontal="center" vertical="center"/>
    </xf>
    <xf numFmtId="0" fontId="13" fillId="6" borderId="73" xfId="0" applyFont="1" applyFill="1" applyBorder="1" applyAlignment="1" applyProtection="1">
      <alignment horizontal="center" vertical="center" wrapText="1"/>
      <protection hidden="1"/>
    </xf>
    <xf numFmtId="0" fontId="13" fillId="6" borderId="54" xfId="0" applyFont="1" applyFill="1" applyBorder="1" applyAlignment="1" applyProtection="1">
      <alignment horizontal="center" vertical="center" wrapText="1"/>
      <protection hidden="1"/>
    </xf>
    <xf numFmtId="0" fontId="13" fillId="6" borderId="74" xfId="0" applyFont="1" applyFill="1" applyBorder="1" applyAlignment="1" applyProtection="1">
      <alignment horizontal="center" vertical="center" wrapText="1"/>
      <protection hidden="1"/>
    </xf>
    <xf numFmtId="0" fontId="13" fillId="6" borderId="142" xfId="0" applyFont="1" applyFill="1" applyBorder="1" applyAlignment="1" applyProtection="1">
      <alignment horizontal="center" vertical="center" wrapText="1"/>
      <protection hidden="1"/>
    </xf>
    <xf numFmtId="0" fontId="13" fillId="6" borderId="112" xfId="0" applyFont="1" applyFill="1" applyBorder="1" applyAlignment="1" applyProtection="1">
      <alignment horizontal="center" vertical="center" wrapText="1"/>
      <protection hidden="1"/>
    </xf>
    <xf numFmtId="0" fontId="13" fillId="6" borderId="137" xfId="0" applyFont="1" applyFill="1" applyBorder="1" applyAlignment="1" applyProtection="1">
      <alignment horizontal="center" vertical="center" wrapText="1"/>
      <protection hidden="1"/>
    </xf>
    <xf numFmtId="0" fontId="2" fillId="6" borderId="52" xfId="0" applyFont="1" applyFill="1" applyBorder="1" applyAlignment="1" applyProtection="1">
      <alignment horizontal="center" vertical="center" wrapText="1"/>
      <protection hidden="1"/>
    </xf>
    <xf numFmtId="0" fontId="2" fillId="6" borderId="143" xfId="0" applyFont="1" applyFill="1" applyBorder="1" applyAlignment="1" applyProtection="1">
      <alignment horizontal="center" vertical="center" wrapText="1"/>
      <protection hidden="1"/>
    </xf>
    <xf numFmtId="0" fontId="2" fillId="6" borderId="133" xfId="0" applyFont="1" applyFill="1" applyBorder="1" applyAlignment="1" applyProtection="1">
      <alignment horizontal="center" vertical="center" wrapText="1"/>
      <protection hidden="1"/>
    </xf>
    <xf numFmtId="0" fontId="2" fillId="6" borderId="116" xfId="0" applyFont="1" applyFill="1" applyBorder="1" applyAlignment="1" applyProtection="1">
      <alignment horizontal="center" vertical="center" wrapText="1"/>
      <protection hidden="1"/>
    </xf>
    <xf numFmtId="0" fontId="2" fillId="6" borderId="134" xfId="0" applyFont="1" applyFill="1" applyBorder="1" applyAlignment="1" applyProtection="1">
      <alignment horizontal="center" vertical="center" wrapText="1"/>
      <protection hidden="1"/>
    </xf>
    <xf numFmtId="0" fontId="2" fillId="0" borderId="144" xfId="0" applyFont="1" applyBorder="1" applyAlignment="1" applyProtection="1">
      <alignment horizontal="center" vertical="center"/>
      <protection hidden="1"/>
    </xf>
    <xf numFmtId="0" fontId="2" fillId="0" borderId="123" xfId="0" applyFont="1" applyBorder="1" applyAlignment="1" applyProtection="1">
      <alignment horizontal="center" vertical="center"/>
      <protection hidden="1"/>
    </xf>
    <xf numFmtId="0" fontId="13" fillId="16" borderId="64" xfId="0" applyFont="1" applyFill="1" applyBorder="1" applyAlignment="1" applyProtection="1">
      <alignment horizontal="center" vertical="center" wrapText="1"/>
      <protection hidden="1"/>
    </xf>
    <xf numFmtId="0" fontId="13" fillId="16" borderId="27" xfId="0" applyFont="1" applyFill="1" applyBorder="1" applyAlignment="1" applyProtection="1">
      <alignment horizontal="center" vertical="center" wrapText="1"/>
      <protection hidden="1"/>
    </xf>
    <xf numFmtId="0" fontId="13" fillId="16" borderId="65" xfId="0" applyFont="1" applyFill="1" applyBorder="1" applyAlignment="1" applyProtection="1">
      <alignment horizontal="center" vertical="center" wrapText="1"/>
      <protection hidden="1"/>
    </xf>
    <xf numFmtId="0" fontId="13" fillId="16" borderId="29" xfId="0" applyFont="1" applyFill="1" applyBorder="1" applyAlignment="1" applyProtection="1">
      <alignment horizontal="center" vertical="center" wrapText="1"/>
      <protection hidden="1"/>
    </xf>
    <xf numFmtId="0" fontId="2" fillId="0" borderId="41" xfId="0" applyFont="1" applyBorder="1" applyAlignment="1" applyProtection="1">
      <alignment horizontal="center" vertical="center"/>
      <protection hidden="1"/>
    </xf>
    <xf numFmtId="0" fontId="2" fillId="0" borderId="91" xfId="0" applyFont="1" applyBorder="1" applyAlignment="1" applyProtection="1">
      <alignment horizontal="center" vertical="center"/>
      <protection hidden="1"/>
    </xf>
    <xf numFmtId="0" fontId="0" fillId="4" borderId="10" xfId="0" applyFill="1" applyBorder="1" applyAlignment="1" applyProtection="1">
      <alignment horizontal="left" vertical="center" wrapText="1"/>
      <protection locked="0"/>
    </xf>
    <xf numFmtId="0" fontId="0" fillId="4" borderId="57" xfId="0" applyFill="1" applyBorder="1" applyAlignment="1" applyProtection="1">
      <alignment horizontal="left" vertical="center" wrapText="1"/>
      <protection locked="0"/>
    </xf>
    <xf numFmtId="0" fontId="14" fillId="9" borderId="51" xfId="0" applyFont="1" applyFill="1" applyBorder="1" applyAlignment="1" applyProtection="1">
      <alignment horizontal="center" vertical="center" textRotation="255"/>
      <protection hidden="1"/>
    </xf>
    <xf numFmtId="0" fontId="14" fillId="9" borderId="53" xfId="0" applyFont="1" applyFill="1" applyBorder="1" applyAlignment="1" applyProtection="1">
      <alignment horizontal="center" vertical="center" textRotation="255"/>
      <protection hidden="1"/>
    </xf>
    <xf numFmtId="0" fontId="14" fillId="9" borderId="43" xfId="0" applyFont="1" applyFill="1" applyBorder="1" applyAlignment="1" applyProtection="1">
      <alignment horizontal="center" vertical="center" textRotation="255"/>
      <protection hidden="1"/>
    </xf>
    <xf numFmtId="0" fontId="2" fillId="0" borderId="53" xfId="0" applyFont="1" applyBorder="1" applyAlignment="1">
      <alignment horizontal="center" vertical="center" wrapText="1"/>
    </xf>
    <xf numFmtId="0" fontId="2" fillId="0" borderId="0" xfId="0" applyFont="1" applyAlignment="1">
      <alignment horizontal="center" vertical="center" wrapText="1"/>
    </xf>
    <xf numFmtId="0" fontId="2" fillId="6" borderId="37" xfId="0" applyFont="1" applyFill="1" applyBorder="1" applyAlignment="1" applyProtection="1">
      <alignment horizontal="center" vertical="center" wrapText="1"/>
      <protection hidden="1"/>
    </xf>
    <xf numFmtId="0" fontId="2" fillId="6" borderId="38" xfId="0" applyFont="1" applyFill="1" applyBorder="1" applyAlignment="1" applyProtection="1">
      <alignment horizontal="center" vertical="center" wrapText="1"/>
      <protection hidden="1"/>
    </xf>
    <xf numFmtId="0" fontId="2" fillId="6" borderId="72" xfId="0" applyFont="1" applyFill="1" applyBorder="1" applyAlignment="1" applyProtection="1">
      <alignment horizontal="center" vertical="center" wrapText="1"/>
      <protection hidden="1"/>
    </xf>
    <xf numFmtId="0" fontId="2" fillId="6" borderId="106" xfId="0" applyFont="1" applyFill="1" applyBorder="1" applyAlignment="1" applyProtection="1">
      <alignment horizontal="center" vertical="center"/>
      <protection hidden="1"/>
    </xf>
    <xf numFmtId="0" fontId="2" fillId="6" borderId="6" xfId="0" applyFont="1" applyFill="1" applyBorder="1" applyAlignment="1" applyProtection="1">
      <alignment horizontal="center" vertical="center"/>
      <protection hidden="1"/>
    </xf>
    <xf numFmtId="0" fontId="2" fillId="6" borderId="128" xfId="0" applyFont="1" applyFill="1" applyBorder="1" applyAlignment="1" applyProtection="1">
      <alignment horizontal="center" vertical="center"/>
      <protection hidden="1"/>
    </xf>
    <xf numFmtId="0" fontId="13" fillId="0" borderId="90" xfId="0" applyFont="1" applyBorder="1" applyAlignment="1" applyProtection="1">
      <alignment horizontal="center" vertical="center" wrapText="1"/>
      <protection hidden="1"/>
    </xf>
    <xf numFmtId="0" fontId="13" fillId="0" borderId="94" xfId="0" applyFont="1" applyBorder="1" applyAlignment="1" applyProtection="1">
      <alignment horizontal="center" vertical="center" wrapText="1"/>
      <protection hidden="1"/>
    </xf>
    <xf numFmtId="0" fontId="2" fillId="8" borderId="73" xfId="0" applyFont="1" applyFill="1" applyBorder="1" applyAlignment="1">
      <alignment horizontal="center" vertical="center"/>
    </xf>
    <xf numFmtId="0" fontId="2" fillId="8" borderId="38" xfId="0" applyFont="1" applyFill="1" applyBorder="1" applyAlignment="1">
      <alignment horizontal="center" vertical="center"/>
    </xf>
    <xf numFmtId="0" fontId="2" fillId="8" borderId="74" xfId="0" applyFont="1" applyFill="1" applyBorder="1" applyAlignment="1">
      <alignment horizontal="center" vertical="center"/>
    </xf>
    <xf numFmtId="0" fontId="13" fillId="6" borderId="50" xfId="0" applyFont="1" applyFill="1" applyBorder="1" applyAlignment="1">
      <alignment horizontal="center" vertical="center" wrapText="1"/>
    </xf>
    <xf numFmtId="0" fontId="13" fillId="6" borderId="34" xfId="0" applyFont="1" applyFill="1" applyBorder="1" applyAlignment="1">
      <alignment horizontal="center" vertical="center" wrapText="1"/>
    </xf>
    <xf numFmtId="0" fontId="13" fillId="6" borderId="36" xfId="0" applyFont="1" applyFill="1" applyBorder="1" applyAlignment="1">
      <alignment horizontal="center" vertical="center" wrapText="1"/>
    </xf>
    <xf numFmtId="0" fontId="13" fillId="6" borderId="75" xfId="0" applyFont="1" applyFill="1" applyBorder="1" applyAlignment="1">
      <alignment horizontal="center" vertical="center" wrapText="1"/>
    </xf>
    <xf numFmtId="0" fontId="13" fillId="6" borderId="67"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3" fillId="7" borderId="22" xfId="0" applyFont="1" applyFill="1" applyBorder="1" applyAlignment="1">
      <alignment horizontal="center" vertical="center" wrapText="1"/>
    </xf>
    <xf numFmtId="0" fontId="13" fillId="7" borderId="19" xfId="0" applyFont="1" applyFill="1" applyBorder="1" applyAlignment="1">
      <alignment horizontal="center" vertical="center"/>
    </xf>
    <xf numFmtId="0" fontId="11" fillId="9" borderId="58" xfId="0" applyFont="1" applyFill="1" applyBorder="1" applyAlignment="1" applyProtection="1">
      <alignment horizontal="center" vertical="center" wrapText="1"/>
      <protection hidden="1"/>
    </xf>
    <xf numFmtId="0" fontId="11" fillId="9" borderId="62" xfId="0" applyFont="1" applyFill="1" applyBorder="1" applyAlignment="1" applyProtection="1">
      <alignment horizontal="center" vertical="center" wrapText="1"/>
      <protection hidden="1"/>
    </xf>
    <xf numFmtId="0" fontId="13" fillId="7" borderId="21" xfId="0" applyFont="1" applyFill="1" applyBorder="1" applyAlignment="1">
      <alignment horizontal="center" vertical="center"/>
    </xf>
    <xf numFmtId="0" fontId="13" fillId="7" borderId="95" xfId="0" applyFont="1" applyFill="1" applyBorder="1" applyAlignment="1">
      <alignment horizontal="center" vertical="center"/>
    </xf>
    <xf numFmtId="0" fontId="2" fillId="10" borderId="63" xfId="0" applyFont="1" applyFill="1" applyBorder="1" applyAlignment="1">
      <alignment horizontal="left" vertical="top"/>
    </xf>
    <xf numFmtId="0" fontId="2" fillId="10" borderId="65" xfId="0" applyFont="1" applyFill="1" applyBorder="1" applyAlignment="1">
      <alignment horizontal="left" vertical="top"/>
    </xf>
    <xf numFmtId="0" fontId="0" fillId="10" borderId="25" xfId="0" applyFill="1" applyBorder="1" applyAlignment="1">
      <alignment horizontal="left" vertical="center" wrapText="1"/>
    </xf>
    <xf numFmtId="0" fontId="0" fillId="10" borderId="26" xfId="0" applyFill="1" applyBorder="1" applyAlignment="1">
      <alignment horizontal="left" vertical="center" wrapText="1"/>
    </xf>
    <xf numFmtId="0" fontId="0" fillId="10" borderId="28" xfId="0" applyFill="1" applyBorder="1" applyAlignment="1">
      <alignment horizontal="left" vertical="center" wrapText="1"/>
    </xf>
    <xf numFmtId="0" fontId="0" fillId="10" borderId="29" xfId="0" applyFill="1" applyBorder="1" applyAlignment="1">
      <alignment horizontal="left" vertical="center" wrapText="1"/>
    </xf>
    <xf numFmtId="0" fontId="0" fillId="0" borderId="0" xfId="0" applyAlignment="1">
      <alignment horizontal="center" vertical="center" wrapText="1"/>
    </xf>
    <xf numFmtId="0" fontId="0" fillId="0" borderId="33" xfId="0" applyBorder="1" applyAlignment="1">
      <alignment horizontal="center" vertical="center" wrapText="1"/>
    </xf>
    <xf numFmtId="0" fontId="2" fillId="0" borderId="0" xfId="0" applyFont="1" applyAlignment="1" applyProtection="1">
      <alignment horizontal="right" vertical="center"/>
      <protection hidden="1"/>
    </xf>
    <xf numFmtId="0" fontId="2" fillId="6" borderId="73" xfId="0" applyFont="1" applyFill="1" applyBorder="1" applyAlignment="1" applyProtection="1">
      <alignment horizontal="center" vertical="center"/>
      <protection hidden="1"/>
    </xf>
    <xf numFmtId="0" fontId="2" fillId="6" borderId="54" xfId="0" applyFont="1" applyFill="1" applyBorder="1" applyAlignment="1" applyProtection="1">
      <alignment horizontal="center" vertical="center"/>
      <protection hidden="1"/>
    </xf>
    <xf numFmtId="0" fontId="2" fillId="6" borderId="74" xfId="0" applyFont="1" applyFill="1" applyBorder="1" applyAlignment="1" applyProtection="1">
      <alignment horizontal="center" vertical="center"/>
      <protection hidden="1"/>
    </xf>
    <xf numFmtId="0" fontId="6" fillId="8" borderId="73" xfId="0" applyFont="1" applyFill="1" applyBorder="1" applyAlignment="1" applyProtection="1">
      <alignment horizontal="center" vertical="center"/>
      <protection hidden="1"/>
    </xf>
    <xf numFmtId="0" fontId="6" fillId="8" borderId="38" xfId="0" applyFont="1" applyFill="1" applyBorder="1" applyAlignment="1" applyProtection="1">
      <alignment horizontal="center" vertical="center"/>
      <protection hidden="1"/>
    </xf>
    <xf numFmtId="0" fontId="6" fillId="8" borderId="54" xfId="0" applyFont="1" applyFill="1" applyBorder="1" applyAlignment="1" applyProtection="1">
      <alignment horizontal="center" vertical="center"/>
      <protection hidden="1"/>
    </xf>
    <xf numFmtId="0" fontId="6" fillId="8" borderId="74" xfId="0" applyFont="1" applyFill="1" applyBorder="1" applyAlignment="1" applyProtection="1">
      <alignment horizontal="center" vertical="center"/>
      <protection hidden="1"/>
    </xf>
    <xf numFmtId="0" fontId="2" fillId="0" borderId="79" xfId="0" applyFont="1" applyBorder="1" applyAlignment="1" applyProtection="1">
      <alignment horizontal="center" vertical="center"/>
      <protection hidden="1"/>
    </xf>
    <xf numFmtId="0" fontId="2" fillId="0" borderId="14" xfId="0" applyFont="1" applyBorder="1" applyAlignment="1" applyProtection="1">
      <alignment horizontal="center" vertical="center"/>
      <protection hidden="1"/>
    </xf>
    <xf numFmtId="0" fontId="2" fillId="15" borderId="22" xfId="0" applyFont="1" applyFill="1" applyBorder="1" applyAlignment="1" applyProtection="1">
      <alignment horizontal="center" vertical="center" wrapText="1"/>
      <protection hidden="1"/>
    </xf>
    <xf numFmtId="0" fontId="2" fillId="6" borderId="58" xfId="0" applyFont="1" applyFill="1" applyBorder="1" applyAlignment="1" applyProtection="1">
      <alignment horizontal="center" vertical="center"/>
      <protection hidden="1"/>
    </xf>
    <xf numFmtId="0" fontId="2" fillId="6" borderId="62" xfId="0" applyFont="1" applyFill="1" applyBorder="1" applyAlignment="1" applyProtection="1">
      <alignment horizontal="center" vertical="center"/>
      <protection hidden="1"/>
    </xf>
    <xf numFmtId="0" fontId="13" fillId="16" borderId="63" xfId="0" applyFont="1" applyFill="1" applyBorder="1" applyAlignment="1" applyProtection="1">
      <alignment horizontal="center" vertical="center" wrapText="1"/>
      <protection hidden="1"/>
    </xf>
    <xf numFmtId="0" fontId="13" fillId="16" borderId="26" xfId="0" applyFont="1" applyFill="1" applyBorder="1" applyAlignment="1" applyProtection="1">
      <alignment horizontal="center" vertical="center" wrapText="1"/>
      <protection hidden="1"/>
    </xf>
    <xf numFmtId="0" fontId="2" fillId="7" borderId="13" xfId="0" applyFont="1" applyFill="1" applyBorder="1" applyAlignment="1" applyProtection="1">
      <alignment horizontal="center" vertical="center" wrapText="1"/>
      <protection hidden="1"/>
    </xf>
    <xf numFmtId="0" fontId="2" fillId="7" borderId="110" xfId="0" applyFont="1" applyFill="1" applyBorder="1" applyAlignment="1" applyProtection="1">
      <alignment horizontal="center" vertical="center" wrapText="1"/>
      <protection hidden="1"/>
    </xf>
    <xf numFmtId="0" fontId="2" fillId="7" borderId="14" xfId="0" applyFont="1" applyFill="1" applyBorder="1" applyAlignment="1" applyProtection="1">
      <alignment horizontal="center" vertical="center" wrapText="1"/>
      <protection hidden="1"/>
    </xf>
    <xf numFmtId="0" fontId="2" fillId="0" borderId="124" xfId="0" applyFont="1" applyBorder="1" applyAlignment="1" applyProtection="1">
      <alignment horizontal="center" vertical="center"/>
      <protection hidden="1"/>
    </xf>
    <xf numFmtId="0" fontId="2" fillId="0" borderId="89" xfId="0" applyFont="1" applyBorder="1" applyAlignment="1" applyProtection="1">
      <alignment horizontal="center" vertical="center"/>
      <protection hidden="1"/>
    </xf>
    <xf numFmtId="0" fontId="2" fillId="0" borderId="41" xfId="0" applyFont="1" applyBorder="1" applyAlignment="1" applyProtection="1">
      <alignment horizontal="left" vertical="center" indent="1"/>
      <protection hidden="1"/>
    </xf>
    <xf numFmtId="0" fontId="2" fillId="0" borderId="10" xfId="0" applyFont="1" applyBorder="1" applyAlignment="1" applyProtection="1">
      <alignment horizontal="left" vertical="center" indent="1"/>
      <protection hidden="1"/>
    </xf>
    <xf numFmtId="0" fontId="2" fillId="0" borderId="11" xfId="0" applyFont="1" applyBorder="1" applyAlignment="1" applyProtection="1">
      <alignment horizontal="left" vertical="center" indent="1"/>
      <protection hidden="1"/>
    </xf>
    <xf numFmtId="0" fontId="26" fillId="0" borderId="10" xfId="0" applyFont="1" applyBorder="1" applyAlignment="1" applyProtection="1">
      <alignment horizontal="left" vertical="center" wrapText="1" indent="1"/>
      <protection hidden="1"/>
    </xf>
    <xf numFmtId="0" fontId="26" fillId="0" borderId="57" xfId="0" applyFont="1" applyBorder="1" applyAlignment="1" applyProtection="1">
      <alignment horizontal="left" vertical="center" wrapText="1" indent="1"/>
      <protection hidden="1"/>
    </xf>
    <xf numFmtId="0" fontId="13" fillId="7" borderId="20" xfId="0" applyFont="1" applyFill="1" applyBorder="1" applyAlignment="1">
      <alignment horizontal="center" vertical="center"/>
    </xf>
    <xf numFmtId="0" fontId="13" fillId="6" borderId="76" xfId="0" applyFont="1" applyFill="1" applyBorder="1" applyAlignment="1">
      <alignment horizontal="center" vertical="center" wrapText="1"/>
    </xf>
    <xf numFmtId="0" fontId="13" fillId="6" borderId="68" xfId="0" applyFont="1" applyFill="1" applyBorder="1" applyAlignment="1">
      <alignment horizontal="center" vertical="center" wrapText="1"/>
    </xf>
    <xf numFmtId="0" fontId="13" fillId="6" borderId="69" xfId="0" applyFont="1" applyFill="1" applyBorder="1" applyAlignment="1">
      <alignment horizontal="center" vertical="center" wrapText="1"/>
    </xf>
    <xf numFmtId="0" fontId="26" fillId="0" borderId="3" xfId="0" applyFont="1" applyBorder="1" applyAlignment="1" applyProtection="1">
      <alignment horizontal="left" vertical="center" wrapText="1" indent="1"/>
      <protection hidden="1"/>
    </xf>
    <xf numFmtId="0" fontId="26" fillId="0" borderId="149" xfId="0" applyFont="1" applyBorder="1" applyAlignment="1" applyProtection="1">
      <alignment horizontal="left" vertical="center" wrapText="1" indent="1"/>
      <protection hidden="1"/>
    </xf>
    <xf numFmtId="0" fontId="11" fillId="9" borderId="54" xfId="0" applyFont="1" applyFill="1" applyBorder="1" applyAlignment="1" applyProtection="1">
      <alignment horizontal="center" vertical="center"/>
      <protection hidden="1"/>
    </xf>
    <xf numFmtId="0" fontId="11" fillId="9" borderId="52" xfId="0" applyFont="1" applyFill="1" applyBorder="1" applyAlignment="1" applyProtection="1">
      <alignment horizontal="center" vertical="center"/>
      <protection hidden="1"/>
    </xf>
    <xf numFmtId="0" fontId="2" fillId="0" borderId="124" xfId="0" applyFont="1" applyBorder="1" applyAlignment="1" applyProtection="1">
      <alignment horizontal="left" vertical="center" indent="1"/>
      <protection hidden="1"/>
    </xf>
    <xf numFmtId="0" fontId="2" fillId="0" borderId="115" xfId="0" applyFont="1" applyBorder="1" applyAlignment="1" applyProtection="1">
      <alignment horizontal="left" vertical="center" indent="1"/>
      <protection hidden="1"/>
    </xf>
    <xf numFmtId="0" fontId="2" fillId="0" borderId="105" xfId="0" applyFont="1" applyBorder="1" applyAlignment="1" applyProtection="1">
      <alignment horizontal="left" vertical="center" indent="1"/>
      <protection hidden="1"/>
    </xf>
    <xf numFmtId="0" fontId="17" fillId="7" borderId="20" xfId="0" applyFont="1" applyFill="1" applyBorder="1" applyAlignment="1" applyProtection="1">
      <alignment horizontal="center" vertical="center"/>
      <protection hidden="1"/>
    </xf>
    <xf numFmtId="0" fontId="17" fillId="7" borderId="32" xfId="0" applyFont="1" applyFill="1" applyBorder="1" applyAlignment="1" applyProtection="1">
      <alignment horizontal="center" vertical="center"/>
      <protection hidden="1"/>
    </xf>
    <xf numFmtId="0" fontId="17" fillId="7" borderId="21" xfId="0" applyFont="1" applyFill="1" applyBorder="1" applyAlignment="1" applyProtection="1">
      <alignment horizontal="center" vertical="center"/>
      <protection hidden="1"/>
    </xf>
    <xf numFmtId="0" fontId="17" fillId="7" borderId="22" xfId="0" applyFont="1" applyFill="1" applyBorder="1" applyAlignment="1" applyProtection="1">
      <alignment horizontal="center" vertical="center"/>
      <protection hidden="1"/>
    </xf>
    <xf numFmtId="0" fontId="2" fillId="7" borderId="13" xfId="0" applyFont="1" applyFill="1" applyBorder="1" applyAlignment="1" applyProtection="1">
      <alignment horizontal="center" vertical="center"/>
      <protection hidden="1"/>
    </xf>
    <xf numFmtId="0" fontId="2" fillId="7" borderId="110" xfId="0" applyFont="1" applyFill="1" applyBorder="1" applyAlignment="1" applyProtection="1">
      <alignment horizontal="center" vertical="center"/>
      <protection hidden="1"/>
    </xf>
    <xf numFmtId="0" fontId="2" fillId="7" borderId="14" xfId="0" applyFont="1" applyFill="1" applyBorder="1" applyAlignment="1" applyProtection="1">
      <alignment horizontal="center" vertical="center"/>
      <protection hidden="1"/>
    </xf>
    <xf numFmtId="0" fontId="13" fillId="0" borderId="122" xfId="0" applyFont="1" applyBorder="1" applyAlignment="1" applyProtection="1">
      <alignment horizontal="center" vertical="center" wrapText="1"/>
      <protection hidden="1"/>
    </xf>
    <xf numFmtId="0" fontId="13" fillId="0" borderId="125" xfId="0" applyFont="1" applyBorder="1" applyAlignment="1" applyProtection="1">
      <alignment horizontal="center" vertical="center"/>
      <protection hidden="1"/>
    </xf>
    <xf numFmtId="0" fontId="11" fillId="9" borderId="58" xfId="0" applyFont="1" applyFill="1" applyBorder="1" applyAlignment="1" applyProtection="1">
      <alignment horizontal="center" vertical="center"/>
      <protection hidden="1"/>
    </xf>
    <xf numFmtId="0" fontId="2" fillId="0" borderId="120" xfId="0" applyFont="1" applyBorder="1" applyAlignment="1" applyProtection="1">
      <alignment horizontal="left" vertical="center" indent="1"/>
      <protection hidden="1"/>
    </xf>
    <xf numFmtId="0" fontId="2" fillId="0" borderId="116" xfId="0" applyFont="1" applyBorder="1" applyAlignment="1" applyProtection="1">
      <alignment horizontal="left" vertical="center" indent="1"/>
      <protection hidden="1"/>
    </xf>
    <xf numFmtId="0" fontId="2" fillId="0" borderId="117" xfId="0" applyFont="1" applyBorder="1" applyAlignment="1" applyProtection="1">
      <alignment horizontal="left" vertical="center" indent="1"/>
      <protection hidden="1"/>
    </xf>
    <xf numFmtId="0" fontId="0" fillId="0" borderId="6" xfId="0" applyBorder="1" applyAlignment="1">
      <alignment horizontal="center" vertical="center" wrapText="1"/>
    </xf>
    <xf numFmtId="0" fontId="26" fillId="0" borderId="116" xfId="0" applyFont="1" applyBorder="1" applyAlignment="1" applyProtection="1">
      <alignment horizontal="left" vertical="center" wrapText="1" indent="1"/>
      <protection hidden="1"/>
    </xf>
    <xf numFmtId="0" fontId="26" fillId="0" borderId="121" xfId="0" applyFont="1" applyBorder="1" applyAlignment="1" applyProtection="1">
      <alignment horizontal="left" vertical="center" wrapText="1" indent="1"/>
      <protection hidden="1"/>
    </xf>
    <xf numFmtId="0" fontId="2" fillId="0" borderId="78" xfId="0" applyFont="1" applyBorder="1" applyAlignment="1" applyProtection="1">
      <alignment horizontal="center" vertical="center" wrapText="1"/>
      <protection hidden="1"/>
    </xf>
    <xf numFmtId="0" fontId="2" fillId="0" borderId="66" xfId="0" applyFont="1" applyBorder="1" applyAlignment="1" applyProtection="1">
      <alignment horizontal="center" vertical="center" wrapText="1"/>
      <protection hidden="1"/>
    </xf>
    <xf numFmtId="0" fontId="2" fillId="0" borderId="39" xfId="0" applyFont="1" applyBorder="1" applyAlignment="1" applyProtection="1">
      <alignment horizontal="center" vertical="center" wrapText="1"/>
      <protection hidden="1"/>
    </xf>
    <xf numFmtId="0" fontId="2" fillId="0" borderId="69" xfId="0" applyFont="1" applyBorder="1" applyAlignment="1" applyProtection="1">
      <alignment horizontal="center" vertical="center" wrapText="1"/>
      <protection hidden="1"/>
    </xf>
    <xf numFmtId="0" fontId="2" fillId="15" borderId="20" xfId="0" applyFont="1" applyFill="1" applyBorder="1" applyAlignment="1" applyProtection="1">
      <alignment horizontal="center" vertical="center" wrapText="1"/>
      <protection hidden="1"/>
    </xf>
    <xf numFmtId="0" fontId="13" fillId="7" borderId="20" xfId="0" applyFont="1" applyFill="1" applyBorder="1" applyAlignment="1" applyProtection="1">
      <alignment horizontal="center" vertical="center"/>
      <protection hidden="1"/>
    </xf>
    <xf numFmtId="0" fontId="13" fillId="7" borderId="21" xfId="0" applyFont="1" applyFill="1" applyBorder="1" applyAlignment="1" applyProtection="1">
      <alignment horizontal="center" vertical="center"/>
      <protection hidden="1"/>
    </xf>
    <xf numFmtId="0" fontId="13" fillId="7" borderId="22" xfId="0" applyFont="1" applyFill="1" applyBorder="1" applyAlignment="1" applyProtection="1">
      <alignment horizontal="center" vertical="center"/>
      <protection hidden="1"/>
    </xf>
    <xf numFmtId="0" fontId="13" fillId="0" borderId="14" xfId="0" applyFont="1" applyBorder="1" applyAlignment="1" applyProtection="1">
      <alignment horizontal="center" vertical="center" wrapText="1"/>
      <protection hidden="1"/>
    </xf>
    <xf numFmtId="0" fontId="13" fillId="0" borderId="89" xfId="0" applyFont="1" applyBorder="1" applyAlignment="1" applyProtection="1">
      <alignment horizontal="center" vertical="center"/>
      <protection hidden="1"/>
    </xf>
    <xf numFmtId="0" fontId="2" fillId="6" borderId="107" xfId="0" applyFont="1" applyFill="1" applyBorder="1" applyAlignment="1" applyProtection="1">
      <alignment horizontal="center" vertical="center" wrapText="1"/>
      <protection hidden="1"/>
    </xf>
    <xf numFmtId="0" fontId="2" fillId="14" borderId="21" xfId="0" applyFont="1" applyFill="1" applyBorder="1" applyAlignment="1" applyProtection="1">
      <alignment horizontal="center" vertical="center" wrapText="1"/>
      <protection hidden="1"/>
    </xf>
    <xf numFmtId="0" fontId="13" fillId="0" borderId="93" xfId="0" applyFont="1" applyBorder="1" applyAlignment="1" applyProtection="1">
      <alignment horizontal="center" vertical="center" wrapText="1"/>
      <protection hidden="1"/>
    </xf>
    <xf numFmtId="0" fontId="27" fillId="0" borderId="93" xfId="0" applyFont="1" applyBorder="1" applyAlignment="1" applyProtection="1">
      <alignment horizontal="center" vertical="center" wrapText="1"/>
      <protection hidden="1"/>
    </xf>
    <xf numFmtId="0" fontId="27" fillId="0" borderId="90" xfId="0" applyFont="1" applyBorder="1" applyAlignment="1" applyProtection="1">
      <alignment horizontal="center" vertical="center" wrapText="1"/>
      <protection hidden="1"/>
    </xf>
    <xf numFmtId="0" fontId="27" fillId="0" borderId="94" xfId="0" applyFont="1" applyBorder="1" applyAlignment="1" applyProtection="1">
      <alignment horizontal="center" vertical="center" wrapText="1"/>
      <protection hidden="1"/>
    </xf>
    <xf numFmtId="0" fontId="0" fillId="4" borderId="115" xfId="0" applyFill="1" applyBorder="1" applyAlignment="1" applyProtection="1">
      <alignment horizontal="left" vertical="center" wrapText="1"/>
      <protection locked="0"/>
    </xf>
    <xf numFmtId="0" fontId="0" fillId="4" borderId="140" xfId="0" applyFill="1" applyBorder="1" applyAlignment="1" applyProtection="1">
      <alignment horizontal="left" vertical="center" wrapText="1"/>
      <protection locked="0"/>
    </xf>
    <xf numFmtId="0" fontId="11" fillId="14" borderId="58" xfId="0" applyFont="1" applyFill="1" applyBorder="1" applyAlignment="1">
      <alignment horizontal="center" vertical="center"/>
    </xf>
    <xf numFmtId="0" fontId="11" fillId="14" borderId="62" xfId="0" applyFont="1" applyFill="1" applyBorder="1" applyAlignment="1">
      <alignment horizontal="center" vertical="center"/>
    </xf>
    <xf numFmtId="0" fontId="0" fillId="4" borderId="155" xfId="0" applyFill="1" applyBorder="1" applyAlignment="1" applyProtection="1">
      <alignment horizontal="left" vertical="center" wrapText="1"/>
      <protection locked="0"/>
    </xf>
    <xf numFmtId="0" fontId="0" fillId="4" borderId="6" xfId="0" applyFill="1" applyBorder="1" applyAlignment="1" applyProtection="1">
      <alignment horizontal="left" vertical="center" wrapText="1"/>
      <protection locked="0"/>
    </xf>
    <xf numFmtId="0" fontId="0" fillId="4" borderId="56" xfId="0" applyFill="1" applyBorder="1" applyAlignment="1" applyProtection="1">
      <alignment horizontal="left" vertical="center" wrapText="1"/>
      <protection locked="0"/>
    </xf>
    <xf numFmtId="0" fontId="0" fillId="4" borderId="41" xfId="0" applyFill="1" applyBorder="1" applyAlignment="1" applyProtection="1">
      <alignment horizontal="left" vertical="center" wrapText="1"/>
      <protection locked="0"/>
    </xf>
    <xf numFmtId="0" fontId="2" fillId="6" borderId="130" xfId="0" applyFont="1" applyFill="1" applyBorder="1" applyAlignment="1">
      <alignment horizontal="center" vertical="center"/>
    </xf>
    <xf numFmtId="0" fontId="2" fillId="6" borderId="39" xfId="0" applyFont="1" applyFill="1" applyBorder="1" applyAlignment="1">
      <alignment horizontal="center" vertical="center"/>
    </xf>
    <xf numFmtId="0" fontId="13" fillId="6" borderId="131" xfId="0" applyFont="1" applyFill="1" applyBorder="1" applyAlignment="1">
      <alignment horizontal="center" vertical="center" wrapText="1"/>
    </xf>
    <xf numFmtId="0" fontId="13" fillId="6" borderId="132" xfId="0" applyFont="1" applyFill="1" applyBorder="1" applyAlignment="1">
      <alignment horizontal="center" vertical="center" wrapText="1"/>
    </xf>
    <xf numFmtId="0" fontId="2" fillId="6" borderId="51" xfId="0" applyFont="1" applyFill="1" applyBorder="1" applyAlignment="1">
      <alignment horizontal="center" vertical="center" wrapText="1"/>
    </xf>
    <xf numFmtId="0" fontId="2" fillId="6" borderId="54" xfId="0" applyFont="1" applyFill="1" applyBorder="1" applyAlignment="1">
      <alignment horizontal="center" vertical="center" wrapText="1"/>
    </xf>
    <xf numFmtId="0" fontId="2" fillId="6" borderId="52" xfId="0" applyFont="1" applyFill="1" applyBorder="1" applyAlignment="1">
      <alignment horizontal="center" vertical="center" wrapText="1"/>
    </xf>
    <xf numFmtId="0" fontId="2" fillId="6" borderId="156" xfId="0" applyFont="1" applyFill="1" applyBorder="1" applyAlignment="1">
      <alignment horizontal="center" vertical="center" wrapText="1"/>
    </xf>
    <xf numFmtId="0" fontId="2" fillId="6" borderId="28" xfId="0" applyFont="1" applyFill="1" applyBorder="1" applyAlignment="1">
      <alignment horizontal="center" vertical="center" wrapText="1"/>
    </xf>
    <xf numFmtId="0" fontId="2" fillId="6" borderId="129" xfId="0" applyFont="1" applyFill="1" applyBorder="1" applyAlignment="1">
      <alignment horizontal="center" vertical="center" wrapText="1"/>
    </xf>
    <xf numFmtId="0" fontId="2" fillId="0" borderId="0" xfId="0" applyFont="1" applyAlignment="1">
      <alignment horizontal="right" vertical="center"/>
    </xf>
    <xf numFmtId="0" fontId="11" fillId="14" borderId="54" xfId="0" applyFont="1" applyFill="1" applyBorder="1" applyAlignment="1">
      <alignment horizontal="center" vertical="center"/>
    </xf>
    <xf numFmtId="0" fontId="11" fillId="14" borderId="52" xfId="0" applyFont="1" applyFill="1" applyBorder="1" applyAlignment="1">
      <alignment horizontal="center" vertical="center"/>
    </xf>
    <xf numFmtId="0" fontId="13" fillId="7" borderId="66" xfId="0" applyFont="1" applyFill="1" applyBorder="1" applyAlignment="1">
      <alignment horizontal="center" vertical="center" wrapText="1"/>
    </xf>
    <xf numFmtId="0" fontId="13" fillId="7" borderId="69" xfId="0" applyFont="1" applyFill="1" applyBorder="1" applyAlignment="1">
      <alignment horizontal="center" vertical="center" wrapText="1"/>
    </xf>
    <xf numFmtId="0" fontId="13" fillId="7" borderId="20" xfId="0" applyFont="1" applyFill="1" applyBorder="1" applyAlignment="1">
      <alignment horizontal="center" vertical="center" wrapText="1"/>
    </xf>
    <xf numFmtId="0" fontId="13" fillId="7" borderId="92" xfId="0" applyFont="1" applyFill="1" applyBorder="1" applyAlignment="1">
      <alignment horizontal="center" vertical="center" wrapText="1"/>
    </xf>
    <xf numFmtId="0" fontId="0" fillId="10" borderId="28" xfId="0" applyFill="1" applyBorder="1" applyAlignment="1">
      <alignment horizontal="left" vertical="center"/>
    </xf>
    <xf numFmtId="0" fontId="0" fillId="10" borderId="29" xfId="0" applyFill="1" applyBorder="1" applyAlignment="1">
      <alignment horizontal="left" vertical="center"/>
    </xf>
    <xf numFmtId="0" fontId="2" fillId="6" borderId="37" xfId="0" applyFont="1" applyFill="1" applyBorder="1" applyAlignment="1">
      <alignment horizontal="center" vertical="center" wrapText="1"/>
    </xf>
    <xf numFmtId="0" fontId="2" fillId="6" borderId="38" xfId="0" applyFont="1" applyFill="1" applyBorder="1" applyAlignment="1">
      <alignment horizontal="center" vertical="center" wrapText="1"/>
    </xf>
    <xf numFmtId="0" fontId="2" fillId="6" borderId="72" xfId="0" applyFont="1" applyFill="1" applyBorder="1" applyAlignment="1">
      <alignment horizontal="center" vertical="center" wrapText="1"/>
    </xf>
    <xf numFmtId="0" fontId="2" fillId="6" borderId="73" xfId="0" applyFont="1" applyFill="1" applyBorder="1" applyAlignment="1">
      <alignment horizontal="center" vertical="center"/>
    </xf>
    <xf numFmtId="0" fontId="2" fillId="6" borderId="54" xfId="0" applyFont="1" applyFill="1" applyBorder="1" applyAlignment="1">
      <alignment horizontal="center" vertical="center"/>
    </xf>
    <xf numFmtId="0" fontId="2" fillId="6" borderId="74" xfId="0" applyFont="1" applyFill="1" applyBorder="1" applyAlignment="1">
      <alignment horizontal="center" vertical="center"/>
    </xf>
    <xf numFmtId="0" fontId="13" fillId="6" borderId="93" xfId="0" applyFont="1" applyFill="1" applyBorder="1" applyAlignment="1">
      <alignment horizontal="center" vertical="center" wrapText="1"/>
    </xf>
    <xf numFmtId="0" fontId="13" fillId="6" borderId="90" xfId="0" applyFont="1" applyFill="1" applyBorder="1" applyAlignment="1">
      <alignment horizontal="center" vertical="center" wrapText="1"/>
    </xf>
    <xf numFmtId="0" fontId="13" fillId="6" borderId="94" xfId="0" applyFont="1" applyFill="1" applyBorder="1" applyAlignment="1">
      <alignment horizontal="center" vertical="center" wrapText="1"/>
    </xf>
    <xf numFmtId="0" fontId="0" fillId="10" borderId="0" xfId="0" applyFill="1" applyAlignment="1">
      <alignment horizontal="left" vertical="center"/>
    </xf>
    <xf numFmtId="0" fontId="0" fillId="10" borderId="27" xfId="0" applyFill="1" applyBorder="1" applyAlignment="1">
      <alignment horizontal="left" vertical="center"/>
    </xf>
    <xf numFmtId="0" fontId="0" fillId="10" borderId="87" xfId="0" applyFill="1" applyBorder="1" applyAlignment="1">
      <alignment horizontal="left" vertical="center" wrapText="1"/>
    </xf>
    <xf numFmtId="0" fontId="0" fillId="10" borderId="88" xfId="0" applyFill="1" applyBorder="1" applyAlignment="1">
      <alignment horizontal="left" vertical="center" wrapText="1"/>
    </xf>
    <xf numFmtId="0" fontId="13" fillId="6" borderId="77" xfId="0" applyFont="1" applyFill="1" applyBorder="1" applyAlignment="1">
      <alignment horizontal="center" vertical="center" wrapText="1"/>
    </xf>
    <xf numFmtId="0" fontId="13" fillId="6" borderId="60" xfId="0" applyFont="1" applyFill="1" applyBorder="1" applyAlignment="1">
      <alignment horizontal="center" vertical="center" wrapText="1"/>
    </xf>
    <xf numFmtId="0" fontId="13" fillId="6" borderId="61" xfId="0" applyFont="1" applyFill="1" applyBorder="1" applyAlignment="1">
      <alignment horizontal="center" vertical="center" wrapText="1"/>
    </xf>
    <xf numFmtId="0" fontId="14" fillId="14" borderId="51" xfId="0" applyFont="1" applyFill="1" applyBorder="1" applyAlignment="1">
      <alignment horizontal="center" vertical="center" textRotation="255"/>
    </xf>
    <xf numFmtId="0" fontId="14" fillId="14" borderId="53" xfId="0" applyFont="1" applyFill="1" applyBorder="1" applyAlignment="1">
      <alignment horizontal="center" vertical="center" textRotation="255"/>
    </xf>
    <xf numFmtId="0" fontId="14" fillId="14" borderId="43" xfId="0" applyFont="1" applyFill="1" applyBorder="1" applyAlignment="1">
      <alignment horizontal="center" vertical="center" textRotation="255"/>
    </xf>
    <xf numFmtId="0" fontId="13" fillId="7" borderId="46" xfId="0" applyFont="1" applyFill="1" applyBorder="1" applyAlignment="1">
      <alignment horizontal="center" vertical="center" wrapText="1"/>
    </xf>
    <xf numFmtId="0" fontId="13" fillId="7" borderId="47" xfId="0" applyFont="1" applyFill="1" applyBorder="1" applyAlignment="1">
      <alignment horizontal="center" vertical="center"/>
    </xf>
    <xf numFmtId="0" fontId="13" fillId="7" borderId="78" xfId="0" applyFont="1" applyFill="1" applyBorder="1" applyAlignment="1">
      <alignment horizontal="center" vertical="center" wrapText="1"/>
    </xf>
    <xf numFmtId="0" fontId="13" fillId="7" borderId="35" xfId="0" applyFont="1" applyFill="1" applyBorder="1" applyAlignment="1">
      <alignment horizontal="center" vertical="center" wrapText="1"/>
    </xf>
    <xf numFmtId="0" fontId="13" fillId="7" borderId="39" xfId="0" applyFont="1" applyFill="1" applyBorder="1" applyAlignment="1">
      <alignment horizontal="center" vertical="center" wrapText="1"/>
    </xf>
    <xf numFmtId="0" fontId="13" fillId="7" borderId="36" xfId="0" applyFont="1" applyFill="1" applyBorder="1" applyAlignment="1">
      <alignment horizontal="center" vertical="center" wrapText="1"/>
    </xf>
    <xf numFmtId="0" fontId="2" fillId="0" borderId="79" xfId="0" applyFont="1" applyBorder="1" applyAlignment="1">
      <alignment horizontal="center" vertical="center"/>
    </xf>
    <xf numFmtId="0" fontId="2" fillId="0" borderId="32" xfId="0" applyFont="1" applyBorder="1" applyAlignment="1">
      <alignment horizontal="center" vertical="center"/>
    </xf>
    <xf numFmtId="0" fontId="2" fillId="0" borderId="41" xfId="0" applyFont="1" applyBorder="1" applyAlignment="1">
      <alignment horizontal="center" vertical="center"/>
    </xf>
    <xf numFmtId="0" fontId="2" fillId="0" borderId="11" xfId="0" applyFont="1" applyBorder="1" applyAlignment="1">
      <alignment horizontal="center" vertical="center"/>
    </xf>
    <xf numFmtId="0" fontId="11" fillId="14" borderId="58" xfId="0" applyFont="1" applyFill="1" applyBorder="1" applyAlignment="1">
      <alignment horizontal="center" vertical="center" wrapText="1"/>
    </xf>
    <xf numFmtId="0" fontId="11" fillId="14" borderId="62" xfId="0" applyFont="1" applyFill="1" applyBorder="1" applyAlignment="1">
      <alignment horizontal="center" vertical="center" wrapText="1"/>
    </xf>
    <xf numFmtId="0" fontId="2" fillId="0" borderId="146" xfId="0" applyFont="1" applyBorder="1" applyAlignment="1">
      <alignment horizontal="center" vertical="center"/>
    </xf>
    <xf numFmtId="0" fontId="2" fillId="0" borderId="4" xfId="0" applyFont="1" applyBorder="1" applyAlignment="1">
      <alignment horizontal="center" vertical="center"/>
    </xf>
    <xf numFmtId="0" fontId="13" fillId="7" borderId="22" xfId="0" applyFont="1" applyFill="1" applyBorder="1" applyAlignment="1">
      <alignment horizontal="center" vertical="center"/>
    </xf>
    <xf numFmtId="0" fontId="26" fillId="0" borderId="103" xfId="0" applyFont="1" applyBorder="1" applyAlignment="1" applyProtection="1">
      <alignment horizontal="left" vertical="center" wrapText="1" indent="1"/>
      <protection hidden="1"/>
    </xf>
    <xf numFmtId="0" fontId="26" fillId="0" borderId="114" xfId="0" applyFont="1" applyBorder="1" applyAlignment="1" applyProtection="1">
      <alignment horizontal="left" vertical="center" wrapText="1" indent="1"/>
      <protection hidden="1"/>
    </xf>
    <xf numFmtId="0" fontId="26" fillId="0" borderId="115" xfId="0" applyFont="1" applyBorder="1" applyAlignment="1" applyProtection="1">
      <alignment horizontal="left" vertical="center" wrapText="1" indent="1"/>
      <protection hidden="1"/>
    </xf>
    <xf numFmtId="0" fontId="26" fillId="0" borderId="140" xfId="0" applyFont="1" applyBorder="1" applyAlignment="1" applyProtection="1">
      <alignment horizontal="left" vertical="center" wrapText="1" indent="1"/>
      <protection hidden="1"/>
    </xf>
    <xf numFmtId="0" fontId="11" fillId="9" borderId="62" xfId="0" applyFont="1" applyFill="1" applyBorder="1" applyAlignment="1" applyProtection="1">
      <alignment horizontal="center" vertical="center"/>
      <protection hidden="1"/>
    </xf>
    <xf numFmtId="0" fontId="13" fillId="6" borderId="65" xfId="0" applyFont="1" applyFill="1" applyBorder="1" applyAlignment="1" applyProtection="1">
      <alignment horizontal="center" vertical="center"/>
      <protection hidden="1"/>
    </xf>
    <xf numFmtId="0" fontId="13" fillId="6" borderId="28" xfId="0" applyFont="1" applyFill="1" applyBorder="1" applyAlignment="1" applyProtection="1">
      <alignment horizontal="center" vertical="center"/>
      <protection hidden="1"/>
    </xf>
    <xf numFmtId="0" fontId="13" fillId="6" borderId="29" xfId="0" applyFont="1" applyFill="1" applyBorder="1" applyAlignment="1" applyProtection="1">
      <alignment horizontal="center" vertical="center"/>
      <protection hidden="1"/>
    </xf>
    <xf numFmtId="0" fontId="27" fillId="6" borderId="65" xfId="0" applyFont="1" applyFill="1" applyBorder="1" applyAlignment="1" applyProtection="1">
      <alignment horizontal="center" vertical="center"/>
      <protection hidden="1"/>
    </xf>
    <xf numFmtId="0" fontId="27" fillId="6" borderId="28" xfId="0" applyFont="1" applyFill="1" applyBorder="1" applyAlignment="1" applyProtection="1">
      <alignment horizontal="center" vertical="center"/>
      <protection hidden="1"/>
    </xf>
    <xf numFmtId="0" fontId="27" fillId="6" borderId="29" xfId="0" applyFont="1" applyFill="1" applyBorder="1" applyAlignment="1" applyProtection="1">
      <alignment horizontal="center" vertical="center"/>
      <protection hidden="1"/>
    </xf>
    <xf numFmtId="0" fontId="2" fillId="6" borderId="52" xfId="0" applyFont="1" applyFill="1" applyBorder="1" applyAlignment="1" applyProtection="1">
      <alignment horizontal="center" vertical="center"/>
      <protection hidden="1"/>
    </xf>
    <xf numFmtId="0" fontId="2" fillId="6" borderId="5" xfId="0" applyFont="1" applyFill="1" applyBorder="1" applyAlignment="1" applyProtection="1">
      <alignment horizontal="center" vertical="top" wrapText="1"/>
      <protection hidden="1"/>
    </xf>
    <xf numFmtId="0" fontId="2" fillId="6" borderId="6" xfId="0" applyFont="1" applyFill="1" applyBorder="1" applyAlignment="1" applyProtection="1">
      <alignment horizontal="center" vertical="top" wrapText="1"/>
      <protection hidden="1"/>
    </xf>
    <xf numFmtId="0" fontId="2" fillId="6" borderId="56" xfId="0" applyFont="1" applyFill="1" applyBorder="1" applyAlignment="1" applyProtection="1">
      <alignment horizontal="center" vertical="top" wrapText="1"/>
      <protection hidden="1"/>
    </xf>
    <xf numFmtId="0" fontId="26" fillId="0" borderId="95" xfId="0" applyFont="1" applyBorder="1" applyAlignment="1" applyProtection="1">
      <alignment horizontal="left" vertical="center" wrapText="1" indent="1"/>
      <protection hidden="1"/>
    </xf>
    <xf numFmtId="0" fontId="26" fillId="0" borderId="110" xfId="0" applyFont="1" applyBorder="1" applyAlignment="1" applyProtection="1">
      <alignment horizontal="left" vertical="center" wrapText="1" indent="1"/>
      <protection hidden="1"/>
    </xf>
    <xf numFmtId="0" fontId="26" fillId="0" borderId="148" xfId="0" applyFont="1" applyBorder="1" applyAlignment="1" applyProtection="1">
      <alignment horizontal="left" vertical="center" wrapText="1" indent="1"/>
      <protection hidden="1"/>
    </xf>
    <xf numFmtId="0" fontId="2" fillId="6" borderId="107" xfId="0" applyFont="1" applyFill="1" applyBorder="1" applyAlignment="1" applyProtection="1">
      <alignment horizontal="center" vertical="center"/>
      <protection hidden="1"/>
    </xf>
    <xf numFmtId="0" fontId="2" fillId="6" borderId="38" xfId="0" applyFont="1" applyFill="1" applyBorder="1" applyAlignment="1" applyProtection="1">
      <alignment horizontal="center" vertical="center"/>
      <protection hidden="1"/>
    </xf>
    <xf numFmtId="0" fontId="2" fillId="6" borderId="72" xfId="0" applyFont="1" applyFill="1" applyBorder="1" applyAlignment="1" applyProtection="1">
      <alignment horizontal="center" vertical="center"/>
      <protection hidden="1"/>
    </xf>
    <xf numFmtId="0" fontId="33" fillId="6" borderId="65" xfId="0" applyFont="1" applyFill="1" applyBorder="1" applyAlignment="1" applyProtection="1">
      <alignment horizontal="center" vertical="center"/>
      <protection hidden="1"/>
    </xf>
    <xf numFmtId="0" fontId="33" fillId="6" borderId="28" xfId="0" applyFont="1" applyFill="1" applyBorder="1" applyAlignment="1" applyProtection="1">
      <alignment horizontal="center" vertical="center"/>
      <protection hidden="1"/>
    </xf>
    <xf numFmtId="0" fontId="33" fillId="6" borderId="29" xfId="0" applyFont="1" applyFill="1" applyBorder="1" applyAlignment="1" applyProtection="1">
      <alignment horizontal="center" vertical="center"/>
      <protection hidden="1"/>
    </xf>
    <xf numFmtId="0" fontId="0" fillId="4" borderId="70" xfId="0" applyFill="1" applyBorder="1" applyAlignment="1" applyProtection="1">
      <alignment horizontal="left" vertical="center" wrapText="1"/>
      <protection locked="0"/>
    </xf>
    <xf numFmtId="0" fontId="0" fillId="4" borderId="154" xfId="0" applyFill="1" applyBorder="1" applyAlignment="1" applyProtection="1">
      <alignment horizontal="left" vertical="center" wrapText="1"/>
      <protection locked="0"/>
    </xf>
    <xf numFmtId="0" fontId="0" fillId="4" borderId="3" xfId="0" applyFill="1" applyBorder="1" applyAlignment="1" applyProtection="1">
      <alignment horizontal="left" vertical="center" wrapText="1"/>
      <protection locked="0"/>
    </xf>
    <xf numFmtId="0" fontId="0" fillId="4" borderId="149" xfId="0" applyFill="1" applyBorder="1" applyAlignment="1" applyProtection="1">
      <alignment horizontal="left" vertical="center" wrapText="1"/>
      <protection locked="0"/>
    </xf>
    <xf numFmtId="0" fontId="0" fillId="4" borderId="106" xfId="0" applyFill="1" applyBorder="1" applyAlignment="1" applyProtection="1">
      <alignment horizontal="left" vertical="center" wrapText="1"/>
      <protection locked="0"/>
    </xf>
    <xf numFmtId="0" fontId="2" fillId="8" borderId="38" xfId="0" applyFont="1" applyFill="1" applyBorder="1" applyAlignment="1" applyProtection="1">
      <alignment horizontal="center" vertical="center"/>
      <protection hidden="1"/>
    </xf>
    <xf numFmtId="0" fontId="2" fillId="8" borderId="54" xfId="0" applyFont="1" applyFill="1" applyBorder="1" applyAlignment="1" applyProtection="1">
      <alignment horizontal="center" vertical="center"/>
      <protection hidden="1"/>
    </xf>
    <xf numFmtId="0" fontId="2" fillId="8" borderId="74" xfId="0" applyFont="1" applyFill="1" applyBorder="1" applyAlignment="1" applyProtection="1">
      <alignment horizontal="center" vertical="center"/>
      <protection hidden="1"/>
    </xf>
    <xf numFmtId="0" fontId="13" fillId="7" borderId="32" xfId="0" applyFont="1" applyFill="1" applyBorder="1" applyAlignment="1" applyProtection="1">
      <alignment horizontal="center" vertical="center"/>
      <protection hidden="1"/>
    </xf>
    <xf numFmtId="0" fontId="33" fillId="7" borderId="110" xfId="0" applyFont="1" applyFill="1" applyBorder="1" applyAlignment="1" applyProtection="1">
      <alignment horizontal="center" vertical="center" wrapText="1"/>
      <protection hidden="1"/>
    </xf>
    <xf numFmtId="0" fontId="33" fillId="7" borderId="14" xfId="0" applyFont="1" applyFill="1" applyBorder="1" applyAlignment="1" applyProtection="1">
      <alignment horizontal="center" vertical="center" wrapText="1"/>
      <protection hidden="1"/>
    </xf>
    <xf numFmtId="0" fontId="2" fillId="8" borderId="73" xfId="0" applyFont="1" applyFill="1" applyBorder="1" applyAlignment="1" applyProtection="1">
      <alignment horizontal="center" vertical="center"/>
      <protection hidden="1"/>
    </xf>
    <xf numFmtId="0" fontId="33" fillId="7" borderId="13" xfId="0" applyFont="1" applyFill="1" applyBorder="1" applyAlignment="1" applyProtection="1">
      <alignment horizontal="center" vertical="center" wrapText="1"/>
      <protection hidden="1"/>
    </xf>
    <xf numFmtId="0" fontId="2" fillId="14" borderId="96" xfId="0" applyFont="1" applyFill="1" applyBorder="1" applyAlignment="1" applyProtection="1">
      <alignment horizontal="center" vertical="center" wrapText="1"/>
      <protection hidden="1"/>
    </xf>
    <xf numFmtId="0" fontId="2" fillId="14" borderId="98" xfId="0" applyFont="1" applyFill="1" applyBorder="1" applyAlignment="1" applyProtection="1">
      <alignment horizontal="center" vertical="center" wrapText="1"/>
      <protection hidden="1"/>
    </xf>
    <xf numFmtId="0" fontId="2" fillId="14" borderId="14" xfId="0" applyFont="1" applyFill="1" applyBorder="1" applyAlignment="1" applyProtection="1">
      <alignment horizontal="center" vertical="center" wrapText="1"/>
      <protection hidden="1"/>
    </xf>
    <xf numFmtId="0" fontId="2" fillId="14" borderId="89" xfId="0" applyFont="1" applyFill="1" applyBorder="1" applyAlignment="1" applyProtection="1">
      <alignment horizontal="center" vertical="center" wrapText="1"/>
      <protection hidden="1"/>
    </xf>
    <xf numFmtId="0" fontId="2" fillId="14" borderId="13" xfId="0" applyFont="1" applyFill="1" applyBorder="1" applyAlignment="1" applyProtection="1">
      <alignment horizontal="center" vertical="center"/>
      <protection hidden="1"/>
    </xf>
    <xf numFmtId="0" fontId="2" fillId="14" borderId="92" xfId="0" applyFont="1" applyFill="1" applyBorder="1" applyAlignment="1" applyProtection="1">
      <alignment horizontal="center" vertical="center"/>
      <protection hidden="1"/>
    </xf>
    <xf numFmtId="0" fontId="2" fillId="14" borderId="20" xfId="0" applyFont="1" applyFill="1" applyBorder="1" applyAlignment="1" applyProtection="1">
      <alignment horizontal="center" vertical="center"/>
      <protection hidden="1"/>
    </xf>
    <xf numFmtId="0" fontId="2" fillId="14" borderId="21" xfId="0" applyFont="1" applyFill="1" applyBorder="1" applyAlignment="1" applyProtection="1">
      <alignment horizontal="center" vertical="center"/>
      <protection hidden="1"/>
    </xf>
    <xf numFmtId="0" fontId="2" fillId="14" borderId="22" xfId="0" applyFont="1" applyFill="1" applyBorder="1" applyAlignment="1" applyProtection="1">
      <alignment horizontal="center" vertical="center"/>
      <protection hidden="1"/>
    </xf>
    <xf numFmtId="0" fontId="6" fillId="14" borderId="20" xfId="0" applyFont="1" applyFill="1" applyBorder="1" applyAlignment="1" applyProtection="1">
      <alignment horizontal="center" vertical="center"/>
      <protection hidden="1"/>
    </xf>
    <xf numFmtId="0" fontId="6" fillId="14" borderId="21" xfId="0" applyFont="1" applyFill="1" applyBorder="1" applyAlignment="1" applyProtection="1">
      <alignment horizontal="center" vertical="center"/>
      <protection hidden="1"/>
    </xf>
    <xf numFmtId="0" fontId="6" fillId="14" borderId="22" xfId="0" applyFont="1" applyFill="1" applyBorder="1" applyAlignment="1" applyProtection="1">
      <alignment horizontal="center" vertical="center"/>
      <protection hidden="1"/>
    </xf>
    <xf numFmtId="0" fontId="2" fillId="9" borderId="13" xfId="0" applyFont="1" applyFill="1" applyBorder="1" applyAlignment="1" applyProtection="1">
      <alignment horizontal="center" vertical="center"/>
      <protection hidden="1"/>
    </xf>
    <xf numFmtId="0" fontId="2" fillId="9" borderId="92" xfId="0" applyFont="1" applyFill="1" applyBorder="1" applyAlignment="1" applyProtection="1">
      <alignment horizontal="center" vertical="center"/>
      <protection hidden="1"/>
    </xf>
    <xf numFmtId="0" fontId="2" fillId="9" borderId="96" xfId="0" applyFont="1" applyFill="1" applyBorder="1" applyAlignment="1" applyProtection="1">
      <alignment horizontal="center" vertical="center" wrapText="1"/>
      <protection hidden="1"/>
    </xf>
    <xf numFmtId="0" fontId="2" fillId="9" borderId="98" xfId="0" applyFont="1" applyFill="1" applyBorder="1" applyAlignment="1" applyProtection="1">
      <alignment horizontal="center" vertical="center" wrapText="1"/>
      <protection hidden="1"/>
    </xf>
    <xf numFmtId="0" fontId="2" fillId="9" borderId="20" xfId="0" applyFont="1" applyFill="1" applyBorder="1" applyAlignment="1" applyProtection="1">
      <alignment horizontal="center" vertical="center"/>
      <protection hidden="1"/>
    </xf>
    <xf numFmtId="0" fontId="2" fillId="9" borderId="21" xfId="0" applyFont="1" applyFill="1" applyBorder="1" applyAlignment="1" applyProtection="1">
      <alignment horizontal="center" vertical="center"/>
      <protection hidden="1"/>
    </xf>
    <xf numFmtId="0" fontId="2" fillId="9" borderId="22" xfId="0" applyFont="1" applyFill="1" applyBorder="1" applyAlignment="1" applyProtection="1">
      <alignment horizontal="center" vertical="center"/>
      <protection hidden="1"/>
    </xf>
    <xf numFmtId="0" fontId="6" fillId="9" borderId="20" xfId="0" applyFont="1" applyFill="1" applyBorder="1" applyAlignment="1" applyProtection="1">
      <alignment horizontal="center" vertical="center"/>
      <protection hidden="1"/>
    </xf>
    <xf numFmtId="0" fontId="6" fillId="9" borderId="21" xfId="0" applyFont="1" applyFill="1" applyBorder="1" applyAlignment="1" applyProtection="1">
      <alignment horizontal="center" vertical="center"/>
      <protection hidden="1"/>
    </xf>
    <xf numFmtId="0" fontId="6" fillId="9" borderId="22" xfId="0" applyFont="1" applyFill="1" applyBorder="1" applyAlignment="1" applyProtection="1">
      <alignment horizontal="center" vertical="center"/>
      <protection hidden="1"/>
    </xf>
    <xf numFmtId="0" fontId="2" fillId="9" borderId="14" xfId="0" applyFont="1" applyFill="1" applyBorder="1" applyAlignment="1" applyProtection="1">
      <alignment horizontal="center" vertical="center" wrapText="1"/>
      <protection hidden="1"/>
    </xf>
    <xf numFmtId="0" fontId="2" fillId="9" borderId="89"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30" fillId="2" borderId="99" xfId="0" applyFont="1" applyFill="1" applyBorder="1" applyAlignment="1" applyProtection="1">
      <alignment horizontal="center" vertical="center"/>
      <protection hidden="1"/>
    </xf>
    <xf numFmtId="0" fontId="30" fillId="2" borderId="101" xfId="0" applyFont="1" applyFill="1" applyBorder="1" applyAlignment="1" applyProtection="1">
      <alignment horizontal="center" vertical="center"/>
      <protection hidden="1"/>
    </xf>
    <xf numFmtId="0" fontId="6" fillId="2" borderId="20" xfId="0" applyFont="1" applyFill="1" applyBorder="1" applyAlignment="1" applyProtection="1">
      <alignment horizontal="center" vertical="center" wrapText="1"/>
      <protection hidden="1"/>
    </xf>
    <xf numFmtId="0" fontId="6" fillId="2" borderId="23" xfId="0" applyFont="1" applyFill="1" applyBorder="1" applyAlignment="1" applyProtection="1">
      <alignment horizontal="center" vertical="center" wrapText="1"/>
      <protection hidden="1"/>
    </xf>
    <xf numFmtId="0" fontId="6" fillId="2" borderId="24" xfId="0" applyFont="1" applyFill="1" applyBorder="1" applyAlignment="1" applyProtection="1">
      <alignment horizontal="center" vertical="center" wrapText="1"/>
      <protection hidden="1"/>
    </xf>
    <xf numFmtId="0" fontId="2" fillId="2" borderId="21" xfId="0" applyFont="1" applyFill="1" applyBorder="1" applyAlignment="1" applyProtection="1">
      <alignment horizontal="center" vertical="center"/>
      <protection hidden="1"/>
    </xf>
    <xf numFmtId="0" fontId="6" fillId="2" borderId="21" xfId="0" applyFont="1" applyFill="1" applyBorder="1" applyAlignment="1" applyProtection="1">
      <alignment horizontal="center" vertical="center" wrapText="1"/>
      <protection hidden="1"/>
    </xf>
    <xf numFmtId="0" fontId="6" fillId="2" borderId="1" xfId="0" applyFont="1" applyFill="1" applyBorder="1" applyAlignment="1" applyProtection="1">
      <alignment horizontal="center" vertical="center" wrapText="1"/>
      <protection hidden="1"/>
    </xf>
    <xf numFmtId="0" fontId="6" fillId="2" borderId="18" xfId="0" applyFont="1" applyFill="1" applyBorder="1" applyAlignment="1" applyProtection="1">
      <alignment horizontal="center" vertical="center" wrapText="1"/>
      <protection hidden="1"/>
    </xf>
    <xf numFmtId="0" fontId="2" fillId="2" borderId="21" xfId="0" applyFont="1" applyFill="1" applyBorder="1" applyAlignment="1" applyProtection="1">
      <alignment horizontal="center" vertical="center" wrapText="1"/>
      <protection hidden="1"/>
    </xf>
    <xf numFmtId="0" fontId="2" fillId="2" borderId="1" xfId="0" applyFont="1" applyFill="1" applyBorder="1" applyAlignment="1" applyProtection="1">
      <alignment horizontal="center" vertical="center" wrapText="1"/>
      <protection hidden="1"/>
    </xf>
    <xf numFmtId="0" fontId="2" fillId="2" borderId="18" xfId="0" applyFont="1" applyFill="1" applyBorder="1" applyAlignment="1" applyProtection="1">
      <alignment horizontal="center" vertical="center" wrapText="1"/>
      <protection hidden="1"/>
    </xf>
    <xf numFmtId="0" fontId="13" fillId="2" borderId="22" xfId="0" applyFont="1" applyFill="1" applyBorder="1" applyAlignment="1" applyProtection="1">
      <alignment horizontal="center" vertical="center" wrapText="1"/>
      <protection hidden="1"/>
    </xf>
    <xf numFmtId="0" fontId="13" fillId="2" borderId="16" xfId="0" applyFont="1" applyFill="1" applyBorder="1" applyAlignment="1" applyProtection="1">
      <alignment horizontal="center" vertical="center" wrapText="1"/>
      <protection hidden="1"/>
    </xf>
    <xf numFmtId="0" fontId="13" fillId="2" borderId="19" xfId="0" applyFont="1" applyFill="1" applyBorder="1" applyAlignment="1" applyProtection="1">
      <alignment horizontal="center" vertical="center" wrapText="1"/>
      <protection hidden="1"/>
    </xf>
    <xf numFmtId="0" fontId="13" fillId="2" borderId="1" xfId="0" applyFont="1" applyFill="1" applyBorder="1" applyAlignment="1" applyProtection="1">
      <alignment horizontal="center" vertical="center" wrapText="1"/>
      <protection hidden="1"/>
    </xf>
    <xf numFmtId="0" fontId="13" fillId="2" borderId="18" xfId="0" applyFont="1" applyFill="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protection hidden="1"/>
    </xf>
    <xf numFmtId="0" fontId="4" fillId="0" borderId="1" xfId="0" applyFont="1" applyBorder="1" applyAlignment="1" applyProtection="1">
      <alignment horizontal="center" vertical="center"/>
      <protection hidden="1"/>
    </xf>
    <xf numFmtId="0" fontId="6" fillId="9" borderId="0" xfId="0" applyFont="1" applyFill="1" applyAlignment="1" applyProtection="1">
      <alignment horizontal="center" vertical="center"/>
      <protection hidden="1"/>
    </xf>
    <xf numFmtId="0" fontId="4" fillId="0" borderId="1" xfId="0" applyFont="1" applyBorder="1" applyAlignment="1" applyProtection="1">
      <alignment horizontal="center" vertical="center" wrapText="1"/>
      <protection hidden="1"/>
    </xf>
    <xf numFmtId="0" fontId="6" fillId="14" borderId="0" xfId="0" applyFont="1" applyFill="1" applyAlignment="1" applyProtection="1">
      <alignment horizontal="center" vertical="center"/>
      <protection hidden="1"/>
    </xf>
    <xf numFmtId="0" fontId="30" fillId="0" borderId="1" xfId="0" applyFont="1" applyBorder="1" applyAlignment="1" applyProtection="1">
      <alignment horizontal="center" vertical="center" wrapText="1"/>
      <protection hidden="1"/>
    </xf>
    <xf numFmtId="0" fontId="30" fillId="0" borderId="1" xfId="0" applyFont="1" applyBorder="1" applyAlignment="1" applyProtection="1">
      <alignment horizontal="center" vertical="center"/>
      <protection hidden="1"/>
    </xf>
    <xf numFmtId="0" fontId="30" fillId="13" borderId="0" xfId="0" applyFont="1" applyFill="1" applyAlignment="1" applyProtection="1">
      <alignment horizontal="center" vertical="center"/>
      <protection hidden="1"/>
    </xf>
    <xf numFmtId="0" fontId="32" fillId="14" borderId="108" xfId="0" applyFont="1" applyFill="1" applyBorder="1" applyAlignment="1" applyProtection="1">
      <alignment horizontal="center" vertical="center"/>
      <protection hidden="1"/>
    </xf>
    <xf numFmtId="0" fontId="32" fillId="14" borderId="90" xfId="0" applyFont="1" applyFill="1" applyBorder="1" applyAlignment="1" applyProtection="1">
      <alignment horizontal="center" vertical="center"/>
      <protection hidden="1"/>
    </xf>
    <xf numFmtId="0" fontId="32" fillId="14" borderId="94" xfId="0" applyFont="1" applyFill="1" applyBorder="1" applyAlignment="1" applyProtection="1">
      <alignment horizontal="center" vertical="center"/>
      <protection hidden="1"/>
    </xf>
    <xf numFmtId="0" fontId="30" fillId="14" borderId="1" xfId="0" applyFont="1" applyFill="1" applyBorder="1" applyAlignment="1" applyProtection="1">
      <alignment horizontal="center" vertical="center"/>
      <protection hidden="1"/>
    </xf>
    <xf numFmtId="0" fontId="29" fillId="0" borderId="1" xfId="0" applyFont="1" applyBorder="1" applyAlignment="1" applyProtection="1">
      <alignment horizontal="center" vertical="center"/>
      <protection hidden="1"/>
    </xf>
    <xf numFmtId="0" fontId="6" fillId="11" borderId="0" xfId="0" applyFont="1" applyFill="1" applyAlignment="1" applyProtection="1">
      <alignment horizontal="center"/>
      <protection hidden="1"/>
    </xf>
    <xf numFmtId="0" fontId="6" fillId="2" borderId="20" xfId="0" quotePrefix="1" applyFont="1" applyFill="1" applyBorder="1" applyAlignment="1" applyProtection="1">
      <alignment horizontal="center" vertical="center" wrapText="1"/>
      <protection hidden="1"/>
    </xf>
    <xf numFmtId="0" fontId="6" fillId="2" borderId="21" xfId="0" quotePrefix="1" applyFont="1" applyFill="1" applyBorder="1" applyAlignment="1" applyProtection="1">
      <alignment horizontal="center" vertical="center" wrapText="1"/>
      <protection hidden="1"/>
    </xf>
    <xf numFmtId="0" fontId="6" fillId="2" borderId="22" xfId="0" quotePrefix="1" applyFont="1" applyFill="1" applyBorder="1" applyAlignment="1" applyProtection="1">
      <alignment horizontal="center" vertical="center" wrapText="1"/>
      <protection hidden="1"/>
    </xf>
    <xf numFmtId="0" fontId="6" fillId="2" borderId="19" xfId="0" applyFont="1" applyFill="1" applyBorder="1" applyAlignment="1" applyProtection="1">
      <alignment horizontal="center" vertical="center" wrapText="1"/>
      <protection hidden="1"/>
    </xf>
    <xf numFmtId="0" fontId="6" fillId="2" borderId="96" xfId="0" applyFont="1" applyFill="1" applyBorder="1" applyAlignment="1" applyProtection="1">
      <alignment horizontal="center" vertical="center" wrapText="1"/>
      <protection hidden="1"/>
    </xf>
    <xf numFmtId="0" fontId="6" fillId="2" borderId="98" xfId="0" applyFont="1" applyFill="1" applyBorder="1" applyAlignment="1" applyProtection="1">
      <alignment horizontal="center" vertical="center" wrapText="1"/>
      <protection hidden="1"/>
    </xf>
    <xf numFmtId="0" fontId="6" fillId="2" borderId="150" xfId="0" applyFont="1" applyFill="1" applyBorder="1" applyAlignment="1" applyProtection="1">
      <alignment horizontal="center" vertical="center"/>
      <protection hidden="1"/>
    </xf>
    <xf numFmtId="0" fontId="6" fillId="2" borderId="35" xfId="0" applyFont="1" applyFill="1" applyBorder="1" applyAlignment="1" applyProtection="1">
      <alignment horizontal="center" vertical="center"/>
      <protection hidden="1"/>
    </xf>
    <xf numFmtId="0" fontId="6" fillId="2" borderId="66" xfId="0" applyFont="1" applyFill="1" applyBorder="1" applyAlignment="1" applyProtection="1">
      <alignment horizontal="center" vertical="center"/>
      <protection hidden="1"/>
    </xf>
    <xf numFmtId="0" fontId="6" fillId="13" borderId="0" xfId="0" applyFont="1" applyFill="1" applyAlignment="1" applyProtection="1">
      <alignment horizontal="center"/>
      <protection hidden="1"/>
    </xf>
    <xf numFmtId="0" fontId="4" fillId="17" borderId="0" xfId="0" applyFont="1" applyFill="1" applyAlignment="1" applyProtection="1">
      <alignment horizontal="center"/>
      <protection hidden="1"/>
    </xf>
    <xf numFmtId="0" fontId="20" fillId="2" borderId="23" xfId="0" applyFont="1" applyFill="1" applyBorder="1" applyAlignment="1" applyProtection="1">
      <alignment horizontal="center" vertical="center" wrapText="1"/>
      <protection hidden="1"/>
    </xf>
    <xf numFmtId="0" fontId="20" fillId="2" borderId="24" xfId="0" applyFont="1" applyFill="1" applyBorder="1" applyAlignment="1" applyProtection="1">
      <alignment horizontal="center" vertical="center" wrapText="1"/>
      <protection hidden="1"/>
    </xf>
    <xf numFmtId="0" fontId="20" fillId="2" borderId="1" xfId="0" applyFont="1" applyFill="1" applyBorder="1" applyAlignment="1" applyProtection="1">
      <alignment horizontal="center" vertical="center" wrapText="1"/>
      <protection hidden="1"/>
    </xf>
    <xf numFmtId="0" fontId="20" fillId="2" borderId="18" xfId="0" applyFont="1" applyFill="1" applyBorder="1" applyAlignment="1" applyProtection="1">
      <alignment horizontal="center" vertical="center" wrapText="1"/>
      <protection hidden="1"/>
    </xf>
    <xf numFmtId="0" fontId="21" fillId="2" borderId="150" xfId="0" applyFont="1" applyFill="1" applyBorder="1" applyAlignment="1" applyProtection="1">
      <alignment horizontal="center" vertical="center" wrapText="1"/>
      <protection hidden="1"/>
    </xf>
    <xf numFmtId="0" fontId="21" fillId="2" borderId="67" xfId="0" applyFont="1" applyFill="1" applyBorder="1" applyAlignment="1" applyProtection="1">
      <alignment horizontal="center" vertical="center" wrapText="1"/>
      <protection hidden="1"/>
    </xf>
    <xf numFmtId="0" fontId="21" fillId="2" borderId="17" xfId="0" applyFont="1" applyFill="1" applyBorder="1" applyAlignment="1" applyProtection="1">
      <alignment horizontal="center" vertical="center" wrapText="1"/>
      <protection hidden="1"/>
    </xf>
    <xf numFmtId="0" fontId="21" fillId="2" borderId="35" xfId="0" applyFont="1" applyFill="1" applyBorder="1" applyAlignment="1" applyProtection="1">
      <alignment horizontal="center" vertical="center" wrapText="1"/>
      <protection hidden="1"/>
    </xf>
    <xf numFmtId="0" fontId="21" fillId="2" borderId="34" xfId="0" applyFont="1" applyFill="1" applyBorder="1" applyAlignment="1" applyProtection="1">
      <alignment horizontal="center" vertical="center" wrapText="1"/>
      <protection hidden="1"/>
    </xf>
    <xf numFmtId="0" fontId="21" fillId="2" borderId="36" xfId="0" applyFont="1" applyFill="1" applyBorder="1" applyAlignment="1" applyProtection="1">
      <alignment horizontal="center" vertical="center" wrapText="1"/>
      <protection hidden="1"/>
    </xf>
    <xf numFmtId="0" fontId="21" fillId="2" borderId="66" xfId="0" applyFont="1" applyFill="1" applyBorder="1" applyAlignment="1" applyProtection="1">
      <alignment horizontal="center" vertical="center" wrapText="1"/>
      <protection hidden="1"/>
    </xf>
    <xf numFmtId="0" fontId="21" fillId="2" borderId="68" xfId="0" applyFont="1" applyFill="1" applyBorder="1" applyAlignment="1" applyProtection="1">
      <alignment horizontal="center" vertical="center" wrapText="1"/>
      <protection hidden="1"/>
    </xf>
    <xf numFmtId="0" fontId="21" fillId="2" borderId="69" xfId="0" applyFont="1" applyFill="1" applyBorder="1" applyAlignment="1" applyProtection="1">
      <alignment horizontal="center" vertical="center" wrapText="1"/>
      <protection hidden="1"/>
    </xf>
    <xf numFmtId="0" fontId="2" fillId="2" borderId="20" xfId="0" applyFont="1" applyFill="1" applyBorder="1" applyAlignment="1" applyProtection="1">
      <alignment horizontal="center" vertical="center"/>
      <protection hidden="1"/>
    </xf>
    <xf numFmtId="0" fontId="2" fillId="2" borderId="22" xfId="0" applyFont="1" applyFill="1" applyBorder="1" applyAlignment="1" applyProtection="1">
      <alignment horizontal="center" vertical="center"/>
      <protection hidden="1"/>
    </xf>
    <xf numFmtId="0" fontId="20" fillId="2" borderId="20" xfId="0" applyFont="1" applyFill="1" applyBorder="1" applyAlignment="1" applyProtection="1">
      <alignment horizontal="center" vertical="center" wrapText="1"/>
      <protection hidden="1"/>
    </xf>
    <xf numFmtId="0" fontId="20" fillId="2" borderId="21" xfId="0" applyFont="1" applyFill="1" applyBorder="1" applyAlignment="1" applyProtection="1">
      <alignment horizontal="center" vertical="center" wrapText="1"/>
      <protection hidden="1"/>
    </xf>
    <xf numFmtId="0" fontId="13" fillId="2" borderId="21" xfId="0" applyFont="1" applyFill="1" applyBorder="1" applyAlignment="1" applyProtection="1">
      <alignment horizontal="center" vertical="center" wrapText="1"/>
      <protection hidden="1"/>
    </xf>
    <xf numFmtId="0" fontId="20" fillId="2" borderId="22" xfId="0" applyFont="1" applyFill="1" applyBorder="1" applyAlignment="1" applyProtection="1">
      <alignment horizontal="center" vertical="center" wrapText="1"/>
      <protection hidden="1"/>
    </xf>
    <xf numFmtId="0" fontId="20" fillId="2" borderId="16" xfId="0" applyFont="1" applyFill="1" applyBorder="1" applyAlignment="1" applyProtection="1">
      <alignment horizontal="center" vertical="center" wrapText="1"/>
      <protection hidden="1"/>
    </xf>
    <xf numFmtId="0" fontId="20" fillId="2" borderId="19" xfId="0" applyFont="1" applyFill="1" applyBorder="1" applyAlignment="1" applyProtection="1">
      <alignment horizontal="center" vertical="center" wrapText="1"/>
      <protection hidden="1"/>
    </xf>
    <xf numFmtId="0" fontId="20" fillId="2" borderId="108" xfId="0" applyFont="1" applyFill="1" applyBorder="1" applyAlignment="1" applyProtection="1">
      <alignment horizontal="center" vertical="center" wrapText="1"/>
      <protection hidden="1"/>
    </xf>
    <xf numFmtId="0" fontId="20" fillId="2" borderId="90" xfId="0" applyFont="1" applyFill="1" applyBorder="1" applyAlignment="1" applyProtection="1">
      <alignment horizontal="center" vertical="center" wrapText="1"/>
      <protection hidden="1"/>
    </xf>
    <xf numFmtId="0" fontId="20" fillId="2" borderId="94" xfId="0" applyFont="1" applyFill="1" applyBorder="1" applyAlignment="1" applyProtection="1">
      <alignment horizontal="center" vertical="center" wrapText="1"/>
      <protection hidden="1"/>
    </xf>
    <xf numFmtId="0" fontId="6" fillId="2" borderId="15" xfId="0" applyFont="1" applyFill="1" applyBorder="1" applyAlignment="1" applyProtection="1">
      <alignment horizontal="center" vertical="center" wrapText="1"/>
      <protection hidden="1"/>
    </xf>
    <xf numFmtId="0" fontId="6" fillId="2" borderId="33" xfId="0" applyFont="1" applyFill="1" applyBorder="1" applyAlignment="1" applyProtection="1">
      <alignment horizontal="center" vertical="center" wrapText="1"/>
      <protection hidden="1"/>
    </xf>
    <xf numFmtId="0" fontId="6" fillId="2" borderId="71" xfId="0" applyFont="1" applyFill="1" applyBorder="1" applyAlignment="1" applyProtection="1">
      <alignment horizontal="center" vertical="center" wrapText="1"/>
      <protection hidden="1"/>
    </xf>
    <xf numFmtId="0" fontId="13" fillId="2" borderId="108" xfId="0" applyFont="1" applyFill="1" applyBorder="1" applyAlignment="1" applyProtection="1">
      <alignment horizontal="center" vertical="center" wrapText="1"/>
      <protection hidden="1"/>
    </xf>
    <xf numFmtId="0" fontId="13" fillId="2" borderId="90" xfId="0" applyFont="1" applyFill="1" applyBorder="1" applyAlignment="1" applyProtection="1">
      <alignment horizontal="center" vertical="center" wrapText="1"/>
      <protection hidden="1"/>
    </xf>
    <xf numFmtId="0" fontId="13" fillId="2" borderId="23" xfId="0" applyFont="1" applyFill="1" applyBorder="1" applyAlignment="1" applyProtection="1">
      <alignment horizontal="center" vertical="center" wrapText="1"/>
      <protection hidden="1"/>
    </xf>
    <xf numFmtId="0" fontId="13" fillId="2" borderId="15" xfId="0" applyFont="1" applyFill="1" applyBorder="1" applyAlignment="1" applyProtection="1">
      <alignment horizontal="center" vertical="center" wrapText="1"/>
      <protection hidden="1"/>
    </xf>
    <xf numFmtId="0" fontId="13" fillId="2" borderId="33" xfId="0" applyFont="1" applyFill="1" applyBorder="1" applyAlignment="1" applyProtection="1">
      <alignment horizontal="center" vertical="center" wrapText="1"/>
      <protection hidden="1"/>
    </xf>
    <xf numFmtId="0" fontId="13" fillId="2" borderId="71" xfId="0" applyFont="1" applyFill="1" applyBorder="1" applyAlignment="1" applyProtection="1">
      <alignment horizontal="center" vertical="center" wrapText="1"/>
      <protection hidden="1"/>
    </xf>
    <xf numFmtId="0" fontId="6" fillId="2" borderId="108" xfId="0" applyFont="1" applyFill="1" applyBorder="1" applyAlignment="1" applyProtection="1">
      <alignment horizontal="center" vertical="center"/>
      <protection hidden="1"/>
    </xf>
    <xf numFmtId="0" fontId="6" fillId="2" borderId="90" xfId="0" applyFont="1" applyFill="1" applyBorder="1" applyAlignment="1" applyProtection="1">
      <alignment horizontal="center" vertical="center"/>
      <protection hidden="1"/>
    </xf>
    <xf numFmtId="0" fontId="6" fillId="9" borderId="0" xfId="0" applyFont="1" applyFill="1" applyAlignment="1" applyProtection="1">
      <alignment horizontal="center"/>
      <protection hidden="1"/>
    </xf>
  </cellXfs>
  <cellStyles count="3">
    <cellStyle name="Normal" xfId="0" builtinId="0"/>
    <cellStyle name="Normal 2" xfId="2" xr:uid="{4757FDF3-F31D-4CF3-9F18-5701FBF4A42B}"/>
    <cellStyle name="Porcentaje" xfId="1" builtinId="5"/>
  </cellStyles>
  <dxfs count="545">
    <dxf>
      <fill>
        <patternFill>
          <bgColor theme="8" tint="0.79998168889431442"/>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bottom style="thin">
          <color auto="1"/>
        </bottom>
        <vertical/>
        <horizontal/>
      </border>
    </dxf>
    <dxf>
      <border>
        <left style="thin">
          <color auto="1"/>
        </left>
        <right style="thin">
          <color auto="1"/>
        </right>
        <bottom style="thin">
          <color auto="1"/>
        </bottom>
        <vertical/>
        <horizontal/>
      </border>
    </dxf>
    <dxf>
      <border>
        <left style="thin">
          <color auto="1"/>
        </left>
        <right style="thin">
          <color auto="1"/>
        </right>
        <bottom style="thin">
          <color auto="1"/>
        </bottom>
        <vertical/>
        <horizontal/>
      </border>
    </dxf>
    <dxf>
      <border>
        <left style="thin">
          <color auto="1"/>
        </left>
        <right style="thin">
          <color auto="1"/>
        </right>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rgb="FFFFC000"/>
        </patternFill>
      </fill>
      <border>
        <left style="thin">
          <color auto="1"/>
        </left>
        <right style="thin">
          <color auto="1"/>
        </right>
        <top style="thin">
          <color auto="1"/>
        </top>
        <bottom style="thin">
          <color auto="1"/>
        </bottom>
      </border>
    </dxf>
    <dxf>
      <fill>
        <patternFill>
          <bgColor rgb="FFFF7C80"/>
        </patternFill>
      </fill>
    </dxf>
    <dxf>
      <border>
        <left style="thin">
          <color auto="1"/>
        </left>
        <right style="thin">
          <color auto="1"/>
        </right>
        <top style="thin">
          <color auto="1"/>
        </top>
        <bottom style="thin">
          <color auto="1"/>
        </bottom>
        <vertical/>
        <horizontal/>
      </border>
    </dxf>
    <dxf>
      <font>
        <color theme="0"/>
      </font>
      <fill>
        <patternFill patternType="none">
          <bgColor auto="1"/>
        </patternFill>
      </fill>
      <border>
        <left/>
        <right/>
        <top/>
        <bottom/>
        <vertical/>
        <horizontal/>
      </border>
    </dxf>
    <dxf>
      <border>
        <left style="thin">
          <color auto="1"/>
        </left>
        <right style="thin">
          <color auto="1"/>
        </right>
        <top style="thin">
          <color auto="1"/>
        </top>
        <bottom style="thin">
          <color auto="1"/>
        </bottom>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ill>
        <patternFill>
          <bgColor rgb="FFFF7C80"/>
        </patternFill>
      </fill>
    </dxf>
    <dxf>
      <font>
        <color theme="0"/>
      </font>
    </dxf>
    <dxf>
      <font>
        <color theme="0"/>
      </font>
    </dxf>
    <dxf>
      <font>
        <color theme="0"/>
      </font>
    </dxf>
    <dxf>
      <font>
        <color theme="0"/>
      </font>
    </dxf>
    <dxf>
      <font>
        <color theme="0"/>
      </font>
      <fill>
        <patternFill>
          <bgColor theme="0"/>
        </patternFill>
      </fill>
      <border>
        <left/>
        <right/>
        <top/>
        <bottom/>
      </border>
    </dxf>
    <dxf>
      <font>
        <b/>
        <i val="0"/>
      </font>
      <fill>
        <patternFill>
          <bgColor rgb="FFFFC000"/>
        </patternFill>
      </fill>
      <border>
        <left style="thin">
          <color auto="1"/>
        </left>
        <right style="thin">
          <color auto="1"/>
        </right>
        <top style="thin">
          <color auto="1"/>
        </top>
        <bottom style="thin">
          <color auto="1"/>
        </bottom>
        <vertical/>
        <horizontal/>
      </border>
    </dxf>
    <dxf>
      <fill>
        <patternFill>
          <bgColor rgb="FFFF7C80"/>
        </patternFill>
      </fill>
    </dxf>
    <dxf>
      <font>
        <color theme="0"/>
      </font>
    </dxf>
    <dxf>
      <font>
        <color theme="0"/>
      </font>
    </dxf>
    <dxf>
      <font>
        <color theme="0"/>
      </font>
    </dxf>
    <dxf>
      <font>
        <color theme="0"/>
      </font>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rgb="FFFF0000"/>
      </font>
      <fill>
        <patternFill>
          <bgColor rgb="FFDDEE00"/>
        </patternFill>
      </fill>
    </dxf>
    <dxf>
      <fill>
        <patternFill>
          <bgColor theme="7" tint="0.39994506668294322"/>
        </patternFill>
      </fill>
    </dxf>
    <dxf>
      <fill>
        <patternFill>
          <bgColor rgb="FFDDEE00"/>
        </patternFill>
      </fill>
    </dxf>
    <dxf>
      <fill>
        <patternFill>
          <bgColor rgb="FFDDEE00"/>
        </patternFill>
      </fill>
    </dxf>
    <dxf>
      <font>
        <color rgb="FFFF0000"/>
      </font>
      <fill>
        <patternFill>
          <bgColor rgb="FFDDEE00"/>
        </patternFill>
      </fill>
    </dxf>
    <dxf>
      <fill>
        <patternFill>
          <bgColor theme="7" tint="0.39994506668294322"/>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color rgb="FFFF0000"/>
      </font>
      <fill>
        <patternFill>
          <bgColor rgb="FFDEEE00"/>
        </patternFill>
      </fill>
    </dxf>
    <dxf>
      <font>
        <color rgb="FFFF0000"/>
      </font>
      <fill>
        <patternFill>
          <bgColor rgb="FFDDEE00"/>
        </patternFill>
      </fill>
    </dxf>
    <dxf>
      <font>
        <color rgb="FFFF0000"/>
      </font>
      <fill>
        <patternFill>
          <bgColor rgb="FFDDEE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ill>
        <patternFill>
          <bgColor rgb="FFDDEE00"/>
        </patternFill>
      </fill>
    </dxf>
    <dxf>
      <font>
        <color rgb="FFFF0000"/>
      </font>
      <fill>
        <patternFill>
          <bgColor rgb="FFDDEE00"/>
        </patternFill>
      </fill>
    </dxf>
    <dxf>
      <fill>
        <patternFill>
          <bgColor theme="7" tint="0.39994506668294322"/>
        </patternFill>
      </fill>
    </dxf>
    <dxf>
      <font>
        <color rgb="FFFF0000"/>
      </font>
      <fill>
        <patternFill>
          <bgColor rgb="FFDDEE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color rgb="FFFF0000"/>
      </font>
      <fill>
        <patternFill>
          <bgColor rgb="FFDDEE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b val="0"/>
        <i val="0"/>
      </font>
      <fill>
        <patternFill>
          <bgColor rgb="FFDDEE00"/>
        </patternFill>
      </fill>
    </dxf>
    <dxf>
      <font>
        <b val="0"/>
        <i val="0"/>
        <color rgb="FFFF0000"/>
      </font>
      <fill>
        <patternFill>
          <bgColor rgb="FFDDEE00"/>
        </patternFill>
      </fill>
    </dxf>
    <dxf>
      <fill>
        <patternFill>
          <bgColor theme="7" tint="0.39994506668294322"/>
        </patternFill>
      </fill>
    </dxf>
    <dxf>
      <font>
        <b val="0"/>
        <i val="0"/>
        <color rgb="FFFF0000"/>
      </font>
      <fill>
        <patternFill>
          <bgColor rgb="FFDDEE00"/>
        </patternFill>
      </fill>
    </dxf>
    <dxf>
      <font>
        <color rgb="FFFF0000"/>
      </font>
      <fill>
        <patternFill>
          <bgColor rgb="FFDDEE00"/>
        </patternFill>
      </fill>
    </dxf>
    <dxf>
      <font>
        <color rgb="FFFF0000"/>
      </font>
      <fill>
        <patternFill>
          <bgColor rgb="FFDDEE00"/>
        </patternFill>
      </fill>
    </dxf>
    <dxf>
      <font>
        <b val="0"/>
        <i val="0"/>
        <color rgb="FFFF0000"/>
      </font>
      <fill>
        <patternFill>
          <bgColor rgb="FFDDEE00"/>
        </patternFill>
      </fill>
    </dxf>
    <dxf>
      <font>
        <color rgb="FFFF0000"/>
      </font>
      <fill>
        <patternFill>
          <bgColor rgb="FFDDEE00"/>
        </patternFill>
      </fill>
    </dxf>
    <dxf>
      <font>
        <color rgb="FFFF0000"/>
      </font>
      <fill>
        <patternFill>
          <bgColor rgb="FFDDEE00"/>
        </patternFill>
      </fill>
    </dxf>
    <dxf>
      <font>
        <color theme="0"/>
      </font>
      <fill>
        <patternFill>
          <bgColor theme="0"/>
        </patternFill>
      </fill>
      <border>
        <left/>
        <right/>
        <top/>
        <bottom/>
        <vertical/>
        <horizontal/>
      </border>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b/>
        <i val="0"/>
      </font>
      <fill>
        <patternFill>
          <bgColor rgb="FFFFC000"/>
        </patternFill>
      </fill>
      <border>
        <right style="thin">
          <color auto="1"/>
        </right>
        <top style="thin">
          <color auto="1"/>
        </top>
        <bottom style="thin">
          <color auto="1"/>
        </bottom>
        <vertical/>
        <horizontal/>
      </border>
    </dxf>
    <dxf>
      <font>
        <b/>
        <i val="0"/>
      </font>
      <fill>
        <patternFill>
          <bgColor rgb="FFFFC000"/>
        </patternFill>
      </fill>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ill>
        <patternFill>
          <bgColor rgb="FFFFC000"/>
        </patternFill>
      </fill>
    </dxf>
    <dxf>
      <font>
        <color theme="9" tint="0.79998168889431442"/>
      </font>
      <fill>
        <patternFill>
          <bgColor theme="9" tint="0.79998168889431442"/>
        </patternFill>
      </fill>
    </dxf>
    <dxf>
      <font>
        <color theme="0"/>
      </font>
      <fill>
        <patternFill>
          <bgColor theme="0"/>
        </patternFill>
      </fill>
      <border>
        <left/>
        <right/>
        <top/>
        <bottom/>
        <vertical/>
        <horizontal/>
      </border>
    </dxf>
    <dxf>
      <font>
        <color rgb="FFFF0000"/>
      </font>
      <fill>
        <patternFill>
          <bgColor rgb="FFDDEE00"/>
        </patternFill>
      </fill>
    </dxf>
    <dxf>
      <fill>
        <patternFill>
          <bgColor theme="7" tint="0.39994506668294322"/>
        </patternFill>
      </fill>
    </dxf>
    <dxf>
      <fill>
        <patternFill>
          <bgColor rgb="FFDDEE00"/>
        </patternFill>
      </fill>
    </dxf>
    <dxf>
      <fill>
        <patternFill>
          <bgColor rgb="FFDDEE00"/>
        </patternFill>
      </fill>
    </dxf>
    <dxf>
      <font>
        <color rgb="FFFF0000"/>
      </font>
      <fill>
        <patternFill>
          <bgColor rgb="FFDDEE00"/>
        </patternFill>
      </fill>
    </dxf>
    <dxf>
      <fill>
        <patternFill>
          <bgColor theme="7" tint="0.39994506668294322"/>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color rgb="FFFF0000"/>
      </font>
      <fill>
        <patternFill>
          <bgColor rgb="FFDEEE00"/>
        </patternFill>
      </fill>
    </dxf>
    <dxf>
      <font>
        <color rgb="FFFF0000"/>
      </font>
      <fill>
        <patternFill>
          <bgColor rgb="FFDDEE00"/>
        </patternFill>
      </fill>
    </dxf>
    <dxf>
      <font>
        <color rgb="FFFF0000"/>
      </font>
      <fill>
        <patternFill>
          <bgColor rgb="FFDDEE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ill>
        <patternFill>
          <bgColor rgb="FFDDEE00"/>
        </patternFill>
      </fill>
    </dxf>
    <dxf>
      <font>
        <color rgb="FFFF0000"/>
      </font>
      <fill>
        <patternFill>
          <bgColor rgb="FFDDEE00"/>
        </patternFill>
      </fill>
    </dxf>
    <dxf>
      <fill>
        <patternFill>
          <bgColor theme="7" tint="0.39994506668294322"/>
        </patternFill>
      </fill>
    </dxf>
    <dxf>
      <font>
        <color rgb="FFFF0000"/>
      </font>
      <fill>
        <patternFill>
          <bgColor rgb="FFDDEE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color rgb="FFFF0000"/>
      </font>
      <fill>
        <patternFill>
          <bgColor rgb="FFDDEE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b val="0"/>
        <i val="0"/>
      </font>
      <fill>
        <patternFill>
          <bgColor rgb="FFDDEE00"/>
        </patternFill>
      </fill>
    </dxf>
    <dxf>
      <font>
        <b val="0"/>
        <i val="0"/>
        <color rgb="FFFF0000"/>
      </font>
      <fill>
        <patternFill>
          <bgColor rgb="FFDDEE00"/>
        </patternFill>
      </fill>
    </dxf>
    <dxf>
      <fill>
        <patternFill>
          <bgColor theme="7" tint="0.39994506668294322"/>
        </patternFill>
      </fill>
    </dxf>
    <dxf>
      <font>
        <b val="0"/>
        <i val="0"/>
        <color rgb="FFFF0000"/>
      </font>
      <fill>
        <patternFill>
          <bgColor rgb="FFDDEE00"/>
        </patternFill>
      </fill>
    </dxf>
    <dxf>
      <font>
        <color rgb="FFFF0000"/>
      </font>
      <fill>
        <patternFill>
          <bgColor rgb="FFDDEE00"/>
        </patternFill>
      </fill>
    </dxf>
    <dxf>
      <font>
        <color rgb="FFFF0000"/>
      </font>
      <fill>
        <patternFill>
          <bgColor rgb="FFDDEE00"/>
        </patternFill>
      </fill>
    </dxf>
    <dxf>
      <font>
        <b val="0"/>
        <i val="0"/>
        <color rgb="FFFF0000"/>
      </font>
      <fill>
        <patternFill>
          <bgColor rgb="FFDDEE00"/>
        </patternFill>
      </fill>
    </dxf>
    <dxf>
      <font>
        <color rgb="FFFF0000"/>
      </font>
      <fill>
        <patternFill>
          <bgColor rgb="FFDDEE00"/>
        </patternFill>
      </fill>
    </dxf>
    <dxf>
      <font>
        <color rgb="FFFF0000"/>
      </font>
      <fill>
        <patternFill>
          <bgColor rgb="FFDDEE00"/>
        </patternFill>
      </fill>
    </dxf>
    <dxf>
      <font>
        <color theme="0"/>
      </font>
      <fill>
        <patternFill>
          <bgColor theme="0"/>
        </patternFill>
      </fill>
      <border>
        <left/>
        <right/>
        <top/>
        <bottom/>
      </border>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b/>
        <i val="0"/>
      </font>
      <fill>
        <patternFill>
          <bgColor rgb="FFFFC000"/>
        </patternFill>
      </fill>
      <border>
        <right style="thin">
          <color auto="1"/>
        </right>
        <top style="thin">
          <color auto="1"/>
        </top>
        <bottom style="thin">
          <color auto="1"/>
        </bottom>
        <vertical/>
        <horizontal/>
      </border>
    </dxf>
    <dxf>
      <font>
        <b/>
        <i val="0"/>
      </font>
      <fill>
        <patternFill>
          <bgColor rgb="FFFFC000"/>
        </patternFill>
      </fill>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ill>
        <patternFill>
          <bgColor rgb="FFFFC000"/>
        </patternFill>
      </fill>
    </dxf>
    <dxf>
      <font>
        <color theme="9" tint="0.79998168889431442"/>
      </font>
      <fill>
        <patternFill>
          <bgColor theme="9" tint="0.79998168889431442"/>
        </patternFill>
      </fill>
    </dxf>
    <dxf>
      <font>
        <color theme="0"/>
      </font>
      <fill>
        <patternFill>
          <bgColor theme="0"/>
        </patternFill>
      </fill>
      <border>
        <left/>
        <right/>
        <top/>
        <bottom/>
      </border>
    </dxf>
    <dxf>
      <font>
        <color rgb="FFFF0000"/>
      </font>
      <fill>
        <patternFill>
          <bgColor rgb="FFDDEE00"/>
        </patternFill>
      </fill>
    </dxf>
    <dxf>
      <fill>
        <patternFill>
          <bgColor theme="7" tint="0.39994506668294322"/>
        </patternFill>
      </fill>
    </dxf>
    <dxf>
      <fill>
        <patternFill>
          <bgColor rgb="FFDDEE00"/>
        </patternFill>
      </fill>
    </dxf>
    <dxf>
      <fill>
        <patternFill>
          <bgColor rgb="FFDDEE00"/>
        </patternFill>
      </fill>
    </dxf>
    <dxf>
      <font>
        <color rgb="FFFF0000"/>
      </font>
      <fill>
        <patternFill>
          <bgColor rgb="FFDDEE00"/>
        </patternFill>
      </fill>
    </dxf>
    <dxf>
      <fill>
        <patternFill>
          <bgColor theme="7" tint="0.39994506668294322"/>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color rgb="FFFF0000"/>
      </font>
      <fill>
        <patternFill>
          <bgColor rgb="FFDEEE00"/>
        </patternFill>
      </fill>
    </dxf>
    <dxf>
      <font>
        <color rgb="FFFF0000"/>
      </font>
      <fill>
        <patternFill>
          <bgColor rgb="FFDDEE00"/>
        </patternFill>
      </fill>
    </dxf>
    <dxf>
      <font>
        <color rgb="FFFF0000"/>
      </font>
      <fill>
        <patternFill>
          <bgColor rgb="FFDDEE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ill>
        <patternFill>
          <bgColor rgb="FFDDEE00"/>
        </patternFill>
      </fill>
    </dxf>
    <dxf>
      <font>
        <color rgb="FFFF0000"/>
      </font>
      <fill>
        <patternFill>
          <bgColor rgb="FFDDEE00"/>
        </patternFill>
      </fill>
    </dxf>
    <dxf>
      <fill>
        <patternFill>
          <bgColor theme="7" tint="0.39994506668294322"/>
        </patternFill>
      </fill>
    </dxf>
    <dxf>
      <font>
        <color rgb="FFFF0000"/>
      </font>
      <fill>
        <patternFill>
          <bgColor rgb="FFDDEE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color rgb="FFFF0000"/>
      </font>
      <fill>
        <patternFill>
          <bgColor rgb="FFDDEE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b val="0"/>
        <i val="0"/>
      </font>
      <fill>
        <patternFill>
          <bgColor rgb="FFDDEE00"/>
        </patternFill>
      </fill>
    </dxf>
    <dxf>
      <font>
        <b val="0"/>
        <i val="0"/>
        <color rgb="FFFF0000"/>
      </font>
      <fill>
        <patternFill>
          <bgColor rgb="FFDDEE00"/>
        </patternFill>
      </fill>
    </dxf>
    <dxf>
      <fill>
        <patternFill>
          <bgColor theme="7" tint="0.39994506668294322"/>
        </patternFill>
      </fill>
    </dxf>
    <dxf>
      <font>
        <b val="0"/>
        <i val="0"/>
        <color rgb="FFFF0000"/>
      </font>
      <fill>
        <patternFill>
          <bgColor rgb="FFDDEE00"/>
        </patternFill>
      </fill>
    </dxf>
    <dxf>
      <font>
        <color rgb="FFFF0000"/>
      </font>
      <fill>
        <patternFill>
          <bgColor rgb="FFDDEE00"/>
        </patternFill>
      </fill>
    </dxf>
    <dxf>
      <font>
        <color rgb="FFFF0000"/>
      </font>
      <fill>
        <patternFill>
          <bgColor rgb="FFDDEE00"/>
        </patternFill>
      </fill>
    </dxf>
    <dxf>
      <font>
        <b val="0"/>
        <i val="0"/>
        <color rgb="FFFF0000"/>
      </font>
      <fill>
        <patternFill>
          <bgColor rgb="FFDDEE00"/>
        </patternFill>
      </fill>
    </dxf>
    <dxf>
      <font>
        <color rgb="FFFF0000"/>
      </font>
      <fill>
        <patternFill>
          <bgColor rgb="FFDDEE00"/>
        </patternFill>
      </fill>
    </dxf>
    <dxf>
      <font>
        <color rgb="FFFF0000"/>
      </font>
      <fill>
        <patternFill>
          <bgColor rgb="FFDDEE00"/>
        </patternFill>
      </fill>
    </dxf>
    <dxf>
      <font>
        <color theme="0"/>
      </font>
      <fill>
        <patternFill>
          <bgColor theme="0"/>
        </patternFill>
      </fill>
      <border>
        <left/>
        <right/>
        <top/>
        <bottom/>
      </border>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b/>
        <i val="0"/>
      </font>
      <fill>
        <patternFill>
          <bgColor rgb="FFFFC000"/>
        </patternFill>
      </fill>
      <border>
        <right style="thin">
          <color auto="1"/>
        </right>
        <top style="thin">
          <color auto="1"/>
        </top>
        <bottom style="thin">
          <color auto="1"/>
        </bottom>
        <vertical/>
        <horizontal/>
      </border>
    </dxf>
    <dxf>
      <font>
        <b/>
        <i val="0"/>
      </font>
      <fill>
        <patternFill>
          <bgColor rgb="FFFFC000"/>
        </patternFill>
      </fill>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ill>
        <patternFill>
          <bgColor rgb="FFFFC000"/>
        </patternFill>
      </fill>
    </dxf>
    <dxf>
      <font>
        <color theme="9" tint="0.79998168889431442"/>
      </font>
      <fill>
        <patternFill>
          <bgColor theme="9" tint="0.79998168889431442"/>
        </patternFill>
      </fill>
    </dxf>
    <dxf>
      <font>
        <color theme="0"/>
      </font>
      <fill>
        <patternFill>
          <bgColor theme="0"/>
        </patternFill>
      </fill>
      <border>
        <left/>
        <right/>
        <top/>
        <bottom/>
      </border>
    </dxf>
    <dxf>
      <fill>
        <patternFill>
          <bgColor theme="7" tint="0.39994506668294322"/>
        </patternFill>
      </fill>
    </dxf>
    <dxf>
      <fill>
        <patternFill>
          <bgColor rgb="FFDDEE00"/>
        </patternFill>
      </fill>
    </dxf>
    <dxf>
      <font>
        <color rgb="FFFF0000"/>
      </font>
      <fill>
        <patternFill>
          <bgColor rgb="FFDDEE00"/>
        </patternFill>
      </fill>
    </dxf>
    <dxf>
      <fill>
        <patternFill>
          <bgColor theme="7" tint="0.39994506668294322"/>
        </patternFill>
      </fill>
    </dxf>
    <dxf>
      <font>
        <color rgb="FFFF0000"/>
      </font>
      <fill>
        <patternFill>
          <bgColor rgb="FFDDEE00"/>
        </patternFill>
      </fill>
    </dxf>
    <dxf>
      <fill>
        <patternFill>
          <bgColor rgb="FFDDEE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color rgb="FFFF0000"/>
      </font>
      <fill>
        <patternFill>
          <bgColor rgb="FFDEEE00"/>
        </patternFill>
      </fill>
    </dxf>
    <dxf>
      <font>
        <color rgb="FFFF0000"/>
      </font>
      <fill>
        <patternFill>
          <bgColor rgb="FFDDEE00"/>
        </patternFill>
      </fill>
    </dxf>
    <dxf>
      <font>
        <color rgb="FFFF0000"/>
      </font>
      <fill>
        <patternFill>
          <bgColor rgb="FFDDEE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ill>
        <patternFill>
          <bgColor rgb="FFDDEE00"/>
        </patternFill>
      </fill>
    </dxf>
    <dxf>
      <font>
        <color rgb="FFFF0000"/>
      </font>
      <fill>
        <patternFill>
          <bgColor rgb="FFDDEE00"/>
        </patternFill>
      </fill>
    </dxf>
    <dxf>
      <fill>
        <patternFill>
          <bgColor theme="7" tint="0.39994506668294322"/>
        </patternFill>
      </fill>
    </dxf>
    <dxf>
      <font>
        <color rgb="FFFF0000"/>
      </font>
      <fill>
        <patternFill>
          <bgColor rgb="FFDDEE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b/>
        <i val="0"/>
      </font>
      <fill>
        <patternFill>
          <bgColor rgb="FFFFC000"/>
        </patternFill>
      </fill>
    </dxf>
    <dxf>
      <font>
        <color rgb="FFFF0000"/>
      </font>
      <fill>
        <patternFill>
          <bgColor rgb="FFDDEE00"/>
        </patternFill>
      </fill>
    </dxf>
    <dxf>
      <font>
        <color rgb="FFFF0000"/>
      </font>
      <fill>
        <patternFill>
          <bgColor rgb="FFDDEE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color rgb="FFFF0000"/>
      </font>
      <fill>
        <patternFill>
          <bgColor rgb="FFDDEE00"/>
        </patternFill>
      </fill>
    </dxf>
    <dxf>
      <font>
        <b val="0"/>
        <i val="0"/>
      </font>
      <fill>
        <patternFill>
          <bgColor rgb="FFDDEE00"/>
        </patternFill>
      </fill>
    </dxf>
    <dxf>
      <font>
        <b val="0"/>
        <i val="0"/>
        <color rgb="FFFF0000"/>
      </font>
      <fill>
        <patternFill>
          <bgColor rgb="FFDDEE00"/>
        </patternFill>
      </fill>
    </dxf>
    <dxf>
      <fill>
        <patternFill>
          <bgColor theme="7" tint="0.39994506668294322"/>
        </patternFill>
      </fill>
    </dxf>
    <dxf>
      <font>
        <b val="0"/>
        <i val="0"/>
        <color rgb="FFFF0000"/>
      </font>
      <fill>
        <patternFill>
          <bgColor rgb="FFDDEE00"/>
        </patternFill>
      </fill>
    </dxf>
    <dxf>
      <font>
        <color rgb="FFFF0000"/>
      </font>
      <fill>
        <patternFill>
          <bgColor rgb="FFDDEE00"/>
        </patternFill>
      </fill>
    </dxf>
    <dxf>
      <font>
        <color rgb="FFFF0000"/>
      </font>
      <fill>
        <patternFill>
          <bgColor rgb="FFDDEE00"/>
        </patternFill>
      </fill>
    </dxf>
    <dxf>
      <font>
        <b val="0"/>
        <i val="0"/>
        <color rgb="FFFF0000"/>
      </font>
      <fill>
        <patternFill>
          <bgColor rgb="FFDDEE00"/>
        </patternFill>
      </fill>
    </dxf>
    <dxf>
      <font>
        <color rgb="FFFF0000"/>
      </font>
      <fill>
        <patternFill>
          <bgColor rgb="FFDDEE00"/>
        </patternFill>
      </fill>
    </dxf>
    <dxf>
      <font>
        <color rgb="FFFF0000"/>
      </font>
      <fill>
        <patternFill>
          <bgColor rgb="FFDDEE00"/>
        </patternFill>
      </fill>
    </dxf>
    <dxf>
      <font>
        <color theme="0"/>
      </font>
      <fill>
        <patternFill>
          <bgColor theme="0"/>
        </patternFill>
      </fill>
      <border>
        <left/>
        <right/>
        <top/>
        <bottom/>
        <vertical/>
        <horizontal/>
      </border>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b/>
        <i val="0"/>
      </font>
      <fill>
        <patternFill>
          <bgColor rgb="FFFFC000"/>
        </patternFill>
      </fill>
      <border>
        <right style="thin">
          <color auto="1"/>
        </right>
        <top style="thin">
          <color auto="1"/>
        </top>
        <bottom style="thin">
          <color auto="1"/>
        </bottom>
        <vertical/>
        <horizontal/>
      </border>
    </dxf>
    <dxf>
      <font>
        <b/>
        <i val="0"/>
      </font>
      <fill>
        <patternFill>
          <bgColor rgb="FFFFC000"/>
        </patternFill>
      </fill>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ill>
        <patternFill>
          <bgColor rgb="FFFFC000"/>
        </patternFill>
      </fill>
    </dxf>
    <dxf>
      <font>
        <color theme="9" tint="0.79998168889431442"/>
      </font>
      <fill>
        <patternFill>
          <bgColor theme="9" tint="0.79998168889431442"/>
        </patternFill>
      </fill>
    </dxf>
    <dxf>
      <font>
        <b/>
        <i val="0"/>
      </font>
      <fill>
        <patternFill>
          <bgColor rgb="FFFFC000"/>
        </patternFill>
      </fill>
      <border>
        <left style="thin">
          <color auto="1"/>
        </left>
        <right style="thin">
          <color auto="1"/>
        </right>
        <top style="thin">
          <color auto="1"/>
        </top>
        <bottom style="thin">
          <color auto="1"/>
        </bottom>
      </border>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ont>
        <b/>
        <i val="0"/>
      </font>
      <fill>
        <patternFill>
          <bgColor rgb="FFFFC000"/>
        </patternFill>
      </fill>
    </dxf>
    <dxf>
      <font>
        <color theme="0"/>
      </font>
      <fill>
        <patternFill>
          <bgColor theme="0"/>
        </patternFill>
      </fill>
      <border>
        <left/>
        <right/>
        <top/>
        <bottom/>
        <vertical/>
        <horizontal/>
      </border>
    </dxf>
    <dxf>
      <font>
        <color auto="1"/>
      </font>
      <fill>
        <patternFill>
          <bgColor theme="8" tint="0.79998168889431442"/>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ill>
        <patternFill>
          <bgColor rgb="FFFFE575"/>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8" tint="0.79998168889431442"/>
        </patternFill>
      </fill>
      <border>
        <left style="thin">
          <color auto="1"/>
        </left>
        <right style="thin">
          <color auto="1"/>
        </right>
        <top style="thin">
          <color auto="1"/>
        </top>
        <bottom style="thin">
          <color auto="1"/>
        </bottom>
        <vertical/>
        <horizontal/>
      </border>
    </dxf>
    <dxf>
      <fill>
        <patternFill>
          <bgColor rgb="FFFFE575"/>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rgb="FFFFE575"/>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8" tint="0.79998168889431442"/>
        </patternFill>
      </fill>
      <border>
        <left style="thin">
          <color auto="1"/>
        </left>
        <right style="thin">
          <color auto="1"/>
        </right>
        <top style="thin">
          <color auto="1"/>
        </top>
        <bottom style="thin">
          <color auto="1"/>
        </bottom>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ill>
        <patternFill>
          <bgColor rgb="FFFFC000"/>
        </patternFill>
      </fill>
    </dxf>
    <dxf>
      <font>
        <b val="0"/>
        <i val="0"/>
      </font>
      <fill>
        <patternFill>
          <bgColor rgb="FFFFC000"/>
        </patternFill>
      </fill>
      <border>
        <left style="thin">
          <color auto="1"/>
        </left>
        <right style="thin">
          <color auto="1"/>
        </right>
        <top style="thin">
          <color auto="1"/>
        </top>
        <bottom style="thin">
          <color auto="1"/>
        </bottom>
        <vertical/>
        <horizontal/>
      </border>
    </dxf>
    <dxf>
      <fill>
        <patternFill>
          <bgColor rgb="FFFFE575"/>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ill>
        <patternFill>
          <bgColor theme="8" tint="0.79998168889431442"/>
        </patternFill>
      </fill>
      <border>
        <left style="thin">
          <color auto="1"/>
        </left>
        <right style="thin">
          <color auto="1"/>
        </right>
        <top style="thin">
          <color auto="1"/>
        </top>
        <bottom style="thin">
          <color auto="1"/>
        </bottom>
        <vertical/>
        <horizontal/>
      </border>
    </dxf>
    <dxf>
      <font>
        <b/>
        <i val="0"/>
        <color rgb="FFFF0000"/>
      </font>
      <fill>
        <patternFill>
          <bgColor rgb="FFC1D400"/>
        </patternFill>
      </fill>
    </dxf>
    <dxf>
      <font>
        <color theme="0"/>
      </font>
      <fill>
        <patternFill patternType="none">
          <bgColor auto="1"/>
        </patternFill>
      </fill>
      <border>
        <left/>
        <right/>
        <top/>
        <bottom/>
        <vertical/>
        <horizontal/>
      </border>
    </dxf>
    <dxf>
      <font>
        <b val="0"/>
        <i val="0"/>
      </font>
      <fill>
        <patternFill>
          <bgColor rgb="FFDDEE00"/>
        </patternFill>
      </fill>
    </dxf>
  </dxfs>
  <tableStyles count="0" defaultTableStyle="TableStyleMedium2" defaultPivotStyle="PivotStyleLight16"/>
  <colors>
    <mruColors>
      <color rgb="FFDDEE00"/>
      <color rgb="FFFFFF00"/>
      <color rgb="FF9999FF"/>
      <color rgb="FFDEEE00"/>
      <color rgb="FFEDFF01"/>
      <color rgb="FFF8FF9B"/>
      <color rgb="FFFF7C80"/>
      <color rgb="FFFFE575"/>
      <color rgb="FFCCCCFF"/>
      <color rgb="FFC1D4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14284</xdr:colOff>
      <xdr:row>1</xdr:row>
      <xdr:rowOff>4765</xdr:rowOff>
    </xdr:from>
    <xdr:to>
      <xdr:col>2</xdr:col>
      <xdr:colOff>576260</xdr:colOff>
      <xdr:row>6</xdr:row>
      <xdr:rowOff>119985</xdr:rowOff>
    </xdr:to>
    <xdr:pic>
      <xdr:nvPicPr>
        <xdr:cNvPr id="2" name="Imagen 1">
          <a:extLst>
            <a:ext uri="{FF2B5EF4-FFF2-40B4-BE49-F238E27FC236}">
              <a16:creationId xmlns:a16="http://schemas.microsoft.com/office/drawing/2014/main" id="{EBAB2EC3-3B67-4CB2-8EB9-B97BD3B6CDDB}"/>
            </a:ext>
          </a:extLst>
        </xdr:cNvPr>
        <xdr:cNvPicPr>
          <a:picLocks noChangeAspect="1"/>
        </xdr:cNvPicPr>
      </xdr:nvPicPr>
      <xdr:blipFill>
        <a:blip xmlns:r="http://schemas.openxmlformats.org/officeDocument/2006/relationships" r:embed="rId1"/>
        <a:stretch>
          <a:fillRect/>
        </a:stretch>
      </xdr:blipFill>
      <xdr:spPr>
        <a:xfrm>
          <a:off x="385759" y="166690"/>
          <a:ext cx="1695451" cy="10677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3</xdr:col>
      <xdr:colOff>92870</xdr:colOff>
      <xdr:row>7</xdr:row>
      <xdr:rowOff>33860</xdr:rowOff>
    </xdr:to>
    <xdr:pic>
      <xdr:nvPicPr>
        <xdr:cNvPr id="2" name="Imagen 1">
          <a:extLst>
            <a:ext uri="{FF2B5EF4-FFF2-40B4-BE49-F238E27FC236}">
              <a16:creationId xmlns:a16="http://schemas.microsoft.com/office/drawing/2014/main" id="{E7C84C43-81D3-4FAA-8E2D-C6B6E836BAAA}"/>
            </a:ext>
          </a:extLst>
        </xdr:cNvPr>
        <xdr:cNvPicPr>
          <a:picLocks noChangeAspect="1"/>
        </xdr:cNvPicPr>
      </xdr:nvPicPr>
      <xdr:blipFill>
        <a:blip xmlns:r="http://schemas.openxmlformats.org/officeDocument/2006/relationships" r:embed="rId1"/>
        <a:stretch>
          <a:fillRect/>
        </a:stretch>
      </xdr:blipFill>
      <xdr:spPr>
        <a:xfrm>
          <a:off x="381000" y="180975"/>
          <a:ext cx="1693070" cy="10720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19050</xdr:colOff>
      <xdr:row>1</xdr:row>
      <xdr:rowOff>19050</xdr:rowOff>
    </xdr:from>
    <xdr:to>
      <xdr:col>4</xdr:col>
      <xdr:colOff>1714501</xdr:colOff>
      <xdr:row>6</xdr:row>
      <xdr:rowOff>19970</xdr:rowOff>
    </xdr:to>
    <xdr:pic>
      <xdr:nvPicPr>
        <xdr:cNvPr id="3" name="Imagen 2">
          <a:extLst>
            <a:ext uri="{FF2B5EF4-FFF2-40B4-BE49-F238E27FC236}">
              <a16:creationId xmlns:a16="http://schemas.microsoft.com/office/drawing/2014/main" id="{4022A91B-24F5-4844-9E9F-06149A747BC2}"/>
            </a:ext>
          </a:extLst>
        </xdr:cNvPr>
        <xdr:cNvPicPr>
          <a:picLocks noChangeAspect="1"/>
        </xdr:cNvPicPr>
      </xdr:nvPicPr>
      <xdr:blipFill>
        <a:blip xmlns:r="http://schemas.openxmlformats.org/officeDocument/2006/relationships" r:embed="rId1"/>
        <a:stretch>
          <a:fillRect/>
        </a:stretch>
      </xdr:blipFill>
      <xdr:spPr>
        <a:xfrm>
          <a:off x="390525" y="209550"/>
          <a:ext cx="1695451" cy="10677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11905</xdr:colOff>
      <xdr:row>1</xdr:row>
      <xdr:rowOff>10319</xdr:rowOff>
    </xdr:from>
    <xdr:to>
      <xdr:col>3</xdr:col>
      <xdr:colOff>390525</xdr:colOff>
      <xdr:row>5</xdr:row>
      <xdr:rowOff>82279</xdr:rowOff>
    </xdr:to>
    <xdr:pic>
      <xdr:nvPicPr>
        <xdr:cNvPr id="2" name="Imagen 1">
          <a:extLst>
            <a:ext uri="{FF2B5EF4-FFF2-40B4-BE49-F238E27FC236}">
              <a16:creationId xmlns:a16="http://schemas.microsoft.com/office/drawing/2014/main" id="{936587C1-FA07-4AA1-9B09-289F79839284}"/>
            </a:ext>
          </a:extLst>
        </xdr:cNvPr>
        <xdr:cNvPicPr>
          <a:picLocks noChangeAspect="1"/>
        </xdr:cNvPicPr>
      </xdr:nvPicPr>
      <xdr:blipFill>
        <a:blip xmlns:r="http://schemas.openxmlformats.org/officeDocument/2006/relationships" r:embed="rId1"/>
        <a:stretch>
          <a:fillRect/>
        </a:stretch>
      </xdr:blipFill>
      <xdr:spPr>
        <a:xfrm>
          <a:off x="384968" y="184944"/>
          <a:ext cx="1677195" cy="109113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3</xdr:col>
      <xdr:colOff>397670</xdr:colOff>
      <xdr:row>5</xdr:row>
      <xdr:rowOff>91010</xdr:rowOff>
    </xdr:to>
    <xdr:pic>
      <xdr:nvPicPr>
        <xdr:cNvPr id="3" name="Imagen 2">
          <a:extLst>
            <a:ext uri="{FF2B5EF4-FFF2-40B4-BE49-F238E27FC236}">
              <a16:creationId xmlns:a16="http://schemas.microsoft.com/office/drawing/2014/main" id="{18709E64-19C0-4A3B-B756-CAF9611A5ECB}"/>
            </a:ext>
          </a:extLst>
        </xdr:cNvPr>
        <xdr:cNvPicPr>
          <a:picLocks noChangeAspect="1"/>
        </xdr:cNvPicPr>
      </xdr:nvPicPr>
      <xdr:blipFill>
        <a:blip xmlns:r="http://schemas.openxmlformats.org/officeDocument/2006/relationships" r:embed="rId1"/>
        <a:stretch>
          <a:fillRect/>
        </a:stretch>
      </xdr:blipFill>
      <xdr:spPr>
        <a:xfrm>
          <a:off x="390525" y="266700"/>
          <a:ext cx="1664495" cy="10625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3</xdr:col>
      <xdr:colOff>397670</xdr:colOff>
      <xdr:row>5</xdr:row>
      <xdr:rowOff>91010</xdr:rowOff>
    </xdr:to>
    <xdr:pic>
      <xdr:nvPicPr>
        <xdr:cNvPr id="3" name="Imagen 2">
          <a:extLst>
            <a:ext uri="{FF2B5EF4-FFF2-40B4-BE49-F238E27FC236}">
              <a16:creationId xmlns:a16="http://schemas.microsoft.com/office/drawing/2014/main" id="{00E09C35-E9F9-47DF-BA4A-661F1514634E}"/>
            </a:ext>
          </a:extLst>
        </xdr:cNvPr>
        <xdr:cNvPicPr>
          <a:picLocks noChangeAspect="1"/>
        </xdr:cNvPicPr>
      </xdr:nvPicPr>
      <xdr:blipFill>
        <a:blip xmlns:r="http://schemas.openxmlformats.org/officeDocument/2006/relationships" r:embed="rId1"/>
        <a:stretch>
          <a:fillRect/>
        </a:stretch>
      </xdr:blipFill>
      <xdr:spPr>
        <a:xfrm>
          <a:off x="390525" y="266700"/>
          <a:ext cx="1664495" cy="10625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3</xdr:col>
      <xdr:colOff>397670</xdr:colOff>
      <xdr:row>5</xdr:row>
      <xdr:rowOff>91010</xdr:rowOff>
    </xdr:to>
    <xdr:pic>
      <xdr:nvPicPr>
        <xdr:cNvPr id="3" name="Imagen 2">
          <a:extLst>
            <a:ext uri="{FF2B5EF4-FFF2-40B4-BE49-F238E27FC236}">
              <a16:creationId xmlns:a16="http://schemas.microsoft.com/office/drawing/2014/main" id="{CCB58F0F-BE38-477D-8A10-90DF4DAA2692}"/>
            </a:ext>
          </a:extLst>
        </xdr:cNvPr>
        <xdr:cNvPicPr>
          <a:picLocks noChangeAspect="1"/>
        </xdr:cNvPicPr>
      </xdr:nvPicPr>
      <xdr:blipFill>
        <a:blip xmlns:r="http://schemas.openxmlformats.org/officeDocument/2006/relationships" r:embed="rId1"/>
        <a:stretch>
          <a:fillRect/>
        </a:stretch>
      </xdr:blipFill>
      <xdr:spPr>
        <a:xfrm>
          <a:off x="390525" y="266700"/>
          <a:ext cx="1664495" cy="10625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5554</xdr:colOff>
      <xdr:row>2</xdr:row>
      <xdr:rowOff>7938</xdr:rowOff>
    </xdr:from>
    <xdr:to>
      <xdr:col>2</xdr:col>
      <xdr:colOff>833436</xdr:colOff>
      <xdr:row>6</xdr:row>
      <xdr:rowOff>79898</xdr:rowOff>
    </xdr:to>
    <xdr:pic>
      <xdr:nvPicPr>
        <xdr:cNvPr id="2" name="Imagen 1">
          <a:extLst>
            <a:ext uri="{FF2B5EF4-FFF2-40B4-BE49-F238E27FC236}">
              <a16:creationId xmlns:a16="http://schemas.microsoft.com/office/drawing/2014/main" id="{C13AE8FB-4A0B-4617-B56F-6A083BD57C84}"/>
            </a:ext>
          </a:extLst>
        </xdr:cNvPr>
        <xdr:cNvPicPr>
          <a:picLocks noChangeAspect="1"/>
        </xdr:cNvPicPr>
      </xdr:nvPicPr>
      <xdr:blipFill>
        <a:blip xmlns:r="http://schemas.openxmlformats.org/officeDocument/2006/relationships" r:embed="rId1"/>
        <a:stretch>
          <a:fillRect/>
        </a:stretch>
      </xdr:blipFill>
      <xdr:spPr>
        <a:xfrm>
          <a:off x="386554" y="182563"/>
          <a:ext cx="1677195" cy="1097485"/>
        </a:xfrm>
        <a:prstGeom prst="rect">
          <a:avLst/>
        </a:prstGeom>
      </xdr:spPr>
    </xdr:pic>
    <xdr:clientData/>
  </xdr:twoCellAnchor>
  <xdr:oneCellAnchor>
    <xdr:from>
      <xdr:col>1</xdr:col>
      <xdr:colOff>5554</xdr:colOff>
      <xdr:row>26</xdr:row>
      <xdr:rowOff>7938</xdr:rowOff>
    </xdr:from>
    <xdr:ext cx="1666082" cy="1062560"/>
    <xdr:pic>
      <xdr:nvPicPr>
        <xdr:cNvPr id="3" name="Imagen 2">
          <a:extLst>
            <a:ext uri="{FF2B5EF4-FFF2-40B4-BE49-F238E27FC236}">
              <a16:creationId xmlns:a16="http://schemas.microsoft.com/office/drawing/2014/main" id="{7F184A99-DB32-4B7C-A029-CC17BE0A0634}"/>
            </a:ext>
          </a:extLst>
        </xdr:cNvPr>
        <xdr:cNvPicPr>
          <a:picLocks noChangeAspect="1"/>
        </xdr:cNvPicPr>
      </xdr:nvPicPr>
      <xdr:blipFill>
        <a:blip xmlns:r="http://schemas.openxmlformats.org/officeDocument/2006/relationships" r:embed="rId1"/>
        <a:stretch>
          <a:fillRect/>
        </a:stretch>
      </xdr:blipFill>
      <xdr:spPr>
        <a:xfrm>
          <a:off x="377029" y="6094413"/>
          <a:ext cx="1666082" cy="1062560"/>
        </a:xfrm>
        <a:prstGeom prst="rect">
          <a:avLst/>
        </a:prstGeom>
      </xdr:spPr>
    </xdr:pic>
    <xdr:clientData/>
  </xdr:oneCellAnchor>
  <xdr:oneCellAnchor>
    <xdr:from>
      <xdr:col>1</xdr:col>
      <xdr:colOff>5554</xdr:colOff>
      <xdr:row>50</xdr:row>
      <xdr:rowOff>7938</xdr:rowOff>
    </xdr:from>
    <xdr:ext cx="1666082" cy="1062560"/>
    <xdr:pic>
      <xdr:nvPicPr>
        <xdr:cNvPr id="4" name="Imagen 3">
          <a:extLst>
            <a:ext uri="{FF2B5EF4-FFF2-40B4-BE49-F238E27FC236}">
              <a16:creationId xmlns:a16="http://schemas.microsoft.com/office/drawing/2014/main" id="{42DFFCED-6822-43A3-94CD-690F2A1CA8E4}"/>
            </a:ext>
          </a:extLst>
        </xdr:cNvPr>
        <xdr:cNvPicPr>
          <a:picLocks noChangeAspect="1"/>
        </xdr:cNvPicPr>
      </xdr:nvPicPr>
      <xdr:blipFill>
        <a:blip xmlns:r="http://schemas.openxmlformats.org/officeDocument/2006/relationships" r:embed="rId1"/>
        <a:stretch>
          <a:fillRect/>
        </a:stretch>
      </xdr:blipFill>
      <xdr:spPr>
        <a:xfrm>
          <a:off x="377029" y="9237663"/>
          <a:ext cx="1666082" cy="1062560"/>
        </a:xfrm>
        <a:prstGeom prst="rect">
          <a:avLst/>
        </a:prstGeom>
      </xdr:spPr>
    </xdr:pic>
    <xdr:clientData/>
  </xdr:oneCellAnchor>
  <xdr:oneCellAnchor>
    <xdr:from>
      <xdr:col>1</xdr:col>
      <xdr:colOff>5554</xdr:colOff>
      <xdr:row>74</xdr:row>
      <xdr:rowOff>7938</xdr:rowOff>
    </xdr:from>
    <xdr:ext cx="1666082" cy="1062560"/>
    <xdr:pic>
      <xdr:nvPicPr>
        <xdr:cNvPr id="5" name="Imagen 4">
          <a:extLst>
            <a:ext uri="{FF2B5EF4-FFF2-40B4-BE49-F238E27FC236}">
              <a16:creationId xmlns:a16="http://schemas.microsoft.com/office/drawing/2014/main" id="{4996FF3F-64B6-4319-A1F1-41109F828CFD}"/>
            </a:ext>
          </a:extLst>
        </xdr:cNvPr>
        <xdr:cNvPicPr>
          <a:picLocks noChangeAspect="1"/>
        </xdr:cNvPicPr>
      </xdr:nvPicPr>
      <xdr:blipFill>
        <a:blip xmlns:r="http://schemas.openxmlformats.org/officeDocument/2006/relationships" r:embed="rId1"/>
        <a:stretch>
          <a:fillRect/>
        </a:stretch>
      </xdr:blipFill>
      <xdr:spPr>
        <a:xfrm>
          <a:off x="377029" y="15362238"/>
          <a:ext cx="1666082" cy="106256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873920</xdr:colOff>
      <xdr:row>5</xdr:row>
      <xdr:rowOff>56085</xdr:rowOff>
    </xdr:to>
    <xdr:pic>
      <xdr:nvPicPr>
        <xdr:cNvPr id="2" name="Imagen 1">
          <a:extLst>
            <a:ext uri="{FF2B5EF4-FFF2-40B4-BE49-F238E27FC236}">
              <a16:creationId xmlns:a16="http://schemas.microsoft.com/office/drawing/2014/main" id="{2FCDDEF3-130E-4A25-8E18-3CD54F027C98}"/>
            </a:ext>
          </a:extLst>
        </xdr:cNvPr>
        <xdr:cNvPicPr>
          <a:picLocks noChangeAspect="1"/>
        </xdr:cNvPicPr>
      </xdr:nvPicPr>
      <xdr:blipFill>
        <a:blip xmlns:r="http://schemas.openxmlformats.org/officeDocument/2006/relationships" r:embed="rId1"/>
        <a:stretch>
          <a:fillRect/>
        </a:stretch>
      </xdr:blipFill>
      <xdr:spPr>
        <a:xfrm>
          <a:off x="381000" y="180975"/>
          <a:ext cx="1693070" cy="107208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8786-E570-4C30-A49F-F043444089F0}">
  <dimension ref="B2:B77"/>
  <sheetViews>
    <sheetView showGridLines="0" tabSelected="1" zoomScaleNormal="100" workbookViewId="0">
      <selection activeCell="B3" sqref="B3"/>
    </sheetView>
  </sheetViews>
  <sheetFormatPr baseColWidth="10" defaultColWidth="9.140625" defaultRowHeight="13.5" x14ac:dyDescent="0.25"/>
  <cols>
    <col min="1" max="1" width="5.5703125" style="394" customWidth="1"/>
    <col min="2" max="2" width="85.5703125" style="394" customWidth="1"/>
    <col min="3" max="1001" width="10.5703125" style="394" customWidth="1"/>
    <col min="1002" max="16384" width="9.140625" style="394"/>
  </cols>
  <sheetData>
    <row r="2" spans="2:2" ht="39.950000000000003" customHeight="1" x14ac:dyDescent="0.25">
      <c r="B2" s="588" t="s">
        <v>432</v>
      </c>
    </row>
    <row r="4" spans="2:2" ht="27" x14ac:dyDescent="0.25">
      <c r="B4" s="589" t="s">
        <v>0</v>
      </c>
    </row>
    <row r="5" spans="2:2" x14ac:dyDescent="0.25">
      <c r="B5" s="589"/>
    </row>
    <row r="6" spans="2:2" ht="40.5" x14ac:dyDescent="0.25">
      <c r="B6" s="590" t="s">
        <v>120</v>
      </c>
    </row>
    <row r="7" spans="2:2" ht="9.9499999999999993" customHeight="1" x14ac:dyDescent="0.25">
      <c r="B7" s="590"/>
    </row>
    <row r="8" spans="2:2" ht="15" customHeight="1" x14ac:dyDescent="0.25">
      <c r="B8" s="591" t="s">
        <v>122</v>
      </c>
    </row>
    <row r="9" spans="2:2" ht="15" customHeight="1" x14ac:dyDescent="0.25">
      <c r="B9" s="592" t="s">
        <v>3</v>
      </c>
    </row>
    <row r="10" spans="2:2" ht="15" customHeight="1" x14ac:dyDescent="0.25">
      <c r="B10" s="592" t="s">
        <v>4</v>
      </c>
    </row>
    <row r="11" spans="2:2" ht="27" x14ac:dyDescent="0.25">
      <c r="B11" s="592" t="s">
        <v>5</v>
      </c>
    </row>
    <row r="12" spans="2:2" ht="30" customHeight="1" x14ac:dyDescent="0.25">
      <c r="B12" s="592" t="s">
        <v>6</v>
      </c>
    </row>
    <row r="13" spans="2:2" ht="40.5" x14ac:dyDescent="0.25">
      <c r="B13" s="592" t="s">
        <v>7</v>
      </c>
    </row>
    <row r="14" spans="2:2" ht="40.5" x14ac:dyDescent="0.25">
      <c r="B14" s="592" t="s">
        <v>390</v>
      </c>
    </row>
    <row r="15" spans="2:2" ht="27" x14ac:dyDescent="0.25">
      <c r="B15" s="592" t="s">
        <v>8</v>
      </c>
    </row>
    <row r="16" spans="2:2" ht="15" customHeight="1" x14ac:dyDescent="0.25">
      <c r="B16" s="593"/>
    </row>
    <row r="17" spans="2:2" ht="15" customHeight="1" x14ac:dyDescent="0.25">
      <c r="B17" s="594" t="s">
        <v>1</v>
      </c>
    </row>
    <row r="18" spans="2:2" ht="9.9499999999999993" customHeight="1" x14ac:dyDescent="0.25"/>
    <row r="19" spans="2:2" ht="15" customHeight="1" x14ac:dyDescent="0.25">
      <c r="B19" s="595" t="s">
        <v>2</v>
      </c>
    </row>
    <row r="20" spans="2:2" ht="15" customHeight="1" x14ac:dyDescent="0.25">
      <c r="B20" s="596" t="s">
        <v>145</v>
      </c>
    </row>
    <row r="21" spans="2:2" ht="15" customHeight="1" x14ac:dyDescent="0.25">
      <c r="B21" s="596" t="s">
        <v>391</v>
      </c>
    </row>
    <row r="22" spans="2:2" ht="15" customHeight="1" x14ac:dyDescent="0.25">
      <c r="B22" s="596" t="s">
        <v>169</v>
      </c>
    </row>
    <row r="23" spans="2:2" ht="27" x14ac:dyDescent="0.25">
      <c r="B23" s="592" t="s">
        <v>216</v>
      </c>
    </row>
    <row r="24" spans="2:2" ht="15" customHeight="1" x14ac:dyDescent="0.25">
      <c r="B24" s="589"/>
    </row>
    <row r="25" spans="2:2" ht="15" customHeight="1" x14ac:dyDescent="0.25">
      <c r="B25" s="594" t="s">
        <v>137</v>
      </c>
    </row>
    <row r="26" spans="2:2" ht="9.9499999999999993" customHeight="1" x14ac:dyDescent="0.25"/>
    <row r="27" spans="2:2" ht="27" x14ac:dyDescent="0.25">
      <c r="B27" s="589" t="s">
        <v>138</v>
      </c>
    </row>
    <row r="28" spans="2:2" ht="27" customHeight="1" x14ac:dyDescent="0.25">
      <c r="B28" s="590" t="s">
        <v>392</v>
      </c>
    </row>
    <row r="29" spans="2:2" ht="27" customHeight="1" x14ac:dyDescent="0.25">
      <c r="B29" s="597" t="s">
        <v>412</v>
      </c>
    </row>
    <row r="30" spans="2:2" ht="27" x14ac:dyDescent="0.25">
      <c r="B30" s="597" t="s">
        <v>393</v>
      </c>
    </row>
    <row r="31" spans="2:2" ht="27" x14ac:dyDescent="0.25">
      <c r="B31" s="597" t="s">
        <v>164</v>
      </c>
    </row>
    <row r="32" spans="2:2" ht="15" customHeight="1" x14ac:dyDescent="0.25">
      <c r="B32" s="589"/>
    </row>
    <row r="33" spans="2:2" ht="15" customHeight="1" x14ac:dyDescent="0.25">
      <c r="B33" s="594" t="s">
        <v>121</v>
      </c>
    </row>
    <row r="34" spans="2:2" ht="9.9499999999999993" customHeight="1" x14ac:dyDescent="0.25"/>
    <row r="35" spans="2:2" ht="27" x14ac:dyDescent="0.25">
      <c r="B35" s="598" t="s">
        <v>413</v>
      </c>
    </row>
    <row r="36" spans="2:2" ht="50.1" customHeight="1" x14ac:dyDescent="0.25">
      <c r="B36" s="599" t="s">
        <v>148</v>
      </c>
    </row>
    <row r="37" spans="2:2" ht="27" x14ac:dyDescent="0.25">
      <c r="B37" s="591" t="s">
        <v>394</v>
      </c>
    </row>
    <row r="38" spans="2:2" ht="60" customHeight="1" x14ac:dyDescent="0.25">
      <c r="B38" s="600" t="s">
        <v>149</v>
      </c>
    </row>
    <row r="39" spans="2:2" ht="15" customHeight="1" x14ac:dyDescent="0.25">
      <c r="B39" s="601" t="s">
        <v>150</v>
      </c>
    </row>
    <row r="40" spans="2:2" ht="13.5" customHeight="1" x14ac:dyDescent="0.25">
      <c r="B40" s="591" t="s">
        <v>395</v>
      </c>
    </row>
    <row r="41" spans="2:2" ht="27" x14ac:dyDescent="0.25">
      <c r="B41" s="599" t="s">
        <v>396</v>
      </c>
    </row>
    <row r="42" spans="2:2" ht="13.5" customHeight="1" x14ac:dyDescent="0.25">
      <c r="B42" s="599" t="s">
        <v>397</v>
      </c>
    </row>
    <row r="43" spans="2:2" ht="27" x14ac:dyDescent="0.25">
      <c r="B43" s="598" t="s">
        <v>398</v>
      </c>
    </row>
    <row r="44" spans="2:2" ht="15" customHeight="1" x14ac:dyDescent="0.25"/>
    <row r="45" spans="2:2" ht="15" customHeight="1" x14ac:dyDescent="0.25">
      <c r="B45" s="594" t="s">
        <v>217</v>
      </c>
    </row>
    <row r="46" spans="2:2" ht="9.9499999999999993" customHeight="1" x14ac:dyDescent="0.25"/>
    <row r="47" spans="2:2" ht="15" customHeight="1" x14ac:dyDescent="0.25">
      <c r="B47" s="602" t="s">
        <v>399</v>
      </c>
    </row>
    <row r="48" spans="2:2" ht="15" customHeight="1" x14ac:dyDescent="0.25">
      <c r="B48" s="603" t="s">
        <v>123</v>
      </c>
    </row>
    <row r="49" spans="2:2" ht="15" customHeight="1" x14ac:dyDescent="0.25">
      <c r="B49" s="603" t="s">
        <v>124</v>
      </c>
    </row>
    <row r="50" spans="2:2" ht="15" customHeight="1" x14ac:dyDescent="0.25">
      <c r="B50" s="603" t="s">
        <v>125</v>
      </c>
    </row>
    <row r="51" spans="2:2" ht="15" customHeight="1" x14ac:dyDescent="0.25">
      <c r="B51" s="603" t="s">
        <v>126</v>
      </c>
    </row>
    <row r="52" spans="2:2" ht="9.9499999999999993" customHeight="1" x14ac:dyDescent="0.25"/>
    <row r="53" spans="2:2" ht="15" customHeight="1" x14ac:dyDescent="0.25">
      <c r="B53" s="604" t="s">
        <v>127</v>
      </c>
    </row>
    <row r="54" spans="2:2" ht="15" customHeight="1" x14ac:dyDescent="0.25">
      <c r="B54" s="618" t="s">
        <v>414</v>
      </c>
    </row>
    <row r="55" spans="2:2" ht="15" customHeight="1" x14ac:dyDescent="0.25">
      <c r="B55" s="618"/>
    </row>
    <row r="56" spans="2:2" ht="9.9499999999999993" customHeight="1" x14ac:dyDescent="0.25"/>
    <row r="57" spans="2:2" ht="15" customHeight="1" x14ac:dyDescent="0.25">
      <c r="B57" s="604" t="s">
        <v>128</v>
      </c>
    </row>
    <row r="58" spans="2:2" ht="30" customHeight="1" x14ac:dyDescent="0.25">
      <c r="B58" s="599" t="s">
        <v>400</v>
      </c>
    </row>
    <row r="59" spans="2:2" ht="30" customHeight="1" x14ac:dyDescent="0.25">
      <c r="B59" s="605" t="s">
        <v>151</v>
      </c>
    </row>
    <row r="60" spans="2:2" ht="50.1" customHeight="1" x14ac:dyDescent="0.25">
      <c r="B60" s="599" t="s">
        <v>152</v>
      </c>
    </row>
    <row r="61" spans="2:2" ht="60" customHeight="1" x14ac:dyDescent="0.25">
      <c r="B61" s="599" t="s">
        <v>401</v>
      </c>
    </row>
    <row r="62" spans="2:2" ht="30" customHeight="1" x14ac:dyDescent="0.25">
      <c r="B62" s="599" t="s">
        <v>155</v>
      </c>
    </row>
    <row r="63" spans="2:2" ht="30" customHeight="1" x14ac:dyDescent="0.25">
      <c r="B63" s="599" t="s">
        <v>415</v>
      </c>
    </row>
    <row r="64" spans="2:2" ht="9.9499999999999993" customHeight="1" x14ac:dyDescent="0.25"/>
    <row r="65" spans="2:2" ht="15" customHeight="1" x14ac:dyDescent="0.25">
      <c r="B65" s="604" t="s">
        <v>402</v>
      </c>
    </row>
    <row r="66" spans="2:2" ht="50.1" customHeight="1" x14ac:dyDescent="0.25">
      <c r="B66" s="599" t="s">
        <v>156</v>
      </c>
    </row>
    <row r="67" spans="2:2" ht="27" customHeight="1" x14ac:dyDescent="0.25">
      <c r="B67" s="606" t="s">
        <v>113</v>
      </c>
    </row>
    <row r="68" spans="2:2" ht="27" x14ac:dyDescent="0.25">
      <c r="B68" s="606" t="s">
        <v>157</v>
      </c>
    </row>
    <row r="69" spans="2:2" ht="40.5" x14ac:dyDescent="0.25">
      <c r="B69" s="599" t="s">
        <v>158</v>
      </c>
    </row>
    <row r="70" spans="2:2" ht="9.9499999999999993" customHeight="1" x14ac:dyDescent="0.25"/>
    <row r="71" spans="2:2" ht="15" customHeight="1" x14ac:dyDescent="0.25">
      <c r="B71" s="604" t="s">
        <v>159</v>
      </c>
    </row>
    <row r="72" spans="2:2" ht="27" customHeight="1" x14ac:dyDescent="0.25">
      <c r="B72" s="599" t="s">
        <v>416</v>
      </c>
    </row>
    <row r="73" spans="2:2" ht="15" customHeight="1" x14ac:dyDescent="0.25">
      <c r="B73" s="607" t="s">
        <v>403</v>
      </c>
    </row>
    <row r="74" spans="2:2" ht="27" customHeight="1" x14ac:dyDescent="0.25">
      <c r="B74" s="606" t="s">
        <v>404</v>
      </c>
    </row>
    <row r="75" spans="2:2" ht="27" customHeight="1" x14ac:dyDescent="0.25">
      <c r="B75" s="606" t="s">
        <v>405</v>
      </c>
    </row>
    <row r="76" spans="2:2" ht="27" x14ac:dyDescent="0.25">
      <c r="B76" s="606" t="s">
        <v>417</v>
      </c>
    </row>
    <row r="77" spans="2:2" ht="9.9499999999999993" customHeight="1" x14ac:dyDescent="0.25"/>
  </sheetData>
  <sheetProtection algorithmName="SHA-512" hashValue="VQbve/HkSD7Q8Rp8hWm3T0UBCvWAwwhhKwf/zLqTcQ+ylJZXppqF/HzGm47wcwjAlHsFzl0xqrZ+j5b2dcL12A==" saltValue="hwsgUx3n1+mF3pWJpNKrxQ==" spinCount="100000" sheet="1" objects="1" scenarios="1"/>
  <mergeCells count="1">
    <mergeCell ref="B54:B55"/>
  </mergeCells>
  <pageMargins left="0.7" right="0.7" top="0.75" bottom="0.75" header="0.3" footer="0.3"/>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EF8BD-40F6-4404-93F2-6167CB5230DB}">
  <dimension ref="B2:O14"/>
  <sheetViews>
    <sheetView showGridLines="0" zoomScaleNormal="100" workbookViewId="0">
      <selection activeCell="O11" sqref="O11"/>
    </sheetView>
  </sheetViews>
  <sheetFormatPr baseColWidth="10" defaultColWidth="11.42578125" defaultRowHeight="13.5" x14ac:dyDescent="0.25"/>
  <cols>
    <col min="1" max="1" width="5.5703125" style="126" customWidth="1"/>
    <col min="2" max="2" width="12.42578125" style="126" bestFit="1" customWidth="1"/>
    <col min="3" max="3" width="13.42578125" style="126" bestFit="1" customWidth="1"/>
    <col min="4" max="4" width="60.7109375" style="126" customWidth="1"/>
    <col min="5" max="5" width="15.7109375" style="130" customWidth="1"/>
    <col min="6" max="6" width="5.5703125" style="126" customWidth="1"/>
    <col min="7" max="7" width="59" style="126" bestFit="1" customWidth="1"/>
    <col min="8" max="8" width="11.42578125" style="126" hidden="1" customWidth="1"/>
    <col min="9" max="9" width="5.5703125" style="126" customWidth="1"/>
    <col min="10" max="10" width="12.42578125" style="126" customWidth="1"/>
    <col min="11" max="11" width="13.42578125" style="126" customWidth="1"/>
    <col min="12" max="12" width="60.7109375" style="126" customWidth="1"/>
    <col min="13" max="13" width="15.7109375" style="130" customWidth="1"/>
    <col min="14" max="14" width="5.5703125" style="126" customWidth="1"/>
    <col min="15" max="15" width="59" style="126" customWidth="1"/>
    <col min="16" max="16384" width="11.42578125" style="126"/>
  </cols>
  <sheetData>
    <row r="2" spans="2:15" ht="20.100000000000001" customHeight="1" x14ac:dyDescent="0.25">
      <c r="B2" s="127"/>
      <c r="C2" s="127"/>
      <c r="E2" s="127"/>
      <c r="F2" s="258"/>
      <c r="J2" s="127"/>
      <c r="K2" s="127"/>
      <c r="M2" s="127"/>
      <c r="N2" s="258"/>
    </row>
    <row r="3" spans="2:15" ht="20.100000000000001" customHeight="1" x14ac:dyDescent="0.25">
      <c r="B3" s="128"/>
      <c r="C3" s="128"/>
      <c r="D3" s="128"/>
      <c r="E3" s="129" t="str">
        <f>'% DEDICACIÓN TRABAJADOR'!F4</f>
        <v>Nº DE EXPEDIENTE: 2024.08.EPTE.0000</v>
      </c>
      <c r="J3" s="128"/>
      <c r="K3" s="128"/>
      <c r="L3" s="128"/>
      <c r="M3" s="129" t="str">
        <f>'% DEDICACIÓN TRABAJADOR'!F4</f>
        <v>Nº DE EXPEDIENTE: 2024.08.EPTE.0000</v>
      </c>
    </row>
    <row r="4" spans="2:15" ht="20.100000000000001" customHeight="1" x14ac:dyDescent="0.25">
      <c r="F4" s="216"/>
      <c r="N4" s="216"/>
    </row>
    <row r="5" spans="2:15" ht="20.100000000000001" customHeight="1" x14ac:dyDescent="0.25">
      <c r="E5" s="131" t="str">
        <f>'% DEDICACIÓN TRABAJADOR'!F6</f>
        <v>TRABAJADOR:</v>
      </c>
      <c r="F5" s="216"/>
      <c r="M5" s="131" t="str">
        <f>'% DEDICACIÓN TRABAJADOR'!F6</f>
        <v>TRABAJADOR:</v>
      </c>
      <c r="N5" s="216"/>
    </row>
    <row r="6" spans="2:15" ht="20.100000000000001" customHeight="1" x14ac:dyDescent="0.25">
      <c r="E6" s="131" t="str">
        <f>'% DEDICACIÓN TRABAJADOR'!F7</f>
        <v>ACRÓNIMO:</v>
      </c>
      <c r="M6" s="131" t="str">
        <f>'% DEDICACIÓN TRABAJADOR'!F7</f>
        <v>ACRÓNIMO:</v>
      </c>
    </row>
    <row r="7" spans="2:15" ht="20.100000000000001" customHeight="1" thickBot="1" x14ac:dyDescent="0.3">
      <c r="H7" s="953" t="s">
        <v>139</v>
      </c>
    </row>
    <row r="8" spans="2:15" ht="20.100000000000001" customHeight="1" thickBot="1" x14ac:dyDescent="0.3">
      <c r="D8" s="132" t="s">
        <v>173</v>
      </c>
      <c r="E8" s="133">
        <f>IF(SUM(H11:H14)=0,SUM(E11:E14),0)</f>
        <v>0</v>
      </c>
      <c r="H8" s="953"/>
      <c r="L8" s="132" t="s">
        <v>173</v>
      </c>
      <c r="M8" s="133">
        <f>IF(SUM(H11:H14)=0,SUM(M11:M14),0)</f>
        <v>0</v>
      </c>
    </row>
    <row r="9" spans="2:15" ht="20.100000000000001" customHeight="1" x14ac:dyDescent="0.25">
      <c r="H9" s="953"/>
    </row>
    <row r="10" spans="2:15" s="134" customFormat="1" ht="20.100000000000001" customHeight="1" x14ac:dyDescent="0.25">
      <c r="B10" s="151" t="s">
        <v>171</v>
      </c>
      <c r="C10" s="151" t="s">
        <v>172</v>
      </c>
      <c r="D10" s="151" t="s">
        <v>136</v>
      </c>
      <c r="E10" s="152" t="s">
        <v>134</v>
      </c>
      <c r="F10" s="126"/>
      <c r="H10" s="123">
        <f>SUM(H11:H14)</f>
        <v>0</v>
      </c>
      <c r="J10" s="202" t="s">
        <v>171</v>
      </c>
      <c r="K10" s="202" t="s">
        <v>172</v>
      </c>
      <c r="L10" s="202" t="s">
        <v>136</v>
      </c>
      <c r="M10" s="203" t="s">
        <v>134</v>
      </c>
      <c r="N10" s="126"/>
    </row>
    <row r="11" spans="2:15" ht="35.1" customHeight="1" x14ac:dyDescent="0.25">
      <c r="B11" s="120" t="str">
        <f>IF(AUXILIAR!IG6="","",AUXILIAR!IG6)</f>
        <v/>
      </c>
      <c r="C11" s="120" t="str">
        <f>IF(AUXILIAR!IH6="","",AUXILIAR!IH6)</f>
        <v/>
      </c>
      <c r="D11" s="121" t="str">
        <f>IF(AUXILIAR!II6="","",AUXILIAR!II6)</f>
        <v/>
      </c>
      <c r="E11" s="122" t="str">
        <f>IF(AUXILIAR!IJ6="","",AUXILIAR!IJ6)</f>
        <v/>
      </c>
      <c r="G11" s="126" t="str">
        <f>IF(H11&gt;0,"EXISTE ALGÚN PORCENTAJE DE DEDICACIÓN SUPERIOR AL 100%","")</f>
        <v/>
      </c>
      <c r="H11" s="123">
        <f>'% DEDICACIÓN TRABAJADOR'!$B$44</f>
        <v>0</v>
      </c>
      <c r="J11" s="120" t="str">
        <f>IF(AUXILIAR!IV6="","",AUXILIAR!IV6)</f>
        <v/>
      </c>
      <c r="K11" s="120" t="str">
        <f>IF(AUXILIAR!IW6="","",AUXILIAR!IW6)</f>
        <v/>
      </c>
      <c r="L11" s="121" t="str">
        <f>IF(AUXILIAR!IX6="","",AUXILIAR!IX6)</f>
        <v/>
      </c>
      <c r="M11" s="122" t="str">
        <f>IF(AUXILIAR!IY6="","",AUXILIAR!IY6)</f>
        <v/>
      </c>
      <c r="O11" s="126" t="str">
        <f>IF(H11&gt;0,"EXISTE ALGÚN PORCENTAJE DE DEDICACIÓN SUPERIOR AL 100%","")</f>
        <v/>
      </c>
    </row>
    <row r="12" spans="2:15" ht="35.1" customHeight="1" x14ac:dyDescent="0.25">
      <c r="B12" s="123" t="str">
        <f>IF(AUXILIAR!IG7="","",AUXILIAR!IG7)</f>
        <v/>
      </c>
      <c r="C12" s="123" t="str">
        <f>IF(AUXILIAR!IH7="","",AUXILIAR!IH7)</f>
        <v/>
      </c>
      <c r="D12" s="124" t="str">
        <f>IF(AUXILIAR!II7="","",AUXILIAR!II7)</f>
        <v/>
      </c>
      <c r="E12" s="125" t="str">
        <f>IF(AUXILIAR!IJ7="","",AUXILIAR!IJ7)</f>
        <v/>
      </c>
      <c r="G12" s="126" t="str">
        <f t="shared" ref="G12:G14" si="0">IF(H12&gt;0,"EXISTE ALGÚN PORCENTAJE DE DEDICACIÓN SUPERIOR AL 100%","")</f>
        <v/>
      </c>
      <c r="H12" s="123">
        <f>'% DEDICACIÓN TRABAJADOR'!$B$45</f>
        <v>0</v>
      </c>
      <c r="J12" s="123" t="str">
        <f>IF(AUXILIAR!IV7="","",AUXILIAR!IV7)</f>
        <v/>
      </c>
      <c r="K12" s="123" t="str">
        <f>IF(AUXILIAR!IW7="","",AUXILIAR!IW7)</f>
        <v/>
      </c>
      <c r="L12" s="124" t="str">
        <f>IF(AUXILIAR!IX7="","",AUXILIAR!IX7)</f>
        <v/>
      </c>
      <c r="M12" s="125" t="str">
        <f>IF(AUXILIAR!IY7="","",AUXILIAR!IY7)</f>
        <v/>
      </c>
      <c r="O12" s="126" t="str">
        <f t="shared" ref="O12:O14" si="1">IF(H12&gt;0,"EXISTE ALGÚN PORCENTAJE DE DEDICACIÓN SUPERIOR AL 100%","")</f>
        <v/>
      </c>
    </row>
    <row r="13" spans="2:15" ht="35.1" customHeight="1" x14ac:dyDescent="0.25">
      <c r="B13" s="123" t="str">
        <f>IF(AUXILIAR!IG8="","",AUXILIAR!IG8)</f>
        <v/>
      </c>
      <c r="C13" s="123" t="str">
        <f>IF(AUXILIAR!IH8="","",AUXILIAR!IH8)</f>
        <v/>
      </c>
      <c r="D13" s="124" t="str">
        <f>IF(AUXILIAR!II8="","",AUXILIAR!II8)</f>
        <v/>
      </c>
      <c r="E13" s="125" t="str">
        <f>IF(AUXILIAR!IJ8="","",AUXILIAR!IJ8)</f>
        <v/>
      </c>
      <c r="G13" s="126" t="str">
        <f t="shared" si="0"/>
        <v/>
      </c>
      <c r="H13" s="123">
        <f>'% DEDICACIÓN TRABAJADOR'!$B$46</f>
        <v>0</v>
      </c>
      <c r="J13" s="123" t="str">
        <f>IF(AUXILIAR!IV8="","",AUXILIAR!IV8)</f>
        <v/>
      </c>
      <c r="K13" s="123" t="str">
        <f>IF(AUXILIAR!IW8="","",AUXILIAR!IW8)</f>
        <v/>
      </c>
      <c r="L13" s="124" t="str">
        <f>IF(AUXILIAR!IX8="","",AUXILIAR!IX8)</f>
        <v/>
      </c>
      <c r="M13" s="125" t="str">
        <f>IF(AUXILIAR!IY8="","",AUXILIAR!IY8)</f>
        <v/>
      </c>
      <c r="O13" s="126" t="str">
        <f t="shared" si="1"/>
        <v/>
      </c>
    </row>
    <row r="14" spans="2:15" ht="35.1" customHeight="1" x14ac:dyDescent="0.25">
      <c r="B14" s="123" t="str">
        <f>IF(AUXILIAR!IG9="","",AUXILIAR!IG9)</f>
        <v/>
      </c>
      <c r="C14" s="123" t="str">
        <f>IF(AUXILIAR!IH9="","",AUXILIAR!IH9)</f>
        <v/>
      </c>
      <c r="D14" s="124" t="str">
        <f>IF(AUXILIAR!II9="","",AUXILIAR!II9)</f>
        <v/>
      </c>
      <c r="E14" s="125" t="str">
        <f>IF(AUXILIAR!IJ9="","",AUXILIAR!IJ9)</f>
        <v/>
      </c>
      <c r="G14" s="126" t="str">
        <f t="shared" si="0"/>
        <v/>
      </c>
      <c r="H14" s="123">
        <f>'% DEDICACIÓN TRABAJADOR'!$B$47</f>
        <v>0</v>
      </c>
      <c r="J14" s="123" t="str">
        <f>IF(AUXILIAR!IV9="","",AUXILIAR!IV9)</f>
        <v/>
      </c>
      <c r="K14" s="123" t="str">
        <f>IF(AUXILIAR!IW9="","",AUXILIAR!IW9)</f>
        <v/>
      </c>
      <c r="L14" s="124" t="str">
        <f>IF(AUXILIAR!IX9="","",AUXILIAR!IX9)</f>
        <v/>
      </c>
      <c r="M14" s="125" t="str">
        <f>IF(AUXILIAR!IY9="","",AUXILIAR!IY9)</f>
        <v/>
      </c>
      <c r="O14" s="126" t="str">
        <f t="shared" si="1"/>
        <v/>
      </c>
    </row>
  </sheetData>
  <sheetProtection algorithmName="SHA-512" hashValue="REy/JujkxqPfVL6S73BTsWZqmYjJ3I+4w0GkszH0rP4fuzN4C/N1euC+hi/cSn4RfNIgxGt1QgDwCRXw6Pymbw==" saltValue="V4H9Y4+WgB1aI+XZNGDkfw==" spinCount="100000" sheet="1" objects="1" scenarios="1"/>
  <mergeCells count="1">
    <mergeCell ref="H7:H9"/>
  </mergeCells>
  <phoneticPr fontId="10" type="noConversion"/>
  <conditionalFormatting sqref="B12:E14">
    <cfRule type="expression" dxfId="17" priority="6">
      <formula>$B12&lt;&gt;""</formula>
    </cfRule>
  </conditionalFormatting>
  <conditionalFormatting sqref="J12:M14">
    <cfRule type="expression" dxfId="15" priority="14">
      <formula>$J12&lt;&gt;""</formula>
    </cfRule>
  </conditionalFormatting>
  <conditionalFormatting sqref="M8 E8">
    <cfRule type="expression" dxfId="14" priority="5">
      <formula>$H$10&gt;0</formula>
    </cfRule>
  </conditionalFormatting>
  <conditionalFormatting sqref="O11:O14 G11:G14">
    <cfRule type="cellIs" dxfId="13" priority="2" operator="notEqual">
      <formula>""</formula>
    </cfRule>
  </conditionalFormatting>
  <printOptions horizontalCentered="1"/>
  <pageMargins left="0.59055118110236227" right="0.59055118110236227" top="0.59055118110236227" bottom="0.39370078740157483" header="0.19685039370078741" footer="0.19685039370078741"/>
  <pageSetup paperSize="9" scale="7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stopIfTrue="1" id="{B14D8675-E56B-480B-BA76-DD2C0602C586}">
            <xm:f>OR(USUARIO!$C$2="",AUXILIAR!$W$6&lt;&gt;USUARIO!$C$2)</xm:f>
            <x14:dxf>
              <font>
                <color theme="0"/>
              </font>
              <fill>
                <patternFill patternType="none">
                  <bgColor auto="1"/>
                </patternFill>
              </fill>
              <border>
                <left/>
                <right/>
                <top/>
                <bottom/>
                <vertical/>
                <horizontal/>
              </border>
            </x14:dxf>
          </x14:cfRule>
          <xm:sqref>I1:O1048576</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80DD3-5B2C-461F-B0F2-FDBD7485F489}">
  <dimension ref="A1:R40"/>
  <sheetViews>
    <sheetView showGridLines="0" zoomScaleNormal="100" workbookViewId="0"/>
  </sheetViews>
  <sheetFormatPr baseColWidth="10" defaultColWidth="11.42578125" defaultRowHeight="15" x14ac:dyDescent="0.25"/>
  <cols>
    <col min="1" max="1" width="1.7109375" style="204" customWidth="1"/>
    <col min="2" max="2" width="12.42578125" style="126" bestFit="1" customWidth="1"/>
    <col min="3" max="3" width="13.42578125" style="126" bestFit="1" customWidth="1"/>
    <col min="4" max="4" width="60.7109375" style="126" customWidth="1"/>
    <col min="5" max="5" width="15.7109375" style="130" customWidth="1"/>
    <col min="6" max="6" width="5.7109375" style="126" customWidth="1"/>
    <col min="7" max="7" width="5.7109375" style="206" hidden="1" customWidth="1"/>
    <col min="8" max="8" width="5.7109375" style="206" customWidth="1"/>
    <col min="9" max="9" width="100.7109375" style="204" customWidth="1"/>
    <col min="10" max="10" width="5.7109375" style="204" customWidth="1"/>
    <col min="11" max="11" width="5.7109375" style="206" customWidth="1"/>
    <col min="12" max="12" width="100.7109375" style="204" customWidth="1"/>
    <col min="13" max="13" width="5.7109375" style="204" customWidth="1"/>
    <col min="14" max="14" width="5.7109375" style="206" customWidth="1"/>
    <col min="15" max="15" width="100.7109375" style="204" customWidth="1"/>
    <col min="16" max="16" width="5.7109375" style="204" customWidth="1"/>
    <col min="17" max="17" width="5.7109375" style="206" customWidth="1"/>
    <col min="18" max="18" width="100.7109375" style="204" customWidth="1"/>
    <col min="19" max="16384" width="11.42578125" style="204"/>
  </cols>
  <sheetData>
    <row r="1" spans="1:18" ht="15.75" thickBot="1" x14ac:dyDescent="0.3">
      <c r="A1" s="388"/>
    </row>
    <row r="2" spans="1:18" s="205" customFormat="1" ht="20.100000000000001" customHeight="1" thickBot="1" x14ac:dyDescent="0.3">
      <c r="B2" s="207" t="str">
        <f>'DATOS A INCORPORAR AL MOD-61'!M3</f>
        <v>Nº DE EXPEDIENTE: 2024.08.EPTE.0000</v>
      </c>
      <c r="C2" s="127"/>
      <c r="D2" s="126"/>
      <c r="E2" s="127"/>
      <c r="F2" s="127"/>
      <c r="H2" s="954" t="str">
        <f>CONCATENATE("OBSERVACIONES EJERCICIO ",YEAR(EXPEDIENTE!$I$25))</f>
        <v>OBSERVACIONES EJERCICIO 2023</v>
      </c>
      <c r="I2" s="955"/>
      <c r="K2" s="954" t="str">
        <f>CONCATENATE("OBSERVACIONES EJERCICIO ",YEAR(EXPEDIENTE!$I$25)+1)</f>
        <v>OBSERVACIONES EJERCICIO 2024</v>
      </c>
      <c r="L2" s="955"/>
      <c r="N2" s="954" t="str">
        <f>CONCATENATE("OBSERVACIONES EJERCICIO ",YEAR(EXPEDIENTE!$I$25)+2)</f>
        <v>OBSERVACIONES EJERCICIO 2025</v>
      </c>
      <c r="O2" s="955"/>
      <c r="Q2" s="954" t="str">
        <f>CONCATENATE("OBSERVACIONES EJERCICIO ",YEAR(EXPEDIENTE!$I$25)+3)</f>
        <v>OBSERVACIONES EJERCICIO 2026</v>
      </c>
      <c r="R2" s="955"/>
    </row>
    <row r="3" spans="1:18" ht="30" customHeight="1" x14ac:dyDescent="0.25">
      <c r="B3" s="208" t="str">
        <f>'DATOS A INCORPORAR AL MOD-61'!M5</f>
        <v>TRABAJADOR:</v>
      </c>
      <c r="C3" s="128"/>
      <c r="D3" s="128"/>
      <c r="E3" s="129"/>
      <c r="F3" s="127"/>
      <c r="G3" s="206">
        <v>1</v>
      </c>
      <c r="H3" s="206" t="str">
        <f>IF(I3="","",$G3)</f>
        <v/>
      </c>
      <c r="I3" s="387" t="str">
        <f>IFERROR(VLOOKUP($G3,'GASTOS EJER. 1'!$DW$9:$DX$60,2,FALSE),"")</f>
        <v/>
      </c>
      <c r="K3" s="206" t="str">
        <f>IF(L3="","",$G3)</f>
        <v/>
      </c>
      <c r="L3" s="387" t="str">
        <f>IFERROR(VLOOKUP($G3,'GASTOS EJER. 2'!$DW$9:$DX$60,2,FALSE),"")</f>
        <v/>
      </c>
      <c r="N3" s="206" t="str">
        <f>IF(O3="","",$G3)</f>
        <v/>
      </c>
      <c r="O3" s="387" t="str">
        <f>IFERROR(VLOOKUP($G3,'GASTOS EJER. 3'!$DW$9:$DX$60,2,FALSE),"")</f>
        <v/>
      </c>
      <c r="Q3" s="206" t="str">
        <f>IF(R3="","",$G3)</f>
        <v/>
      </c>
      <c r="R3" s="387" t="str">
        <f>IFERROR(VLOOKUP($G3,'GASTOS EJER. 4'!$DW$9:$DX$60,2,FALSE),"")</f>
        <v/>
      </c>
    </row>
    <row r="4" spans="1:18" ht="30" customHeight="1" thickBot="1" x14ac:dyDescent="0.3">
      <c r="B4" s="126" t="str">
        <f>'DATOS A INCORPORAR AL MOD-61'!M6</f>
        <v>ACRÓNIMO:</v>
      </c>
      <c r="F4" s="127"/>
      <c r="G4" s="206">
        <v>2</v>
      </c>
      <c r="H4" s="206" t="str">
        <f t="shared" ref="H4:H40" si="0">IF(I4="","",$G4)</f>
        <v/>
      </c>
      <c r="I4" s="387" t="str">
        <f>IFERROR(VLOOKUP($G4,'GASTOS EJER. 1'!$DW$9:$DX$60,2,FALSE),"")</f>
        <v/>
      </c>
      <c r="K4" s="206" t="str">
        <f t="shared" ref="K4:K40" si="1">IF(L4="","",$G4)</f>
        <v/>
      </c>
      <c r="L4" s="387" t="str">
        <f>IFERROR(VLOOKUP($G4,'GASTOS EJER. 2'!$DW$9:$DX$60,2,FALSE),"")</f>
        <v/>
      </c>
      <c r="N4" s="206" t="str">
        <f t="shared" ref="N4:N40" si="2">IF(O4="","",$G4)</f>
        <v/>
      </c>
      <c r="O4" s="387" t="str">
        <f>IFERROR(VLOOKUP($G4,'GASTOS EJER. 3'!$DW$9:$DX$60,2,FALSE),"")</f>
        <v/>
      </c>
      <c r="Q4" s="206" t="str">
        <f t="shared" ref="Q4:Q40" si="3">IF(R4="","",$G4)</f>
        <v/>
      </c>
      <c r="R4" s="387" t="str">
        <f>IFERROR(VLOOKUP($G4,'GASTOS EJER. 4'!$DW$9:$DX$60,2,FALSE),"")</f>
        <v/>
      </c>
    </row>
    <row r="5" spans="1:18" ht="30" customHeight="1" thickBot="1" x14ac:dyDescent="0.3">
      <c r="D5" s="132" t="str">
        <f>'DATOS A INCORPORAR AL MOD-61'!L8</f>
        <v>TOTAL TRABAJADOR:</v>
      </c>
      <c r="E5" s="133">
        <f>'DATOS A INCORPORAR AL MOD-61'!M8</f>
        <v>0</v>
      </c>
      <c r="F5" s="127"/>
      <c r="G5" s="206">
        <v>3</v>
      </c>
      <c r="H5" s="206" t="str">
        <f t="shared" si="0"/>
        <v/>
      </c>
      <c r="I5" s="387" t="str">
        <f>IFERROR(VLOOKUP($G5,'GASTOS EJER. 1'!$DW$9:$DX$60,2,FALSE),"")</f>
        <v/>
      </c>
      <c r="K5" s="206" t="str">
        <f t="shared" si="1"/>
        <v/>
      </c>
      <c r="L5" s="387" t="str">
        <f>IFERROR(VLOOKUP($G5,'GASTOS EJER. 2'!$DW$9:$DX$60,2,FALSE),"")</f>
        <v/>
      </c>
      <c r="N5" s="206" t="str">
        <f t="shared" si="2"/>
        <v/>
      </c>
      <c r="O5" s="387" t="str">
        <f>IFERROR(VLOOKUP($G5,'GASTOS EJER. 3'!$DW$9:$DX$60,2,FALSE),"")</f>
        <v/>
      </c>
      <c r="Q5" s="206" t="str">
        <f t="shared" si="3"/>
        <v/>
      </c>
      <c r="R5" s="387" t="str">
        <f>IFERROR(VLOOKUP($G5,'GASTOS EJER. 4'!$DW$9:$DX$60,2,FALSE),"")</f>
        <v/>
      </c>
    </row>
    <row r="6" spans="1:18" ht="30" customHeight="1" x14ac:dyDescent="0.25">
      <c r="E6" s="131"/>
      <c r="F6" s="127"/>
      <c r="G6" s="206">
        <v>4</v>
      </c>
      <c r="H6" s="206" t="str">
        <f t="shared" si="0"/>
        <v/>
      </c>
      <c r="I6" s="387" t="str">
        <f>IFERROR(VLOOKUP($G6,'GASTOS EJER. 1'!$DW$9:$DX$60,2,FALSE),"")</f>
        <v/>
      </c>
      <c r="K6" s="206" t="str">
        <f t="shared" si="1"/>
        <v/>
      </c>
      <c r="L6" s="387" t="str">
        <f>IFERROR(VLOOKUP($G6,'GASTOS EJER. 2'!$DW$9:$DX$60,2,FALSE),"")</f>
        <v/>
      </c>
      <c r="N6" s="206" t="str">
        <f t="shared" si="2"/>
        <v/>
      </c>
      <c r="O6" s="387" t="str">
        <f>IFERROR(VLOOKUP($G6,'GASTOS EJER. 3'!$DW$9:$DX$60,2,FALSE),"")</f>
        <v/>
      </c>
      <c r="Q6" s="206" t="str">
        <f t="shared" si="3"/>
        <v/>
      </c>
      <c r="R6" s="387" t="str">
        <f>IFERROR(VLOOKUP($G6,'GASTOS EJER. 4'!$DW$9:$DX$60,2,FALSE),"")</f>
        <v/>
      </c>
    </row>
    <row r="7" spans="1:18" ht="30" customHeight="1" x14ac:dyDescent="0.25">
      <c r="B7" s="202" t="s">
        <v>171</v>
      </c>
      <c r="C7" s="202" t="s">
        <v>172</v>
      </c>
      <c r="D7" s="202" t="s">
        <v>136</v>
      </c>
      <c r="E7" s="203" t="s">
        <v>134</v>
      </c>
      <c r="F7" s="127"/>
      <c r="G7" s="206">
        <v>5</v>
      </c>
      <c r="H7" s="206" t="str">
        <f t="shared" si="0"/>
        <v/>
      </c>
      <c r="I7" s="387" t="str">
        <f>IFERROR(VLOOKUP($G7,'GASTOS EJER. 1'!$DW$9:$DX$60,2,FALSE),"")</f>
        <v/>
      </c>
      <c r="K7" s="206" t="str">
        <f t="shared" si="1"/>
        <v/>
      </c>
      <c r="L7" s="387" t="str">
        <f>IFERROR(VLOOKUP($G7,'GASTOS EJER. 2'!$DW$9:$DX$60,2,FALSE),"")</f>
        <v/>
      </c>
      <c r="N7" s="206" t="str">
        <f t="shared" si="2"/>
        <v/>
      </c>
      <c r="O7" s="387" t="str">
        <f>IFERROR(VLOOKUP($G7,'GASTOS EJER. 3'!$DW$9:$DX$60,2,FALSE),"")</f>
        <v/>
      </c>
      <c r="Q7" s="206" t="str">
        <f t="shared" si="3"/>
        <v/>
      </c>
      <c r="R7" s="387" t="str">
        <f>IFERROR(VLOOKUP($G7,'GASTOS EJER. 4'!$DW$9:$DX$60,2,FALSE),"")</f>
        <v/>
      </c>
    </row>
    <row r="8" spans="1:18" ht="30" customHeight="1" x14ac:dyDescent="0.25">
      <c r="B8" s="120" t="str">
        <f>'DATOS A INCORPORAR AL MOD-61'!J11</f>
        <v/>
      </c>
      <c r="C8" s="120" t="str">
        <f>'DATOS A INCORPORAR AL MOD-61'!K11</f>
        <v/>
      </c>
      <c r="D8" s="120" t="str">
        <f>'DATOS A INCORPORAR AL MOD-61'!L11</f>
        <v/>
      </c>
      <c r="E8" s="209" t="str">
        <f>'DATOS A INCORPORAR AL MOD-61'!M11</f>
        <v/>
      </c>
      <c r="F8" s="127"/>
      <c r="G8" s="206">
        <v>6</v>
      </c>
      <c r="H8" s="206" t="str">
        <f t="shared" si="0"/>
        <v/>
      </c>
      <c r="I8" s="387" t="str">
        <f>IFERROR(VLOOKUP($G8,'GASTOS EJER. 1'!$DW$9:$DX$60,2,FALSE),"")</f>
        <v/>
      </c>
      <c r="K8" s="206" t="str">
        <f t="shared" si="1"/>
        <v/>
      </c>
      <c r="L8" s="387" t="str">
        <f>IFERROR(VLOOKUP($G8,'GASTOS EJER. 2'!$DW$9:$DX$60,2,FALSE),"")</f>
        <v/>
      </c>
      <c r="N8" s="206" t="str">
        <f t="shared" si="2"/>
        <v/>
      </c>
      <c r="O8" s="387" t="str">
        <f>IFERROR(VLOOKUP($G8,'GASTOS EJER. 3'!$DW$9:$DX$60,2,FALSE),"")</f>
        <v/>
      </c>
      <c r="Q8" s="206" t="str">
        <f t="shared" si="3"/>
        <v/>
      </c>
      <c r="R8" s="387" t="str">
        <f>IFERROR(VLOOKUP($G8,'GASTOS EJER. 4'!$DW$9:$DX$60,2,FALSE),"")</f>
        <v/>
      </c>
    </row>
    <row r="9" spans="1:18" ht="30" customHeight="1" x14ac:dyDescent="0.25">
      <c r="B9" s="123" t="str">
        <f>'DATOS A INCORPORAR AL MOD-61'!J12</f>
        <v/>
      </c>
      <c r="C9" s="123" t="str">
        <f>'DATOS A INCORPORAR AL MOD-61'!K12</f>
        <v/>
      </c>
      <c r="D9" s="123" t="str">
        <f>'DATOS A INCORPORAR AL MOD-61'!L12</f>
        <v/>
      </c>
      <c r="E9" s="242" t="str">
        <f>'DATOS A INCORPORAR AL MOD-61'!M12</f>
        <v/>
      </c>
      <c r="F9" s="127"/>
      <c r="G9" s="206">
        <v>7</v>
      </c>
      <c r="H9" s="206" t="str">
        <f t="shared" si="0"/>
        <v/>
      </c>
      <c r="I9" s="387" t="str">
        <f>IFERROR(VLOOKUP($G9,'GASTOS EJER. 1'!$DW$9:$DX$60,2,FALSE),"")</f>
        <v/>
      </c>
      <c r="K9" s="206" t="str">
        <f t="shared" si="1"/>
        <v/>
      </c>
      <c r="L9" s="387" t="str">
        <f>IFERROR(VLOOKUP($G9,'GASTOS EJER. 2'!$DW$9:$DX$60,2,FALSE),"")</f>
        <v/>
      </c>
      <c r="N9" s="206" t="str">
        <f t="shared" si="2"/>
        <v/>
      </c>
      <c r="O9" s="387" t="str">
        <f>IFERROR(VLOOKUP($G9,'GASTOS EJER. 3'!$DW$9:$DX$60,2,FALSE),"")</f>
        <v/>
      </c>
      <c r="Q9" s="206" t="str">
        <f t="shared" si="3"/>
        <v/>
      </c>
      <c r="R9" s="387" t="str">
        <f>IFERROR(VLOOKUP($G9,'GASTOS EJER. 4'!$DW$9:$DX$60,2,FALSE),"")</f>
        <v/>
      </c>
    </row>
    <row r="10" spans="1:18" ht="30" customHeight="1" x14ac:dyDescent="0.25">
      <c r="B10" s="123" t="str">
        <f>'DATOS A INCORPORAR AL MOD-61'!J13</f>
        <v/>
      </c>
      <c r="C10" s="123" t="str">
        <f>'DATOS A INCORPORAR AL MOD-61'!K13</f>
        <v/>
      </c>
      <c r="D10" s="123" t="str">
        <f>'DATOS A INCORPORAR AL MOD-61'!L13</f>
        <v/>
      </c>
      <c r="E10" s="242" t="str">
        <f>'DATOS A INCORPORAR AL MOD-61'!M13</f>
        <v/>
      </c>
      <c r="F10" s="127"/>
      <c r="G10" s="206">
        <v>8</v>
      </c>
      <c r="H10" s="206" t="str">
        <f t="shared" si="0"/>
        <v/>
      </c>
      <c r="I10" s="387" t="str">
        <f>IFERROR(VLOOKUP($G10,'GASTOS EJER. 1'!$DW$9:$DX$60,2,FALSE),"")</f>
        <v/>
      </c>
      <c r="K10" s="206" t="str">
        <f t="shared" si="1"/>
        <v/>
      </c>
      <c r="L10" s="387" t="str">
        <f>IFERROR(VLOOKUP($G10,'GASTOS EJER. 2'!$DW$9:$DX$60,2,FALSE),"")</f>
        <v/>
      </c>
      <c r="N10" s="206" t="str">
        <f t="shared" si="2"/>
        <v/>
      </c>
      <c r="O10" s="387" t="str">
        <f>IFERROR(VLOOKUP($G10,'GASTOS EJER. 3'!$DW$9:$DX$60,2,FALSE),"")</f>
        <v/>
      </c>
      <c r="Q10" s="206" t="str">
        <f t="shared" si="3"/>
        <v/>
      </c>
      <c r="R10" s="387" t="str">
        <f>IFERROR(VLOOKUP($G10,'GASTOS EJER. 4'!$DW$9:$DX$60,2,FALSE),"")</f>
        <v/>
      </c>
    </row>
    <row r="11" spans="1:18" ht="30" customHeight="1" x14ac:dyDescent="0.25">
      <c r="B11" s="123" t="str">
        <f>'DATOS A INCORPORAR AL MOD-61'!J14</f>
        <v/>
      </c>
      <c r="C11" s="123" t="str">
        <f>'DATOS A INCORPORAR AL MOD-61'!K14</f>
        <v/>
      </c>
      <c r="D11" s="123" t="str">
        <f>'DATOS A INCORPORAR AL MOD-61'!L14</f>
        <v/>
      </c>
      <c r="E11" s="242" t="str">
        <f>'DATOS A INCORPORAR AL MOD-61'!M14</f>
        <v/>
      </c>
      <c r="F11" s="127"/>
      <c r="G11" s="206">
        <v>9</v>
      </c>
      <c r="H11" s="206" t="str">
        <f t="shared" si="0"/>
        <v/>
      </c>
      <c r="I11" s="387" t="str">
        <f>IFERROR(VLOOKUP($G11,'GASTOS EJER. 1'!$DW$9:$DX$60,2,FALSE),"")</f>
        <v/>
      </c>
      <c r="K11" s="206" t="str">
        <f t="shared" si="1"/>
        <v/>
      </c>
      <c r="L11" s="387" t="str">
        <f>IFERROR(VLOOKUP($G11,'GASTOS EJER. 2'!$DW$9:$DX$60,2,FALSE),"")</f>
        <v/>
      </c>
      <c r="N11" s="206" t="str">
        <f t="shared" si="2"/>
        <v/>
      </c>
      <c r="O11" s="387" t="str">
        <f>IFERROR(VLOOKUP($G11,'GASTOS EJER. 3'!$DW$9:$DX$60,2,FALSE),"")</f>
        <v/>
      </c>
      <c r="Q11" s="206" t="str">
        <f t="shared" si="3"/>
        <v/>
      </c>
      <c r="R11" s="387" t="str">
        <f>IFERROR(VLOOKUP($G11,'GASTOS EJER. 4'!$DW$9:$DX$60,2,FALSE),"")</f>
        <v/>
      </c>
    </row>
    <row r="12" spans="1:18" ht="30" customHeight="1" x14ac:dyDescent="0.25">
      <c r="B12" s="123"/>
      <c r="C12" s="123"/>
      <c r="D12" s="124"/>
      <c r="E12" s="125"/>
      <c r="F12" s="127"/>
      <c r="G12" s="206">
        <v>10</v>
      </c>
      <c r="H12" s="206" t="str">
        <f t="shared" si="0"/>
        <v/>
      </c>
      <c r="I12" s="387" t="str">
        <f>IFERROR(VLOOKUP($G12,'GASTOS EJER. 1'!$DW$9:$DX$60,2,FALSE),"")</f>
        <v/>
      </c>
      <c r="K12" s="206" t="str">
        <f t="shared" si="1"/>
        <v/>
      </c>
      <c r="L12" s="387" t="str">
        <f>IFERROR(VLOOKUP($G12,'GASTOS EJER. 2'!$DW$9:$DX$60,2,FALSE),"")</f>
        <v/>
      </c>
      <c r="N12" s="206" t="str">
        <f t="shared" si="2"/>
        <v/>
      </c>
      <c r="O12" s="387" t="str">
        <f>IFERROR(VLOOKUP($G12,'GASTOS EJER. 3'!$DW$9:$DX$60,2,FALSE),"")</f>
        <v/>
      </c>
      <c r="Q12" s="206" t="str">
        <f t="shared" si="3"/>
        <v/>
      </c>
      <c r="R12" s="387" t="str">
        <f>IFERROR(VLOOKUP($G12,'GASTOS EJER. 4'!$DW$9:$DX$60,2,FALSE),"")</f>
        <v/>
      </c>
    </row>
    <row r="13" spans="1:18" ht="30" customHeight="1" x14ac:dyDescent="0.25">
      <c r="B13" s="123"/>
      <c r="C13" s="123"/>
      <c r="D13" s="124"/>
      <c r="E13" s="125"/>
      <c r="F13" s="127"/>
      <c r="G13" s="206">
        <v>11</v>
      </c>
      <c r="H13" s="206" t="str">
        <f t="shared" si="0"/>
        <v/>
      </c>
      <c r="I13" s="387" t="str">
        <f>IFERROR(VLOOKUP($G13,'GASTOS EJER. 1'!$DW$9:$DX$60,2,FALSE),"")</f>
        <v/>
      </c>
      <c r="K13" s="206" t="str">
        <f t="shared" si="1"/>
        <v/>
      </c>
      <c r="L13" s="387" t="str">
        <f>IFERROR(VLOOKUP($G13,'GASTOS EJER. 2'!$DW$9:$DX$60,2,FALSE),"")</f>
        <v/>
      </c>
      <c r="N13" s="206" t="str">
        <f t="shared" si="2"/>
        <v/>
      </c>
      <c r="O13" s="387" t="str">
        <f>IFERROR(VLOOKUP($G13,'GASTOS EJER. 3'!$DW$9:$DX$60,2,FALSE),"")</f>
        <v/>
      </c>
      <c r="Q13" s="206" t="str">
        <f t="shared" si="3"/>
        <v/>
      </c>
      <c r="R13" s="387" t="str">
        <f>IFERROR(VLOOKUP($G13,'GASTOS EJER. 4'!$DW$9:$DX$60,2,FALSE),"")</f>
        <v/>
      </c>
    </row>
    <row r="14" spans="1:18" ht="30" customHeight="1" x14ac:dyDescent="0.25">
      <c r="B14" s="123"/>
      <c r="C14" s="123"/>
      <c r="D14" s="124"/>
      <c r="E14" s="125"/>
      <c r="F14" s="127"/>
      <c r="G14" s="206">
        <v>12</v>
      </c>
      <c r="H14" s="206" t="str">
        <f t="shared" si="0"/>
        <v/>
      </c>
      <c r="I14" s="387" t="str">
        <f>IFERROR(VLOOKUP($G14,'GASTOS EJER. 1'!$DW$9:$DX$60,2,FALSE),"")</f>
        <v/>
      </c>
      <c r="K14" s="206" t="str">
        <f t="shared" si="1"/>
        <v/>
      </c>
      <c r="L14" s="387" t="str">
        <f>IFERROR(VLOOKUP($G14,'GASTOS EJER. 2'!$DW$9:$DX$60,2,FALSE),"")</f>
        <v/>
      </c>
      <c r="N14" s="206" t="str">
        <f t="shared" si="2"/>
        <v/>
      </c>
      <c r="O14" s="387" t="str">
        <f>IFERROR(VLOOKUP($G14,'GASTOS EJER. 3'!$DW$9:$DX$60,2,FALSE),"")</f>
        <v/>
      </c>
      <c r="Q14" s="206" t="str">
        <f t="shared" si="3"/>
        <v/>
      </c>
      <c r="R14" s="387" t="str">
        <f>IFERROR(VLOOKUP($G14,'GASTOS EJER. 4'!$DW$9:$DX$60,2,FALSE),"")</f>
        <v/>
      </c>
    </row>
    <row r="15" spans="1:18" ht="30" customHeight="1" x14ac:dyDescent="0.25">
      <c r="F15" s="127"/>
      <c r="G15" s="206">
        <v>13</v>
      </c>
      <c r="H15" s="206" t="str">
        <f t="shared" si="0"/>
        <v/>
      </c>
      <c r="I15" s="387" t="str">
        <f>IFERROR(VLOOKUP($G15,'GASTOS EJER. 1'!$DW$9:$DX$60,2,FALSE),"")</f>
        <v/>
      </c>
      <c r="K15" s="206" t="str">
        <f t="shared" si="1"/>
        <v/>
      </c>
      <c r="L15" s="387" t="str">
        <f>IFERROR(VLOOKUP($G15,'GASTOS EJER. 2'!$DW$9:$DX$60,2,FALSE),"")</f>
        <v/>
      </c>
      <c r="N15" s="206" t="str">
        <f t="shared" si="2"/>
        <v/>
      </c>
      <c r="O15" s="387" t="str">
        <f>IFERROR(VLOOKUP($G15,'GASTOS EJER. 3'!$DW$9:$DX$60,2,FALSE),"")</f>
        <v/>
      </c>
      <c r="Q15" s="206" t="str">
        <f t="shared" si="3"/>
        <v/>
      </c>
      <c r="R15" s="387" t="str">
        <f>IFERROR(VLOOKUP($G15,'GASTOS EJER. 4'!$DW$9:$DX$60,2,FALSE),"")</f>
        <v/>
      </c>
    </row>
    <row r="16" spans="1:18" ht="30" customHeight="1" x14ac:dyDescent="0.25">
      <c r="F16" s="127"/>
      <c r="G16" s="206">
        <v>14</v>
      </c>
      <c r="H16" s="206" t="str">
        <f t="shared" si="0"/>
        <v/>
      </c>
      <c r="I16" s="387" t="str">
        <f>IFERROR(VLOOKUP($G16,'GASTOS EJER. 1'!$DW$9:$DX$60,2,FALSE),"")</f>
        <v/>
      </c>
      <c r="K16" s="206" t="str">
        <f t="shared" si="1"/>
        <v/>
      </c>
      <c r="L16" s="387" t="str">
        <f>IFERROR(VLOOKUP($G16,'GASTOS EJER. 2'!$DW$9:$DX$60,2,FALSE),"")</f>
        <v/>
      </c>
      <c r="N16" s="206" t="str">
        <f t="shared" si="2"/>
        <v/>
      </c>
      <c r="O16" s="387" t="str">
        <f>IFERROR(VLOOKUP($G16,'GASTOS EJER. 3'!$DW$9:$DX$60,2,FALSE),"")</f>
        <v/>
      </c>
      <c r="Q16" s="206" t="str">
        <f t="shared" si="3"/>
        <v/>
      </c>
      <c r="R16" s="387" t="str">
        <f>IFERROR(VLOOKUP($G16,'GASTOS EJER. 4'!$DW$9:$DX$60,2,FALSE),"")</f>
        <v/>
      </c>
    </row>
    <row r="17" spans="7:18" ht="30" customHeight="1" x14ac:dyDescent="0.25">
      <c r="G17" s="206">
        <v>15</v>
      </c>
      <c r="H17" s="206" t="str">
        <f t="shared" si="0"/>
        <v/>
      </c>
      <c r="I17" s="387" t="str">
        <f>IFERROR(VLOOKUP($G17,'GASTOS EJER. 1'!$DW$9:$DX$60,2,FALSE),"")</f>
        <v/>
      </c>
      <c r="K17" s="206" t="str">
        <f t="shared" si="1"/>
        <v/>
      </c>
      <c r="L17" s="387" t="str">
        <f>IFERROR(VLOOKUP($G17,'GASTOS EJER. 2'!$DW$9:$DX$60,2,FALSE),"")</f>
        <v/>
      </c>
      <c r="N17" s="206" t="str">
        <f t="shared" si="2"/>
        <v/>
      </c>
      <c r="O17" s="387" t="str">
        <f>IFERROR(VLOOKUP($G17,'GASTOS EJER. 3'!$DW$9:$DX$60,2,FALSE),"")</f>
        <v/>
      </c>
      <c r="Q17" s="206" t="str">
        <f t="shared" si="3"/>
        <v/>
      </c>
      <c r="R17" s="387" t="str">
        <f>IFERROR(VLOOKUP($G17,'GASTOS EJER. 4'!$DW$9:$DX$60,2,FALSE),"")</f>
        <v/>
      </c>
    </row>
    <row r="18" spans="7:18" ht="30" customHeight="1" x14ac:dyDescent="0.25">
      <c r="G18" s="206">
        <v>16</v>
      </c>
      <c r="H18" s="206" t="str">
        <f t="shared" si="0"/>
        <v/>
      </c>
      <c r="I18" s="387" t="str">
        <f>IFERROR(VLOOKUP($G18,'GASTOS EJER. 1'!$DW$9:$DX$60,2,FALSE),"")</f>
        <v/>
      </c>
      <c r="K18" s="206" t="str">
        <f t="shared" si="1"/>
        <v/>
      </c>
      <c r="L18" s="387" t="str">
        <f>IFERROR(VLOOKUP($G18,'GASTOS EJER. 2'!$DW$9:$DX$60,2,FALSE),"")</f>
        <v/>
      </c>
      <c r="N18" s="206" t="str">
        <f t="shared" si="2"/>
        <v/>
      </c>
      <c r="O18" s="387" t="str">
        <f>IFERROR(VLOOKUP($G18,'GASTOS EJER. 3'!$DW$9:$DX$60,2,FALSE),"")</f>
        <v/>
      </c>
      <c r="Q18" s="206" t="str">
        <f t="shared" si="3"/>
        <v/>
      </c>
      <c r="R18" s="387" t="str">
        <f>IFERROR(VLOOKUP($G18,'GASTOS EJER. 4'!$DW$9:$DX$60,2,FALSE),"")</f>
        <v/>
      </c>
    </row>
    <row r="19" spans="7:18" ht="30" customHeight="1" x14ac:dyDescent="0.25">
      <c r="G19" s="206">
        <v>17</v>
      </c>
      <c r="H19" s="206" t="str">
        <f t="shared" si="0"/>
        <v/>
      </c>
      <c r="I19" s="387" t="str">
        <f>IFERROR(VLOOKUP($G19,'GASTOS EJER. 1'!$DW$9:$DX$60,2,FALSE),"")</f>
        <v/>
      </c>
      <c r="K19" s="206" t="str">
        <f t="shared" si="1"/>
        <v/>
      </c>
      <c r="L19" s="387" t="str">
        <f>IFERROR(VLOOKUP($G19,'GASTOS EJER. 2'!$DW$9:$DX$60,2,FALSE),"")</f>
        <v/>
      </c>
      <c r="N19" s="206" t="str">
        <f t="shared" si="2"/>
        <v/>
      </c>
      <c r="O19" s="387" t="str">
        <f>IFERROR(VLOOKUP($G19,'GASTOS EJER. 3'!$DW$9:$DX$60,2,FALSE),"")</f>
        <v/>
      </c>
      <c r="Q19" s="206" t="str">
        <f t="shared" si="3"/>
        <v/>
      </c>
      <c r="R19" s="387" t="str">
        <f>IFERROR(VLOOKUP($G19,'GASTOS EJER. 4'!$DW$9:$DX$60,2,FALSE),"")</f>
        <v/>
      </c>
    </row>
    <row r="20" spans="7:18" ht="30" customHeight="1" x14ac:dyDescent="0.25">
      <c r="G20" s="206">
        <v>18</v>
      </c>
      <c r="H20" s="206" t="str">
        <f t="shared" si="0"/>
        <v/>
      </c>
      <c r="I20" s="387" t="str">
        <f>IFERROR(VLOOKUP($G20,'GASTOS EJER. 1'!$DW$9:$DX$60,2,FALSE),"")</f>
        <v/>
      </c>
      <c r="K20" s="206" t="str">
        <f t="shared" si="1"/>
        <v/>
      </c>
      <c r="L20" s="387" t="str">
        <f>IFERROR(VLOOKUP($G20,'GASTOS EJER. 2'!$DW$9:$DX$60,2,FALSE),"")</f>
        <v/>
      </c>
      <c r="N20" s="206" t="str">
        <f t="shared" si="2"/>
        <v/>
      </c>
      <c r="O20" s="387" t="str">
        <f>IFERROR(VLOOKUP($G20,'GASTOS EJER. 3'!$DW$9:$DX$60,2,FALSE),"")</f>
        <v/>
      </c>
      <c r="Q20" s="206" t="str">
        <f t="shared" si="3"/>
        <v/>
      </c>
      <c r="R20" s="387" t="str">
        <f>IFERROR(VLOOKUP($G20,'GASTOS EJER. 4'!$DW$9:$DX$60,2,FALSE),"")</f>
        <v/>
      </c>
    </row>
    <row r="21" spans="7:18" ht="30" customHeight="1" x14ac:dyDescent="0.25">
      <c r="G21" s="206">
        <v>19</v>
      </c>
      <c r="H21" s="206" t="str">
        <f t="shared" si="0"/>
        <v/>
      </c>
      <c r="I21" s="387" t="str">
        <f>IFERROR(VLOOKUP($G21,'GASTOS EJER. 1'!$DW$9:$DX$60,2,FALSE),"")</f>
        <v/>
      </c>
      <c r="K21" s="206" t="str">
        <f t="shared" si="1"/>
        <v/>
      </c>
      <c r="L21" s="387" t="str">
        <f>IFERROR(VLOOKUP($G21,'GASTOS EJER. 2'!$DW$9:$DX$60,2,FALSE),"")</f>
        <v/>
      </c>
      <c r="N21" s="206" t="str">
        <f t="shared" si="2"/>
        <v/>
      </c>
      <c r="O21" s="387" t="str">
        <f>IFERROR(VLOOKUP($G21,'GASTOS EJER. 3'!$DW$9:$DX$60,2,FALSE),"")</f>
        <v/>
      </c>
      <c r="Q21" s="206" t="str">
        <f t="shared" si="3"/>
        <v/>
      </c>
      <c r="R21" s="387" t="str">
        <f>IFERROR(VLOOKUP($G21,'GASTOS EJER. 4'!$DW$9:$DX$60,2,FALSE),"")</f>
        <v/>
      </c>
    </row>
    <row r="22" spans="7:18" ht="30" customHeight="1" x14ac:dyDescent="0.25">
      <c r="G22" s="206">
        <v>20</v>
      </c>
      <c r="H22" s="206" t="str">
        <f t="shared" si="0"/>
        <v/>
      </c>
      <c r="I22" s="387" t="str">
        <f>IFERROR(VLOOKUP($G22,'GASTOS EJER. 1'!$DW$9:$DX$60,2,FALSE),"")</f>
        <v/>
      </c>
      <c r="K22" s="206" t="str">
        <f t="shared" si="1"/>
        <v/>
      </c>
      <c r="L22" s="387" t="str">
        <f>IFERROR(VLOOKUP($G22,'GASTOS EJER. 2'!$DW$9:$DX$60,2,FALSE),"")</f>
        <v/>
      </c>
      <c r="N22" s="206" t="str">
        <f t="shared" si="2"/>
        <v/>
      </c>
      <c r="O22" s="387" t="str">
        <f>IFERROR(VLOOKUP($G22,'GASTOS EJER. 3'!$DW$9:$DX$60,2,FALSE),"")</f>
        <v/>
      </c>
      <c r="Q22" s="206" t="str">
        <f t="shared" si="3"/>
        <v/>
      </c>
      <c r="R22" s="387" t="str">
        <f>IFERROR(VLOOKUP($G22,'GASTOS EJER. 4'!$DW$9:$DX$60,2,FALSE),"")</f>
        <v/>
      </c>
    </row>
    <row r="23" spans="7:18" ht="30" customHeight="1" x14ac:dyDescent="0.25">
      <c r="G23" s="206">
        <v>21</v>
      </c>
      <c r="H23" s="206" t="str">
        <f t="shared" si="0"/>
        <v/>
      </c>
      <c r="I23" s="387" t="str">
        <f>IFERROR(VLOOKUP($G23,'GASTOS EJER. 1'!$DW$9:$DX$60,2,FALSE),"")</f>
        <v/>
      </c>
      <c r="K23" s="206" t="str">
        <f t="shared" si="1"/>
        <v/>
      </c>
      <c r="L23" s="387" t="str">
        <f>IFERROR(VLOOKUP($G23,'GASTOS EJER. 2'!$DW$9:$DX$60,2,FALSE),"")</f>
        <v/>
      </c>
      <c r="N23" s="206" t="str">
        <f t="shared" si="2"/>
        <v/>
      </c>
      <c r="O23" s="387" t="str">
        <f>IFERROR(VLOOKUP($G23,'GASTOS EJER. 3'!$DW$9:$DX$60,2,FALSE),"")</f>
        <v/>
      </c>
      <c r="Q23" s="206" t="str">
        <f t="shared" si="3"/>
        <v/>
      </c>
      <c r="R23" s="387" t="str">
        <f>IFERROR(VLOOKUP($G23,'GASTOS EJER. 4'!$DW$9:$DX$60,2,FALSE),"")</f>
        <v/>
      </c>
    </row>
    <row r="24" spans="7:18" ht="30" customHeight="1" x14ac:dyDescent="0.25">
      <c r="G24" s="206">
        <v>22</v>
      </c>
      <c r="H24" s="206" t="str">
        <f t="shared" si="0"/>
        <v/>
      </c>
      <c r="I24" s="387" t="str">
        <f>IFERROR(VLOOKUP($G24,'GASTOS EJER. 1'!$DW$9:$DX$60,2,FALSE),"")</f>
        <v/>
      </c>
      <c r="K24" s="206" t="str">
        <f t="shared" si="1"/>
        <v/>
      </c>
      <c r="L24" s="387" t="str">
        <f>IFERROR(VLOOKUP($G24,'GASTOS EJER. 2'!$DW$9:$DX$60,2,FALSE),"")</f>
        <v/>
      </c>
      <c r="N24" s="206" t="str">
        <f t="shared" si="2"/>
        <v/>
      </c>
      <c r="O24" s="387" t="str">
        <f>IFERROR(VLOOKUP($G24,'GASTOS EJER. 3'!$DW$9:$DX$60,2,FALSE),"")</f>
        <v/>
      </c>
      <c r="Q24" s="206" t="str">
        <f t="shared" si="3"/>
        <v/>
      </c>
      <c r="R24" s="387" t="str">
        <f>IFERROR(VLOOKUP($G24,'GASTOS EJER. 4'!$DW$9:$DX$60,2,FALSE),"")</f>
        <v/>
      </c>
    </row>
    <row r="25" spans="7:18" ht="30" customHeight="1" x14ac:dyDescent="0.25">
      <c r="G25" s="206">
        <v>23</v>
      </c>
      <c r="H25" s="206" t="str">
        <f t="shared" si="0"/>
        <v/>
      </c>
      <c r="I25" s="387" t="str">
        <f>IFERROR(VLOOKUP($G25,'GASTOS EJER. 1'!$DW$9:$DX$60,2,FALSE),"")</f>
        <v/>
      </c>
      <c r="K25" s="206" t="str">
        <f t="shared" si="1"/>
        <v/>
      </c>
      <c r="L25" s="387" t="str">
        <f>IFERROR(VLOOKUP($G25,'GASTOS EJER. 2'!$DW$9:$DX$60,2,FALSE),"")</f>
        <v/>
      </c>
      <c r="N25" s="206" t="str">
        <f t="shared" si="2"/>
        <v/>
      </c>
      <c r="O25" s="387" t="str">
        <f>IFERROR(VLOOKUP($G25,'GASTOS EJER. 3'!$DW$9:$DX$60,2,FALSE),"")</f>
        <v/>
      </c>
      <c r="Q25" s="206" t="str">
        <f t="shared" si="3"/>
        <v/>
      </c>
      <c r="R25" s="387" t="str">
        <f>IFERROR(VLOOKUP($G25,'GASTOS EJER. 4'!$DW$9:$DX$60,2,FALSE),"")</f>
        <v/>
      </c>
    </row>
    <row r="26" spans="7:18" ht="30" customHeight="1" x14ac:dyDescent="0.25">
      <c r="G26" s="206">
        <v>24</v>
      </c>
      <c r="H26" s="206" t="str">
        <f t="shared" si="0"/>
        <v/>
      </c>
      <c r="I26" s="387" t="str">
        <f>IFERROR(VLOOKUP($G26,'GASTOS EJER. 1'!$DW$9:$DX$60,2,FALSE),"")</f>
        <v/>
      </c>
      <c r="K26" s="206" t="str">
        <f t="shared" si="1"/>
        <v/>
      </c>
      <c r="L26" s="387" t="str">
        <f>IFERROR(VLOOKUP($G26,'GASTOS EJER. 2'!$DW$9:$DX$60,2,FALSE),"")</f>
        <v/>
      </c>
      <c r="N26" s="206" t="str">
        <f t="shared" si="2"/>
        <v/>
      </c>
      <c r="O26" s="387" t="str">
        <f>IFERROR(VLOOKUP($G26,'GASTOS EJER. 3'!$DW$9:$DX$60,2,FALSE),"")</f>
        <v/>
      </c>
      <c r="Q26" s="206" t="str">
        <f t="shared" si="3"/>
        <v/>
      </c>
      <c r="R26" s="387" t="str">
        <f>IFERROR(VLOOKUP($G26,'GASTOS EJER. 4'!$DW$9:$DX$60,2,FALSE),"")</f>
        <v/>
      </c>
    </row>
    <row r="27" spans="7:18" ht="30" customHeight="1" x14ac:dyDescent="0.25">
      <c r="G27" s="206">
        <v>25</v>
      </c>
      <c r="H27" s="206" t="str">
        <f t="shared" si="0"/>
        <v/>
      </c>
      <c r="I27" s="387" t="str">
        <f>IFERROR(VLOOKUP($G27,'GASTOS EJER. 1'!$DW$9:$DX$60,2,FALSE),"")</f>
        <v/>
      </c>
      <c r="K27" s="206" t="str">
        <f t="shared" si="1"/>
        <v/>
      </c>
      <c r="L27" s="387" t="str">
        <f>IFERROR(VLOOKUP($G27,'GASTOS EJER. 2'!$DW$9:$DX$60,2,FALSE),"")</f>
        <v/>
      </c>
      <c r="N27" s="206" t="str">
        <f t="shared" si="2"/>
        <v/>
      </c>
      <c r="O27" s="387" t="str">
        <f>IFERROR(VLOOKUP($G27,'GASTOS EJER. 3'!$DW$9:$DX$60,2,FALSE),"")</f>
        <v/>
      </c>
      <c r="Q27" s="206" t="str">
        <f t="shared" si="3"/>
        <v/>
      </c>
      <c r="R27" s="387" t="str">
        <f>IFERROR(VLOOKUP($G27,'GASTOS EJER. 4'!$DW$9:$DX$60,2,FALSE),"")</f>
        <v/>
      </c>
    </row>
    <row r="28" spans="7:18" ht="30" customHeight="1" x14ac:dyDescent="0.25">
      <c r="G28" s="206">
        <v>26</v>
      </c>
      <c r="H28" s="206" t="str">
        <f t="shared" si="0"/>
        <v/>
      </c>
      <c r="I28" s="387" t="str">
        <f>IFERROR(VLOOKUP($G28,'GASTOS EJER. 1'!$DW$9:$DX$60,2,FALSE),"")</f>
        <v/>
      </c>
      <c r="K28" s="206" t="str">
        <f t="shared" si="1"/>
        <v/>
      </c>
      <c r="L28" s="387" t="str">
        <f>IFERROR(VLOOKUP($G28,'GASTOS EJER. 2'!$DW$9:$DX$60,2,FALSE),"")</f>
        <v/>
      </c>
      <c r="N28" s="206" t="str">
        <f t="shared" si="2"/>
        <v/>
      </c>
      <c r="O28" s="387" t="str">
        <f>IFERROR(VLOOKUP($G28,'GASTOS EJER. 3'!$DW$9:$DX$60,2,FALSE),"")</f>
        <v/>
      </c>
      <c r="Q28" s="206" t="str">
        <f t="shared" si="3"/>
        <v/>
      </c>
      <c r="R28" s="387" t="str">
        <f>IFERROR(VLOOKUP($G28,'GASTOS EJER. 4'!$DW$9:$DX$60,2,FALSE),"")</f>
        <v/>
      </c>
    </row>
    <row r="29" spans="7:18" ht="30" customHeight="1" x14ac:dyDescent="0.25">
      <c r="G29" s="206">
        <v>27</v>
      </c>
      <c r="H29" s="206" t="str">
        <f t="shared" si="0"/>
        <v/>
      </c>
      <c r="I29" s="387" t="str">
        <f>IFERROR(VLOOKUP($G29,'GASTOS EJER. 1'!$DW$9:$DX$60,2,FALSE),"")</f>
        <v/>
      </c>
      <c r="K29" s="206" t="str">
        <f t="shared" si="1"/>
        <v/>
      </c>
      <c r="L29" s="387" t="str">
        <f>IFERROR(VLOOKUP($G29,'GASTOS EJER. 2'!$DW$9:$DX$60,2,FALSE),"")</f>
        <v/>
      </c>
      <c r="N29" s="206" t="str">
        <f t="shared" si="2"/>
        <v/>
      </c>
      <c r="O29" s="387" t="str">
        <f>IFERROR(VLOOKUP($G29,'GASTOS EJER. 3'!$DW$9:$DX$60,2,FALSE),"")</f>
        <v/>
      </c>
      <c r="Q29" s="206" t="str">
        <f t="shared" si="3"/>
        <v/>
      </c>
      <c r="R29" s="387" t="str">
        <f>IFERROR(VLOOKUP($G29,'GASTOS EJER. 4'!$DW$9:$DX$60,2,FALSE),"")</f>
        <v/>
      </c>
    </row>
    <row r="30" spans="7:18" ht="30" customHeight="1" x14ac:dyDescent="0.25">
      <c r="G30" s="206">
        <v>28</v>
      </c>
      <c r="H30" s="206" t="str">
        <f t="shared" si="0"/>
        <v/>
      </c>
      <c r="I30" s="387" t="str">
        <f>IFERROR(VLOOKUP($G30,'GASTOS EJER. 1'!$DW$9:$DX$60,2,FALSE),"")</f>
        <v/>
      </c>
      <c r="K30" s="206" t="str">
        <f t="shared" si="1"/>
        <v/>
      </c>
      <c r="L30" s="387" t="str">
        <f>IFERROR(VLOOKUP($G30,'GASTOS EJER. 2'!$DW$9:$DX$60,2,FALSE),"")</f>
        <v/>
      </c>
      <c r="N30" s="206" t="str">
        <f t="shared" si="2"/>
        <v/>
      </c>
      <c r="O30" s="387" t="str">
        <f>IFERROR(VLOOKUP($G30,'GASTOS EJER. 3'!$DW$9:$DX$60,2,FALSE),"")</f>
        <v/>
      </c>
      <c r="Q30" s="206" t="str">
        <f t="shared" si="3"/>
        <v/>
      </c>
      <c r="R30" s="387" t="str">
        <f>IFERROR(VLOOKUP($G30,'GASTOS EJER. 4'!$DW$9:$DX$60,2,FALSE),"")</f>
        <v/>
      </c>
    </row>
    <row r="31" spans="7:18" ht="30" customHeight="1" x14ac:dyDescent="0.25">
      <c r="G31" s="206">
        <v>29</v>
      </c>
      <c r="H31" s="206" t="str">
        <f t="shared" si="0"/>
        <v/>
      </c>
      <c r="I31" s="387" t="str">
        <f>IFERROR(VLOOKUP($G31,'GASTOS EJER. 1'!$DW$9:$DX$60,2,FALSE),"")</f>
        <v/>
      </c>
      <c r="K31" s="206" t="str">
        <f t="shared" si="1"/>
        <v/>
      </c>
      <c r="L31" s="387" t="str">
        <f>IFERROR(VLOOKUP($G31,'GASTOS EJER. 2'!$DW$9:$DX$60,2,FALSE),"")</f>
        <v/>
      </c>
      <c r="N31" s="206" t="str">
        <f t="shared" si="2"/>
        <v/>
      </c>
      <c r="O31" s="387" t="str">
        <f>IFERROR(VLOOKUP($G31,'GASTOS EJER. 3'!$DW$9:$DX$60,2,FALSE),"")</f>
        <v/>
      </c>
      <c r="Q31" s="206" t="str">
        <f t="shared" si="3"/>
        <v/>
      </c>
      <c r="R31" s="387" t="str">
        <f>IFERROR(VLOOKUP($G31,'GASTOS EJER. 4'!$DW$9:$DX$60,2,FALSE),"")</f>
        <v/>
      </c>
    </row>
    <row r="32" spans="7:18" ht="30" customHeight="1" x14ac:dyDescent="0.25">
      <c r="G32" s="206">
        <v>30</v>
      </c>
      <c r="H32" s="206" t="str">
        <f t="shared" si="0"/>
        <v/>
      </c>
      <c r="I32" s="387" t="str">
        <f>IFERROR(VLOOKUP($G32,'GASTOS EJER. 1'!$DW$9:$DX$60,2,FALSE),"")</f>
        <v/>
      </c>
      <c r="K32" s="206" t="str">
        <f t="shared" si="1"/>
        <v/>
      </c>
      <c r="L32" s="387" t="str">
        <f>IFERROR(VLOOKUP($G32,'GASTOS EJER. 2'!$DW$9:$DX$60,2,FALSE),"")</f>
        <v/>
      </c>
      <c r="N32" s="206" t="str">
        <f t="shared" si="2"/>
        <v/>
      </c>
      <c r="O32" s="387" t="str">
        <f>IFERROR(VLOOKUP($G32,'GASTOS EJER. 3'!$DW$9:$DX$60,2,FALSE),"")</f>
        <v/>
      </c>
      <c r="Q32" s="206" t="str">
        <f t="shared" si="3"/>
        <v/>
      </c>
      <c r="R32" s="387" t="str">
        <f>IFERROR(VLOOKUP($G32,'GASTOS EJER. 4'!$DW$9:$DX$60,2,FALSE),"")</f>
        <v/>
      </c>
    </row>
    <row r="33" spans="7:18" ht="30" customHeight="1" x14ac:dyDescent="0.25">
      <c r="G33" s="206">
        <v>31</v>
      </c>
      <c r="H33" s="206" t="str">
        <f t="shared" si="0"/>
        <v/>
      </c>
      <c r="I33" s="387" t="str">
        <f>IFERROR(VLOOKUP($G33,'GASTOS EJER. 1'!$DW$9:$DX$60,2,FALSE),"")</f>
        <v/>
      </c>
      <c r="K33" s="206" t="str">
        <f t="shared" si="1"/>
        <v/>
      </c>
      <c r="L33" s="387" t="str">
        <f>IFERROR(VLOOKUP($G33,'GASTOS EJER. 2'!$DW$9:$DX$60,2,FALSE),"")</f>
        <v/>
      </c>
      <c r="N33" s="206" t="str">
        <f t="shared" si="2"/>
        <v/>
      </c>
      <c r="O33" s="387" t="str">
        <f>IFERROR(VLOOKUP($G33,'GASTOS EJER. 3'!$DW$9:$DX$60,2,FALSE),"")</f>
        <v/>
      </c>
      <c r="Q33" s="206" t="str">
        <f t="shared" si="3"/>
        <v/>
      </c>
      <c r="R33" s="387" t="str">
        <f>IFERROR(VLOOKUP($G33,'GASTOS EJER. 4'!$DW$9:$DX$60,2,FALSE),"")</f>
        <v/>
      </c>
    </row>
    <row r="34" spans="7:18" ht="30" customHeight="1" x14ac:dyDescent="0.25">
      <c r="G34" s="206">
        <v>32</v>
      </c>
      <c r="H34" s="206" t="str">
        <f t="shared" si="0"/>
        <v/>
      </c>
      <c r="I34" s="387" t="str">
        <f>IFERROR(VLOOKUP($G34,'GASTOS EJER. 1'!$DW$9:$DX$60,2,FALSE),"")</f>
        <v/>
      </c>
      <c r="K34" s="206" t="str">
        <f t="shared" si="1"/>
        <v/>
      </c>
      <c r="L34" s="387" t="str">
        <f>IFERROR(VLOOKUP($G34,'GASTOS EJER. 2'!$DW$9:$DX$60,2,FALSE),"")</f>
        <v/>
      </c>
      <c r="N34" s="206" t="str">
        <f t="shared" si="2"/>
        <v/>
      </c>
      <c r="O34" s="387" t="str">
        <f>IFERROR(VLOOKUP($G34,'GASTOS EJER. 3'!$DW$9:$DX$60,2,FALSE),"")</f>
        <v/>
      </c>
      <c r="Q34" s="206" t="str">
        <f t="shared" si="3"/>
        <v/>
      </c>
      <c r="R34" s="387" t="str">
        <f>IFERROR(VLOOKUP($G34,'GASTOS EJER. 4'!$DW$9:$DX$60,2,FALSE),"")</f>
        <v/>
      </c>
    </row>
    <row r="35" spans="7:18" ht="30" customHeight="1" x14ac:dyDescent="0.25">
      <c r="G35" s="206">
        <v>33</v>
      </c>
      <c r="H35" s="206" t="str">
        <f t="shared" si="0"/>
        <v/>
      </c>
      <c r="I35" s="387" t="str">
        <f>IFERROR(VLOOKUP($G35,'GASTOS EJER. 1'!$DW$9:$DX$60,2,FALSE),"")</f>
        <v/>
      </c>
      <c r="K35" s="206" t="str">
        <f t="shared" si="1"/>
        <v/>
      </c>
      <c r="L35" s="387" t="str">
        <f>IFERROR(VLOOKUP($G35,'GASTOS EJER. 2'!$DW$9:$DX$60,2,FALSE),"")</f>
        <v/>
      </c>
      <c r="N35" s="206" t="str">
        <f t="shared" si="2"/>
        <v/>
      </c>
      <c r="O35" s="387" t="str">
        <f>IFERROR(VLOOKUP($G35,'GASTOS EJER. 3'!$DW$9:$DX$60,2,FALSE),"")</f>
        <v/>
      </c>
      <c r="Q35" s="206" t="str">
        <f t="shared" si="3"/>
        <v/>
      </c>
      <c r="R35" s="387" t="str">
        <f>IFERROR(VLOOKUP($G35,'GASTOS EJER. 4'!$DW$9:$DX$60,2,FALSE),"")</f>
        <v/>
      </c>
    </row>
    <row r="36" spans="7:18" ht="30" customHeight="1" x14ac:dyDescent="0.25">
      <c r="G36" s="206">
        <v>34</v>
      </c>
      <c r="H36" s="206" t="str">
        <f t="shared" si="0"/>
        <v/>
      </c>
      <c r="I36" s="387" t="str">
        <f>IFERROR(VLOOKUP($G36,'GASTOS EJER. 1'!$DW$9:$DX$60,2,FALSE),"")</f>
        <v/>
      </c>
      <c r="K36" s="206" t="str">
        <f t="shared" si="1"/>
        <v/>
      </c>
      <c r="L36" s="387" t="str">
        <f>IFERROR(VLOOKUP($G36,'GASTOS EJER. 2'!$DW$9:$DX$60,2,FALSE),"")</f>
        <v/>
      </c>
      <c r="N36" s="206" t="str">
        <f t="shared" si="2"/>
        <v/>
      </c>
      <c r="O36" s="387" t="str">
        <f>IFERROR(VLOOKUP($G36,'GASTOS EJER. 3'!$DW$9:$DX$60,2,FALSE),"")</f>
        <v/>
      </c>
      <c r="Q36" s="206" t="str">
        <f t="shared" si="3"/>
        <v/>
      </c>
      <c r="R36" s="387" t="str">
        <f>IFERROR(VLOOKUP($G36,'GASTOS EJER. 4'!$DW$9:$DX$60,2,FALSE),"")</f>
        <v/>
      </c>
    </row>
    <row r="37" spans="7:18" ht="30" customHeight="1" x14ac:dyDescent="0.25">
      <c r="G37" s="206">
        <v>35</v>
      </c>
      <c r="H37" s="206" t="str">
        <f t="shared" si="0"/>
        <v/>
      </c>
      <c r="I37" s="387" t="str">
        <f>IFERROR(VLOOKUP($G37,'GASTOS EJER. 1'!$DW$9:$DX$60,2,FALSE),"")</f>
        <v/>
      </c>
      <c r="K37" s="206" t="str">
        <f t="shared" si="1"/>
        <v/>
      </c>
      <c r="L37" s="387" t="str">
        <f>IFERROR(VLOOKUP($G37,'GASTOS EJER. 2'!$DW$9:$DX$60,2,FALSE),"")</f>
        <v/>
      </c>
      <c r="N37" s="206" t="str">
        <f t="shared" si="2"/>
        <v/>
      </c>
      <c r="O37" s="387" t="str">
        <f>IFERROR(VLOOKUP($G37,'GASTOS EJER. 3'!$DW$9:$DX$60,2,FALSE),"")</f>
        <v/>
      </c>
      <c r="Q37" s="206" t="str">
        <f t="shared" si="3"/>
        <v/>
      </c>
      <c r="R37" s="387" t="str">
        <f>IFERROR(VLOOKUP($G37,'GASTOS EJER. 4'!$DW$9:$DX$60,2,FALSE),"")</f>
        <v/>
      </c>
    </row>
    <row r="38" spans="7:18" ht="30" customHeight="1" x14ac:dyDescent="0.25">
      <c r="G38" s="206">
        <v>36</v>
      </c>
      <c r="H38" s="206" t="str">
        <f t="shared" si="0"/>
        <v/>
      </c>
      <c r="I38" s="387" t="str">
        <f>IFERROR(VLOOKUP($G38,'GASTOS EJER. 1'!$DW$9:$DX$60,2,FALSE),"")</f>
        <v/>
      </c>
      <c r="K38" s="206" t="str">
        <f t="shared" si="1"/>
        <v/>
      </c>
      <c r="L38" s="387" t="str">
        <f>IFERROR(VLOOKUP($G38,'GASTOS EJER. 2'!$DW$9:$DX$60,2,FALSE),"")</f>
        <v/>
      </c>
      <c r="N38" s="206" t="str">
        <f t="shared" si="2"/>
        <v/>
      </c>
      <c r="O38" s="387" t="str">
        <f>IFERROR(VLOOKUP($G38,'GASTOS EJER. 3'!$DW$9:$DX$60,2,FALSE),"")</f>
        <v/>
      </c>
      <c r="Q38" s="206" t="str">
        <f t="shared" si="3"/>
        <v/>
      </c>
      <c r="R38" s="387" t="str">
        <f>IFERROR(VLOOKUP($G38,'GASTOS EJER. 4'!$DW$9:$DX$60,2,FALSE),"")</f>
        <v/>
      </c>
    </row>
    <row r="39" spans="7:18" ht="30" customHeight="1" x14ac:dyDescent="0.25">
      <c r="G39" s="206">
        <v>37</v>
      </c>
      <c r="H39" s="206" t="str">
        <f t="shared" si="0"/>
        <v/>
      </c>
      <c r="I39" s="387" t="str">
        <f>IFERROR(VLOOKUP($G39,'GASTOS EJER. 1'!$DW$9:$DX$60,2,FALSE),"")</f>
        <v/>
      </c>
      <c r="K39" s="206" t="str">
        <f t="shared" si="1"/>
        <v/>
      </c>
      <c r="L39" s="387" t="str">
        <f>IFERROR(VLOOKUP($G39,'GASTOS EJER. 2'!$DW$9:$DX$60,2,FALSE),"")</f>
        <v/>
      </c>
      <c r="N39" s="206" t="str">
        <f t="shared" si="2"/>
        <v/>
      </c>
      <c r="O39" s="387" t="str">
        <f>IFERROR(VLOOKUP($G39,'GASTOS EJER. 3'!$DW$9:$DX$60,2,FALSE),"")</f>
        <v/>
      </c>
      <c r="Q39" s="206" t="str">
        <f t="shared" si="3"/>
        <v/>
      </c>
      <c r="R39" s="387" t="str">
        <f>IFERROR(VLOOKUP($G39,'GASTOS EJER. 4'!$DW$9:$DX$60,2,FALSE),"")</f>
        <v/>
      </c>
    </row>
    <row r="40" spans="7:18" ht="30" customHeight="1" x14ac:dyDescent="0.25">
      <c r="G40" s="206">
        <v>38</v>
      </c>
      <c r="H40" s="206" t="str">
        <f t="shared" si="0"/>
        <v/>
      </c>
      <c r="I40" s="387" t="str">
        <f>IFERROR(VLOOKUP($G40,'GASTOS EJER. 1'!$DW$9:$DX$60,2,FALSE),"")</f>
        <v/>
      </c>
      <c r="K40" s="206" t="str">
        <f t="shared" si="1"/>
        <v/>
      </c>
      <c r="L40" s="387" t="str">
        <f>IFERROR(VLOOKUP($G40,'GASTOS EJER. 2'!$DW$9:$DX$60,2,FALSE),"")</f>
        <v/>
      </c>
      <c r="N40" s="206" t="str">
        <f t="shared" si="2"/>
        <v/>
      </c>
      <c r="O40" s="387" t="str">
        <f>IFERROR(VLOOKUP($G40,'GASTOS EJER. 3'!$DW$9:$DX$60,2,FALSE),"")</f>
        <v/>
      </c>
      <c r="Q40" s="206" t="str">
        <f t="shared" si="3"/>
        <v/>
      </c>
      <c r="R40" s="387" t="str">
        <f>IFERROR(VLOOKUP($G40,'GASTOS EJER. 4'!$DW$9:$DX$60,2,FALSE),"")</f>
        <v/>
      </c>
    </row>
  </sheetData>
  <sheetProtection algorithmName="SHA-512" hashValue="UUxDn9s/FYa7k5WbPDrAJ233cj2yvtuXK/YjubQdQlpdferL0j0j0JwBdIXsvO9H7KXBlT3MrDrTzAQA+sqevQ==" saltValue="YA8camD7AjZQLZll2ER/UQ==" spinCount="100000" sheet="1" objects="1" scenarios="1"/>
  <mergeCells count="4">
    <mergeCell ref="H2:I2"/>
    <mergeCell ref="K2:L2"/>
    <mergeCell ref="N2:O2"/>
    <mergeCell ref="Q2:R2"/>
  </mergeCells>
  <conditionalFormatting sqref="B9:E9">
    <cfRule type="expression" dxfId="12" priority="3">
      <formula>$B$9&lt;&gt;""</formula>
    </cfRule>
  </conditionalFormatting>
  <conditionalFormatting sqref="B10:E10">
    <cfRule type="expression" dxfId="11" priority="4">
      <formula>$B$10&lt;&gt;""</formula>
    </cfRule>
  </conditionalFormatting>
  <conditionalFormatting sqref="B11:E11">
    <cfRule type="expression" dxfId="10" priority="5">
      <formula>$B$11&lt;&gt;""</formula>
    </cfRule>
  </conditionalFormatting>
  <conditionalFormatting sqref="H3:I40">
    <cfRule type="expression" dxfId="8" priority="6">
      <formula>$I3&lt;&gt;""</formula>
    </cfRule>
  </conditionalFormatting>
  <conditionalFormatting sqref="K3:L40">
    <cfRule type="expression" dxfId="7" priority="8">
      <formula>$L3&lt;&gt;""</formula>
    </cfRule>
  </conditionalFormatting>
  <conditionalFormatting sqref="N3:O40">
    <cfRule type="expression" dxfId="6" priority="9">
      <formula>$O3&lt;&gt;""</formula>
    </cfRule>
  </conditionalFormatting>
  <conditionalFormatting sqref="Q3:R40">
    <cfRule type="expression" dxfId="5" priority="14">
      <formula>$R3&lt;&gt;""</formula>
    </cfRule>
  </conditionalFormatting>
  <pageMargins left="0.7" right="0.7" top="0.75" bottom="0.75" header="0.3" footer="0.3"/>
  <pageSetup paperSize="9" scale="16" orientation="portrait" r:id="rId1"/>
  <extLst>
    <ext xmlns:x14="http://schemas.microsoft.com/office/spreadsheetml/2009/9/main" uri="{78C0D931-6437-407d-A8EE-F0AAD7539E65}">
      <x14:conditionalFormattings>
        <x14:conditionalFormatting xmlns:xm="http://schemas.microsoft.com/office/excel/2006/main">
          <x14:cfRule type="expression" priority="1" stopIfTrue="1" id="{12A8E648-D213-4D94-9F81-9DF02416BA9E}">
            <xm:f>OR(USUARIO!$C$2="",AUXILIAR!$W$6&lt;&gt;USUARIO!$C$2)</xm:f>
            <x14:dxf>
              <font>
                <color theme="0"/>
              </font>
              <fill>
                <patternFill>
                  <bgColor theme="0"/>
                </patternFill>
              </fill>
              <border>
                <left/>
                <right/>
                <top/>
                <bottom/>
                <vertical/>
                <horizontal/>
              </border>
            </x14:dxf>
          </x14:cfRule>
          <xm:sqref>B1:R1048576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491A1-9D42-46A6-8A0E-54069675B253}">
  <dimension ref="A1:JG104"/>
  <sheetViews>
    <sheetView showGridLines="0" zoomScaleNormal="100" workbookViewId="0"/>
  </sheetViews>
  <sheetFormatPr baseColWidth="10" defaultColWidth="11.42578125" defaultRowHeight="15" outlineLevelCol="1" x14ac:dyDescent="0.25"/>
  <cols>
    <col min="1" max="1" width="5.5703125" style="521" customWidth="1"/>
    <col min="2" max="2" width="10.7109375" style="206" hidden="1" customWidth="1" outlineLevel="1"/>
    <col min="3" max="3" width="5.7109375" style="206" hidden="1" customWidth="1" outlineLevel="1"/>
    <col min="4" max="4" width="11.42578125" style="206" hidden="1" customWidth="1" outlineLevel="1"/>
    <col min="5" max="5" width="5.7109375" style="206" hidden="1" customWidth="1" outlineLevel="1"/>
    <col min="6" max="6" width="125.7109375" style="204" hidden="1" customWidth="1" outlineLevel="1"/>
    <col min="7" max="9" width="30.7109375" style="204" hidden="1" customWidth="1" outlineLevel="1"/>
    <col min="10" max="12" width="5.7109375" style="206" hidden="1" customWidth="1" outlineLevel="1"/>
    <col min="13" max="13" width="10.7109375" style="206" hidden="1" customWidth="1" outlineLevel="1"/>
    <col min="14" max="14" width="5.7109375" style="204" hidden="1" customWidth="1" outlineLevel="1"/>
    <col min="15" max="15" width="27.85546875" style="204" hidden="1" customWidth="1" outlineLevel="1"/>
    <col min="16" max="16" width="30.7109375" style="204" hidden="1" customWidth="1" outlineLevel="1"/>
    <col min="17" max="17" width="5.7109375" style="204" hidden="1" customWidth="1" outlineLevel="1"/>
    <col min="18" max="18" width="37.7109375" style="204" hidden="1" customWidth="1" outlineLevel="1"/>
    <col min="19" max="19" width="11.28515625" style="204" hidden="1" customWidth="1" outlineLevel="1"/>
    <col min="20" max="20" width="8.7109375" style="204" hidden="1" customWidth="1" outlineLevel="1"/>
    <col min="21" max="21" width="5.5703125" style="392" hidden="1" customWidth="1" outlineLevel="1"/>
    <col min="22" max="22" width="25.7109375" style="204" hidden="1" customWidth="1" outlineLevel="1"/>
    <col min="23" max="23" width="15.7109375" style="206" hidden="1" customWidth="1" outlineLevel="1"/>
    <col min="24" max="24" width="5.5703125" style="392" hidden="1" customWidth="1" outlineLevel="1"/>
    <col min="25" max="25" width="5.42578125" style="392" hidden="1" customWidth="1" outlineLevel="1"/>
    <col min="26" max="26" width="25.5703125" style="393" hidden="1" customWidth="1" outlineLevel="1"/>
    <col min="27" max="30" width="30.5703125" style="392" hidden="1" customWidth="1" outlineLevel="1"/>
    <col min="31" max="31" width="5.7109375" style="393" hidden="1" customWidth="1" outlineLevel="1"/>
    <col min="32" max="32" width="11.42578125" style="392" hidden="1" customWidth="1" outlineLevel="1"/>
    <col min="33" max="33" width="5.7109375" style="394" hidden="1" customWidth="1" outlineLevel="1"/>
    <col min="34" max="36" width="15.7109375" style="394" hidden="1" customWidth="1" outlineLevel="1"/>
    <col min="37" max="37" width="5.7109375" style="394" hidden="1" customWidth="1" outlineLevel="1"/>
    <col min="38" max="49" width="11.42578125" style="394" hidden="1" customWidth="1" outlineLevel="1"/>
    <col min="50" max="51" width="5.7109375" style="394" hidden="1" customWidth="1" outlineLevel="1"/>
    <col min="52" max="61" width="11.42578125" style="394" hidden="1" customWidth="1" outlineLevel="1"/>
    <col min="62" max="62" width="5.7109375" style="394" hidden="1" customWidth="1" outlineLevel="1"/>
    <col min="63" max="71" width="11.42578125" style="394" hidden="1" customWidth="1" outlineLevel="1"/>
    <col min="72" max="72" width="5.7109375" style="394" hidden="1" customWidth="1" outlineLevel="1"/>
    <col min="73" max="73" width="11.42578125" style="394" hidden="1" customWidth="1" outlineLevel="1"/>
    <col min="74" max="74" width="5.7109375" style="393" hidden="1" customWidth="1" outlineLevel="1"/>
    <col min="75" max="75" width="11.42578125" style="392" hidden="1" customWidth="1" outlineLevel="1"/>
    <col min="76" max="76" width="5.7109375" style="394" hidden="1" customWidth="1" outlineLevel="1"/>
    <col min="77" max="79" width="15.7109375" style="394" hidden="1" customWidth="1" outlineLevel="1"/>
    <col min="80" max="80" width="5.7109375" style="394" hidden="1" customWidth="1" outlineLevel="1"/>
    <col min="81" max="92" width="11.42578125" style="394" hidden="1" customWidth="1" outlineLevel="1"/>
    <col min="93" max="94" width="5.7109375" style="394" hidden="1" customWidth="1" outlineLevel="1"/>
    <col min="95" max="104" width="11.42578125" style="394" hidden="1" customWidth="1" outlineLevel="1"/>
    <col min="105" max="105" width="5.7109375" style="394" hidden="1" customWidth="1" outlineLevel="1"/>
    <col min="106" max="114" width="11.42578125" style="394" hidden="1" customWidth="1" outlineLevel="1"/>
    <col min="115" max="115" width="5.7109375" style="394" hidden="1" customWidth="1" outlineLevel="1"/>
    <col min="116" max="116" width="11.42578125" style="394" hidden="1" customWidth="1" outlineLevel="1"/>
    <col min="117" max="118" width="5.7109375" style="394" hidden="1" customWidth="1" outlineLevel="1"/>
    <col min="119" max="119" width="20.7109375" style="394" hidden="1" customWidth="1" outlineLevel="1"/>
    <col min="120" max="121" width="11.28515625" style="395" hidden="1" customWidth="1" outlineLevel="1"/>
    <col min="122" max="122" width="10.28515625" style="395" hidden="1" customWidth="1" outlineLevel="1"/>
    <col min="123" max="125" width="11.42578125" style="394" hidden="1" customWidth="1" outlineLevel="1"/>
    <col min="126" max="126" width="14.28515625" style="394" hidden="1" customWidth="1" outlineLevel="1"/>
    <col min="127" max="128" width="5.7109375" style="394" hidden="1" customWidth="1" outlineLevel="1"/>
    <col min="129" max="130" width="10.7109375" style="395" hidden="1" customWidth="1" outlineLevel="1"/>
    <col min="131" max="131" width="9.42578125" style="395" hidden="1" customWidth="1" outlineLevel="1"/>
    <col min="132" max="164" width="9.7109375" style="394" hidden="1" customWidth="1" outlineLevel="1"/>
    <col min="165" max="165" width="5.7109375" style="394" hidden="1" customWidth="1" outlineLevel="1"/>
    <col min="166" max="167" width="9.7109375" style="394" hidden="1" customWidth="1" outlineLevel="1"/>
    <col min="168" max="168" width="11.42578125" style="394" hidden="1" customWidth="1" outlineLevel="1"/>
    <col min="169" max="172" width="15.7109375" style="394" hidden="1" customWidth="1" outlineLevel="1"/>
    <col min="173" max="174" width="5.7109375" style="394" hidden="1" customWidth="1" outlineLevel="1"/>
    <col min="175" max="175" width="20.7109375" style="394" hidden="1" customWidth="1" outlineLevel="1"/>
    <col min="176" max="177" width="11.28515625" style="395" hidden="1" customWidth="1" outlineLevel="1"/>
    <col min="178" max="178" width="10.28515625" style="395" hidden="1" customWidth="1" outlineLevel="1"/>
    <col min="179" max="181" width="11.42578125" style="394" hidden="1" customWidth="1" outlineLevel="1"/>
    <col min="182" max="182" width="14.28515625" style="394" hidden="1" customWidth="1" outlineLevel="1"/>
    <col min="183" max="184" width="5.7109375" style="394" hidden="1" customWidth="1" outlineLevel="1"/>
    <col min="185" max="186" width="10.7109375" style="395" hidden="1" customWidth="1" outlineLevel="1"/>
    <col min="187" max="187" width="9.42578125" style="395" hidden="1" customWidth="1" outlineLevel="1"/>
    <col min="188" max="220" width="9.7109375" style="394" hidden="1" customWidth="1" outlineLevel="1"/>
    <col min="221" max="222" width="5.7109375" style="394" hidden="1" customWidth="1" outlineLevel="1"/>
    <col min="223" max="224" width="9.7109375" style="394" hidden="1" customWidth="1" outlineLevel="1"/>
    <col min="225" max="225" width="11.42578125" style="394" hidden="1" customWidth="1" outlineLevel="1"/>
    <col min="226" max="229" width="15.7109375" style="394" hidden="1" customWidth="1" outlineLevel="1"/>
    <col min="230" max="230" width="5.7109375" style="394" hidden="1" customWidth="1" outlineLevel="1"/>
    <col min="231" max="231" width="5.7109375" style="392" hidden="1" customWidth="1" outlineLevel="1"/>
    <col min="232" max="233" width="10.7109375" style="393" hidden="1" customWidth="1" outlineLevel="1"/>
    <col min="234" max="234" width="40.7109375" style="392" hidden="1" customWidth="1" outlineLevel="1"/>
    <col min="235" max="235" width="11.42578125" style="392" hidden="1" customWidth="1" outlineLevel="1"/>
    <col min="236" max="236" width="5.7109375" style="393" hidden="1" customWidth="1" outlineLevel="1"/>
    <col min="237" max="238" width="5.7109375" style="392" hidden="1" customWidth="1" outlineLevel="1"/>
    <col min="239" max="240" width="5.7109375" style="393" hidden="1" customWidth="1" outlineLevel="1"/>
    <col min="241" max="242" width="10.7109375" style="393" hidden="1" customWidth="1" outlineLevel="1"/>
    <col min="243" max="243" width="40.7109375" style="392" hidden="1" customWidth="1" outlineLevel="1"/>
    <col min="244" max="244" width="11.42578125" style="392" hidden="1" customWidth="1" outlineLevel="1"/>
    <col min="245" max="246" width="5.7109375" style="392" hidden="1" customWidth="1" outlineLevel="1"/>
    <col min="247" max="248" width="10.7109375" style="393" hidden="1" customWidth="1" outlineLevel="1"/>
    <col min="249" max="249" width="40.7109375" style="392" hidden="1" customWidth="1" outlineLevel="1"/>
    <col min="250" max="250" width="11.42578125" style="392" hidden="1" customWidth="1" outlineLevel="1"/>
    <col min="251" max="251" width="5.7109375" style="393" hidden="1" customWidth="1" outlineLevel="1"/>
    <col min="252" max="253" width="5.7109375" style="392" hidden="1" customWidth="1" outlineLevel="1"/>
    <col min="254" max="255" width="5.7109375" style="393" hidden="1" customWidth="1" outlineLevel="1"/>
    <col min="256" max="257" width="10.7109375" style="393" hidden="1" customWidth="1" outlineLevel="1"/>
    <col min="258" max="258" width="40.7109375" style="392" hidden="1" customWidth="1" outlineLevel="1"/>
    <col min="259" max="259" width="11.42578125" style="392" hidden="1" customWidth="1" outlineLevel="1"/>
    <col min="260" max="262" width="5.7109375" style="392" hidden="1" customWidth="1" outlineLevel="1"/>
    <col min="263" max="264" width="11.42578125" style="393" hidden="1" customWidth="1" outlineLevel="1"/>
    <col min="265" max="266" width="11.42578125" style="392" hidden="1" customWidth="1" outlineLevel="1"/>
    <col min="267" max="267" width="11.42578125" style="392" collapsed="1"/>
    <col min="268" max="16384" width="11.42578125" style="392"/>
  </cols>
  <sheetData>
    <row r="1" spans="1:266" x14ac:dyDescent="0.25">
      <c r="A1" s="543"/>
      <c r="X1" s="393"/>
      <c r="Y1" s="393"/>
    </row>
    <row r="2" spans="1:266" x14ac:dyDescent="0.25">
      <c r="AF2" s="976" t="s">
        <v>349</v>
      </c>
      <c r="AG2" s="976"/>
      <c r="AH2" s="976"/>
      <c r="AI2" s="976"/>
      <c r="AJ2" s="976"/>
      <c r="AK2" s="976"/>
      <c r="AL2" s="976"/>
      <c r="AM2" s="976"/>
      <c r="AN2" s="976"/>
      <c r="AO2" s="976"/>
      <c r="AP2" s="976"/>
      <c r="AQ2" s="976"/>
      <c r="AR2" s="976"/>
      <c r="AS2" s="976"/>
      <c r="AT2" s="976"/>
      <c r="AU2" s="976"/>
      <c r="AV2" s="976"/>
      <c r="AW2" s="976"/>
      <c r="AX2" s="976"/>
      <c r="AY2" s="976"/>
      <c r="AZ2" s="976"/>
      <c r="BA2" s="976"/>
      <c r="BB2" s="976"/>
      <c r="BC2" s="976"/>
      <c r="BD2" s="976"/>
      <c r="BE2" s="976"/>
      <c r="BF2" s="976"/>
      <c r="BG2" s="976"/>
      <c r="BH2" s="976"/>
      <c r="BI2" s="976"/>
      <c r="BJ2" s="976"/>
      <c r="BK2" s="976"/>
      <c r="BL2" s="976"/>
      <c r="BM2" s="976"/>
      <c r="BN2" s="976"/>
      <c r="BO2" s="976"/>
      <c r="BP2" s="976"/>
      <c r="BQ2" s="976"/>
      <c r="BR2" s="976"/>
      <c r="BS2" s="976"/>
      <c r="BT2" s="976"/>
      <c r="BU2" s="976"/>
      <c r="BW2" s="974" t="s">
        <v>349</v>
      </c>
      <c r="BX2" s="974"/>
      <c r="BY2" s="974"/>
      <c r="BZ2" s="974"/>
      <c r="CA2" s="974"/>
      <c r="CB2" s="974"/>
      <c r="CC2" s="974"/>
      <c r="CD2" s="974"/>
      <c r="CE2" s="974"/>
      <c r="CF2" s="974"/>
      <c r="CG2" s="974"/>
      <c r="CH2" s="974"/>
      <c r="CI2" s="974"/>
      <c r="CJ2" s="974"/>
      <c r="CK2" s="974"/>
      <c r="CL2" s="974"/>
      <c r="CM2" s="974"/>
      <c r="CN2" s="974"/>
      <c r="CO2" s="974"/>
      <c r="CP2" s="974"/>
      <c r="CQ2" s="974"/>
      <c r="CR2" s="974"/>
      <c r="CS2" s="974"/>
      <c r="CT2" s="974"/>
      <c r="CU2" s="974"/>
      <c r="CV2" s="974"/>
      <c r="CW2" s="974"/>
      <c r="CX2" s="974"/>
      <c r="CY2" s="974"/>
      <c r="CZ2" s="974"/>
      <c r="DA2" s="974"/>
      <c r="DB2" s="974"/>
      <c r="DC2" s="974"/>
      <c r="DD2" s="974"/>
      <c r="DE2" s="974"/>
      <c r="DF2" s="974"/>
      <c r="DG2" s="974"/>
      <c r="DH2" s="974"/>
      <c r="DI2" s="974"/>
      <c r="DJ2" s="974"/>
      <c r="DK2" s="974"/>
      <c r="DL2" s="974"/>
      <c r="DN2" s="976" t="s">
        <v>351</v>
      </c>
      <c r="DO2" s="976"/>
      <c r="DP2" s="976"/>
      <c r="DQ2" s="976"/>
      <c r="DR2" s="976"/>
      <c r="DS2" s="976"/>
      <c r="DT2" s="976"/>
      <c r="DU2" s="976"/>
      <c r="DV2" s="976"/>
      <c r="DW2" s="976"/>
      <c r="DX2" s="976"/>
      <c r="DY2" s="976"/>
      <c r="DZ2" s="976"/>
      <c r="EA2" s="976"/>
      <c r="EB2" s="976"/>
      <c r="EC2" s="976"/>
      <c r="ED2" s="976"/>
      <c r="EE2" s="976"/>
      <c r="EF2" s="976"/>
      <c r="EG2" s="976"/>
      <c r="EH2" s="976"/>
      <c r="EI2" s="976"/>
      <c r="EJ2" s="976"/>
      <c r="EK2" s="976"/>
      <c r="EL2" s="976"/>
      <c r="EM2" s="976"/>
      <c r="EN2" s="976"/>
      <c r="EO2" s="976"/>
      <c r="EP2" s="976"/>
      <c r="EQ2" s="976"/>
      <c r="ER2" s="976"/>
      <c r="ES2" s="976"/>
      <c r="ET2" s="976"/>
      <c r="EU2" s="976"/>
      <c r="EV2" s="976"/>
      <c r="EW2" s="976"/>
      <c r="EX2" s="976"/>
      <c r="EY2" s="976"/>
      <c r="EZ2" s="976"/>
      <c r="FA2" s="976"/>
      <c r="FB2" s="976"/>
      <c r="FC2" s="976"/>
      <c r="FD2" s="976"/>
      <c r="FE2" s="976"/>
      <c r="FF2" s="976"/>
      <c r="FG2" s="976"/>
      <c r="FH2" s="976"/>
      <c r="FI2" s="976"/>
      <c r="FJ2" s="976"/>
      <c r="FK2" s="976"/>
      <c r="FL2" s="976"/>
      <c r="FM2" s="976"/>
      <c r="FN2" s="976"/>
      <c r="FO2" s="976"/>
      <c r="FP2" s="976"/>
      <c r="FR2" s="974" t="s">
        <v>351</v>
      </c>
      <c r="FS2" s="974"/>
      <c r="FT2" s="974"/>
      <c r="FU2" s="974"/>
      <c r="FV2" s="974"/>
      <c r="FW2" s="974"/>
      <c r="FX2" s="974"/>
      <c r="FY2" s="974"/>
      <c r="FZ2" s="974"/>
      <c r="GA2" s="974"/>
      <c r="GB2" s="974"/>
      <c r="GC2" s="974"/>
      <c r="GD2" s="974"/>
      <c r="GE2" s="974"/>
      <c r="GF2" s="974"/>
      <c r="GG2" s="974"/>
      <c r="GH2" s="974"/>
      <c r="GI2" s="974"/>
      <c r="GJ2" s="974"/>
      <c r="GK2" s="974"/>
      <c r="GL2" s="974"/>
      <c r="GM2" s="974"/>
      <c r="GN2" s="974"/>
      <c r="GO2" s="974"/>
      <c r="GP2" s="974"/>
      <c r="GQ2" s="974"/>
      <c r="GR2" s="974"/>
      <c r="GS2" s="974"/>
      <c r="GT2" s="974"/>
      <c r="GU2" s="974"/>
      <c r="GV2" s="974"/>
      <c r="GW2" s="974"/>
      <c r="GX2" s="974"/>
      <c r="GY2" s="974"/>
      <c r="GZ2" s="974"/>
      <c r="HA2" s="974"/>
      <c r="HB2" s="974"/>
      <c r="HC2" s="974"/>
      <c r="HD2" s="974"/>
      <c r="HE2" s="974"/>
      <c r="HF2" s="974"/>
      <c r="HG2" s="974"/>
      <c r="HH2" s="974"/>
      <c r="HI2" s="974"/>
      <c r="HJ2" s="974"/>
      <c r="HK2" s="974"/>
      <c r="HL2" s="974"/>
      <c r="HM2" s="974"/>
      <c r="HN2" s="974"/>
      <c r="HO2" s="974"/>
      <c r="HP2" s="974"/>
      <c r="HQ2" s="974"/>
      <c r="HR2" s="974"/>
      <c r="HS2" s="974"/>
      <c r="HT2" s="974"/>
      <c r="HU2" s="974"/>
      <c r="HW2" s="985" t="s">
        <v>206</v>
      </c>
      <c r="HX2" s="985"/>
      <c r="HY2" s="985"/>
      <c r="HZ2" s="985"/>
      <c r="IA2" s="985"/>
      <c r="IB2" s="985"/>
      <c r="IC2" s="985"/>
      <c r="ID2" s="985"/>
      <c r="IE2" s="985"/>
      <c r="IF2" s="985"/>
      <c r="IG2" s="985"/>
      <c r="IH2" s="985"/>
      <c r="II2" s="985"/>
      <c r="IJ2" s="985"/>
      <c r="IL2" s="1032" t="s">
        <v>206</v>
      </c>
      <c r="IM2" s="1032"/>
      <c r="IN2" s="1032"/>
      <c r="IO2" s="1032"/>
      <c r="IP2" s="1032"/>
      <c r="IQ2" s="1032"/>
      <c r="IR2" s="1032"/>
      <c r="IS2" s="1032"/>
      <c r="IT2" s="1032"/>
      <c r="IU2" s="1032"/>
      <c r="IV2" s="1032"/>
      <c r="IW2" s="1032"/>
      <c r="IX2" s="1032"/>
      <c r="IY2" s="1032"/>
      <c r="JC2" s="985" t="s">
        <v>220</v>
      </c>
      <c r="JD2" s="985"/>
      <c r="JE2" s="985"/>
      <c r="JF2" s="985"/>
    </row>
    <row r="3" spans="1:266" ht="15.75" thickBot="1" x14ac:dyDescent="0.3">
      <c r="B3" s="979" t="s">
        <v>225</v>
      </c>
      <c r="C3" s="979"/>
      <c r="D3" s="979"/>
      <c r="E3" s="979"/>
      <c r="F3" s="979"/>
      <c r="G3" s="979"/>
      <c r="H3" s="979"/>
      <c r="I3" s="979"/>
      <c r="J3" s="979"/>
      <c r="K3" s="979"/>
      <c r="L3" s="979"/>
      <c r="M3" s="979"/>
      <c r="O3" s="979" t="s">
        <v>226</v>
      </c>
      <c r="P3" s="979"/>
      <c r="R3" s="979" t="s">
        <v>227</v>
      </c>
      <c r="S3" s="979"/>
      <c r="V3" s="979" t="s">
        <v>248</v>
      </c>
      <c r="W3" s="979"/>
      <c r="Y3" s="995" t="s">
        <v>346</v>
      </c>
      <c r="Z3" s="995"/>
      <c r="AA3" s="995"/>
      <c r="AB3" s="995"/>
      <c r="AC3" s="995"/>
      <c r="AD3" s="995"/>
      <c r="AF3" s="394"/>
      <c r="BW3" s="394"/>
      <c r="DY3" s="396" t="s">
        <v>356</v>
      </c>
      <c r="GC3" s="396" t="s">
        <v>356</v>
      </c>
    </row>
    <row r="4" spans="1:266" ht="15.75" thickBot="1" x14ac:dyDescent="0.3">
      <c r="Z4" s="397" t="str">
        <f>IF(YEAR(EXPEDIENTE!F27)=YEAR(EXPEDIENTE!F25),MONTH(EXPEDIENTE!F27)-MONTH(EXPEDIENTE!F25)+1,IF(YEAR(EXPEDIENTE!F27)=YEAR(EXPEDIENTE!F25)+1,MONTH(EXPEDIENTE!F27)-MONTH(EXPEDIENTE!F25)+13,IF(YEAR(EXPEDIENTE!F27)=YEAR(EXPEDIENTE!F25)+2,MONTH(EXPEDIENTE!F27)-MONTH(EXPEDIENTE!F25)+25,IF(YEAR(EXPEDIENTE!F27)=YEAR(EXPEDIENTE!F25)+3,MONTH(EXPEDIENTE!F27)-MONTH(EXPEDIENTE!F25)+37,""))))</f>
        <v/>
      </c>
      <c r="AA4" s="393" t="s">
        <v>174</v>
      </c>
      <c r="AB4" s="393" t="s">
        <v>175</v>
      </c>
      <c r="AC4" s="393" t="s">
        <v>176</v>
      </c>
      <c r="AD4" s="393" t="s">
        <v>177</v>
      </c>
      <c r="AG4" s="392"/>
      <c r="AH4" s="392"/>
      <c r="AI4" s="392"/>
      <c r="AJ4" s="392"/>
      <c r="AK4" s="392"/>
      <c r="AL4" s="392"/>
      <c r="AM4" s="392"/>
      <c r="AN4" s="392"/>
      <c r="AO4" s="392"/>
      <c r="AP4" s="392"/>
      <c r="AQ4" s="392"/>
      <c r="AR4" s="392"/>
      <c r="AS4" s="392"/>
      <c r="AT4" s="392"/>
      <c r="AU4" s="392"/>
      <c r="AV4" s="392"/>
      <c r="AW4" s="392"/>
      <c r="BK4" s="992" t="str">
        <f>CONCATENATE("P.P. OTRAS NÓMINAS ABONADAS EN ",AZ22)</f>
        <v>P.P. OTRAS NÓMINAS ABONADAS EN 2023</v>
      </c>
      <c r="BL4" s="993"/>
      <c r="BM4" s="993"/>
      <c r="BN4" s="993"/>
      <c r="BO4" s="993"/>
      <c r="BP4" s="993"/>
      <c r="BQ4" s="993"/>
      <c r="BR4" s="993"/>
      <c r="BS4" s="994"/>
      <c r="BX4" s="392"/>
      <c r="BY4" s="392"/>
      <c r="BZ4" s="392"/>
      <c r="CA4" s="392"/>
      <c r="CB4" s="392"/>
      <c r="CC4" s="392"/>
      <c r="CD4" s="392"/>
      <c r="CE4" s="392"/>
      <c r="CF4" s="392"/>
      <c r="CG4" s="392"/>
      <c r="CH4" s="392"/>
      <c r="CI4" s="392"/>
      <c r="CJ4" s="392"/>
      <c r="CK4" s="392"/>
      <c r="CL4" s="392"/>
      <c r="CM4" s="392"/>
      <c r="CN4" s="392"/>
      <c r="DB4" s="992" t="str">
        <f>CONCATENATE("P.P. OTRAS NÓMINAS ABONADAS EN ",CQ22)</f>
        <v>P.P. OTRAS NÓMINAS ABONADAS EN 2023</v>
      </c>
      <c r="DC4" s="993"/>
      <c r="DD4" s="993"/>
      <c r="DE4" s="993"/>
      <c r="DF4" s="993"/>
      <c r="DG4" s="993"/>
      <c r="DH4" s="993"/>
      <c r="DI4" s="993"/>
      <c r="DJ4" s="994"/>
      <c r="DN4" s="392"/>
      <c r="DY4" s="975" t="s">
        <v>355</v>
      </c>
      <c r="DZ4" s="975" t="s">
        <v>354</v>
      </c>
      <c r="EA4" s="975" t="s">
        <v>357</v>
      </c>
      <c r="EB4" s="971" t="s">
        <v>358</v>
      </c>
      <c r="EC4" s="971" t="s">
        <v>359</v>
      </c>
      <c r="ED4" s="971" t="s">
        <v>360</v>
      </c>
      <c r="EE4" s="971" t="s">
        <v>361</v>
      </c>
      <c r="EF4" s="971" t="s">
        <v>362</v>
      </c>
      <c r="EG4" s="971" t="s">
        <v>363</v>
      </c>
      <c r="EH4" s="971" t="s">
        <v>364</v>
      </c>
      <c r="EI4" s="971" t="s">
        <v>365</v>
      </c>
      <c r="EJ4" s="971" t="s">
        <v>366</v>
      </c>
      <c r="EK4" s="971" t="s">
        <v>367</v>
      </c>
      <c r="EL4" s="971" t="s">
        <v>368</v>
      </c>
      <c r="EM4" s="971" t="s">
        <v>369</v>
      </c>
      <c r="EN4" s="971" t="s">
        <v>370</v>
      </c>
      <c r="EO4" s="971" t="s">
        <v>371</v>
      </c>
      <c r="EP4" s="971" t="s">
        <v>372</v>
      </c>
      <c r="EQ4" s="971" t="s">
        <v>373</v>
      </c>
      <c r="ER4" s="971" t="s">
        <v>374</v>
      </c>
      <c r="ES4" s="971" t="s">
        <v>375</v>
      </c>
      <c r="ET4" s="971" t="s">
        <v>376</v>
      </c>
      <c r="EU4" s="971" t="s">
        <v>377</v>
      </c>
      <c r="EV4" s="971" t="s">
        <v>378</v>
      </c>
      <c r="EW4" s="971" t="s">
        <v>379</v>
      </c>
      <c r="EX4" s="971" t="s">
        <v>380</v>
      </c>
      <c r="EY4" s="971" t="s">
        <v>381</v>
      </c>
      <c r="EZ4" s="971" t="s">
        <v>382</v>
      </c>
      <c r="FA4" s="971" t="s">
        <v>383</v>
      </c>
      <c r="FB4" s="971" t="s">
        <v>384</v>
      </c>
      <c r="FC4" s="971" t="s">
        <v>385</v>
      </c>
      <c r="FD4" s="971" t="s">
        <v>386</v>
      </c>
      <c r="FE4" s="971" t="s">
        <v>387</v>
      </c>
      <c r="FF4" s="971" t="s">
        <v>388</v>
      </c>
      <c r="FG4" s="971" t="s">
        <v>389</v>
      </c>
      <c r="FH4" s="973" t="s">
        <v>58</v>
      </c>
      <c r="FR4" s="392"/>
      <c r="GC4" s="975" t="s">
        <v>355</v>
      </c>
      <c r="GD4" s="975" t="s">
        <v>354</v>
      </c>
      <c r="GE4" s="975" t="s">
        <v>357</v>
      </c>
      <c r="GF4" s="971" t="s">
        <v>358</v>
      </c>
      <c r="GG4" s="971" t="s">
        <v>359</v>
      </c>
      <c r="GH4" s="971" t="s">
        <v>360</v>
      </c>
      <c r="GI4" s="971" t="s">
        <v>361</v>
      </c>
      <c r="GJ4" s="971" t="s">
        <v>362</v>
      </c>
      <c r="GK4" s="971" t="s">
        <v>363</v>
      </c>
      <c r="GL4" s="971" t="s">
        <v>364</v>
      </c>
      <c r="GM4" s="971" t="s">
        <v>365</v>
      </c>
      <c r="GN4" s="971" t="s">
        <v>366</v>
      </c>
      <c r="GO4" s="971" t="s">
        <v>367</v>
      </c>
      <c r="GP4" s="971" t="s">
        <v>368</v>
      </c>
      <c r="GQ4" s="971" t="s">
        <v>369</v>
      </c>
      <c r="GR4" s="971" t="s">
        <v>370</v>
      </c>
      <c r="GS4" s="971" t="s">
        <v>371</v>
      </c>
      <c r="GT4" s="971" t="s">
        <v>372</v>
      </c>
      <c r="GU4" s="971" t="s">
        <v>373</v>
      </c>
      <c r="GV4" s="971" t="s">
        <v>374</v>
      </c>
      <c r="GW4" s="971" t="s">
        <v>375</v>
      </c>
      <c r="GX4" s="971" t="s">
        <v>376</v>
      </c>
      <c r="GY4" s="971" t="s">
        <v>377</v>
      </c>
      <c r="GZ4" s="971" t="s">
        <v>378</v>
      </c>
      <c r="HA4" s="971" t="s">
        <v>379</v>
      </c>
      <c r="HB4" s="971" t="s">
        <v>380</v>
      </c>
      <c r="HC4" s="971" t="s">
        <v>381</v>
      </c>
      <c r="HD4" s="971" t="s">
        <v>382</v>
      </c>
      <c r="HE4" s="971" t="s">
        <v>383</v>
      </c>
      <c r="HF4" s="971" t="s">
        <v>384</v>
      </c>
      <c r="HG4" s="971" t="s">
        <v>385</v>
      </c>
      <c r="HH4" s="971" t="s">
        <v>386</v>
      </c>
      <c r="HI4" s="971" t="s">
        <v>387</v>
      </c>
      <c r="HJ4" s="971" t="s">
        <v>388</v>
      </c>
      <c r="HK4" s="971" t="s">
        <v>389</v>
      </c>
      <c r="HL4" s="973" t="s">
        <v>58</v>
      </c>
      <c r="IC4" s="123" t="s">
        <v>139</v>
      </c>
      <c r="IR4" s="123" t="s">
        <v>139</v>
      </c>
      <c r="JC4" s="398">
        <v>0</v>
      </c>
      <c r="JD4" s="398">
        <v>0</v>
      </c>
    </row>
    <row r="5" spans="1:266" ht="15.75" thickBot="1" x14ac:dyDescent="0.3">
      <c r="D5" s="983" t="s">
        <v>172</v>
      </c>
      <c r="E5" s="983" t="s">
        <v>228</v>
      </c>
      <c r="F5" s="983" t="s">
        <v>229</v>
      </c>
      <c r="G5" s="983" t="s">
        <v>230</v>
      </c>
      <c r="H5" s="983"/>
      <c r="I5" s="983"/>
      <c r="J5" s="983" t="s">
        <v>231</v>
      </c>
      <c r="K5" s="983"/>
      <c r="L5" s="983"/>
      <c r="M5" s="983"/>
      <c r="O5" s="977" t="s">
        <v>232</v>
      </c>
      <c r="P5" s="400" t="str">
        <f>VLOOKUP(AUXILIAR!$B$7,AUXILIAR!$D$7:$I$81,4,FALSE)</f>
        <v>nº 100, 2 de mayo de 2024</v>
      </c>
      <c r="R5" s="204" t="s">
        <v>233</v>
      </c>
      <c r="S5" s="401" t="s">
        <v>234</v>
      </c>
      <c r="V5" s="402" t="s">
        <v>249</v>
      </c>
      <c r="W5" s="403" t="s">
        <v>250</v>
      </c>
      <c r="Z5" s="404">
        <f>EXPEDIENTE!F25</f>
        <v>45107</v>
      </c>
      <c r="AA5" s="405">
        <f>IF(Z5="","",IF(YEAR(EXPEDIENTE!$F$25)=YEAR(Z5),Z5,""))</f>
        <v>45107</v>
      </c>
      <c r="AB5" s="405" t="str">
        <f>IF(Z5="","",IF(YEAR(EXPEDIENTE!$F$25)+1=YEAR(Z5),Z5,""))</f>
        <v/>
      </c>
      <c r="AC5" s="405" t="str">
        <f>IF(Z5="","",IF(YEAR(EXPEDIENTE!$F$25)+2=YEAR(Z5),Z5,""))</f>
        <v/>
      </c>
      <c r="AD5" s="405" t="str">
        <f>IF(Z5="","",IF(YEAR(EXPEDIENTE!$F$25)+3=YEAR(Z5),Z5,""))</f>
        <v/>
      </c>
      <c r="AG5" s="392"/>
      <c r="AH5" s="392"/>
      <c r="AI5" s="392"/>
      <c r="AJ5" s="392"/>
      <c r="AK5" s="392"/>
      <c r="AL5" s="392"/>
      <c r="AM5" s="392"/>
      <c r="AN5" s="392"/>
      <c r="AO5" s="392"/>
      <c r="AP5" s="392"/>
      <c r="AQ5" s="392"/>
      <c r="AR5" s="392"/>
      <c r="AS5" s="392"/>
      <c r="AT5" s="392"/>
      <c r="AU5" s="392"/>
      <c r="AV5" s="392"/>
      <c r="AW5" s="392"/>
      <c r="BK5" s="986">
        <f>'GASTOS EJER. 1'!$C$37</f>
        <v>0</v>
      </c>
      <c r="BL5" s="987">
        <f>'GASTOS EJER. 1'!$C$38</f>
        <v>0</v>
      </c>
      <c r="BM5" s="987">
        <f>'GASTOS EJER. 1'!$C$39</f>
        <v>0</v>
      </c>
      <c r="BN5" s="987">
        <f>'GASTOS EJER. 1'!$C$40</f>
        <v>0</v>
      </c>
      <c r="BO5" s="987">
        <f>'GASTOS EJER. 1'!$C$41</f>
        <v>0</v>
      </c>
      <c r="BP5" s="987">
        <f>'GASTOS EJER. 1'!$C$42</f>
        <v>0</v>
      </c>
      <c r="BQ5" s="987">
        <f>'GASTOS EJER. 1'!$C$43</f>
        <v>0</v>
      </c>
      <c r="BR5" s="988">
        <f>'GASTOS EJER. 1'!$C$44</f>
        <v>0</v>
      </c>
      <c r="BS5" s="990" t="s">
        <v>58</v>
      </c>
      <c r="BX5" s="392"/>
      <c r="BY5" s="392"/>
      <c r="BZ5" s="392"/>
      <c r="CA5" s="392"/>
      <c r="CB5" s="392"/>
      <c r="CC5" s="392"/>
      <c r="CD5" s="392"/>
      <c r="CE5" s="392"/>
      <c r="CF5" s="392"/>
      <c r="CG5" s="392"/>
      <c r="CH5" s="392"/>
      <c r="CI5" s="392"/>
      <c r="CJ5" s="392"/>
      <c r="CK5" s="392"/>
      <c r="CL5" s="392"/>
      <c r="CM5" s="392"/>
      <c r="CN5" s="392"/>
      <c r="DB5" s="986">
        <f>'GASTOS EJER. 1'!$C$37</f>
        <v>0</v>
      </c>
      <c r="DC5" s="987">
        <f>'GASTOS EJER. 1'!$C$38</f>
        <v>0</v>
      </c>
      <c r="DD5" s="987">
        <f>'GASTOS EJER. 1'!$C$39</f>
        <v>0</v>
      </c>
      <c r="DE5" s="987">
        <f>'GASTOS EJER. 1'!$C$40</f>
        <v>0</v>
      </c>
      <c r="DF5" s="987">
        <f>'GASTOS EJER. 1'!$C$41</f>
        <v>0</v>
      </c>
      <c r="DG5" s="987">
        <f>'GASTOS EJER. 1'!$C$42</f>
        <v>0</v>
      </c>
      <c r="DH5" s="987">
        <f>'GASTOS EJER. 1'!$C$43</f>
        <v>0</v>
      </c>
      <c r="DI5" s="988">
        <f>'GASTOS EJER. 1'!$C$44</f>
        <v>0</v>
      </c>
      <c r="DJ5" s="990" t="s">
        <v>58</v>
      </c>
      <c r="DN5" s="392"/>
      <c r="DY5" s="973"/>
      <c r="DZ5" s="973"/>
      <c r="EA5" s="973"/>
      <c r="EB5" s="972"/>
      <c r="EC5" s="972"/>
      <c r="ED5" s="972"/>
      <c r="EE5" s="972"/>
      <c r="EF5" s="972"/>
      <c r="EG5" s="972"/>
      <c r="EH5" s="972"/>
      <c r="EI5" s="972"/>
      <c r="EJ5" s="972"/>
      <c r="EK5" s="972"/>
      <c r="EL5" s="972"/>
      <c r="EM5" s="972"/>
      <c r="EN5" s="972"/>
      <c r="EO5" s="972"/>
      <c r="EP5" s="972"/>
      <c r="EQ5" s="972"/>
      <c r="ER5" s="972"/>
      <c r="ES5" s="972"/>
      <c r="ET5" s="972"/>
      <c r="EU5" s="972"/>
      <c r="EV5" s="972"/>
      <c r="EW5" s="972"/>
      <c r="EX5" s="972"/>
      <c r="EY5" s="972"/>
      <c r="EZ5" s="972"/>
      <c r="FA5" s="972"/>
      <c r="FB5" s="972"/>
      <c r="FC5" s="972"/>
      <c r="FD5" s="972"/>
      <c r="FE5" s="972"/>
      <c r="FF5" s="972"/>
      <c r="FG5" s="972"/>
      <c r="FH5" s="973"/>
      <c r="FR5" s="392"/>
      <c r="GC5" s="973"/>
      <c r="GD5" s="973"/>
      <c r="GE5" s="973"/>
      <c r="GF5" s="972"/>
      <c r="GG5" s="972"/>
      <c r="GH5" s="972"/>
      <c r="GI5" s="972"/>
      <c r="GJ5" s="972"/>
      <c r="GK5" s="972"/>
      <c r="GL5" s="972"/>
      <c r="GM5" s="972"/>
      <c r="GN5" s="972"/>
      <c r="GO5" s="972"/>
      <c r="GP5" s="972"/>
      <c r="GQ5" s="972"/>
      <c r="GR5" s="972"/>
      <c r="GS5" s="972"/>
      <c r="GT5" s="972"/>
      <c r="GU5" s="972"/>
      <c r="GV5" s="972"/>
      <c r="GW5" s="972"/>
      <c r="GX5" s="972"/>
      <c r="GY5" s="972"/>
      <c r="GZ5" s="972"/>
      <c r="HA5" s="972"/>
      <c r="HB5" s="972"/>
      <c r="HC5" s="972"/>
      <c r="HD5" s="972"/>
      <c r="HE5" s="972"/>
      <c r="HF5" s="972"/>
      <c r="HG5" s="972"/>
      <c r="HH5" s="972"/>
      <c r="HI5" s="972"/>
      <c r="HJ5" s="972"/>
      <c r="HK5" s="972"/>
      <c r="HL5" s="973"/>
      <c r="IC5" s="393">
        <f>SUM(IC6:IC9)</f>
        <v>0</v>
      </c>
      <c r="IR5" s="393">
        <f>SUM(IR6:IR9)</f>
        <v>0</v>
      </c>
      <c r="JC5" s="406">
        <v>1</v>
      </c>
      <c r="JD5" s="398">
        <v>0</v>
      </c>
    </row>
    <row r="6" spans="1:266" ht="15.75" thickBot="1" x14ac:dyDescent="0.3">
      <c r="D6" s="983"/>
      <c r="E6" s="983"/>
      <c r="F6" s="983"/>
      <c r="G6" s="399" t="s">
        <v>235</v>
      </c>
      <c r="H6" s="399" t="s">
        <v>236</v>
      </c>
      <c r="I6" s="399" t="s">
        <v>237</v>
      </c>
      <c r="J6" s="984" t="str">
        <f>IF(COUNTIF($J$7:$J$81,"SÍ")=0,"",IF(COUNTIF($J$7:$J$81,"SÍ")=1,"SÍ",IF(COUNTIF($J$7:$J$81,"SÍ")&gt;1,"NO")))</f>
        <v>SÍ</v>
      </c>
      <c r="K6" s="984"/>
      <c r="L6" s="984"/>
      <c r="M6" s="984"/>
      <c r="O6" s="978"/>
      <c r="P6" s="400">
        <f>VLOOKUP(AUXILIAR!$B$7,AUXILIAR!$D$7:$I$81,5,FALSE)</f>
        <v>0</v>
      </c>
      <c r="S6" s="408" t="str">
        <f>IF($S$5="SÍ","Bloquear celda F25 de EXPEDIENTE","")</f>
        <v>Bloquear celda F25 de EXPEDIENTE</v>
      </c>
      <c r="V6" s="409" t="s">
        <v>251</v>
      </c>
      <c r="W6" s="410">
        <v>2130</v>
      </c>
      <c r="Y6" s="411">
        <v>1</v>
      </c>
      <c r="Z6" s="412" t="str">
        <f>IF(Y6="","",IF(EDATE($Z$5,Y6)&gt;EXPEDIENTE!$F$27,"",EDATE($Z$5,Y6)))</f>
        <v/>
      </c>
      <c r="AA6" s="412" t="str">
        <f>IF(Z6="","",IF(YEAR(EXPEDIENTE!$F$25)=YEAR(Z6),Z6,""))</f>
        <v/>
      </c>
      <c r="AB6" s="412" t="str">
        <f>IF(Z6="","",IF(YEAR(EXPEDIENTE!$F$25)+1=YEAR(Z6),Z6,""))</f>
        <v/>
      </c>
      <c r="AC6" s="412" t="str">
        <f>IF(Z6="","",IF(YEAR(EXPEDIENTE!$F$25)+2=YEAR(Z6),Z6,""))</f>
        <v/>
      </c>
      <c r="AD6" s="412" t="str">
        <f>IF(Z6="","",IF(YEAR(EXPEDIENTE!$F$25)+3=YEAR(Z6),Z6,""))</f>
        <v/>
      </c>
      <c r="AG6" s="392"/>
      <c r="AH6" s="392"/>
      <c r="AI6" s="392"/>
      <c r="AJ6" s="392"/>
      <c r="AK6" s="392"/>
      <c r="AL6" s="392"/>
      <c r="AM6" s="392"/>
      <c r="AN6" s="392"/>
      <c r="AO6" s="392"/>
      <c r="AP6" s="392"/>
      <c r="AQ6" s="392"/>
      <c r="AR6" s="392"/>
      <c r="AS6" s="392"/>
      <c r="AT6" s="392"/>
      <c r="AU6" s="392"/>
      <c r="AV6" s="392"/>
      <c r="AW6" s="392"/>
      <c r="AZ6" s="413">
        <f>AV22-1</f>
        <v>2022</v>
      </c>
      <c r="BK6" s="958"/>
      <c r="BL6" s="962"/>
      <c r="BM6" s="962"/>
      <c r="BN6" s="962"/>
      <c r="BO6" s="962"/>
      <c r="BP6" s="962"/>
      <c r="BQ6" s="962"/>
      <c r="BR6" s="989"/>
      <c r="BS6" s="991"/>
      <c r="BX6" s="392"/>
      <c r="BY6" s="392"/>
      <c r="BZ6" s="392"/>
      <c r="CA6" s="392"/>
      <c r="CB6" s="392"/>
      <c r="CC6" s="392"/>
      <c r="CD6" s="392"/>
      <c r="CE6" s="392"/>
      <c r="CF6" s="392"/>
      <c r="CG6" s="392"/>
      <c r="CH6" s="392"/>
      <c r="CI6" s="392"/>
      <c r="CJ6" s="392"/>
      <c r="CK6" s="392"/>
      <c r="CL6" s="392"/>
      <c r="CM6" s="392"/>
      <c r="CN6" s="392"/>
      <c r="CQ6" s="414">
        <f>CM22-1</f>
        <v>2022</v>
      </c>
      <c r="DB6" s="1021"/>
      <c r="DC6" s="1022"/>
      <c r="DD6" s="1022"/>
      <c r="DE6" s="1022"/>
      <c r="DF6" s="1022"/>
      <c r="DG6" s="1022"/>
      <c r="DH6" s="1022"/>
      <c r="DI6" s="1023"/>
      <c r="DJ6" s="991"/>
      <c r="DN6" s="392"/>
      <c r="DY6" s="973"/>
      <c r="DZ6" s="973"/>
      <c r="EA6" s="973"/>
      <c r="EB6" s="972"/>
      <c r="EC6" s="972"/>
      <c r="ED6" s="972"/>
      <c r="EE6" s="972"/>
      <c r="EF6" s="972"/>
      <c r="EG6" s="972"/>
      <c r="EH6" s="972"/>
      <c r="EI6" s="972"/>
      <c r="EJ6" s="972"/>
      <c r="EK6" s="972"/>
      <c r="EL6" s="972"/>
      <c r="EM6" s="972"/>
      <c r="EN6" s="972"/>
      <c r="EO6" s="972"/>
      <c r="EP6" s="972"/>
      <c r="EQ6" s="972"/>
      <c r="ER6" s="972"/>
      <c r="ES6" s="972"/>
      <c r="ET6" s="972"/>
      <c r="EU6" s="972"/>
      <c r="EV6" s="972"/>
      <c r="EW6" s="972"/>
      <c r="EX6" s="972"/>
      <c r="EY6" s="972"/>
      <c r="EZ6" s="972"/>
      <c r="FA6" s="972"/>
      <c r="FB6" s="972"/>
      <c r="FC6" s="972"/>
      <c r="FD6" s="972"/>
      <c r="FE6" s="972"/>
      <c r="FF6" s="972"/>
      <c r="FG6" s="972"/>
      <c r="FH6" s="973"/>
      <c r="FI6" s="395"/>
      <c r="FJ6" s="395"/>
      <c r="FK6" s="395"/>
      <c r="FR6" s="392"/>
      <c r="GC6" s="973"/>
      <c r="GD6" s="973"/>
      <c r="GE6" s="973"/>
      <c r="GF6" s="972"/>
      <c r="GG6" s="972"/>
      <c r="GH6" s="972"/>
      <c r="GI6" s="972"/>
      <c r="GJ6" s="972"/>
      <c r="GK6" s="972"/>
      <c r="GL6" s="972"/>
      <c r="GM6" s="972"/>
      <c r="GN6" s="972"/>
      <c r="GO6" s="972"/>
      <c r="GP6" s="972"/>
      <c r="GQ6" s="972"/>
      <c r="GR6" s="972"/>
      <c r="GS6" s="972"/>
      <c r="GT6" s="972"/>
      <c r="GU6" s="972"/>
      <c r="GV6" s="972"/>
      <c r="GW6" s="972"/>
      <c r="GX6" s="972"/>
      <c r="GY6" s="972"/>
      <c r="GZ6" s="972"/>
      <c r="HA6" s="972"/>
      <c r="HB6" s="972"/>
      <c r="HC6" s="972"/>
      <c r="HD6" s="972"/>
      <c r="HE6" s="972"/>
      <c r="HF6" s="972"/>
      <c r="HG6" s="972"/>
      <c r="HH6" s="972"/>
      <c r="HI6" s="972"/>
      <c r="HJ6" s="972"/>
      <c r="HK6" s="972"/>
      <c r="HL6" s="973"/>
      <c r="HM6" s="395"/>
      <c r="HN6" s="395"/>
      <c r="HO6" s="395"/>
      <c r="HP6" s="395"/>
      <c r="HW6" s="415">
        <v>1</v>
      </c>
      <c r="HX6" s="398">
        <f>YEAR(EXPEDIENTE!F25)</f>
        <v>2023</v>
      </c>
      <c r="HY6" s="398" t="str">
        <f>IF(HX6="","",'IDENTIFICACIÓN TRABAJADOR'!$D$14)</f>
        <v/>
      </c>
      <c r="HZ6" s="415" t="str">
        <f>CONCATENATE(UPPER('IDENTIFICACIÓN TRABAJADOR'!$D$11)," ",UPPER('IDENTIFICACIÓN TRABAJADOR'!$D$12)," ",UPPER('IDENTIFICACIÓN TRABAJADOR'!$D$13)," (EJERCICIO ",HX6,")")</f>
        <v xml:space="preserve">   (EJERCICIO 2023)</v>
      </c>
      <c r="IA6" s="415">
        <f>IF($IC6&gt;0,"",'RESUMEN TRABAJADOR '!O24)</f>
        <v>0</v>
      </c>
      <c r="IC6" s="398">
        <f>'% DEDICACIÓN TRABAJADOR'!$B$44</f>
        <v>0</v>
      </c>
      <c r="IE6" s="398">
        <f>IF(IA6=0,MAX(HX6:HX9)+1,HW6)</f>
        <v>2024</v>
      </c>
      <c r="IF6" s="398">
        <f>IFERROR(VLOOKUP(SMALL($IE$6:$IE$9,HW6),$HW$6:$IA$9,1,FALSE),"X")</f>
        <v>1</v>
      </c>
      <c r="IG6" s="398" t="str">
        <f>IF(HY6="","",IF(IF6&gt;MAX($HX$6:$HX$9),"",VLOOKUP(IF6,$HW$6:$IA$9,2,FALSE)))</f>
        <v/>
      </c>
      <c r="IH6" s="398" t="str">
        <f>IF(IF6&gt;MAX($HX$6:$HX$9),"",VLOOKUP(IF6,$HW$6:$IA$9,3,FALSE))</f>
        <v/>
      </c>
      <c r="II6" s="415" t="str">
        <f>IF(HY6="","",IF(IF6&gt;MAX($HX$6:$HX$9),"",VLOOKUP(IF6,$HW$6:$IA$9,4,FALSE)))</f>
        <v/>
      </c>
      <c r="IJ6" s="415" t="str">
        <f>IF(HY6="","",IF(IF6&gt;MAX($HX$6:$HX$9),"",VLOOKUP(IF6,$HW$6:$IA$9,5,FALSE)))</f>
        <v/>
      </c>
      <c r="IL6" s="415">
        <v>1</v>
      </c>
      <c r="IM6" s="398">
        <f>YEAR(EXPEDIENTE!$I$25)</f>
        <v>2023</v>
      </c>
      <c r="IN6" s="398" t="str">
        <f>IF(IM6="","",'IDENTIFICACIÓN TRABAJADOR'!$D$14)</f>
        <v/>
      </c>
      <c r="IO6" s="415" t="str">
        <f>CONCATENATE(UPPER('IDENTIFICACIÓN TRABAJADOR'!$D$11)," ",UPPER('IDENTIFICACIÓN TRABAJADOR'!$D$12)," ",UPPER('IDENTIFICACIÓN TRABAJADOR'!$D$13)," (EJERCICIO ",IM6,")")</f>
        <v xml:space="preserve">   (EJERCICIO 2023)</v>
      </c>
      <c r="IP6" s="415">
        <f>IF($IC6&gt;0,"",'RESUMEN TRABAJADOR '!AJ24)</f>
        <v>0</v>
      </c>
      <c r="IR6" s="398">
        <f>'% DEDICACIÓN TRABAJADOR'!$B$44</f>
        <v>0</v>
      </c>
      <c r="IT6" s="398">
        <f>IF(IP6=0,MAX(IM6:IM9)+1,IL6)</f>
        <v>2024</v>
      </c>
      <c r="IU6" s="398">
        <f>IFERROR(VLOOKUP(SMALL($IT$6:$IT$9,IL6),$IL$6:$IP$9,1,FALSE),"X")</f>
        <v>1</v>
      </c>
      <c r="IV6" s="398" t="str">
        <f>IF(IN6="","",IF(IU6&gt;MAX($HX$6:$HX$9),"",VLOOKUP(IU6,$HW$6:$IA$9,2,FALSE)))</f>
        <v/>
      </c>
      <c r="IW6" s="398" t="str">
        <f>IF(IU6&gt;MAX($IM$6:$IM$9),"",VLOOKUP(IU6,$IL$6:$IP$9,3,FALSE))</f>
        <v/>
      </c>
      <c r="IX6" s="415" t="str">
        <f>IF(IN6="","",IF(IU6&gt;MAX($IM$6:$IM$9),"",VLOOKUP(IU6,$IL$6:$IP$9,4,FALSE)))</f>
        <v/>
      </c>
      <c r="IY6" s="415" t="str">
        <f>IF(IN6="","",IF(IU6&gt;MAX($IM$6:$IM$9),"",VLOOKUP(IU6,$IL$6:$IP$9,5,FALSE)))</f>
        <v/>
      </c>
      <c r="JC6" s="416">
        <v>2</v>
      </c>
      <c r="JD6" s="398">
        <v>0</v>
      </c>
    </row>
    <row r="7" spans="1:266" ht="15.75" thickBot="1" x14ac:dyDescent="0.3">
      <c r="B7" s="407" t="str">
        <f>M7</f>
        <v>EPTE</v>
      </c>
      <c r="C7" s="206">
        <v>1</v>
      </c>
      <c r="D7" s="401" t="s">
        <v>165</v>
      </c>
      <c r="E7" s="417">
        <v>8</v>
      </c>
      <c r="F7" s="418" t="s">
        <v>208</v>
      </c>
      <c r="G7" s="419" t="s">
        <v>92</v>
      </c>
      <c r="H7" s="419"/>
      <c r="I7" s="419"/>
      <c r="J7" s="401"/>
      <c r="K7" s="407">
        <f>IF(J7="",76,C7)</f>
        <v>76</v>
      </c>
      <c r="L7" s="407">
        <f>IF(K7&lt;&gt;76,C7,76)</f>
        <v>76</v>
      </c>
      <c r="M7" s="407" t="str">
        <f>IFERROR(VLOOKUP(SMALL($L$7:$L$81,C7),$C$7:$D$81,2,FALSE),"X")</f>
        <v>EPTE</v>
      </c>
      <c r="O7" s="978"/>
      <c r="P7" s="400">
        <f>VLOOKUP(AUXILIAR!$B$7,AUXILIAR!$D$7:$I$81,6,FALSE)</f>
        <v>0</v>
      </c>
      <c r="V7" s="420" t="s">
        <v>252</v>
      </c>
      <c r="W7" s="421">
        <v>2130</v>
      </c>
      <c r="Y7" s="422">
        <f t="shared" ref="Y7:Y53" si="0">IF(Y6="","",IF(Y6+1&lt;=$Z$4,Y6+1,""))</f>
        <v>2</v>
      </c>
      <c r="Z7" s="412" t="str">
        <f>IF(Y7="","",IF(EDATE($Z$5,Y7)&gt;EXPEDIENTE!$F$27,"",EDATE($Z$5,Y7)))</f>
        <v/>
      </c>
      <c r="AA7" s="412" t="str">
        <f>IF(Z7="","",IF(YEAR(EXPEDIENTE!$F$25)=YEAR(Z7),Z7,""))</f>
        <v/>
      </c>
      <c r="AB7" s="412" t="str">
        <f>IF(Z7="","",IF(YEAR(EXPEDIENTE!$F$25)+1=YEAR(Z7),Z7,""))</f>
        <v/>
      </c>
      <c r="AC7" s="412" t="str">
        <f>IF(Z7="","",IF(YEAR(EXPEDIENTE!$F$25)+2=YEAR(Z7),Z7,""))</f>
        <v/>
      </c>
      <c r="AD7" s="412" t="str">
        <f>IF(Z7="","",IF(YEAR(EXPEDIENTE!$F$25)+3=YEAR(Z7),Z7,""))</f>
        <v/>
      </c>
      <c r="AG7" s="392"/>
      <c r="AH7" s="392"/>
      <c r="AI7" s="392"/>
      <c r="AJ7" s="392"/>
      <c r="AK7" s="392"/>
      <c r="AL7" s="392"/>
      <c r="AM7" s="392"/>
      <c r="AN7" s="392"/>
      <c r="AO7" s="392"/>
      <c r="AP7" s="392"/>
      <c r="AQ7" s="392"/>
      <c r="AR7" s="392"/>
      <c r="AS7" s="392"/>
      <c r="AT7" s="392"/>
      <c r="AU7" s="392"/>
      <c r="AV7" s="392"/>
      <c r="AW7" s="392"/>
      <c r="AY7" s="423">
        <v>1</v>
      </c>
      <c r="AZ7" s="424">
        <f t="shared" ref="AZ7:AZ18" si="1">DATE($AZ$6,AY7,1)</f>
        <v>44562</v>
      </c>
      <c r="BK7" s="425">
        <f t="shared" ref="BK7:BK18" si="2">IF($AH$23=0,0,IF($BK$5=0,0,IF(AND(AZ7&gt;=$AS$23,AZ7&lt;=$AT$23),$AW$23,0)))</f>
        <v>0</v>
      </c>
      <c r="BL7" s="426">
        <f t="shared" ref="BL7:BL18" si="3">IF($AH$24=0,0,IF($BL$5=0,0,IF(AND(AZ7&gt;=$AS$24,AZ7&lt;=$AT$24),$AW$24,0)))</f>
        <v>0</v>
      </c>
      <c r="BM7" s="426">
        <f t="shared" ref="BM7:BM18" si="4">IF($AH$25=0,0,IF($BM$5=0,0,IF(AND(AZ7&gt;=$AS$25,AZ7&lt;=$AT$25),$AW$25,0)))</f>
        <v>0</v>
      </c>
      <c r="BN7" s="426">
        <f t="shared" ref="BN7:BN18" si="5">IF($AH$26=0,0,IF($BN$5=0,0,IF(AND(AZ7&gt;=$AS$26,AZ7&lt;=$AT$26),$AW$26,0)))</f>
        <v>0</v>
      </c>
      <c r="BO7" s="426">
        <f t="shared" ref="BO7:BO18" si="6">IF($AH$27=0,0,IF($BO$5=0,0,IF(AND(AZ7&gt;=$AS$27,AZ7&lt;=$AT$27),$AW$27,0)))</f>
        <v>0</v>
      </c>
      <c r="BP7" s="426">
        <f t="shared" ref="BP7:BP18" si="7">IF($AH$28=0,0,IF($BP$5=0,0,IF(AND(AZ7&gt;=$AS$28,AZ7&lt;=$AT$28),$AW$28,0)))</f>
        <v>0</v>
      </c>
      <c r="BQ7" s="426">
        <f t="shared" ref="BQ7:BQ18" si="8">IF($AH$29=0,0,IF($BQ$5=0,0,IF(AND(AZ7&gt;=$AS$29,AZ7&lt;=$AT$29),$AW$29,0)))</f>
        <v>0</v>
      </c>
      <c r="BR7" s="427">
        <f>IF($AH$30=0,0,IF($BR$5=0,0,IF(AND(AZ7&gt;=$AS$30,AZ7&lt;=$AT$30),$AW$30,0)))</f>
        <v>0</v>
      </c>
      <c r="BS7" s="428">
        <f>SUM(BK7:BR7)</f>
        <v>0</v>
      </c>
      <c r="BX7" s="392"/>
      <c r="BY7" s="392"/>
      <c r="BZ7" s="392"/>
      <c r="CA7" s="392"/>
      <c r="CB7" s="392"/>
      <c r="CC7" s="392"/>
      <c r="CD7" s="392"/>
      <c r="CE7" s="392"/>
      <c r="CF7" s="392"/>
      <c r="CG7" s="392"/>
      <c r="CH7" s="392"/>
      <c r="CI7" s="392"/>
      <c r="CJ7" s="392"/>
      <c r="CK7" s="392"/>
      <c r="CL7" s="392"/>
      <c r="CM7" s="392"/>
      <c r="CN7" s="392"/>
      <c r="CP7" s="423">
        <v>1</v>
      </c>
      <c r="CQ7" s="424">
        <f t="shared" ref="CQ7:CQ18" si="9">DATE($AZ$6,CP7,1)</f>
        <v>44562</v>
      </c>
      <c r="DB7" s="425">
        <f>IF($BY$23=0,0,IF($DB$5=0,0,IF(AND(CQ7&gt;=$CJ$23,CQ7&lt;=$CK$23),$CN$23,0)))</f>
        <v>0</v>
      </c>
      <c r="DC7" s="426">
        <f>IF($BY$24=0,0,IF($DC$5=0,0,IF(AND(CQ7&gt;=$CJ$24,CQ7&lt;=$CK$24),$CN$24,0)))</f>
        <v>0</v>
      </c>
      <c r="DD7" s="426">
        <f>IF($BY$25=0,0,IF($DD$5=0,0,IF(AND(CQ7&gt;=$CJ$25,CQ7&lt;=$CK$25),$CN$25,0)))</f>
        <v>0</v>
      </c>
      <c r="DE7" s="426">
        <f>IF($BY$26=0,0,IF($DE$5=0,0,IF(AND(CQ7&gt;=$CJ$26,CQ7&lt;=$CK$26),$CN$26,0)))</f>
        <v>0</v>
      </c>
      <c r="DF7" s="426">
        <f>IF($BY$27=0,0,IF($DF$5=0,0,IF(AND(CQ7&gt;=$CJ$27,CQ7&lt;=$CK$27),$CN$27,0)))</f>
        <v>0</v>
      </c>
      <c r="DG7" s="426">
        <f>IF($BY$28=0,0,IF($DG$5=0,0,IF(AND(CQ7&gt;=$CJ$28,CQ7&lt;=$CK$28),$CN$28,0)))</f>
        <v>0</v>
      </c>
      <c r="DH7" s="426">
        <f>IF($BY$29=0,0,IF($DH$5=0,0,IF(AND(CQ7&gt;=$CJ$29,CQ7&lt;=$CK$29),$CN$29,0)))</f>
        <v>0</v>
      </c>
      <c r="DI7" s="427">
        <f>IF($BY$30=0,0,IF($DI$5=0,0,IF(AND(CQ7&gt;=$CJ$30,CQ7&lt;=$CK$30),$CN$30,0)))</f>
        <v>0</v>
      </c>
      <c r="DJ7" s="429">
        <f>SUM(DB7:DI7)</f>
        <v>0</v>
      </c>
      <c r="DN7" s="392"/>
      <c r="DY7" s="430">
        <f t="shared" ref="DY7:DY18" si="10">DATE(YEAR(DY8),MONTH(DY8)-1,1)</f>
        <v>44682</v>
      </c>
      <c r="DZ7" s="430">
        <f t="shared" ref="DZ7:DZ18" si="11">DATE(YEAR(DZ8),MONTH(DZ8),1)-1</f>
        <v>44712</v>
      </c>
      <c r="EA7" s="386" t="str">
        <f>IF(AND(DZ7&gt;=EXPEDIENTE!$F$25,DY7&lt;=EXPEDIENTE!$F$29),"SI","NO")</f>
        <v>NO</v>
      </c>
      <c r="EB7" s="423">
        <f t="shared" ref="EB7:EB38" si="12">IF(AND($DY7&gt;=$DP$23,$DZ7&lt;=$DQ$23),$DV$23,0)</f>
        <v>0</v>
      </c>
      <c r="EC7" s="423">
        <f t="shared" ref="EC7:EC38" si="13">IF(AND($DY7&gt;=$DP$24,$DZ7&lt;=$DQ$24),$DV$24,0)</f>
        <v>0</v>
      </c>
      <c r="ED7" s="423">
        <f t="shared" ref="ED7:ED38" si="14">IF(AND($DY7&gt;=$DP$25,$DZ7&lt;=$DQ$25),$DV$25,0)</f>
        <v>0</v>
      </c>
      <c r="EE7" s="423">
        <f t="shared" ref="EE7:EE38" si="15">IF(AND($DY7&gt;=$DP$26,$DZ7&lt;=$DQ$26),$DV$26,0)</f>
        <v>0</v>
      </c>
      <c r="EF7" s="423">
        <f t="shared" ref="EF7:EF38" si="16">IF(AND($DY7&gt;=$DP$27,$DZ7&lt;=$DQ$27),$DV$27,0)</f>
        <v>0</v>
      </c>
      <c r="EG7" s="423">
        <f t="shared" ref="EG7:EG38" si="17">IF(AND($DY7&gt;=$DP$28,$DZ7&lt;=$DQ$28),$DV$28,0)</f>
        <v>0</v>
      </c>
      <c r="EH7" s="423">
        <f t="shared" ref="EH7:EH38" si="18">IF(AND($DY7&gt;=$DP$29,$DZ7&lt;=$DQ$29),$DV$29,0)</f>
        <v>0</v>
      </c>
      <c r="EI7" s="423">
        <f t="shared" ref="EI7:EI38" si="19">IF(AND($DY7&gt;=$DP$30,$DZ7&lt;=$DQ$30),$DV$30,0)</f>
        <v>0</v>
      </c>
      <c r="EJ7" s="423">
        <f t="shared" ref="EJ7:EJ38" si="20">IF(AND($DY7&gt;=$DP$39,$DZ7&lt;=$DQ$39),$DV$39,0)</f>
        <v>0</v>
      </c>
      <c r="EK7" s="423">
        <f t="shared" ref="EK7:EK38" si="21">IF(AND($DY7&gt;=$DP$40,$DZ7&lt;=$DQ$40),$DV$40,0)</f>
        <v>0</v>
      </c>
      <c r="EL7" s="423">
        <f t="shared" ref="EL7:EL38" si="22">IF(AND($DY7&gt;=$DP$41,$DZ7&lt;=$DQ$41),$DV$41,0)</f>
        <v>0</v>
      </c>
      <c r="EM7" s="423">
        <f t="shared" ref="EM7:EM38" si="23">IF(AND($DY7&gt;=$DP$42,$DZ7&lt;=$DQ$42),$DV$42,0)</f>
        <v>0</v>
      </c>
      <c r="EN7" s="423">
        <f t="shared" ref="EN7:EN38" si="24">IF(AND($DY7&gt;=$DP$43,$DZ7&lt;=$DQ$43),$DV$43,0)</f>
        <v>0</v>
      </c>
      <c r="EO7" s="423">
        <f t="shared" ref="EO7:EO38" si="25">IF(AND($DY7&gt;=$DP$44,$DZ7&lt;=$DQ$44),$DV$44,0)</f>
        <v>0</v>
      </c>
      <c r="EP7" s="423">
        <f t="shared" ref="EP7:EP38" si="26">IF(AND($DY7&gt;=$DP$45,$DZ7&lt;=$DQ$45),$DV$45,0)</f>
        <v>0</v>
      </c>
      <c r="EQ7" s="423">
        <f t="shared" ref="EQ7:EQ38" si="27">IF(AND($DY7&gt;=$DP$46,$DZ7&lt;=$DQ$46),$DV$46,0)</f>
        <v>0</v>
      </c>
      <c r="ER7" s="423">
        <f t="shared" ref="ER7:ER38" si="28">IF(AND($DY7&gt;=$DP$55,$DZ7&lt;=$DQ$55),$DV$55,0)</f>
        <v>0</v>
      </c>
      <c r="ES7" s="423">
        <f t="shared" ref="ES7:ES38" si="29">IF(AND($DY7&gt;=$DP$56,$DZ7&lt;=$DQ$56),$DV$56,0)</f>
        <v>0</v>
      </c>
      <c r="ET7" s="423">
        <f t="shared" ref="ET7:ET38" si="30">IF(AND($DY7&gt;=$DP$57,$DZ7&lt;=$DQ$57),$DV$57,0)</f>
        <v>0</v>
      </c>
      <c r="EU7" s="423">
        <f t="shared" ref="EU7:EU38" si="31">IF(AND($DY7&gt;=$DP$58,$DZ7&lt;=$DQ$58),$DV$58,0)</f>
        <v>0</v>
      </c>
      <c r="EV7" s="423">
        <f t="shared" ref="EV7:EV38" si="32">IF(AND($DY7&gt;=$DP$59,$DZ7&lt;=$DQ$59),$DV$59,0)</f>
        <v>0</v>
      </c>
      <c r="EW7" s="423">
        <f t="shared" ref="EW7:EW38" si="33">IF(AND($DY7&gt;=$DP$60,$DZ7&lt;=$DQ$60),$DV$60,0)</f>
        <v>0</v>
      </c>
      <c r="EX7" s="423">
        <f t="shared" ref="EX7:EX38" si="34">IF(AND($DY7&gt;=$DP$61,$DZ7&lt;=$DQ$61),$DV$61,0)</f>
        <v>0</v>
      </c>
      <c r="EY7" s="423">
        <f t="shared" ref="EY7:EY38" si="35">IF(AND($DY7&gt;=$DP$62,$DZ7&lt;=$DQ$62),$DV$62,0)</f>
        <v>0</v>
      </c>
      <c r="EZ7" s="423">
        <f t="shared" ref="EZ7:EZ38" si="36">IF(AND($DY7&gt;=$DP$71,$DZ7&lt;=$DQ$71),$DV$71,0)</f>
        <v>0</v>
      </c>
      <c r="FA7" s="423">
        <f t="shared" ref="FA7:FA38" si="37">IF(AND($DY7&gt;=$DP$72,$DZ7&lt;=$DQ$72),$DV$72,0)</f>
        <v>0</v>
      </c>
      <c r="FB7" s="423">
        <f t="shared" ref="FB7:FB38" si="38">IF(AND($DY7&gt;=$DP$73,$DZ7&lt;=$DQ$73),$DV$73,0)</f>
        <v>0</v>
      </c>
      <c r="FC7" s="423">
        <f t="shared" ref="FC7:FC38" si="39">IF(AND($DY7&gt;=$DP$74,$DZ7&lt;=$DQ$74),$DV$74,0)</f>
        <v>0</v>
      </c>
      <c r="FD7" s="423">
        <f t="shared" ref="FD7:FD38" si="40">IF(AND($DY7&gt;=$DP$75,$DZ7&lt;=$DQ$75),$DV$75,0)</f>
        <v>0</v>
      </c>
      <c r="FE7" s="423">
        <f t="shared" ref="FE7:FE38" si="41">IF(AND($DY7&gt;=$DP$76,$DZ7&lt;=$DQ$76),$DV$76,0)</f>
        <v>0</v>
      </c>
      <c r="FF7" s="423">
        <f t="shared" ref="FF7:FF38" si="42">IF(AND($DY7&gt;=$DP$77,$DZ7&lt;=$DQ$77),$DV$77,0)</f>
        <v>0</v>
      </c>
      <c r="FG7" s="423">
        <f t="shared" ref="FG7:FG38" si="43">IF(AND($DY7&gt;=$DP$78,$DZ7&lt;=$DQ$78),$DV$78,0)</f>
        <v>0</v>
      </c>
      <c r="FH7" s="423">
        <f>IF(EA7="SI",SUM(EB7:FG7),0)</f>
        <v>0</v>
      </c>
      <c r="FR7" s="392"/>
      <c r="GC7" s="430">
        <f t="shared" ref="GC7:GC18" si="44">DATE(YEAR(GC8),MONTH(GC8)-1,1)</f>
        <v>44682</v>
      </c>
      <c r="GD7" s="430">
        <f t="shared" ref="GD7:GD18" si="45">DATE(YEAR(GD8),MONTH(GD8),1)-1</f>
        <v>44712</v>
      </c>
      <c r="GE7" s="386" t="str">
        <f>IF(AND(GD7&gt;=EXPEDIENTE!$F$25,GC7&lt;=EXPEDIENTE!$F$29),"SI","NO")</f>
        <v>NO</v>
      </c>
      <c r="GF7" s="423">
        <f>IF(AND($GC7&gt;=$FT$23,$GD7&lt;=$FU$23),$FZ$23,0)</f>
        <v>0</v>
      </c>
      <c r="GG7" s="423">
        <f>IF(AND($GC7&gt;=$FT$24,$GD7&lt;=$FU$24),$FZ$24,0)</f>
        <v>0</v>
      </c>
      <c r="GH7" s="423">
        <f>IF(AND($GC7&gt;=$FT$25,$GD7&lt;=$FU$25),$FZ$25,0)</f>
        <v>0</v>
      </c>
      <c r="GI7" s="423">
        <f>IF(AND($GC7&gt;=$FT$26,$GD7&lt;=$FU$26),$FZ$26,0)</f>
        <v>0</v>
      </c>
      <c r="GJ7" s="423">
        <f>IF(AND($GC7&gt;=$FT$27,$GD7&lt;=$FU$27),$FZ$27,0)</f>
        <v>0</v>
      </c>
      <c r="GK7" s="423">
        <f>IF(AND($GC7&gt;=$FT$28,$GD7&lt;=$FU$28),$FZ$28,0)</f>
        <v>0</v>
      </c>
      <c r="GL7" s="423">
        <f>IF(AND($GC7&gt;=$FT$29,$GD7&lt;=$FU$29),$FZ$29,0)</f>
        <v>0</v>
      </c>
      <c r="GM7" s="423">
        <f>IF(AND($GC7&gt;=$FT$30,$GD7&lt;=$FU$30),$FZ$30,0)</f>
        <v>0</v>
      </c>
      <c r="GN7" s="423">
        <f>IF(AND($GC7&gt;=$FT$39,$GD7&lt;=$FU$39),$FZ$39,0)</f>
        <v>0</v>
      </c>
      <c r="GO7" s="423">
        <f>IF(AND($GC7&gt;=$FT$40,$GD7&lt;=$FU$40),$FZ$40,0)</f>
        <v>0</v>
      </c>
      <c r="GP7" s="423">
        <f>IF(AND($GC7&gt;=$FT$41,$GD7&lt;=$FU$41),$FZ$41,0)</f>
        <v>0</v>
      </c>
      <c r="GQ7" s="423">
        <f>IF(AND($GC7&gt;=$FT$42,$GD7&lt;=$FU$42),$FZ$42,0)</f>
        <v>0</v>
      </c>
      <c r="GR7" s="423">
        <f>IF(AND($GC7&gt;=$FT$43,$GD7&lt;=$FU$43),$FZ$43,0)</f>
        <v>0</v>
      </c>
      <c r="GS7" s="423">
        <f>IF(AND($GC7&gt;=$FT$44,$GD7&lt;=$FU$44),$FZ$44,0)</f>
        <v>0</v>
      </c>
      <c r="GT7" s="423">
        <f>IF(AND($GC7&gt;=$FT$45,$GD7&lt;=$FU$45),$FZ$45,0)</f>
        <v>0</v>
      </c>
      <c r="GU7" s="423">
        <f>IF(AND($GC7&gt;=$FT$46,$GD7&lt;=$FU$46),$FZ$46,0)</f>
        <v>0</v>
      </c>
      <c r="GV7" s="423">
        <f>IF(AND($GC7&gt;=$FT$55,$GD7&lt;=$FU$55),$FZ$55,0)</f>
        <v>0</v>
      </c>
      <c r="GW7" s="423">
        <f>IF(AND($GC7&gt;=$FT$56,$GD7&lt;=$FU$56),$FZ$56,0)</f>
        <v>0</v>
      </c>
      <c r="GX7" s="423">
        <f>IF(AND($GC7&gt;=$FT$57,$GD7&lt;=$FU$57),$FZ$57,0)</f>
        <v>0</v>
      </c>
      <c r="GY7" s="423">
        <f>IF(AND($GC7&gt;=$FT$58,$GD7&lt;=$FU$58),$FZ$58,0)</f>
        <v>0</v>
      </c>
      <c r="GZ7" s="423">
        <f>IF(AND($GC7&gt;=$FT$59,$GD7&lt;=$FU$59),$FZ$59,0)</f>
        <v>0</v>
      </c>
      <c r="HA7" s="423">
        <f>IF(AND($GC7&gt;=$FT$60,$GD7&lt;=$FU$60),$FZ$60,0)</f>
        <v>0</v>
      </c>
      <c r="HB7" s="423">
        <f>IF(AND($GC7&gt;=$FT$61,$GD7&lt;=$FU$61),$FZ$61,0)</f>
        <v>0</v>
      </c>
      <c r="HC7" s="423">
        <f>IF(AND($GC7&gt;=$FT$62,$GD7&lt;=$FU$62),$FZ$62,0)</f>
        <v>0</v>
      </c>
      <c r="HD7" s="423">
        <f>IF(AND($GC7&gt;=$FT$71,$GD7&lt;=$FU$71),$FZ$71,0)</f>
        <v>0</v>
      </c>
      <c r="HE7" s="423">
        <f>IF(AND($GC7&gt;=$FT$72,$GD7&lt;=$FU$72),$FZ$72,0)</f>
        <v>0</v>
      </c>
      <c r="HF7" s="423">
        <f>IF(AND($GC7&gt;=$FT$73,$GD7&lt;=$FU$73),$FZ$73,0)</f>
        <v>0</v>
      </c>
      <c r="HG7" s="423">
        <f>IF(AND($GC7&gt;=$FT$74,$GD7&lt;=$FU$74),$FZ$74,0)</f>
        <v>0</v>
      </c>
      <c r="HH7" s="423">
        <f>IF(AND($GC7&gt;=$FT$75,$GD7&lt;=$FU$75),$FZ$75,0)</f>
        <v>0</v>
      </c>
      <c r="HI7" s="423">
        <f>IF(AND($GC7&gt;=$FT$76,$GD7&lt;=$FU$76),$FZ$76,0)</f>
        <v>0</v>
      </c>
      <c r="HJ7" s="423">
        <f>IF(AND($GC7&gt;=$FT$77,$GD7&lt;=$FU$77),$FZ$77,0)</f>
        <v>0</v>
      </c>
      <c r="HK7" s="423">
        <f>IF(AND($GC7&gt;=$FT$78,$GD7&lt;=$FU$78),$FZ$78,0)</f>
        <v>0</v>
      </c>
      <c r="HL7" s="423">
        <f>IF(GE7="SI",SUM(GF7:HK7),0)</f>
        <v>0</v>
      </c>
      <c r="HW7" s="415">
        <v>2</v>
      </c>
      <c r="HX7" s="398" t="str">
        <f>IF(EXPEDIENTE!F27="","",IF(YEAR(EXPEDIENTE!$F$27)&gt;=YEAR(EXPEDIENTE!$F$25),YEAR(EXPEDIENTE!$F$25)+1,""))</f>
        <v/>
      </c>
      <c r="HY7" s="398" t="str">
        <f>IF(HX7="","",'IDENTIFICACIÓN TRABAJADOR'!$D$14)</f>
        <v/>
      </c>
      <c r="HZ7" s="415" t="str">
        <f>CONCATENATE(UPPER('IDENTIFICACIÓN TRABAJADOR'!$D$11)," ",UPPER('IDENTIFICACIÓN TRABAJADOR'!$D$12)," ",UPPER('IDENTIFICACIÓN TRABAJADOR'!$D$13)," (EJERCICIO ",HX7,")")</f>
        <v xml:space="preserve">   (EJERCICIO )</v>
      </c>
      <c r="IA7" s="415">
        <f>IF($IC7&gt;0,"",'RESUMEN TRABAJADOR '!O48)</f>
        <v>0</v>
      </c>
      <c r="IC7" s="398">
        <f>'% DEDICACIÓN TRABAJADOR'!$B$45</f>
        <v>0</v>
      </c>
      <c r="IE7" s="398">
        <f t="shared" ref="IE7:IE9" si="46">IF(IA7=0,MAX(HX7:HX10)+1,HW7)</f>
        <v>1</v>
      </c>
      <c r="IF7" s="398">
        <f>SMALL($IE$6:$IE$9,2)</f>
        <v>1</v>
      </c>
      <c r="IG7" s="398" t="str">
        <f>IF(HY7="","",IF(IF7&gt;MAX($HX$6:$HX$9),"",VLOOKUP(IF7,$HW$6:$IA$9,2,FALSE)))</f>
        <v/>
      </c>
      <c r="IH7" s="398" t="str">
        <f t="shared" ref="IH7:IH9" si="47">IF(IF7&gt;MAX($HX$6:$HX$9),"",VLOOKUP(IF7,$HW$6:$IA$9,3,FALSE))</f>
        <v/>
      </c>
      <c r="II7" s="415" t="str">
        <f>IF(HY7="","",IF(IF7&gt;MAX($HX$6:$HX$9),"",VLOOKUP(IF7,$HW$6:$IA$9,4,FALSE)))</f>
        <v/>
      </c>
      <c r="IJ7" s="415" t="str">
        <f>IF(HY7="","",IF(IF7&gt;MAX($HX$6:$HX$9),"",VLOOKUP(IF7,$HW$6:$IA$9,5,FALSE)))</f>
        <v/>
      </c>
      <c r="IL7" s="415">
        <v>2</v>
      </c>
      <c r="IM7" s="398" t="str">
        <f>IF(EXPEDIENTE!I27="","",IF(YEAR(EXPEDIENTE!$I$27)&gt;=YEAR(EXPEDIENTE!$I$25),YEAR(EXPEDIENTE!$I$25)+1,""))</f>
        <v/>
      </c>
      <c r="IN7" s="398" t="str">
        <f>IF(IM7="","",'IDENTIFICACIÓN TRABAJADOR'!$D$14)</f>
        <v/>
      </c>
      <c r="IO7" s="415" t="str">
        <f>CONCATENATE(UPPER('IDENTIFICACIÓN TRABAJADOR'!$D$11)," ",UPPER('IDENTIFICACIÓN TRABAJADOR'!$D$12)," ",UPPER('IDENTIFICACIÓN TRABAJADOR'!$D$13)," (EJERCICIO ",IM7,")")</f>
        <v xml:space="preserve">   (EJERCICIO )</v>
      </c>
      <c r="IP7" s="415">
        <f>IF($IC7&gt;0,"",'RESUMEN TRABAJADOR '!AJ48)</f>
        <v>0</v>
      </c>
      <c r="IR7" s="398">
        <f>'% DEDICACIÓN TRABAJADOR'!$B$45</f>
        <v>0</v>
      </c>
      <c r="IT7" s="398">
        <f t="shared" ref="IT7:IT9" si="48">IF(IP7=0,MAX(IM7:IM10)+1,IL7)</f>
        <v>1</v>
      </c>
      <c r="IU7" s="398">
        <f>SMALL($IT$6:$IT$9,2)</f>
        <v>1</v>
      </c>
      <c r="IV7" s="398" t="str">
        <f>IF(IN7="","",IF(IU7&gt;MAX($HX$6:$HX$9),"",VLOOKUP(IU7,$HW$6:$IA$9,2,FALSE)))</f>
        <v/>
      </c>
      <c r="IW7" s="398" t="str">
        <f t="shared" ref="IW7:IW9" si="49">IF(IU7&gt;MAX($IM$6:$IM$9),"",VLOOKUP(IU7,$IL$6:$IP$9,3,FALSE))</f>
        <v/>
      </c>
      <c r="IX7" s="415" t="str">
        <f t="shared" ref="IX7:IX9" si="50">IF(IN7="","",IF(IU7&gt;MAX($IM$6:$IM$9),"",VLOOKUP(IU7,$IL$6:$IP$9,4,FALSE)))</f>
        <v/>
      </c>
      <c r="IY7" s="415" t="str">
        <f t="shared" ref="IY7:IY9" si="51">IF(IN7="","",IF(IU7&gt;MAX($IM$6:$IM$9),"",VLOOKUP(IU7,$IL$6:$IP$9,5,FALSE)))</f>
        <v/>
      </c>
      <c r="JC7" s="416">
        <v>3</v>
      </c>
      <c r="JD7" s="398">
        <v>0</v>
      </c>
    </row>
    <row r="8" spans="1:266" x14ac:dyDescent="0.25">
      <c r="C8" s="206">
        <v>2</v>
      </c>
      <c r="D8" s="401" t="s">
        <v>166</v>
      </c>
      <c r="E8" s="417">
        <v>8</v>
      </c>
      <c r="F8" s="418" t="s">
        <v>208</v>
      </c>
      <c r="G8" s="419" t="s">
        <v>92</v>
      </c>
      <c r="H8" s="419"/>
      <c r="I8" s="419"/>
      <c r="J8" s="401"/>
      <c r="K8" s="407">
        <f t="shared" ref="K8:K71" si="52">IF(J8="",76,C8)</f>
        <v>76</v>
      </c>
      <c r="L8" s="407">
        <f t="shared" ref="L8:L71" si="53">IF(K8&lt;&gt;76,C8,76)</f>
        <v>76</v>
      </c>
      <c r="M8" s="407" t="str">
        <f t="shared" ref="M8:M71" si="54">IFERROR(VLOOKUP(SMALL($L$7:$L$81,C8),$C$7:$D$81,2,FALSE),"X")</f>
        <v>X</v>
      </c>
      <c r="R8" s="204" t="s">
        <v>238</v>
      </c>
      <c r="S8" s="431">
        <v>45107</v>
      </c>
      <c r="V8" s="980" t="s">
        <v>253</v>
      </c>
      <c r="W8" s="432" t="s">
        <v>250</v>
      </c>
      <c r="Y8" s="422">
        <f t="shared" si="0"/>
        <v>3</v>
      </c>
      <c r="Z8" s="412" t="str">
        <f>IF(Y8="","",IF(EDATE($Z$5,Y8)&gt;EXPEDIENTE!$F$27,"",EDATE($Z$5,Y8)))</f>
        <v/>
      </c>
      <c r="AA8" s="412" t="str">
        <f>IF(Z8="","",IF(YEAR(EXPEDIENTE!$F$25)=YEAR(Z8),Z8,""))</f>
        <v/>
      </c>
      <c r="AB8" s="412" t="str">
        <f>IF(Z8="","",IF(YEAR(EXPEDIENTE!$F$25)+1=YEAR(Z8),Z8,""))</f>
        <v/>
      </c>
      <c r="AC8" s="412" t="str">
        <f>IF(Z8="","",IF(YEAR(EXPEDIENTE!$F$25)+2=YEAR(Z8),Z8,""))</f>
        <v/>
      </c>
      <c r="AD8" s="412" t="str">
        <f>IF(Z8="","",IF(YEAR(EXPEDIENTE!$F$25)+3=YEAR(Z8),Z8,""))</f>
        <v/>
      </c>
      <c r="AG8" s="392"/>
      <c r="AH8" s="392"/>
      <c r="AI8" s="392"/>
      <c r="AJ8" s="392"/>
      <c r="AK8" s="392"/>
      <c r="AL8" s="392"/>
      <c r="AM8" s="392"/>
      <c r="AN8" s="392"/>
      <c r="AO8" s="392"/>
      <c r="AP8" s="392"/>
      <c r="AQ8" s="392"/>
      <c r="AR8" s="392"/>
      <c r="AS8" s="392"/>
      <c r="AT8" s="392"/>
      <c r="AU8" s="392"/>
      <c r="AV8" s="392"/>
      <c r="AW8" s="392"/>
      <c r="AY8" s="423">
        <v>2</v>
      </c>
      <c r="AZ8" s="424">
        <f t="shared" si="1"/>
        <v>44593</v>
      </c>
      <c r="BK8" s="433">
        <f t="shared" si="2"/>
        <v>0</v>
      </c>
      <c r="BL8" s="434">
        <f t="shared" si="3"/>
        <v>0</v>
      </c>
      <c r="BM8" s="434">
        <f t="shared" si="4"/>
        <v>0</v>
      </c>
      <c r="BN8" s="434">
        <f t="shared" si="5"/>
        <v>0</v>
      </c>
      <c r="BO8" s="434">
        <f t="shared" si="6"/>
        <v>0</v>
      </c>
      <c r="BP8" s="434">
        <f t="shared" si="7"/>
        <v>0</v>
      </c>
      <c r="BQ8" s="434">
        <f t="shared" si="8"/>
        <v>0</v>
      </c>
      <c r="BR8" s="435">
        <f t="shared" ref="BR8:BR18" si="55">IF($AH$30=0,0,IF($BR$5=0,0,IF(AND(AZ8&gt;=$AS$30,AZ8&lt;=$AT$30),$AW$30,0)))</f>
        <v>0</v>
      </c>
      <c r="BS8" s="436">
        <f t="shared" ref="BS8:BS18" si="56">SUM(BK8:BR8)</f>
        <v>0</v>
      </c>
      <c r="BX8" s="392"/>
      <c r="BY8" s="392"/>
      <c r="BZ8" s="392"/>
      <c r="CA8" s="392"/>
      <c r="CB8" s="392"/>
      <c r="CC8" s="392"/>
      <c r="CD8" s="392"/>
      <c r="CE8" s="392"/>
      <c r="CF8" s="392"/>
      <c r="CG8" s="392"/>
      <c r="CH8" s="392"/>
      <c r="CI8" s="392"/>
      <c r="CJ8" s="392"/>
      <c r="CK8" s="392"/>
      <c r="CL8" s="392"/>
      <c r="CM8" s="392"/>
      <c r="CN8" s="392"/>
      <c r="CP8" s="423">
        <v>2</v>
      </c>
      <c r="CQ8" s="424">
        <f t="shared" si="9"/>
        <v>44593</v>
      </c>
      <c r="DB8" s="437">
        <f t="shared" ref="DB8:DB18" si="57">IF($BY$23=0,0,IF($DB$5=0,0,IF(AND(CQ8&gt;=$CJ$23,CQ8&lt;=$CK$23),$CN$23,0)))</f>
        <v>0</v>
      </c>
      <c r="DC8" s="423">
        <f t="shared" ref="DC8:DC18" si="58">IF($BY$24=0,0,IF($DC$5=0,0,IF(AND(CQ8&gt;=$CJ$24,CQ8&lt;=$CK$24),$CN$24,0)))</f>
        <v>0</v>
      </c>
      <c r="DD8" s="423">
        <f t="shared" ref="DD8:DD18" si="59">IF($BY$25=0,0,IF($DD$5=0,0,IF(AND(CQ8&gt;=$CJ$25,CQ8&lt;=$CK$25),$CN$25,0)))</f>
        <v>0</v>
      </c>
      <c r="DE8" s="423">
        <f t="shared" ref="DE8:DE18" si="60">IF($BY$26=0,0,IF($DE$5=0,0,IF(AND(CQ8&gt;=$CJ$26,CQ8&lt;=$CK$26),$CN$26,0)))</f>
        <v>0</v>
      </c>
      <c r="DF8" s="423">
        <f t="shared" ref="DF8:DF18" si="61">IF($BY$23=0,0,IF($DF$5=0,0,IF(AND(CQ8&gt;=$CJ$27,CQ8&lt;=$CK$27),$CN$27,0)))</f>
        <v>0</v>
      </c>
      <c r="DG8" s="423">
        <f t="shared" ref="DG8:DG18" si="62">IF($BY$28=0,0,IF($DG$5=0,0,IF(AND(CQ8&gt;=$CJ$28,CQ8&lt;=$CK$28),$CN$28,0)))</f>
        <v>0</v>
      </c>
      <c r="DH8" s="423">
        <f t="shared" ref="DH8:DH18" si="63">IF($BY$29=0,0,IF($DH$5=0,0,IF(AND(CQ8&gt;=$CJ$29,CQ8&lt;=$CK$29),$CN$29,0)))</f>
        <v>0</v>
      </c>
      <c r="DI8" s="438">
        <f t="shared" ref="DI8:DI18" si="64">IF($BY$30=0,0,IF($DI$5=0,0,IF(AND(CQ8&gt;=$CJ$30,CQ8&lt;=$CK$30),$CN$30,0)))</f>
        <v>0</v>
      </c>
      <c r="DJ8" s="439">
        <f t="shared" ref="DJ8:DJ18" si="65">SUM(DB8:DI8)</f>
        <v>0</v>
      </c>
      <c r="DN8" s="392"/>
      <c r="DY8" s="430">
        <f t="shared" si="10"/>
        <v>44713</v>
      </c>
      <c r="DZ8" s="430">
        <f t="shared" si="11"/>
        <v>44742</v>
      </c>
      <c r="EA8" s="386" t="str">
        <f>IF(AND(DZ8&gt;=EXPEDIENTE!$F$25,DY8&lt;=EXPEDIENTE!$F$29),"SI","NO")</f>
        <v>NO</v>
      </c>
      <c r="EB8" s="423">
        <f t="shared" si="12"/>
        <v>0</v>
      </c>
      <c r="EC8" s="423">
        <f t="shared" si="13"/>
        <v>0</v>
      </c>
      <c r="ED8" s="423">
        <f t="shared" si="14"/>
        <v>0</v>
      </c>
      <c r="EE8" s="423">
        <f t="shared" si="15"/>
        <v>0</v>
      </c>
      <c r="EF8" s="423">
        <f t="shared" si="16"/>
        <v>0</v>
      </c>
      <c r="EG8" s="423">
        <f t="shared" si="17"/>
        <v>0</v>
      </c>
      <c r="EH8" s="423">
        <f t="shared" si="18"/>
        <v>0</v>
      </c>
      <c r="EI8" s="423">
        <f t="shared" si="19"/>
        <v>0</v>
      </c>
      <c r="EJ8" s="423">
        <f t="shared" si="20"/>
        <v>0</v>
      </c>
      <c r="EK8" s="423">
        <f t="shared" si="21"/>
        <v>0</v>
      </c>
      <c r="EL8" s="423">
        <f t="shared" si="22"/>
        <v>0</v>
      </c>
      <c r="EM8" s="423">
        <f t="shared" si="23"/>
        <v>0</v>
      </c>
      <c r="EN8" s="423">
        <f t="shared" si="24"/>
        <v>0</v>
      </c>
      <c r="EO8" s="423">
        <f t="shared" si="25"/>
        <v>0</v>
      </c>
      <c r="EP8" s="423">
        <f t="shared" si="26"/>
        <v>0</v>
      </c>
      <c r="EQ8" s="423">
        <f t="shared" si="27"/>
        <v>0</v>
      </c>
      <c r="ER8" s="423">
        <f t="shared" si="28"/>
        <v>0</v>
      </c>
      <c r="ES8" s="423">
        <f t="shared" si="29"/>
        <v>0</v>
      </c>
      <c r="ET8" s="423">
        <f t="shared" si="30"/>
        <v>0</v>
      </c>
      <c r="EU8" s="423">
        <f t="shared" si="31"/>
        <v>0</v>
      </c>
      <c r="EV8" s="423">
        <f t="shared" si="32"/>
        <v>0</v>
      </c>
      <c r="EW8" s="423">
        <f t="shared" si="33"/>
        <v>0</v>
      </c>
      <c r="EX8" s="423">
        <f t="shared" si="34"/>
        <v>0</v>
      </c>
      <c r="EY8" s="423">
        <f t="shared" si="35"/>
        <v>0</v>
      </c>
      <c r="EZ8" s="423">
        <f t="shared" si="36"/>
        <v>0</v>
      </c>
      <c r="FA8" s="423">
        <f t="shared" si="37"/>
        <v>0</v>
      </c>
      <c r="FB8" s="423">
        <f t="shared" si="38"/>
        <v>0</v>
      </c>
      <c r="FC8" s="423">
        <f t="shared" si="39"/>
        <v>0</v>
      </c>
      <c r="FD8" s="423">
        <f t="shared" si="40"/>
        <v>0</v>
      </c>
      <c r="FE8" s="423">
        <f t="shared" si="41"/>
        <v>0</v>
      </c>
      <c r="FF8" s="423">
        <f t="shared" si="42"/>
        <v>0</v>
      </c>
      <c r="FG8" s="423">
        <f t="shared" si="43"/>
        <v>0</v>
      </c>
      <c r="FH8" s="423">
        <f t="shared" ref="FH8:FH69" si="66">IF(EA8="SI",SUM(EB8:FG8),0)</f>
        <v>0</v>
      </c>
      <c r="FR8" s="392"/>
      <c r="GC8" s="430">
        <f t="shared" si="44"/>
        <v>44713</v>
      </c>
      <c r="GD8" s="430">
        <f t="shared" si="45"/>
        <v>44742</v>
      </c>
      <c r="GE8" s="386" t="str">
        <f>IF(AND(GD8&gt;=EXPEDIENTE!$F$25,GC8&lt;=EXPEDIENTE!$F$29),"SI","NO")</f>
        <v>NO</v>
      </c>
      <c r="GF8" s="423">
        <f t="shared" ref="GF8:GF69" si="67">IF(AND($GC8&gt;=$FT$23,$GD8&lt;=$FU$23),$FZ$23,0)</f>
        <v>0</v>
      </c>
      <c r="GG8" s="423">
        <f t="shared" ref="GG8:GG69" si="68">IF(AND($GC8&gt;=$FT$24,$GD8&lt;=$FU$24),$FZ$24,0)</f>
        <v>0</v>
      </c>
      <c r="GH8" s="423">
        <f t="shared" ref="GH8:GH69" si="69">IF(AND($GC8&gt;=$FT$25,$GD8&lt;=$FU$25),$FZ$25,0)</f>
        <v>0</v>
      </c>
      <c r="GI8" s="423">
        <f t="shared" ref="GI8:GI69" si="70">IF(AND($GC8&gt;=$FT$26,$GD8&lt;=$FU$26),$FZ$26,0)</f>
        <v>0</v>
      </c>
      <c r="GJ8" s="423">
        <f t="shared" ref="GJ8:GJ69" si="71">IF(AND($GC8&gt;=$FT$27,$GD8&lt;=$FU$27),$FZ$27,0)</f>
        <v>0</v>
      </c>
      <c r="GK8" s="423">
        <f t="shared" ref="GK8:GK69" si="72">IF(AND($GC8&gt;=$FT$28,$GD8&lt;=$FU$28),$FZ$28,0)</f>
        <v>0</v>
      </c>
      <c r="GL8" s="423">
        <f t="shared" ref="GL8:GL69" si="73">IF(AND($GC8&gt;=$FT$29,$GD8&lt;=$FU$29),$FZ$29,0)</f>
        <v>0</v>
      </c>
      <c r="GM8" s="423">
        <f t="shared" ref="GM8:GM69" si="74">IF(AND($GC8&gt;=$FT$30,$GD8&lt;=$FU$30),$FZ$30,0)</f>
        <v>0</v>
      </c>
      <c r="GN8" s="423">
        <f t="shared" ref="GN8:GN69" si="75">IF(AND($GC8&gt;=$FT$39,$GD8&lt;=$FU$39),$FZ$39,0)</f>
        <v>0</v>
      </c>
      <c r="GO8" s="423">
        <f t="shared" ref="GO8:GO69" si="76">IF(AND($GC8&gt;=$FT$40,$GD8&lt;=$FU$40),$FZ$40,0)</f>
        <v>0</v>
      </c>
      <c r="GP8" s="423">
        <f t="shared" ref="GP8:GP69" si="77">IF(AND($GC8&gt;=$FT$41,$GD8&lt;=$FU$41),$FZ$41,0)</f>
        <v>0</v>
      </c>
      <c r="GQ8" s="423">
        <f t="shared" ref="GQ8:GQ69" si="78">IF(AND($GC8&gt;=$FT$42,$GD8&lt;=$FU$42),$FZ$42,0)</f>
        <v>0</v>
      </c>
      <c r="GR8" s="423">
        <f t="shared" ref="GR8:GR69" si="79">IF(AND($GC8&gt;=$FT$43,$GD8&lt;=$FU$43),$FZ$43,0)</f>
        <v>0</v>
      </c>
      <c r="GS8" s="423">
        <f t="shared" ref="GS8:GS69" si="80">IF(AND($GC8&gt;=$FT$44,$GD8&lt;=$FU$44),$FZ$44,0)</f>
        <v>0</v>
      </c>
      <c r="GT8" s="423">
        <f t="shared" ref="GT8:GT69" si="81">IF(AND($GC8&gt;=$FT$45,$GD8&lt;=$FU$45),$FZ$45,0)</f>
        <v>0</v>
      </c>
      <c r="GU8" s="423">
        <f t="shared" ref="GU8:GU69" si="82">IF(AND($GC8&gt;=$FT$46,$GD8&lt;=$FU$46),$FZ$46,0)</f>
        <v>0</v>
      </c>
      <c r="GV8" s="423">
        <f t="shared" ref="GV8:GV69" si="83">IF(AND($GC8&gt;=$FT$55,$GD8&lt;=$FU$55),$FZ$55,0)</f>
        <v>0</v>
      </c>
      <c r="GW8" s="423">
        <f t="shared" ref="GW8:GW69" si="84">IF(AND($GC8&gt;=$FT$56,$GD8&lt;=$FU$56),$FZ$56,0)</f>
        <v>0</v>
      </c>
      <c r="GX8" s="423">
        <f t="shared" ref="GX8:GX69" si="85">IF(AND($GC8&gt;=$FT$57,$GD8&lt;=$FU$57),$FZ$57,0)</f>
        <v>0</v>
      </c>
      <c r="GY8" s="423">
        <f t="shared" ref="GY8:GY69" si="86">IF(AND($GC8&gt;=$FT$58,$GD8&lt;=$FU$58),$FZ$58,0)</f>
        <v>0</v>
      </c>
      <c r="GZ8" s="423">
        <f t="shared" ref="GZ8:GZ69" si="87">IF(AND($GC8&gt;=$FT$59,$GD8&lt;=$FU$59),$FZ$59,0)</f>
        <v>0</v>
      </c>
      <c r="HA8" s="423">
        <f t="shared" ref="HA8:HA69" si="88">IF(AND($GC8&gt;=$FT$60,$GD8&lt;=$FU$60),$FZ$60,0)</f>
        <v>0</v>
      </c>
      <c r="HB8" s="423">
        <f t="shared" ref="HB8:HB69" si="89">IF(AND($GC8&gt;=$FT$61,$GD8&lt;=$FU$61),$FZ$61,0)</f>
        <v>0</v>
      </c>
      <c r="HC8" s="423">
        <f t="shared" ref="HC8:HC69" si="90">IF(AND($GC8&gt;=$FT$62,$GD8&lt;=$FU$62),$FZ$62,0)</f>
        <v>0</v>
      </c>
      <c r="HD8" s="423">
        <f t="shared" ref="HD8:HD69" si="91">IF(AND($GC8&gt;=$FT$71,$GD8&lt;=$FU$71),$FZ$71,0)</f>
        <v>0</v>
      </c>
      <c r="HE8" s="423">
        <f t="shared" ref="HE8:HE69" si="92">IF(AND($GC8&gt;=$FT$72,$GD8&lt;=$FU$72),$FZ$72,0)</f>
        <v>0</v>
      </c>
      <c r="HF8" s="423">
        <f t="shared" ref="HF8:HF69" si="93">IF(AND($GC8&gt;=$FT$73,$GD8&lt;=$FU$73),$FZ$73,0)</f>
        <v>0</v>
      </c>
      <c r="HG8" s="423">
        <f t="shared" ref="HG8:HG69" si="94">IF(AND($GC8&gt;=$FT$74,$GD8&lt;=$FU$74),$FZ$74,0)</f>
        <v>0</v>
      </c>
      <c r="HH8" s="423">
        <f t="shared" ref="HH8:HH69" si="95">IF(AND($GC8&gt;=$FT$75,$GD8&lt;=$FU$75),$FZ$75,0)</f>
        <v>0</v>
      </c>
      <c r="HI8" s="423">
        <f t="shared" ref="HI8:HI69" si="96">IF(AND($GC8&gt;=$FT$76,$GD8&lt;=$FU$76),$FZ$76,0)</f>
        <v>0</v>
      </c>
      <c r="HJ8" s="423">
        <f t="shared" ref="HJ8:HJ69" si="97">IF(AND($GC8&gt;=$FT$77,$GD8&lt;=$FU$77),$FZ$77,0)</f>
        <v>0</v>
      </c>
      <c r="HK8" s="423">
        <f t="shared" ref="HK8:HK69" si="98">IF(AND($GC8&gt;=$FT$78,$GD8&lt;=$FU$78),$FZ$78,0)</f>
        <v>0</v>
      </c>
      <c r="HL8" s="423">
        <f t="shared" ref="HL8:HL69" si="99">IF(GE8="SI",SUM(GF8:HK8),0)</f>
        <v>0</v>
      </c>
      <c r="HW8" s="415">
        <v>3</v>
      </c>
      <c r="HX8" s="398" t="str">
        <f>IF(EXPEDIENTE!F27="","",IF(YEAR(EXPEDIENTE!$F$27)&gt;=YEAR(EXPEDIENTE!$F$25),YEAR(EXPEDIENTE!$F$25)+2,""))</f>
        <v/>
      </c>
      <c r="HY8" s="398" t="str">
        <f>IF(HX8="","",'IDENTIFICACIÓN TRABAJADOR'!$D$14)</f>
        <v/>
      </c>
      <c r="HZ8" s="415" t="str">
        <f>CONCATENATE(UPPER('IDENTIFICACIÓN TRABAJADOR'!$D$11)," ",UPPER('IDENTIFICACIÓN TRABAJADOR'!$D$12)," ",UPPER('IDENTIFICACIÓN TRABAJADOR'!$D$13)," (EJERCICIO ",HX8,")")</f>
        <v xml:space="preserve">   (EJERCICIO )</v>
      </c>
      <c r="IA8" s="415">
        <f>IF($IC8&gt;0,"",'RESUMEN TRABAJADOR '!O72)</f>
        <v>0</v>
      </c>
      <c r="IC8" s="398">
        <f>'% DEDICACIÓN TRABAJADOR'!$B$46</f>
        <v>0</v>
      </c>
      <c r="IE8" s="398">
        <f t="shared" si="46"/>
        <v>1</v>
      </c>
      <c r="IF8" s="398">
        <f>SMALL($IE$6:$IE$9,3)</f>
        <v>1</v>
      </c>
      <c r="IG8" s="398" t="str">
        <f>IF(HY8="","",IF(IF8&gt;MAX($HX$6:$HX$9),"",VLOOKUP(IF8,$HW$6:$IA$9,2,FALSE)))</f>
        <v/>
      </c>
      <c r="IH8" s="398" t="str">
        <f t="shared" si="47"/>
        <v/>
      </c>
      <c r="II8" s="415" t="str">
        <f>IF(HY8="","",IF(IF8&gt;MAX($HX$6:$HX$9),"",VLOOKUP(IF8,$HW$6:$IA$9,4,FALSE)))</f>
        <v/>
      </c>
      <c r="IJ8" s="415" t="str">
        <f>IF(HY8="","",IF(IF8&gt;MAX($HX$6:$HX$9),"",VLOOKUP(IF8,$HW$6:$IA$9,5,FALSE)))</f>
        <v/>
      </c>
      <c r="IL8" s="415">
        <v>3</v>
      </c>
      <c r="IM8" s="398" t="str">
        <f>IF(EXPEDIENTE!I27="","",IF(YEAR(EXPEDIENTE!$I$27)&gt;=YEAR(EXPEDIENTE!$I$25),YEAR(EXPEDIENTE!$I$25)+2,""))</f>
        <v/>
      </c>
      <c r="IN8" s="398" t="str">
        <f>IF(IM8="","",'IDENTIFICACIÓN TRABAJADOR'!$D$14)</f>
        <v/>
      </c>
      <c r="IO8" s="415" t="str">
        <f>CONCATENATE(UPPER('IDENTIFICACIÓN TRABAJADOR'!$D$11)," ",UPPER('IDENTIFICACIÓN TRABAJADOR'!$D$12)," ",UPPER('IDENTIFICACIÓN TRABAJADOR'!$D$13)," (EJERCICIO ",IM8,")")</f>
        <v xml:space="preserve">   (EJERCICIO )</v>
      </c>
      <c r="IP8" s="415">
        <f>IF($IC8&gt;0,"",'RESUMEN TRABAJADOR '!AJ72)</f>
        <v>0</v>
      </c>
      <c r="IR8" s="398">
        <f>'% DEDICACIÓN TRABAJADOR'!$B$46</f>
        <v>0</v>
      </c>
      <c r="IT8" s="398">
        <f t="shared" si="48"/>
        <v>1</v>
      </c>
      <c r="IU8" s="398">
        <f>SMALL($IT$6:$IT$9,3)</f>
        <v>1</v>
      </c>
      <c r="IV8" s="398" t="str">
        <f>IF(IN8="","",IF(IU8&gt;MAX($HX$6:$HX$9),"",VLOOKUP(IU8,$HW$6:$IA$9,2,FALSE)))</f>
        <v/>
      </c>
      <c r="IW8" s="398" t="str">
        <f t="shared" si="49"/>
        <v/>
      </c>
      <c r="IX8" s="415" t="str">
        <f t="shared" si="50"/>
        <v/>
      </c>
      <c r="IY8" s="415" t="str">
        <f t="shared" si="51"/>
        <v/>
      </c>
      <c r="JC8" s="416">
        <v>4</v>
      </c>
      <c r="JD8" s="398">
        <v>0</v>
      </c>
    </row>
    <row r="9" spans="1:266" x14ac:dyDescent="0.25">
      <c r="C9" s="206">
        <v>3</v>
      </c>
      <c r="D9" s="401" t="s">
        <v>433</v>
      </c>
      <c r="E9" s="417">
        <v>7</v>
      </c>
      <c r="F9" s="418" t="s">
        <v>434</v>
      </c>
      <c r="G9" s="419" t="s">
        <v>92</v>
      </c>
      <c r="H9" s="419"/>
      <c r="I9" s="419"/>
      <c r="J9" s="401"/>
      <c r="K9" s="407">
        <f t="shared" si="52"/>
        <v>76</v>
      </c>
      <c r="L9" s="407">
        <f t="shared" si="53"/>
        <v>76</v>
      </c>
      <c r="M9" s="407" t="str">
        <f t="shared" si="54"/>
        <v>X</v>
      </c>
      <c r="O9" s="440" t="s">
        <v>11</v>
      </c>
      <c r="P9" s="419">
        <v>2024</v>
      </c>
      <c r="V9" s="981"/>
      <c r="W9" s="441" t="s">
        <v>254</v>
      </c>
      <c r="Y9" s="422">
        <f t="shared" si="0"/>
        <v>4</v>
      </c>
      <c r="Z9" s="412" t="str">
        <f>IF(Y9="","",IF(EDATE($Z$5,Y9)&gt;EXPEDIENTE!$F$27,"",EDATE($Z$5,Y9)))</f>
        <v/>
      </c>
      <c r="AA9" s="412" t="str">
        <f>IF(Z9="","",IF(YEAR(EXPEDIENTE!$F$25)=YEAR(Z9),Z9,""))</f>
        <v/>
      </c>
      <c r="AB9" s="412" t="str">
        <f>IF(Z9="","",IF(YEAR(EXPEDIENTE!$F$25)+1=YEAR(Z9),Z9,""))</f>
        <v/>
      </c>
      <c r="AC9" s="412" t="str">
        <f>IF(Z9="","",IF(YEAR(EXPEDIENTE!$F$25)+2=YEAR(Z9),Z9,""))</f>
        <v/>
      </c>
      <c r="AD9" s="412" t="str">
        <f>IF(Z9="","",IF(YEAR(EXPEDIENTE!$F$25)+3=YEAR(Z9),Z9,""))</f>
        <v/>
      </c>
      <c r="AG9" s="392"/>
      <c r="AH9" s="392"/>
      <c r="AI9" s="392"/>
      <c r="AJ9" s="392"/>
      <c r="AK9" s="392"/>
      <c r="AL9" s="392"/>
      <c r="AM9" s="392"/>
      <c r="AN9" s="392"/>
      <c r="AO9" s="392"/>
      <c r="AP9" s="392"/>
      <c r="AQ9" s="392"/>
      <c r="AR9" s="392"/>
      <c r="AS9" s="392"/>
      <c r="AT9" s="392"/>
      <c r="AU9" s="392"/>
      <c r="AV9" s="392"/>
      <c r="AW9" s="392"/>
      <c r="AY9" s="423">
        <v>3</v>
      </c>
      <c r="AZ9" s="424">
        <f t="shared" si="1"/>
        <v>44621</v>
      </c>
      <c r="BK9" s="433">
        <f t="shared" si="2"/>
        <v>0</v>
      </c>
      <c r="BL9" s="434">
        <f t="shared" si="3"/>
        <v>0</v>
      </c>
      <c r="BM9" s="434">
        <f t="shared" si="4"/>
        <v>0</v>
      </c>
      <c r="BN9" s="434">
        <f t="shared" si="5"/>
        <v>0</v>
      </c>
      <c r="BO9" s="434">
        <f t="shared" si="6"/>
        <v>0</v>
      </c>
      <c r="BP9" s="434">
        <f t="shared" si="7"/>
        <v>0</v>
      </c>
      <c r="BQ9" s="434">
        <f t="shared" si="8"/>
        <v>0</v>
      </c>
      <c r="BR9" s="435">
        <f t="shared" si="55"/>
        <v>0</v>
      </c>
      <c r="BS9" s="436">
        <f t="shared" si="56"/>
        <v>0</v>
      </c>
      <c r="BX9" s="392"/>
      <c r="BY9" s="392"/>
      <c r="BZ9" s="392"/>
      <c r="CA9" s="392"/>
      <c r="CB9" s="392"/>
      <c r="CC9" s="392"/>
      <c r="CD9" s="392"/>
      <c r="CE9" s="392"/>
      <c r="CF9" s="392"/>
      <c r="CG9" s="392"/>
      <c r="CH9" s="392"/>
      <c r="CI9" s="392"/>
      <c r="CJ9" s="392"/>
      <c r="CK9" s="392"/>
      <c r="CL9" s="392"/>
      <c r="CM9" s="392"/>
      <c r="CN9" s="392"/>
      <c r="CP9" s="423">
        <v>3</v>
      </c>
      <c r="CQ9" s="424">
        <f t="shared" si="9"/>
        <v>44621</v>
      </c>
      <c r="DB9" s="437">
        <f t="shared" si="57"/>
        <v>0</v>
      </c>
      <c r="DC9" s="423">
        <f t="shared" si="58"/>
        <v>0</v>
      </c>
      <c r="DD9" s="423">
        <f t="shared" si="59"/>
        <v>0</v>
      </c>
      <c r="DE9" s="423">
        <f t="shared" si="60"/>
        <v>0</v>
      </c>
      <c r="DF9" s="423">
        <f t="shared" si="61"/>
        <v>0</v>
      </c>
      <c r="DG9" s="423">
        <f t="shared" si="62"/>
        <v>0</v>
      </c>
      <c r="DH9" s="423">
        <f t="shared" si="63"/>
        <v>0</v>
      </c>
      <c r="DI9" s="438">
        <f t="shared" si="64"/>
        <v>0</v>
      </c>
      <c r="DJ9" s="439">
        <f t="shared" si="65"/>
        <v>0</v>
      </c>
      <c r="DN9" s="392"/>
      <c r="DY9" s="430">
        <f t="shared" si="10"/>
        <v>44743</v>
      </c>
      <c r="DZ9" s="430">
        <f t="shared" si="11"/>
        <v>44773</v>
      </c>
      <c r="EA9" s="386" t="str">
        <f>IF(AND(DZ9&gt;=EXPEDIENTE!$F$25,DY9&lt;=EXPEDIENTE!$F$29),"SI","NO")</f>
        <v>NO</v>
      </c>
      <c r="EB9" s="423">
        <f t="shared" si="12"/>
        <v>0</v>
      </c>
      <c r="EC9" s="423">
        <f t="shared" si="13"/>
        <v>0</v>
      </c>
      <c r="ED9" s="423">
        <f t="shared" si="14"/>
        <v>0</v>
      </c>
      <c r="EE9" s="423">
        <f t="shared" si="15"/>
        <v>0</v>
      </c>
      <c r="EF9" s="423">
        <f t="shared" si="16"/>
        <v>0</v>
      </c>
      <c r="EG9" s="423">
        <f t="shared" si="17"/>
        <v>0</v>
      </c>
      <c r="EH9" s="423">
        <f t="shared" si="18"/>
        <v>0</v>
      </c>
      <c r="EI9" s="423">
        <f t="shared" si="19"/>
        <v>0</v>
      </c>
      <c r="EJ9" s="423">
        <f t="shared" si="20"/>
        <v>0</v>
      </c>
      <c r="EK9" s="423">
        <f t="shared" si="21"/>
        <v>0</v>
      </c>
      <c r="EL9" s="423">
        <f t="shared" si="22"/>
        <v>0</v>
      </c>
      <c r="EM9" s="423">
        <f t="shared" si="23"/>
        <v>0</v>
      </c>
      <c r="EN9" s="423">
        <f t="shared" si="24"/>
        <v>0</v>
      </c>
      <c r="EO9" s="423">
        <f t="shared" si="25"/>
        <v>0</v>
      </c>
      <c r="EP9" s="423">
        <f t="shared" si="26"/>
        <v>0</v>
      </c>
      <c r="EQ9" s="423">
        <f t="shared" si="27"/>
        <v>0</v>
      </c>
      <c r="ER9" s="423">
        <f t="shared" si="28"/>
        <v>0</v>
      </c>
      <c r="ES9" s="423">
        <f t="shared" si="29"/>
        <v>0</v>
      </c>
      <c r="ET9" s="423">
        <f t="shared" si="30"/>
        <v>0</v>
      </c>
      <c r="EU9" s="423">
        <f t="shared" si="31"/>
        <v>0</v>
      </c>
      <c r="EV9" s="423">
        <f t="shared" si="32"/>
        <v>0</v>
      </c>
      <c r="EW9" s="423">
        <f t="shared" si="33"/>
        <v>0</v>
      </c>
      <c r="EX9" s="423">
        <f t="shared" si="34"/>
        <v>0</v>
      </c>
      <c r="EY9" s="423">
        <f t="shared" si="35"/>
        <v>0</v>
      </c>
      <c r="EZ9" s="423">
        <f t="shared" si="36"/>
        <v>0</v>
      </c>
      <c r="FA9" s="423">
        <f t="shared" si="37"/>
        <v>0</v>
      </c>
      <c r="FB9" s="423">
        <f t="shared" si="38"/>
        <v>0</v>
      </c>
      <c r="FC9" s="423">
        <f t="shared" si="39"/>
        <v>0</v>
      </c>
      <c r="FD9" s="423">
        <f t="shared" si="40"/>
        <v>0</v>
      </c>
      <c r="FE9" s="423">
        <f t="shared" si="41"/>
        <v>0</v>
      </c>
      <c r="FF9" s="423">
        <f t="shared" si="42"/>
        <v>0</v>
      </c>
      <c r="FG9" s="423">
        <f t="shared" si="43"/>
        <v>0</v>
      </c>
      <c r="FH9" s="423">
        <f t="shared" si="66"/>
        <v>0</v>
      </c>
      <c r="FR9" s="392"/>
      <c r="GC9" s="430">
        <f t="shared" si="44"/>
        <v>44743</v>
      </c>
      <c r="GD9" s="430">
        <f t="shared" si="45"/>
        <v>44773</v>
      </c>
      <c r="GE9" s="386" t="str">
        <f>IF(AND(GD9&gt;=EXPEDIENTE!$F$25,GC9&lt;=EXPEDIENTE!$F$29),"SI","NO")</f>
        <v>NO</v>
      </c>
      <c r="GF9" s="423">
        <f t="shared" si="67"/>
        <v>0</v>
      </c>
      <c r="GG9" s="423">
        <f t="shared" si="68"/>
        <v>0</v>
      </c>
      <c r="GH9" s="423">
        <f t="shared" si="69"/>
        <v>0</v>
      </c>
      <c r="GI9" s="423">
        <f t="shared" si="70"/>
        <v>0</v>
      </c>
      <c r="GJ9" s="423">
        <f t="shared" si="71"/>
        <v>0</v>
      </c>
      <c r="GK9" s="423">
        <f t="shared" si="72"/>
        <v>0</v>
      </c>
      <c r="GL9" s="423">
        <f t="shared" si="73"/>
        <v>0</v>
      </c>
      <c r="GM9" s="423">
        <f t="shared" si="74"/>
        <v>0</v>
      </c>
      <c r="GN9" s="423">
        <f t="shared" si="75"/>
        <v>0</v>
      </c>
      <c r="GO9" s="423">
        <f t="shared" si="76"/>
        <v>0</v>
      </c>
      <c r="GP9" s="423">
        <f t="shared" si="77"/>
        <v>0</v>
      </c>
      <c r="GQ9" s="423">
        <f t="shared" si="78"/>
        <v>0</v>
      </c>
      <c r="GR9" s="423">
        <f t="shared" si="79"/>
        <v>0</v>
      </c>
      <c r="GS9" s="423">
        <f t="shared" si="80"/>
        <v>0</v>
      </c>
      <c r="GT9" s="423">
        <f t="shared" si="81"/>
        <v>0</v>
      </c>
      <c r="GU9" s="423">
        <f t="shared" si="82"/>
        <v>0</v>
      </c>
      <c r="GV9" s="423">
        <f t="shared" si="83"/>
        <v>0</v>
      </c>
      <c r="GW9" s="423">
        <f t="shared" si="84"/>
        <v>0</v>
      </c>
      <c r="GX9" s="423">
        <f t="shared" si="85"/>
        <v>0</v>
      </c>
      <c r="GY9" s="423">
        <f t="shared" si="86"/>
        <v>0</v>
      </c>
      <c r="GZ9" s="423">
        <f t="shared" si="87"/>
        <v>0</v>
      </c>
      <c r="HA9" s="423">
        <f t="shared" si="88"/>
        <v>0</v>
      </c>
      <c r="HB9" s="423">
        <f t="shared" si="89"/>
        <v>0</v>
      </c>
      <c r="HC9" s="423">
        <f t="shared" si="90"/>
        <v>0</v>
      </c>
      <c r="HD9" s="423">
        <f t="shared" si="91"/>
        <v>0</v>
      </c>
      <c r="HE9" s="423">
        <f t="shared" si="92"/>
        <v>0</v>
      </c>
      <c r="HF9" s="423">
        <f t="shared" si="93"/>
        <v>0</v>
      </c>
      <c r="HG9" s="423">
        <f t="shared" si="94"/>
        <v>0</v>
      </c>
      <c r="HH9" s="423">
        <f t="shared" si="95"/>
        <v>0</v>
      </c>
      <c r="HI9" s="423">
        <f t="shared" si="96"/>
        <v>0</v>
      </c>
      <c r="HJ9" s="423">
        <f t="shared" si="97"/>
        <v>0</v>
      </c>
      <c r="HK9" s="423">
        <f t="shared" si="98"/>
        <v>0</v>
      </c>
      <c r="HL9" s="423">
        <f t="shared" si="99"/>
        <v>0</v>
      </c>
      <c r="HW9" s="415">
        <v>4</v>
      </c>
      <c r="HX9" s="398" t="str">
        <f>IF(EXPEDIENTE!F27="","",IF(YEAR(EXPEDIENTE!$F$27)&gt;=YEAR(EXPEDIENTE!$F$25),YEAR(EXPEDIENTE!$F$25)+3,""))</f>
        <v/>
      </c>
      <c r="HY9" s="398" t="str">
        <f>IF(HX9="","",'IDENTIFICACIÓN TRABAJADOR'!$D$14)</f>
        <v/>
      </c>
      <c r="HZ9" s="415" t="str">
        <f>CONCATENATE(UPPER('IDENTIFICACIÓN TRABAJADOR'!$D$11)," ",UPPER('IDENTIFICACIÓN TRABAJADOR'!$D$12)," ",UPPER('IDENTIFICACIÓN TRABAJADOR'!$D$13)," (EJERCICIO ",HX9,")")</f>
        <v xml:space="preserve">   (EJERCICIO )</v>
      </c>
      <c r="IA9" s="415">
        <f>IF($IC9&gt;0,"",'RESUMEN TRABAJADOR '!O96)</f>
        <v>0</v>
      </c>
      <c r="IC9" s="398">
        <f>'% DEDICACIÓN TRABAJADOR'!$B$47</f>
        <v>0</v>
      </c>
      <c r="IE9" s="398">
        <f t="shared" si="46"/>
        <v>1</v>
      </c>
      <c r="IF9" s="398">
        <f>SMALL($IE$6:$IE$9,4)</f>
        <v>2024</v>
      </c>
      <c r="IG9" s="398" t="str">
        <f>IF(HY9="","",IF(IF9&gt;MAX($HX$6:$HX$9),"",VLOOKUP(IF9,$HW$6:$IA$9,2,FALSE)))</f>
        <v/>
      </c>
      <c r="IH9" s="398" t="str">
        <f t="shared" si="47"/>
        <v/>
      </c>
      <c r="II9" s="415" t="str">
        <f>IF(HY9="","",IF(IF9&gt;MAX($HX$6:$HX$9),"",VLOOKUP(IF9,$HW$6:$IA$9,4,FALSE)))</f>
        <v/>
      </c>
      <c r="IJ9" s="415" t="str">
        <f>IF(HY9="","",IF(IF9&gt;MAX($HX$6:$HX$9),"",VLOOKUP(IF9,$HW$6:$IA$9,5,FALSE)))</f>
        <v/>
      </c>
      <c r="IL9" s="415">
        <v>4</v>
      </c>
      <c r="IM9" s="398" t="str">
        <f>IF(EXPEDIENTE!I27="","",IF(YEAR(EXPEDIENTE!$I$27)&gt;=YEAR(EXPEDIENTE!$I$25),YEAR(EXPEDIENTE!$I$25)+3,""))</f>
        <v/>
      </c>
      <c r="IN9" s="398" t="str">
        <f>IF(IM9="","",'IDENTIFICACIÓN TRABAJADOR'!$D$14)</f>
        <v/>
      </c>
      <c r="IO9" s="415" t="str">
        <f>CONCATENATE(UPPER('IDENTIFICACIÓN TRABAJADOR'!$D$11)," ",UPPER('IDENTIFICACIÓN TRABAJADOR'!$D$12)," ",UPPER('IDENTIFICACIÓN TRABAJADOR'!$D$13)," (EJERCICIO ",IM9,")")</f>
        <v xml:space="preserve">   (EJERCICIO )</v>
      </c>
      <c r="IP9" s="415">
        <f>IF($IC9&gt;0,"",'RESUMEN TRABAJADOR '!AJ96)</f>
        <v>0</v>
      </c>
      <c r="IR9" s="398">
        <f>'% DEDICACIÓN TRABAJADOR'!$B$47</f>
        <v>0</v>
      </c>
      <c r="IT9" s="398">
        <f t="shared" si="48"/>
        <v>1</v>
      </c>
      <c r="IU9" s="398">
        <f>SMALL($IT$6:$IT$9,4)</f>
        <v>2024</v>
      </c>
      <c r="IV9" s="398" t="str">
        <f>IF(IN9="","",IF(IU9&gt;MAX($HX$6:$HX$9),"",VLOOKUP(IU9,$HW$6:$IA$9,2,FALSE)))</f>
        <v/>
      </c>
      <c r="IW9" s="398" t="str">
        <f t="shared" si="49"/>
        <v/>
      </c>
      <c r="IX9" s="415" t="str">
        <f t="shared" si="50"/>
        <v/>
      </c>
      <c r="IY9" s="415" t="str">
        <f t="shared" si="51"/>
        <v/>
      </c>
      <c r="JC9" s="442">
        <v>5</v>
      </c>
      <c r="JD9" s="398">
        <v>0</v>
      </c>
    </row>
    <row r="10" spans="1:266" x14ac:dyDescent="0.25">
      <c r="C10" s="206">
        <v>4</v>
      </c>
      <c r="D10" s="401" t="s">
        <v>435</v>
      </c>
      <c r="E10" s="417">
        <v>7</v>
      </c>
      <c r="F10" s="418" t="s">
        <v>434</v>
      </c>
      <c r="G10" s="419" t="s">
        <v>92</v>
      </c>
      <c r="H10" s="419"/>
      <c r="I10" s="419"/>
      <c r="J10" s="401"/>
      <c r="K10" s="407">
        <f t="shared" si="52"/>
        <v>76</v>
      </c>
      <c r="L10" s="407">
        <f t="shared" si="53"/>
        <v>76</v>
      </c>
      <c r="M10" s="407" t="str">
        <f t="shared" si="54"/>
        <v>X</v>
      </c>
      <c r="R10" s="204" t="s">
        <v>239</v>
      </c>
      <c r="S10" s="443">
        <v>2</v>
      </c>
      <c r="T10" s="204" t="s">
        <v>17</v>
      </c>
      <c r="V10" s="981"/>
      <c r="W10" s="441" t="s">
        <v>255</v>
      </c>
      <c r="Y10" s="422">
        <f t="shared" si="0"/>
        <v>5</v>
      </c>
      <c r="Z10" s="412" t="str">
        <f>IF(Y10="","",IF(EDATE($Z$5,Y10)&gt;EXPEDIENTE!$F$27,"",EDATE($Z$5,Y10)))</f>
        <v/>
      </c>
      <c r="AA10" s="412" t="str">
        <f>IF(Z10="","",IF(YEAR(EXPEDIENTE!$F$25)=YEAR(Z10),Z10,""))</f>
        <v/>
      </c>
      <c r="AB10" s="412" t="str">
        <f>IF(Z10="","",IF(YEAR(EXPEDIENTE!$F$25)+1=YEAR(Z10),Z10,""))</f>
        <v/>
      </c>
      <c r="AC10" s="412" t="str">
        <f>IF(Z10="","",IF(YEAR(EXPEDIENTE!$F$25)+2=YEAR(Z10),Z10,""))</f>
        <v/>
      </c>
      <c r="AD10" s="412" t="str">
        <f>IF(Z10="","",IF(YEAR(EXPEDIENTE!$F$25)+3=YEAR(Z10),Z10,""))</f>
        <v/>
      </c>
      <c r="AG10" s="392"/>
      <c r="AH10" s="392"/>
      <c r="AI10" s="392"/>
      <c r="AJ10" s="392"/>
      <c r="AK10" s="392"/>
      <c r="AL10" s="392"/>
      <c r="AM10" s="392"/>
      <c r="AN10" s="392"/>
      <c r="AO10" s="392"/>
      <c r="AP10" s="392"/>
      <c r="AQ10" s="392"/>
      <c r="AR10" s="392"/>
      <c r="AS10" s="392"/>
      <c r="AT10" s="392"/>
      <c r="AU10" s="392"/>
      <c r="AV10" s="392"/>
      <c r="AW10" s="392"/>
      <c r="AY10" s="423">
        <v>4</v>
      </c>
      <c r="AZ10" s="424">
        <f t="shared" si="1"/>
        <v>44652</v>
      </c>
      <c r="BK10" s="433">
        <f t="shared" si="2"/>
        <v>0</v>
      </c>
      <c r="BL10" s="434">
        <f t="shared" si="3"/>
        <v>0</v>
      </c>
      <c r="BM10" s="434">
        <f t="shared" si="4"/>
        <v>0</v>
      </c>
      <c r="BN10" s="434">
        <f t="shared" si="5"/>
        <v>0</v>
      </c>
      <c r="BO10" s="434">
        <f t="shared" si="6"/>
        <v>0</v>
      </c>
      <c r="BP10" s="434">
        <f t="shared" si="7"/>
        <v>0</v>
      </c>
      <c r="BQ10" s="434">
        <f t="shared" si="8"/>
        <v>0</v>
      </c>
      <c r="BR10" s="435">
        <f t="shared" si="55"/>
        <v>0</v>
      </c>
      <c r="BS10" s="436">
        <f t="shared" si="56"/>
        <v>0</v>
      </c>
      <c r="BX10" s="392"/>
      <c r="BY10" s="392"/>
      <c r="BZ10" s="392"/>
      <c r="CA10" s="392"/>
      <c r="CB10" s="392"/>
      <c r="CC10" s="392"/>
      <c r="CD10" s="392"/>
      <c r="CE10" s="392"/>
      <c r="CF10" s="392"/>
      <c r="CG10" s="392"/>
      <c r="CH10" s="392"/>
      <c r="CI10" s="392"/>
      <c r="CJ10" s="392"/>
      <c r="CK10" s="392"/>
      <c r="CL10" s="392"/>
      <c r="CM10" s="392"/>
      <c r="CN10" s="392"/>
      <c r="CP10" s="423">
        <v>4</v>
      </c>
      <c r="CQ10" s="424">
        <f t="shared" si="9"/>
        <v>44652</v>
      </c>
      <c r="DB10" s="437">
        <f t="shared" si="57"/>
        <v>0</v>
      </c>
      <c r="DC10" s="423">
        <f t="shared" si="58"/>
        <v>0</v>
      </c>
      <c r="DD10" s="423">
        <f t="shared" si="59"/>
        <v>0</v>
      </c>
      <c r="DE10" s="423">
        <f t="shared" si="60"/>
        <v>0</v>
      </c>
      <c r="DF10" s="423">
        <f t="shared" si="61"/>
        <v>0</v>
      </c>
      <c r="DG10" s="423">
        <f t="shared" si="62"/>
        <v>0</v>
      </c>
      <c r="DH10" s="423">
        <f t="shared" si="63"/>
        <v>0</v>
      </c>
      <c r="DI10" s="438">
        <f t="shared" si="64"/>
        <v>0</v>
      </c>
      <c r="DJ10" s="439">
        <f t="shared" si="65"/>
        <v>0</v>
      </c>
      <c r="DN10" s="392"/>
      <c r="DY10" s="430">
        <f t="shared" si="10"/>
        <v>44774</v>
      </c>
      <c r="DZ10" s="430">
        <f t="shared" si="11"/>
        <v>44804</v>
      </c>
      <c r="EA10" s="386" t="str">
        <f>IF(AND(DZ10&gt;=EXPEDIENTE!$F$25,DY10&lt;=EXPEDIENTE!$F$29),"SI","NO")</f>
        <v>NO</v>
      </c>
      <c r="EB10" s="423">
        <f t="shared" si="12"/>
        <v>0</v>
      </c>
      <c r="EC10" s="423">
        <f t="shared" si="13"/>
        <v>0</v>
      </c>
      <c r="ED10" s="423">
        <f t="shared" si="14"/>
        <v>0</v>
      </c>
      <c r="EE10" s="423">
        <f t="shared" si="15"/>
        <v>0</v>
      </c>
      <c r="EF10" s="423">
        <f t="shared" si="16"/>
        <v>0</v>
      </c>
      <c r="EG10" s="423">
        <f t="shared" si="17"/>
        <v>0</v>
      </c>
      <c r="EH10" s="423">
        <f t="shared" si="18"/>
        <v>0</v>
      </c>
      <c r="EI10" s="423">
        <f t="shared" si="19"/>
        <v>0</v>
      </c>
      <c r="EJ10" s="423">
        <f t="shared" si="20"/>
        <v>0</v>
      </c>
      <c r="EK10" s="423">
        <f t="shared" si="21"/>
        <v>0</v>
      </c>
      <c r="EL10" s="423">
        <f t="shared" si="22"/>
        <v>0</v>
      </c>
      <c r="EM10" s="423">
        <f t="shared" si="23"/>
        <v>0</v>
      </c>
      <c r="EN10" s="423">
        <f t="shared" si="24"/>
        <v>0</v>
      </c>
      <c r="EO10" s="423">
        <f t="shared" si="25"/>
        <v>0</v>
      </c>
      <c r="EP10" s="423">
        <f t="shared" si="26"/>
        <v>0</v>
      </c>
      <c r="EQ10" s="423">
        <f t="shared" si="27"/>
        <v>0</v>
      </c>
      <c r="ER10" s="423">
        <f t="shared" si="28"/>
        <v>0</v>
      </c>
      <c r="ES10" s="423">
        <f t="shared" si="29"/>
        <v>0</v>
      </c>
      <c r="ET10" s="423">
        <f t="shared" si="30"/>
        <v>0</v>
      </c>
      <c r="EU10" s="423">
        <f t="shared" si="31"/>
        <v>0</v>
      </c>
      <c r="EV10" s="423">
        <f t="shared" si="32"/>
        <v>0</v>
      </c>
      <c r="EW10" s="423">
        <f t="shared" si="33"/>
        <v>0</v>
      </c>
      <c r="EX10" s="423">
        <f t="shared" si="34"/>
        <v>0</v>
      </c>
      <c r="EY10" s="423">
        <f t="shared" si="35"/>
        <v>0</v>
      </c>
      <c r="EZ10" s="423">
        <f t="shared" si="36"/>
        <v>0</v>
      </c>
      <c r="FA10" s="423">
        <f t="shared" si="37"/>
        <v>0</v>
      </c>
      <c r="FB10" s="423">
        <f t="shared" si="38"/>
        <v>0</v>
      </c>
      <c r="FC10" s="423">
        <f t="shared" si="39"/>
        <v>0</v>
      </c>
      <c r="FD10" s="423">
        <f t="shared" si="40"/>
        <v>0</v>
      </c>
      <c r="FE10" s="423">
        <f t="shared" si="41"/>
        <v>0</v>
      </c>
      <c r="FF10" s="423">
        <f t="shared" si="42"/>
        <v>0</v>
      </c>
      <c r="FG10" s="423">
        <f t="shared" si="43"/>
        <v>0</v>
      </c>
      <c r="FH10" s="423">
        <f t="shared" si="66"/>
        <v>0</v>
      </c>
      <c r="FR10" s="392"/>
      <c r="GC10" s="430">
        <f t="shared" si="44"/>
        <v>44774</v>
      </c>
      <c r="GD10" s="430">
        <f t="shared" si="45"/>
        <v>44804</v>
      </c>
      <c r="GE10" s="386" t="str">
        <f>IF(AND(GD10&gt;=EXPEDIENTE!$F$25,GC10&lt;=EXPEDIENTE!$F$29),"SI","NO")</f>
        <v>NO</v>
      </c>
      <c r="GF10" s="423">
        <f t="shared" si="67"/>
        <v>0</v>
      </c>
      <c r="GG10" s="423">
        <f t="shared" si="68"/>
        <v>0</v>
      </c>
      <c r="GH10" s="423">
        <f t="shared" si="69"/>
        <v>0</v>
      </c>
      <c r="GI10" s="423">
        <f t="shared" si="70"/>
        <v>0</v>
      </c>
      <c r="GJ10" s="423">
        <f t="shared" si="71"/>
        <v>0</v>
      </c>
      <c r="GK10" s="423">
        <f t="shared" si="72"/>
        <v>0</v>
      </c>
      <c r="GL10" s="423">
        <f t="shared" si="73"/>
        <v>0</v>
      </c>
      <c r="GM10" s="423">
        <f t="shared" si="74"/>
        <v>0</v>
      </c>
      <c r="GN10" s="423">
        <f t="shared" si="75"/>
        <v>0</v>
      </c>
      <c r="GO10" s="423">
        <f t="shared" si="76"/>
        <v>0</v>
      </c>
      <c r="GP10" s="423">
        <f t="shared" si="77"/>
        <v>0</v>
      </c>
      <c r="GQ10" s="423">
        <f t="shared" si="78"/>
        <v>0</v>
      </c>
      <c r="GR10" s="423">
        <f t="shared" si="79"/>
        <v>0</v>
      </c>
      <c r="GS10" s="423">
        <f t="shared" si="80"/>
        <v>0</v>
      </c>
      <c r="GT10" s="423">
        <f t="shared" si="81"/>
        <v>0</v>
      </c>
      <c r="GU10" s="423">
        <f t="shared" si="82"/>
        <v>0</v>
      </c>
      <c r="GV10" s="423">
        <f t="shared" si="83"/>
        <v>0</v>
      </c>
      <c r="GW10" s="423">
        <f t="shared" si="84"/>
        <v>0</v>
      </c>
      <c r="GX10" s="423">
        <f t="shared" si="85"/>
        <v>0</v>
      </c>
      <c r="GY10" s="423">
        <f t="shared" si="86"/>
        <v>0</v>
      </c>
      <c r="GZ10" s="423">
        <f t="shared" si="87"/>
        <v>0</v>
      </c>
      <c r="HA10" s="423">
        <f t="shared" si="88"/>
        <v>0</v>
      </c>
      <c r="HB10" s="423">
        <f t="shared" si="89"/>
        <v>0</v>
      </c>
      <c r="HC10" s="423">
        <f t="shared" si="90"/>
        <v>0</v>
      </c>
      <c r="HD10" s="423">
        <f t="shared" si="91"/>
        <v>0</v>
      </c>
      <c r="HE10" s="423">
        <f t="shared" si="92"/>
        <v>0</v>
      </c>
      <c r="HF10" s="423">
        <f t="shared" si="93"/>
        <v>0</v>
      </c>
      <c r="HG10" s="423">
        <f t="shared" si="94"/>
        <v>0</v>
      </c>
      <c r="HH10" s="423">
        <f t="shared" si="95"/>
        <v>0</v>
      </c>
      <c r="HI10" s="423">
        <f t="shared" si="96"/>
        <v>0</v>
      </c>
      <c r="HJ10" s="423">
        <f t="shared" si="97"/>
        <v>0</v>
      </c>
      <c r="HK10" s="423">
        <f t="shared" si="98"/>
        <v>0</v>
      </c>
      <c r="HL10" s="423">
        <f t="shared" si="99"/>
        <v>0</v>
      </c>
      <c r="JC10" s="406">
        <v>6</v>
      </c>
      <c r="JD10" s="398">
        <f>JD5+2</f>
        <v>2</v>
      </c>
    </row>
    <row r="11" spans="1:266" x14ac:dyDescent="0.25">
      <c r="C11" s="206">
        <v>5</v>
      </c>
      <c r="D11" s="401" t="s">
        <v>436</v>
      </c>
      <c r="E11" s="417">
        <v>7</v>
      </c>
      <c r="F11" s="418" t="s">
        <v>437</v>
      </c>
      <c r="G11" s="419" t="s">
        <v>438</v>
      </c>
      <c r="H11" s="419"/>
      <c r="I11" s="419"/>
      <c r="J11" s="401"/>
      <c r="K11" s="407">
        <f t="shared" si="52"/>
        <v>76</v>
      </c>
      <c r="L11" s="407">
        <f t="shared" si="53"/>
        <v>76</v>
      </c>
      <c r="M11" s="407" t="str">
        <f t="shared" si="54"/>
        <v>X</v>
      </c>
      <c r="O11" s="977" t="s">
        <v>240</v>
      </c>
      <c r="P11" s="419" t="s">
        <v>442</v>
      </c>
      <c r="R11" s="206"/>
      <c r="V11" s="981"/>
      <c r="W11" s="441" t="s">
        <v>256</v>
      </c>
      <c r="Y11" s="422">
        <f t="shared" si="0"/>
        <v>6</v>
      </c>
      <c r="Z11" s="412" t="str">
        <f>IF(Y11="","",IF(EDATE($Z$5,Y11)&gt;EXPEDIENTE!$F$27,"",EDATE($Z$5,Y11)))</f>
        <v/>
      </c>
      <c r="AA11" s="412" t="str">
        <f>IF(Z11="","",IF(YEAR(EXPEDIENTE!$F$25)=YEAR(Z11),Z11,""))</f>
        <v/>
      </c>
      <c r="AB11" s="412" t="str">
        <f>IF(Z11="","",IF(YEAR(EXPEDIENTE!$F$25)+1=YEAR(Z11),Z11,""))</f>
        <v/>
      </c>
      <c r="AC11" s="412" t="str">
        <f>IF(Z11="","",IF(YEAR(EXPEDIENTE!$F$25)+2=YEAR(Z11),Z11,""))</f>
        <v/>
      </c>
      <c r="AD11" s="412" t="str">
        <f>IF(Z11="","",IF(YEAR(EXPEDIENTE!$F$25)+3=YEAR(Z11),Z11,""))</f>
        <v/>
      </c>
      <c r="AG11" s="392"/>
      <c r="AH11" s="392"/>
      <c r="AI11" s="392"/>
      <c r="AJ11" s="392"/>
      <c r="AK11" s="392"/>
      <c r="AL11" s="392"/>
      <c r="AM11" s="392"/>
      <c r="AN11" s="392"/>
      <c r="AO11" s="392"/>
      <c r="AP11" s="392"/>
      <c r="AQ11" s="392"/>
      <c r="AR11" s="392"/>
      <c r="AS11" s="392"/>
      <c r="AT11" s="392"/>
      <c r="AU11" s="392"/>
      <c r="AV11" s="392"/>
      <c r="AW11" s="392"/>
      <c r="AY11" s="423">
        <v>5</v>
      </c>
      <c r="AZ11" s="424">
        <f t="shared" si="1"/>
        <v>44682</v>
      </c>
      <c r="BK11" s="433">
        <f t="shared" si="2"/>
        <v>0</v>
      </c>
      <c r="BL11" s="434">
        <f t="shared" si="3"/>
        <v>0</v>
      </c>
      <c r="BM11" s="434">
        <f t="shared" si="4"/>
        <v>0</v>
      </c>
      <c r="BN11" s="434">
        <f t="shared" si="5"/>
        <v>0</v>
      </c>
      <c r="BO11" s="434">
        <f t="shared" si="6"/>
        <v>0</v>
      </c>
      <c r="BP11" s="434">
        <f t="shared" si="7"/>
        <v>0</v>
      </c>
      <c r="BQ11" s="434">
        <f t="shared" si="8"/>
        <v>0</v>
      </c>
      <c r="BR11" s="435">
        <f t="shared" si="55"/>
        <v>0</v>
      </c>
      <c r="BS11" s="436">
        <f t="shared" si="56"/>
        <v>0</v>
      </c>
      <c r="BX11" s="392"/>
      <c r="BY11" s="392"/>
      <c r="BZ11" s="392"/>
      <c r="CA11" s="392"/>
      <c r="CB11" s="392"/>
      <c r="CC11" s="392"/>
      <c r="CD11" s="392"/>
      <c r="CE11" s="392"/>
      <c r="CF11" s="392"/>
      <c r="CG11" s="392"/>
      <c r="CH11" s="392"/>
      <c r="CI11" s="392"/>
      <c r="CJ11" s="392"/>
      <c r="CK11" s="392"/>
      <c r="CL11" s="392"/>
      <c r="CM11" s="392"/>
      <c r="CN11" s="392"/>
      <c r="CP11" s="423">
        <v>5</v>
      </c>
      <c r="CQ11" s="424">
        <f t="shared" si="9"/>
        <v>44682</v>
      </c>
      <c r="DB11" s="437">
        <f t="shared" si="57"/>
        <v>0</v>
      </c>
      <c r="DC11" s="423">
        <f t="shared" si="58"/>
        <v>0</v>
      </c>
      <c r="DD11" s="423">
        <f t="shared" si="59"/>
        <v>0</v>
      </c>
      <c r="DE11" s="423">
        <f t="shared" si="60"/>
        <v>0</v>
      </c>
      <c r="DF11" s="423">
        <f t="shared" si="61"/>
        <v>0</v>
      </c>
      <c r="DG11" s="423">
        <f t="shared" si="62"/>
        <v>0</v>
      </c>
      <c r="DH11" s="423">
        <f t="shared" si="63"/>
        <v>0</v>
      </c>
      <c r="DI11" s="438">
        <f t="shared" si="64"/>
        <v>0</v>
      </c>
      <c r="DJ11" s="439">
        <f t="shared" si="65"/>
        <v>0</v>
      </c>
      <c r="DN11" s="392"/>
      <c r="DY11" s="430">
        <f t="shared" si="10"/>
        <v>44805</v>
      </c>
      <c r="DZ11" s="430">
        <f t="shared" si="11"/>
        <v>44834</v>
      </c>
      <c r="EA11" s="386" t="str">
        <f>IF(AND(DZ11&gt;=EXPEDIENTE!$F$25,DY11&lt;=EXPEDIENTE!$F$29),"SI","NO")</f>
        <v>NO</v>
      </c>
      <c r="EB11" s="423">
        <f t="shared" si="12"/>
        <v>0</v>
      </c>
      <c r="EC11" s="423">
        <f t="shared" si="13"/>
        <v>0</v>
      </c>
      <c r="ED11" s="423">
        <f t="shared" si="14"/>
        <v>0</v>
      </c>
      <c r="EE11" s="423">
        <f t="shared" si="15"/>
        <v>0</v>
      </c>
      <c r="EF11" s="423">
        <f t="shared" si="16"/>
        <v>0</v>
      </c>
      <c r="EG11" s="423">
        <f t="shared" si="17"/>
        <v>0</v>
      </c>
      <c r="EH11" s="423">
        <f t="shared" si="18"/>
        <v>0</v>
      </c>
      <c r="EI11" s="423">
        <f t="shared" si="19"/>
        <v>0</v>
      </c>
      <c r="EJ11" s="423">
        <f t="shared" si="20"/>
        <v>0</v>
      </c>
      <c r="EK11" s="423">
        <f t="shared" si="21"/>
        <v>0</v>
      </c>
      <c r="EL11" s="423">
        <f t="shared" si="22"/>
        <v>0</v>
      </c>
      <c r="EM11" s="423">
        <f t="shared" si="23"/>
        <v>0</v>
      </c>
      <c r="EN11" s="423">
        <f t="shared" si="24"/>
        <v>0</v>
      </c>
      <c r="EO11" s="423">
        <f t="shared" si="25"/>
        <v>0</v>
      </c>
      <c r="EP11" s="423">
        <f t="shared" si="26"/>
        <v>0</v>
      </c>
      <c r="EQ11" s="423">
        <f t="shared" si="27"/>
        <v>0</v>
      </c>
      <c r="ER11" s="423">
        <f t="shared" si="28"/>
        <v>0</v>
      </c>
      <c r="ES11" s="423">
        <f t="shared" si="29"/>
        <v>0</v>
      </c>
      <c r="ET11" s="423">
        <f t="shared" si="30"/>
        <v>0</v>
      </c>
      <c r="EU11" s="423">
        <f t="shared" si="31"/>
        <v>0</v>
      </c>
      <c r="EV11" s="423">
        <f t="shared" si="32"/>
        <v>0</v>
      </c>
      <c r="EW11" s="423">
        <f t="shared" si="33"/>
        <v>0</v>
      </c>
      <c r="EX11" s="423">
        <f t="shared" si="34"/>
        <v>0</v>
      </c>
      <c r="EY11" s="423">
        <f t="shared" si="35"/>
        <v>0</v>
      </c>
      <c r="EZ11" s="423">
        <f t="shared" si="36"/>
        <v>0</v>
      </c>
      <c r="FA11" s="423">
        <f t="shared" si="37"/>
        <v>0</v>
      </c>
      <c r="FB11" s="423">
        <f t="shared" si="38"/>
        <v>0</v>
      </c>
      <c r="FC11" s="423">
        <f t="shared" si="39"/>
        <v>0</v>
      </c>
      <c r="FD11" s="423">
        <f t="shared" si="40"/>
        <v>0</v>
      </c>
      <c r="FE11" s="423">
        <f t="shared" si="41"/>
        <v>0</v>
      </c>
      <c r="FF11" s="423">
        <f t="shared" si="42"/>
        <v>0</v>
      </c>
      <c r="FG11" s="423">
        <f t="shared" si="43"/>
        <v>0</v>
      </c>
      <c r="FH11" s="423">
        <f t="shared" si="66"/>
        <v>0</v>
      </c>
      <c r="FR11" s="392"/>
      <c r="GC11" s="430">
        <f t="shared" si="44"/>
        <v>44805</v>
      </c>
      <c r="GD11" s="430">
        <f t="shared" si="45"/>
        <v>44834</v>
      </c>
      <c r="GE11" s="386" t="str">
        <f>IF(AND(GD11&gt;=EXPEDIENTE!$F$25,GC11&lt;=EXPEDIENTE!$F$29),"SI","NO")</f>
        <v>NO</v>
      </c>
      <c r="GF11" s="423">
        <f t="shared" si="67"/>
        <v>0</v>
      </c>
      <c r="GG11" s="423">
        <f t="shared" si="68"/>
        <v>0</v>
      </c>
      <c r="GH11" s="423">
        <f t="shared" si="69"/>
        <v>0</v>
      </c>
      <c r="GI11" s="423">
        <f t="shared" si="70"/>
        <v>0</v>
      </c>
      <c r="GJ11" s="423">
        <f t="shared" si="71"/>
        <v>0</v>
      </c>
      <c r="GK11" s="423">
        <f t="shared" si="72"/>
        <v>0</v>
      </c>
      <c r="GL11" s="423">
        <f t="shared" si="73"/>
        <v>0</v>
      </c>
      <c r="GM11" s="423">
        <f t="shared" si="74"/>
        <v>0</v>
      </c>
      <c r="GN11" s="423">
        <f t="shared" si="75"/>
        <v>0</v>
      </c>
      <c r="GO11" s="423">
        <f t="shared" si="76"/>
        <v>0</v>
      </c>
      <c r="GP11" s="423">
        <f t="shared" si="77"/>
        <v>0</v>
      </c>
      <c r="GQ11" s="423">
        <f t="shared" si="78"/>
        <v>0</v>
      </c>
      <c r="GR11" s="423">
        <f t="shared" si="79"/>
        <v>0</v>
      </c>
      <c r="GS11" s="423">
        <f t="shared" si="80"/>
        <v>0</v>
      </c>
      <c r="GT11" s="423">
        <f t="shared" si="81"/>
        <v>0</v>
      </c>
      <c r="GU11" s="423">
        <f t="shared" si="82"/>
        <v>0</v>
      </c>
      <c r="GV11" s="423">
        <f t="shared" si="83"/>
        <v>0</v>
      </c>
      <c r="GW11" s="423">
        <f t="shared" si="84"/>
        <v>0</v>
      </c>
      <c r="GX11" s="423">
        <f t="shared" si="85"/>
        <v>0</v>
      </c>
      <c r="GY11" s="423">
        <f t="shared" si="86"/>
        <v>0</v>
      </c>
      <c r="GZ11" s="423">
        <f t="shared" si="87"/>
        <v>0</v>
      </c>
      <c r="HA11" s="423">
        <f t="shared" si="88"/>
        <v>0</v>
      </c>
      <c r="HB11" s="423">
        <f t="shared" si="89"/>
        <v>0</v>
      </c>
      <c r="HC11" s="423">
        <f t="shared" si="90"/>
        <v>0</v>
      </c>
      <c r="HD11" s="423">
        <f t="shared" si="91"/>
        <v>0</v>
      </c>
      <c r="HE11" s="423">
        <f t="shared" si="92"/>
        <v>0</v>
      </c>
      <c r="HF11" s="423">
        <f t="shared" si="93"/>
        <v>0</v>
      </c>
      <c r="HG11" s="423">
        <f t="shared" si="94"/>
        <v>0</v>
      </c>
      <c r="HH11" s="423">
        <f t="shared" si="95"/>
        <v>0</v>
      </c>
      <c r="HI11" s="423">
        <f t="shared" si="96"/>
        <v>0</v>
      </c>
      <c r="HJ11" s="423">
        <f t="shared" si="97"/>
        <v>0</v>
      </c>
      <c r="HK11" s="423">
        <f t="shared" si="98"/>
        <v>0</v>
      </c>
      <c r="HL11" s="423">
        <f t="shared" si="99"/>
        <v>0</v>
      </c>
      <c r="JC11" s="416">
        <v>7</v>
      </c>
      <c r="JD11" s="398">
        <f t="shared" ref="JD11:JD74" si="100">JD6+2</f>
        <v>2</v>
      </c>
    </row>
    <row r="12" spans="1:266" x14ac:dyDescent="0.25">
      <c r="C12" s="206">
        <v>6</v>
      </c>
      <c r="D12" s="401" t="s">
        <v>439</v>
      </c>
      <c r="E12" s="417">
        <v>8</v>
      </c>
      <c r="F12" s="418" t="s">
        <v>440</v>
      </c>
      <c r="G12" s="419" t="s">
        <v>441</v>
      </c>
      <c r="H12" s="419"/>
      <c r="I12" s="419"/>
      <c r="J12" s="401" t="s">
        <v>234</v>
      </c>
      <c r="K12" s="407">
        <f t="shared" si="52"/>
        <v>6</v>
      </c>
      <c r="L12" s="407">
        <f t="shared" si="53"/>
        <v>6</v>
      </c>
      <c r="M12" s="407" t="str">
        <f t="shared" si="54"/>
        <v>X</v>
      </c>
      <c r="O12" s="978"/>
      <c r="P12" s="419"/>
      <c r="R12" s="444" t="s">
        <v>18</v>
      </c>
      <c r="S12" s="445">
        <f>EXPEDIENTE!F27</f>
        <v>0</v>
      </c>
      <c r="V12" s="981"/>
      <c r="W12" s="441" t="s">
        <v>257</v>
      </c>
      <c r="Y12" s="422">
        <f t="shared" si="0"/>
        <v>7</v>
      </c>
      <c r="Z12" s="412" t="str">
        <f>IF(Y12="","",IF(EDATE($Z$5,Y12)&gt;EXPEDIENTE!$F$27,"",EDATE($Z$5,Y12)))</f>
        <v/>
      </c>
      <c r="AA12" s="412" t="str">
        <f>IF(Z12="","",IF(YEAR(EXPEDIENTE!$F$25)=YEAR(Z12),Z12,""))</f>
        <v/>
      </c>
      <c r="AB12" s="412" t="str">
        <f>IF(Z12="","",IF(YEAR(EXPEDIENTE!$F$25)+1=YEAR(Z12),Z12,""))</f>
        <v/>
      </c>
      <c r="AC12" s="412" t="str">
        <f>IF(Z12="","",IF(YEAR(EXPEDIENTE!$F$25)+2=YEAR(Z12),Z12,""))</f>
        <v/>
      </c>
      <c r="AD12" s="412" t="str">
        <f>IF(Z12="","",IF(YEAR(EXPEDIENTE!$F$25)+3=YEAR(Z12),Z12,""))</f>
        <v/>
      </c>
      <c r="AG12" s="392"/>
      <c r="AH12" s="392"/>
      <c r="AI12" s="392"/>
      <c r="AJ12" s="392"/>
      <c r="AK12" s="392"/>
      <c r="AL12" s="392"/>
      <c r="AM12" s="392"/>
      <c r="AN12" s="392"/>
      <c r="AO12" s="392"/>
      <c r="AP12" s="392"/>
      <c r="AQ12" s="392"/>
      <c r="AR12" s="392"/>
      <c r="AS12" s="392"/>
      <c r="AT12" s="392"/>
      <c r="AU12" s="392"/>
      <c r="AV12" s="392"/>
      <c r="AW12" s="392"/>
      <c r="AY12" s="423">
        <v>6</v>
      </c>
      <c r="AZ12" s="424">
        <f t="shared" si="1"/>
        <v>44713</v>
      </c>
      <c r="BK12" s="433">
        <f t="shared" si="2"/>
        <v>0</v>
      </c>
      <c r="BL12" s="434">
        <f t="shared" si="3"/>
        <v>0</v>
      </c>
      <c r="BM12" s="434">
        <f t="shared" si="4"/>
        <v>0</v>
      </c>
      <c r="BN12" s="434">
        <f t="shared" si="5"/>
        <v>0</v>
      </c>
      <c r="BO12" s="434">
        <f t="shared" si="6"/>
        <v>0</v>
      </c>
      <c r="BP12" s="434">
        <f t="shared" si="7"/>
        <v>0</v>
      </c>
      <c r="BQ12" s="434">
        <f t="shared" si="8"/>
        <v>0</v>
      </c>
      <c r="BR12" s="435">
        <f t="shared" si="55"/>
        <v>0</v>
      </c>
      <c r="BS12" s="436">
        <f t="shared" si="56"/>
        <v>0</v>
      </c>
      <c r="BX12" s="392"/>
      <c r="BY12" s="392"/>
      <c r="BZ12" s="392"/>
      <c r="CA12" s="392"/>
      <c r="CB12" s="392"/>
      <c r="CC12" s="392"/>
      <c r="CD12" s="392"/>
      <c r="CE12" s="392"/>
      <c r="CF12" s="392"/>
      <c r="CG12" s="392"/>
      <c r="CH12" s="392"/>
      <c r="CI12" s="392"/>
      <c r="CJ12" s="392"/>
      <c r="CK12" s="392"/>
      <c r="CL12" s="392"/>
      <c r="CM12" s="392"/>
      <c r="CN12" s="392"/>
      <c r="CP12" s="423">
        <v>6</v>
      </c>
      <c r="CQ12" s="424">
        <f t="shared" si="9"/>
        <v>44713</v>
      </c>
      <c r="DB12" s="437">
        <f t="shared" si="57"/>
        <v>0</v>
      </c>
      <c r="DC12" s="423">
        <f t="shared" si="58"/>
        <v>0</v>
      </c>
      <c r="DD12" s="423">
        <f t="shared" si="59"/>
        <v>0</v>
      </c>
      <c r="DE12" s="423">
        <f t="shared" si="60"/>
        <v>0</v>
      </c>
      <c r="DF12" s="423">
        <f t="shared" si="61"/>
        <v>0</v>
      </c>
      <c r="DG12" s="423">
        <f t="shared" si="62"/>
        <v>0</v>
      </c>
      <c r="DH12" s="423">
        <f t="shared" si="63"/>
        <v>0</v>
      </c>
      <c r="DI12" s="438">
        <f t="shared" si="64"/>
        <v>0</v>
      </c>
      <c r="DJ12" s="439">
        <f t="shared" si="65"/>
        <v>0</v>
      </c>
      <c r="DN12" s="392"/>
      <c r="DY12" s="430">
        <f t="shared" si="10"/>
        <v>44835</v>
      </c>
      <c r="DZ12" s="430">
        <f t="shared" si="11"/>
        <v>44865</v>
      </c>
      <c r="EA12" s="386" t="str">
        <f>IF(AND(DZ12&gt;=EXPEDIENTE!$F$25,DY12&lt;=EXPEDIENTE!$F$29),"SI","NO")</f>
        <v>NO</v>
      </c>
      <c r="EB12" s="423">
        <f t="shared" si="12"/>
        <v>0</v>
      </c>
      <c r="EC12" s="423">
        <f t="shared" si="13"/>
        <v>0</v>
      </c>
      <c r="ED12" s="423">
        <f t="shared" si="14"/>
        <v>0</v>
      </c>
      <c r="EE12" s="423">
        <f t="shared" si="15"/>
        <v>0</v>
      </c>
      <c r="EF12" s="423">
        <f t="shared" si="16"/>
        <v>0</v>
      </c>
      <c r="EG12" s="423">
        <f t="shared" si="17"/>
        <v>0</v>
      </c>
      <c r="EH12" s="423">
        <f t="shared" si="18"/>
        <v>0</v>
      </c>
      <c r="EI12" s="423">
        <f t="shared" si="19"/>
        <v>0</v>
      </c>
      <c r="EJ12" s="423">
        <f t="shared" si="20"/>
        <v>0</v>
      </c>
      <c r="EK12" s="423">
        <f t="shared" si="21"/>
        <v>0</v>
      </c>
      <c r="EL12" s="423">
        <f t="shared" si="22"/>
        <v>0</v>
      </c>
      <c r="EM12" s="423">
        <f t="shared" si="23"/>
        <v>0</v>
      </c>
      <c r="EN12" s="423">
        <f t="shared" si="24"/>
        <v>0</v>
      </c>
      <c r="EO12" s="423">
        <f t="shared" si="25"/>
        <v>0</v>
      </c>
      <c r="EP12" s="423">
        <f t="shared" si="26"/>
        <v>0</v>
      </c>
      <c r="EQ12" s="423">
        <f t="shared" si="27"/>
        <v>0</v>
      </c>
      <c r="ER12" s="423">
        <f t="shared" si="28"/>
        <v>0</v>
      </c>
      <c r="ES12" s="423">
        <f t="shared" si="29"/>
        <v>0</v>
      </c>
      <c r="ET12" s="423">
        <f t="shared" si="30"/>
        <v>0</v>
      </c>
      <c r="EU12" s="423">
        <f t="shared" si="31"/>
        <v>0</v>
      </c>
      <c r="EV12" s="423">
        <f t="shared" si="32"/>
        <v>0</v>
      </c>
      <c r="EW12" s="423">
        <f t="shared" si="33"/>
        <v>0</v>
      </c>
      <c r="EX12" s="423">
        <f t="shared" si="34"/>
        <v>0</v>
      </c>
      <c r="EY12" s="423">
        <f t="shared" si="35"/>
        <v>0</v>
      </c>
      <c r="EZ12" s="423">
        <f t="shared" si="36"/>
        <v>0</v>
      </c>
      <c r="FA12" s="423">
        <f t="shared" si="37"/>
        <v>0</v>
      </c>
      <c r="FB12" s="423">
        <f t="shared" si="38"/>
        <v>0</v>
      </c>
      <c r="FC12" s="423">
        <f t="shared" si="39"/>
        <v>0</v>
      </c>
      <c r="FD12" s="423">
        <f t="shared" si="40"/>
        <v>0</v>
      </c>
      <c r="FE12" s="423">
        <f t="shared" si="41"/>
        <v>0</v>
      </c>
      <c r="FF12" s="423">
        <f t="shared" si="42"/>
        <v>0</v>
      </c>
      <c r="FG12" s="423">
        <f t="shared" si="43"/>
        <v>0</v>
      </c>
      <c r="FH12" s="423">
        <f t="shared" si="66"/>
        <v>0</v>
      </c>
      <c r="FQ12" s="392"/>
      <c r="FR12" s="392"/>
      <c r="GC12" s="430">
        <f t="shared" si="44"/>
        <v>44835</v>
      </c>
      <c r="GD12" s="430">
        <f t="shared" si="45"/>
        <v>44865</v>
      </c>
      <c r="GE12" s="386" t="str">
        <f>IF(AND(GD12&gt;=EXPEDIENTE!$F$25,GC12&lt;=EXPEDIENTE!$F$29),"SI","NO")</f>
        <v>NO</v>
      </c>
      <c r="GF12" s="423">
        <f t="shared" si="67"/>
        <v>0</v>
      </c>
      <c r="GG12" s="423">
        <f t="shared" si="68"/>
        <v>0</v>
      </c>
      <c r="GH12" s="423">
        <f t="shared" si="69"/>
        <v>0</v>
      </c>
      <c r="GI12" s="423">
        <f t="shared" si="70"/>
        <v>0</v>
      </c>
      <c r="GJ12" s="423">
        <f t="shared" si="71"/>
        <v>0</v>
      </c>
      <c r="GK12" s="423">
        <f t="shared" si="72"/>
        <v>0</v>
      </c>
      <c r="GL12" s="423">
        <f t="shared" si="73"/>
        <v>0</v>
      </c>
      <c r="GM12" s="423">
        <f t="shared" si="74"/>
        <v>0</v>
      </c>
      <c r="GN12" s="423">
        <f t="shared" si="75"/>
        <v>0</v>
      </c>
      <c r="GO12" s="423">
        <f t="shared" si="76"/>
        <v>0</v>
      </c>
      <c r="GP12" s="423">
        <f t="shared" si="77"/>
        <v>0</v>
      </c>
      <c r="GQ12" s="423">
        <f t="shared" si="78"/>
        <v>0</v>
      </c>
      <c r="GR12" s="423">
        <f t="shared" si="79"/>
        <v>0</v>
      </c>
      <c r="GS12" s="423">
        <f t="shared" si="80"/>
        <v>0</v>
      </c>
      <c r="GT12" s="423">
        <f t="shared" si="81"/>
        <v>0</v>
      </c>
      <c r="GU12" s="423">
        <f t="shared" si="82"/>
        <v>0</v>
      </c>
      <c r="GV12" s="423">
        <f t="shared" si="83"/>
        <v>0</v>
      </c>
      <c r="GW12" s="423">
        <f t="shared" si="84"/>
        <v>0</v>
      </c>
      <c r="GX12" s="423">
        <f t="shared" si="85"/>
        <v>0</v>
      </c>
      <c r="GY12" s="423">
        <f t="shared" si="86"/>
        <v>0</v>
      </c>
      <c r="GZ12" s="423">
        <f t="shared" si="87"/>
        <v>0</v>
      </c>
      <c r="HA12" s="423">
        <f t="shared" si="88"/>
        <v>0</v>
      </c>
      <c r="HB12" s="423">
        <f t="shared" si="89"/>
        <v>0</v>
      </c>
      <c r="HC12" s="423">
        <f t="shared" si="90"/>
        <v>0</v>
      </c>
      <c r="HD12" s="423">
        <f t="shared" si="91"/>
        <v>0</v>
      </c>
      <c r="HE12" s="423">
        <f t="shared" si="92"/>
        <v>0</v>
      </c>
      <c r="HF12" s="423">
        <f t="shared" si="93"/>
        <v>0</v>
      </c>
      <c r="HG12" s="423">
        <f t="shared" si="94"/>
        <v>0</v>
      </c>
      <c r="HH12" s="423">
        <f t="shared" si="95"/>
        <v>0</v>
      </c>
      <c r="HI12" s="423">
        <f t="shared" si="96"/>
        <v>0</v>
      </c>
      <c r="HJ12" s="423">
        <f t="shared" si="97"/>
        <v>0</v>
      </c>
      <c r="HK12" s="423">
        <f t="shared" si="98"/>
        <v>0</v>
      </c>
      <c r="HL12" s="423">
        <f t="shared" si="99"/>
        <v>0</v>
      </c>
      <c r="HV12" s="392"/>
      <c r="IA12" s="393"/>
      <c r="IB12" s="392"/>
      <c r="ID12" s="393"/>
      <c r="IH12" s="392"/>
      <c r="IP12" s="393"/>
      <c r="IQ12" s="392"/>
      <c r="IS12" s="393"/>
      <c r="IW12" s="392"/>
      <c r="JC12" s="416">
        <v>8</v>
      </c>
      <c r="JD12" s="398">
        <f>JD7+2</f>
        <v>2</v>
      </c>
    </row>
    <row r="13" spans="1:266" x14ac:dyDescent="0.25">
      <c r="C13" s="206">
        <v>7</v>
      </c>
      <c r="D13" s="401"/>
      <c r="E13" s="417"/>
      <c r="F13" s="418"/>
      <c r="G13" s="419"/>
      <c r="H13" s="419"/>
      <c r="I13" s="419"/>
      <c r="J13" s="401"/>
      <c r="K13" s="407">
        <f t="shared" si="52"/>
        <v>76</v>
      </c>
      <c r="L13" s="407">
        <f t="shared" si="53"/>
        <v>76</v>
      </c>
      <c r="M13" s="407" t="str">
        <f t="shared" si="54"/>
        <v>X</v>
      </c>
      <c r="O13" s="978"/>
      <c r="P13" s="419"/>
      <c r="R13" s="444" t="s">
        <v>19</v>
      </c>
      <c r="S13" s="400">
        <f>DAY(S12)</f>
        <v>0</v>
      </c>
      <c r="V13" s="981"/>
      <c r="W13" s="441" t="s">
        <v>258</v>
      </c>
      <c r="Y13" s="422">
        <f t="shared" si="0"/>
        <v>8</v>
      </c>
      <c r="Z13" s="412" t="str">
        <f>IF(Y13="","",IF(EDATE($Z$5,Y13)&gt;EXPEDIENTE!$F$27,"",EDATE($Z$5,Y13)))</f>
        <v/>
      </c>
      <c r="AA13" s="412" t="str">
        <f>IF(Z13="","",IF(YEAR(EXPEDIENTE!$F$25)=YEAR(Z13),Z13,""))</f>
        <v/>
      </c>
      <c r="AB13" s="412" t="str">
        <f>IF(Z13="","",IF(YEAR(EXPEDIENTE!$F$25)+1=YEAR(Z13),Z13,""))</f>
        <v/>
      </c>
      <c r="AC13" s="412" t="str">
        <f>IF(Z13="","",IF(YEAR(EXPEDIENTE!$F$25)+2=YEAR(Z13),Z13,""))</f>
        <v/>
      </c>
      <c r="AD13" s="412" t="str">
        <f>IF(Z13="","",IF(YEAR(EXPEDIENTE!$F$25)+3=YEAR(Z13),Z13,""))</f>
        <v/>
      </c>
      <c r="AG13" s="392"/>
      <c r="AH13" s="392"/>
      <c r="AI13" s="392"/>
      <c r="AJ13" s="392"/>
      <c r="AK13" s="392"/>
      <c r="AL13" s="392"/>
      <c r="AM13" s="392"/>
      <c r="AN13" s="392"/>
      <c r="AO13" s="392"/>
      <c r="AP13" s="392"/>
      <c r="AQ13" s="392"/>
      <c r="AR13" s="392"/>
      <c r="AS13" s="392"/>
      <c r="AT13" s="392"/>
      <c r="AU13" s="392"/>
      <c r="AV13" s="392"/>
      <c r="AW13" s="392"/>
      <c r="AY13" s="423">
        <v>7</v>
      </c>
      <c r="AZ13" s="424">
        <f t="shared" si="1"/>
        <v>44743</v>
      </c>
      <c r="BK13" s="433">
        <f t="shared" si="2"/>
        <v>0</v>
      </c>
      <c r="BL13" s="434">
        <f t="shared" si="3"/>
        <v>0</v>
      </c>
      <c r="BM13" s="434">
        <f t="shared" si="4"/>
        <v>0</v>
      </c>
      <c r="BN13" s="434">
        <f t="shared" si="5"/>
        <v>0</v>
      </c>
      <c r="BO13" s="434">
        <f t="shared" si="6"/>
        <v>0</v>
      </c>
      <c r="BP13" s="434">
        <f t="shared" si="7"/>
        <v>0</v>
      </c>
      <c r="BQ13" s="434">
        <f t="shared" si="8"/>
        <v>0</v>
      </c>
      <c r="BR13" s="435">
        <f t="shared" si="55"/>
        <v>0</v>
      </c>
      <c r="BS13" s="436">
        <f t="shared" si="56"/>
        <v>0</v>
      </c>
      <c r="BX13" s="392"/>
      <c r="BY13" s="392"/>
      <c r="BZ13" s="392"/>
      <c r="CA13" s="392"/>
      <c r="CB13" s="392"/>
      <c r="CC13" s="392"/>
      <c r="CD13" s="392"/>
      <c r="CE13" s="392"/>
      <c r="CF13" s="392"/>
      <c r="CG13" s="392"/>
      <c r="CH13" s="392"/>
      <c r="CI13" s="392"/>
      <c r="CJ13" s="392"/>
      <c r="CK13" s="392"/>
      <c r="CL13" s="392"/>
      <c r="CM13" s="392"/>
      <c r="CN13" s="392"/>
      <c r="CP13" s="423">
        <v>7</v>
      </c>
      <c r="CQ13" s="424">
        <f t="shared" si="9"/>
        <v>44743</v>
      </c>
      <c r="DB13" s="437">
        <f t="shared" si="57"/>
        <v>0</v>
      </c>
      <c r="DC13" s="423">
        <f t="shared" si="58"/>
        <v>0</v>
      </c>
      <c r="DD13" s="423">
        <f t="shared" si="59"/>
        <v>0</v>
      </c>
      <c r="DE13" s="423">
        <f t="shared" si="60"/>
        <v>0</v>
      </c>
      <c r="DF13" s="423">
        <f t="shared" si="61"/>
        <v>0</v>
      </c>
      <c r="DG13" s="423">
        <f t="shared" si="62"/>
        <v>0</v>
      </c>
      <c r="DH13" s="423">
        <f t="shared" si="63"/>
        <v>0</v>
      </c>
      <c r="DI13" s="438">
        <f t="shared" si="64"/>
        <v>0</v>
      </c>
      <c r="DJ13" s="439">
        <f t="shared" si="65"/>
        <v>0</v>
      </c>
      <c r="DN13" s="392"/>
      <c r="DY13" s="430">
        <f t="shared" si="10"/>
        <v>44866</v>
      </c>
      <c r="DZ13" s="430">
        <f t="shared" si="11"/>
        <v>44895</v>
      </c>
      <c r="EA13" s="386" t="str">
        <f>IF(AND(DZ13&gt;=EXPEDIENTE!$F$25,DY13&lt;=EXPEDIENTE!$F$29),"SI","NO")</f>
        <v>NO</v>
      </c>
      <c r="EB13" s="423">
        <f t="shared" si="12"/>
        <v>0</v>
      </c>
      <c r="EC13" s="423">
        <f t="shared" si="13"/>
        <v>0</v>
      </c>
      <c r="ED13" s="423">
        <f t="shared" si="14"/>
        <v>0</v>
      </c>
      <c r="EE13" s="423">
        <f t="shared" si="15"/>
        <v>0</v>
      </c>
      <c r="EF13" s="423">
        <f t="shared" si="16"/>
        <v>0</v>
      </c>
      <c r="EG13" s="423">
        <f t="shared" si="17"/>
        <v>0</v>
      </c>
      <c r="EH13" s="423">
        <f t="shared" si="18"/>
        <v>0</v>
      </c>
      <c r="EI13" s="423">
        <f t="shared" si="19"/>
        <v>0</v>
      </c>
      <c r="EJ13" s="423">
        <f t="shared" si="20"/>
        <v>0</v>
      </c>
      <c r="EK13" s="423">
        <f t="shared" si="21"/>
        <v>0</v>
      </c>
      <c r="EL13" s="423">
        <f t="shared" si="22"/>
        <v>0</v>
      </c>
      <c r="EM13" s="423">
        <f t="shared" si="23"/>
        <v>0</v>
      </c>
      <c r="EN13" s="423">
        <f t="shared" si="24"/>
        <v>0</v>
      </c>
      <c r="EO13" s="423">
        <f t="shared" si="25"/>
        <v>0</v>
      </c>
      <c r="EP13" s="423">
        <f t="shared" si="26"/>
        <v>0</v>
      </c>
      <c r="EQ13" s="423">
        <f t="shared" si="27"/>
        <v>0</v>
      </c>
      <c r="ER13" s="423">
        <f t="shared" si="28"/>
        <v>0</v>
      </c>
      <c r="ES13" s="423">
        <f t="shared" si="29"/>
        <v>0</v>
      </c>
      <c r="ET13" s="423">
        <f t="shared" si="30"/>
        <v>0</v>
      </c>
      <c r="EU13" s="423">
        <f t="shared" si="31"/>
        <v>0</v>
      </c>
      <c r="EV13" s="423">
        <f t="shared" si="32"/>
        <v>0</v>
      </c>
      <c r="EW13" s="423">
        <f t="shared" si="33"/>
        <v>0</v>
      </c>
      <c r="EX13" s="423">
        <f t="shared" si="34"/>
        <v>0</v>
      </c>
      <c r="EY13" s="423">
        <f t="shared" si="35"/>
        <v>0</v>
      </c>
      <c r="EZ13" s="423">
        <f t="shared" si="36"/>
        <v>0</v>
      </c>
      <c r="FA13" s="423">
        <f t="shared" si="37"/>
        <v>0</v>
      </c>
      <c r="FB13" s="423">
        <f t="shared" si="38"/>
        <v>0</v>
      </c>
      <c r="FC13" s="423">
        <f t="shared" si="39"/>
        <v>0</v>
      </c>
      <c r="FD13" s="423">
        <f t="shared" si="40"/>
        <v>0</v>
      </c>
      <c r="FE13" s="423">
        <f t="shared" si="41"/>
        <v>0</v>
      </c>
      <c r="FF13" s="423">
        <f t="shared" si="42"/>
        <v>0</v>
      </c>
      <c r="FG13" s="423">
        <f t="shared" si="43"/>
        <v>0</v>
      </c>
      <c r="FH13" s="423">
        <f t="shared" si="66"/>
        <v>0</v>
      </c>
      <c r="FQ13" s="392"/>
      <c r="FR13" s="392"/>
      <c r="GC13" s="430">
        <f t="shared" si="44"/>
        <v>44866</v>
      </c>
      <c r="GD13" s="430">
        <f t="shared" si="45"/>
        <v>44895</v>
      </c>
      <c r="GE13" s="386" t="str">
        <f>IF(AND(GD13&gt;=EXPEDIENTE!$F$25,GC13&lt;=EXPEDIENTE!$F$29),"SI","NO")</f>
        <v>NO</v>
      </c>
      <c r="GF13" s="423">
        <f t="shared" si="67"/>
        <v>0</v>
      </c>
      <c r="GG13" s="423">
        <f t="shared" si="68"/>
        <v>0</v>
      </c>
      <c r="GH13" s="423">
        <f t="shared" si="69"/>
        <v>0</v>
      </c>
      <c r="GI13" s="423">
        <f t="shared" si="70"/>
        <v>0</v>
      </c>
      <c r="GJ13" s="423">
        <f t="shared" si="71"/>
        <v>0</v>
      </c>
      <c r="GK13" s="423">
        <f t="shared" si="72"/>
        <v>0</v>
      </c>
      <c r="GL13" s="423">
        <f t="shared" si="73"/>
        <v>0</v>
      </c>
      <c r="GM13" s="423">
        <f t="shared" si="74"/>
        <v>0</v>
      </c>
      <c r="GN13" s="423">
        <f t="shared" si="75"/>
        <v>0</v>
      </c>
      <c r="GO13" s="423">
        <f t="shared" si="76"/>
        <v>0</v>
      </c>
      <c r="GP13" s="423">
        <f t="shared" si="77"/>
        <v>0</v>
      </c>
      <c r="GQ13" s="423">
        <f t="shared" si="78"/>
        <v>0</v>
      </c>
      <c r="GR13" s="423">
        <f t="shared" si="79"/>
        <v>0</v>
      </c>
      <c r="GS13" s="423">
        <f t="shared" si="80"/>
        <v>0</v>
      </c>
      <c r="GT13" s="423">
        <f t="shared" si="81"/>
        <v>0</v>
      </c>
      <c r="GU13" s="423">
        <f t="shared" si="82"/>
        <v>0</v>
      </c>
      <c r="GV13" s="423">
        <f t="shared" si="83"/>
        <v>0</v>
      </c>
      <c r="GW13" s="423">
        <f t="shared" si="84"/>
        <v>0</v>
      </c>
      <c r="GX13" s="423">
        <f t="shared" si="85"/>
        <v>0</v>
      </c>
      <c r="GY13" s="423">
        <f t="shared" si="86"/>
        <v>0</v>
      </c>
      <c r="GZ13" s="423">
        <f t="shared" si="87"/>
        <v>0</v>
      </c>
      <c r="HA13" s="423">
        <f t="shared" si="88"/>
        <v>0</v>
      </c>
      <c r="HB13" s="423">
        <f t="shared" si="89"/>
        <v>0</v>
      </c>
      <c r="HC13" s="423">
        <f t="shared" si="90"/>
        <v>0</v>
      </c>
      <c r="HD13" s="423">
        <f t="shared" si="91"/>
        <v>0</v>
      </c>
      <c r="HE13" s="423">
        <f t="shared" si="92"/>
        <v>0</v>
      </c>
      <c r="HF13" s="423">
        <f t="shared" si="93"/>
        <v>0</v>
      </c>
      <c r="HG13" s="423">
        <f t="shared" si="94"/>
        <v>0</v>
      </c>
      <c r="HH13" s="423">
        <f t="shared" si="95"/>
        <v>0</v>
      </c>
      <c r="HI13" s="423">
        <f t="shared" si="96"/>
        <v>0</v>
      </c>
      <c r="HJ13" s="423">
        <f t="shared" si="97"/>
        <v>0</v>
      </c>
      <c r="HK13" s="423">
        <f t="shared" si="98"/>
        <v>0</v>
      </c>
      <c r="HL13" s="423">
        <f t="shared" si="99"/>
        <v>0</v>
      </c>
      <c r="HV13" s="392"/>
      <c r="IA13" s="393"/>
      <c r="IB13" s="392"/>
      <c r="ID13" s="393"/>
      <c r="IH13" s="392"/>
      <c r="IP13" s="393"/>
      <c r="IQ13" s="392"/>
      <c r="IS13" s="393"/>
      <c r="IW13" s="392"/>
      <c r="JC13" s="416">
        <v>9</v>
      </c>
      <c r="JD13" s="398">
        <f>JD8+2</f>
        <v>2</v>
      </c>
    </row>
    <row r="14" spans="1:266" x14ac:dyDescent="0.25">
      <c r="C14" s="206">
        <v>8</v>
      </c>
      <c r="D14" s="401"/>
      <c r="E14" s="417"/>
      <c r="F14" s="418"/>
      <c r="G14" s="419"/>
      <c r="H14" s="419"/>
      <c r="I14" s="419"/>
      <c r="J14" s="401"/>
      <c r="K14" s="407">
        <f t="shared" si="52"/>
        <v>76</v>
      </c>
      <c r="L14" s="407">
        <f t="shared" si="53"/>
        <v>76</v>
      </c>
      <c r="M14" s="407" t="str">
        <f t="shared" si="54"/>
        <v>X</v>
      </c>
      <c r="R14" s="444" t="s">
        <v>20</v>
      </c>
      <c r="S14" s="400">
        <f>MONTH(S12)</f>
        <v>1</v>
      </c>
      <c r="V14" s="981"/>
      <c r="W14" s="441" t="s">
        <v>30</v>
      </c>
      <c r="Y14" s="422">
        <f t="shared" si="0"/>
        <v>9</v>
      </c>
      <c r="Z14" s="412" t="str">
        <f>IF(Y14="","",IF(EDATE($Z$5,Y14)&gt;EXPEDIENTE!$F$27,"",EDATE($Z$5,Y14)))</f>
        <v/>
      </c>
      <c r="AA14" s="412" t="str">
        <f>IF(Z14="","",IF(YEAR(EXPEDIENTE!$F$25)=YEAR(Z14),Z14,""))</f>
        <v/>
      </c>
      <c r="AB14" s="412" t="str">
        <f>IF(Z14="","",IF(YEAR(EXPEDIENTE!$F$25)+1=YEAR(Z14),Z14,""))</f>
        <v/>
      </c>
      <c r="AC14" s="412" t="str">
        <f>IF(Z14="","",IF(YEAR(EXPEDIENTE!$F$25)+2=YEAR(Z14),Z14,""))</f>
        <v/>
      </c>
      <c r="AD14" s="412" t="str">
        <f>IF(Z14="","",IF(YEAR(EXPEDIENTE!$F$25)+3=YEAR(Z14),Z14,""))</f>
        <v/>
      </c>
      <c r="AG14" s="392"/>
      <c r="AH14" s="392"/>
      <c r="AI14" s="392"/>
      <c r="AJ14" s="392"/>
      <c r="AK14" s="392"/>
      <c r="AL14" s="392"/>
      <c r="AM14" s="392"/>
      <c r="AN14" s="392"/>
      <c r="AO14" s="392"/>
      <c r="AP14" s="392"/>
      <c r="AQ14" s="392"/>
      <c r="AR14" s="392"/>
      <c r="AS14" s="392"/>
      <c r="AT14" s="392"/>
      <c r="AU14" s="392"/>
      <c r="AV14" s="392"/>
      <c r="AW14" s="392"/>
      <c r="AY14" s="423">
        <v>8</v>
      </c>
      <c r="AZ14" s="424">
        <f t="shared" si="1"/>
        <v>44774</v>
      </c>
      <c r="BK14" s="433">
        <f t="shared" si="2"/>
        <v>0</v>
      </c>
      <c r="BL14" s="434">
        <f t="shared" si="3"/>
        <v>0</v>
      </c>
      <c r="BM14" s="434">
        <f t="shared" si="4"/>
        <v>0</v>
      </c>
      <c r="BN14" s="434">
        <f t="shared" si="5"/>
        <v>0</v>
      </c>
      <c r="BO14" s="434">
        <f t="shared" si="6"/>
        <v>0</v>
      </c>
      <c r="BP14" s="434">
        <f t="shared" si="7"/>
        <v>0</v>
      </c>
      <c r="BQ14" s="434">
        <f t="shared" si="8"/>
        <v>0</v>
      </c>
      <c r="BR14" s="435">
        <f t="shared" si="55"/>
        <v>0</v>
      </c>
      <c r="BS14" s="436">
        <f t="shared" si="56"/>
        <v>0</v>
      </c>
      <c r="BX14" s="392"/>
      <c r="BY14" s="392"/>
      <c r="BZ14" s="392"/>
      <c r="CA14" s="392"/>
      <c r="CB14" s="392"/>
      <c r="CC14" s="392"/>
      <c r="CD14" s="392"/>
      <c r="CE14" s="392"/>
      <c r="CF14" s="392"/>
      <c r="CG14" s="392"/>
      <c r="CH14" s="392"/>
      <c r="CI14" s="392"/>
      <c r="CJ14" s="392"/>
      <c r="CK14" s="392"/>
      <c r="CL14" s="392"/>
      <c r="CM14" s="392"/>
      <c r="CN14" s="392"/>
      <c r="CP14" s="423">
        <v>8</v>
      </c>
      <c r="CQ14" s="424">
        <f t="shared" si="9"/>
        <v>44774</v>
      </c>
      <c r="DB14" s="437">
        <f t="shared" si="57"/>
        <v>0</v>
      </c>
      <c r="DC14" s="423">
        <f t="shared" si="58"/>
        <v>0</v>
      </c>
      <c r="DD14" s="423">
        <f t="shared" si="59"/>
        <v>0</v>
      </c>
      <c r="DE14" s="423">
        <f t="shared" si="60"/>
        <v>0</v>
      </c>
      <c r="DF14" s="423">
        <f t="shared" si="61"/>
        <v>0</v>
      </c>
      <c r="DG14" s="423">
        <f t="shared" si="62"/>
        <v>0</v>
      </c>
      <c r="DH14" s="423">
        <f t="shared" si="63"/>
        <v>0</v>
      </c>
      <c r="DI14" s="438">
        <f t="shared" si="64"/>
        <v>0</v>
      </c>
      <c r="DJ14" s="439">
        <f t="shared" si="65"/>
        <v>0</v>
      </c>
      <c r="DN14" s="392"/>
      <c r="DY14" s="430">
        <f t="shared" si="10"/>
        <v>44896</v>
      </c>
      <c r="DZ14" s="430">
        <f t="shared" si="11"/>
        <v>44926</v>
      </c>
      <c r="EA14" s="386" t="str">
        <f>IF(AND(DZ14&gt;=EXPEDIENTE!$F$25,DY14&lt;=EXPEDIENTE!$F$29),"SI","NO")</f>
        <v>NO</v>
      </c>
      <c r="EB14" s="423">
        <f t="shared" si="12"/>
        <v>0</v>
      </c>
      <c r="EC14" s="423">
        <f t="shared" si="13"/>
        <v>0</v>
      </c>
      <c r="ED14" s="423">
        <f t="shared" si="14"/>
        <v>0</v>
      </c>
      <c r="EE14" s="423">
        <f t="shared" si="15"/>
        <v>0</v>
      </c>
      <c r="EF14" s="423">
        <f t="shared" si="16"/>
        <v>0</v>
      </c>
      <c r="EG14" s="423">
        <f t="shared" si="17"/>
        <v>0</v>
      </c>
      <c r="EH14" s="423">
        <f t="shared" si="18"/>
        <v>0</v>
      </c>
      <c r="EI14" s="423">
        <f t="shared" si="19"/>
        <v>0</v>
      </c>
      <c r="EJ14" s="423">
        <f t="shared" si="20"/>
        <v>0</v>
      </c>
      <c r="EK14" s="423">
        <f t="shared" si="21"/>
        <v>0</v>
      </c>
      <c r="EL14" s="423">
        <f t="shared" si="22"/>
        <v>0</v>
      </c>
      <c r="EM14" s="423">
        <f t="shared" si="23"/>
        <v>0</v>
      </c>
      <c r="EN14" s="423">
        <f t="shared" si="24"/>
        <v>0</v>
      </c>
      <c r="EO14" s="423">
        <f t="shared" si="25"/>
        <v>0</v>
      </c>
      <c r="EP14" s="423">
        <f t="shared" si="26"/>
        <v>0</v>
      </c>
      <c r="EQ14" s="423">
        <f t="shared" si="27"/>
        <v>0</v>
      </c>
      <c r="ER14" s="423">
        <f t="shared" si="28"/>
        <v>0</v>
      </c>
      <c r="ES14" s="423">
        <f t="shared" si="29"/>
        <v>0</v>
      </c>
      <c r="ET14" s="423">
        <f t="shared" si="30"/>
        <v>0</v>
      </c>
      <c r="EU14" s="423">
        <f t="shared" si="31"/>
        <v>0</v>
      </c>
      <c r="EV14" s="423">
        <f t="shared" si="32"/>
        <v>0</v>
      </c>
      <c r="EW14" s="423">
        <f t="shared" si="33"/>
        <v>0</v>
      </c>
      <c r="EX14" s="423">
        <f t="shared" si="34"/>
        <v>0</v>
      </c>
      <c r="EY14" s="423">
        <f t="shared" si="35"/>
        <v>0</v>
      </c>
      <c r="EZ14" s="423">
        <f t="shared" si="36"/>
        <v>0</v>
      </c>
      <c r="FA14" s="423">
        <f t="shared" si="37"/>
        <v>0</v>
      </c>
      <c r="FB14" s="423">
        <f t="shared" si="38"/>
        <v>0</v>
      </c>
      <c r="FC14" s="423">
        <f t="shared" si="39"/>
        <v>0</v>
      </c>
      <c r="FD14" s="423">
        <f t="shared" si="40"/>
        <v>0</v>
      </c>
      <c r="FE14" s="423">
        <f t="shared" si="41"/>
        <v>0</v>
      </c>
      <c r="FF14" s="423">
        <f t="shared" si="42"/>
        <v>0</v>
      </c>
      <c r="FG14" s="423">
        <f t="shared" si="43"/>
        <v>0</v>
      </c>
      <c r="FH14" s="423">
        <f t="shared" si="66"/>
        <v>0</v>
      </c>
      <c r="FQ14" s="392"/>
      <c r="FR14" s="392"/>
      <c r="GC14" s="430">
        <f t="shared" si="44"/>
        <v>44896</v>
      </c>
      <c r="GD14" s="430">
        <f t="shared" si="45"/>
        <v>44926</v>
      </c>
      <c r="GE14" s="386" t="str">
        <f>IF(AND(GD14&gt;=EXPEDIENTE!$F$25,GC14&lt;=EXPEDIENTE!$F$29),"SI","NO")</f>
        <v>NO</v>
      </c>
      <c r="GF14" s="423">
        <f t="shared" si="67"/>
        <v>0</v>
      </c>
      <c r="GG14" s="423">
        <f t="shared" si="68"/>
        <v>0</v>
      </c>
      <c r="GH14" s="423">
        <f t="shared" si="69"/>
        <v>0</v>
      </c>
      <c r="GI14" s="423">
        <f t="shared" si="70"/>
        <v>0</v>
      </c>
      <c r="GJ14" s="423">
        <f t="shared" si="71"/>
        <v>0</v>
      </c>
      <c r="GK14" s="423">
        <f t="shared" si="72"/>
        <v>0</v>
      </c>
      <c r="GL14" s="423">
        <f t="shared" si="73"/>
        <v>0</v>
      </c>
      <c r="GM14" s="423">
        <f t="shared" si="74"/>
        <v>0</v>
      </c>
      <c r="GN14" s="423">
        <f t="shared" si="75"/>
        <v>0</v>
      </c>
      <c r="GO14" s="423">
        <f t="shared" si="76"/>
        <v>0</v>
      </c>
      <c r="GP14" s="423">
        <f t="shared" si="77"/>
        <v>0</v>
      </c>
      <c r="GQ14" s="423">
        <f t="shared" si="78"/>
        <v>0</v>
      </c>
      <c r="GR14" s="423">
        <f t="shared" si="79"/>
        <v>0</v>
      </c>
      <c r="GS14" s="423">
        <f t="shared" si="80"/>
        <v>0</v>
      </c>
      <c r="GT14" s="423">
        <f t="shared" si="81"/>
        <v>0</v>
      </c>
      <c r="GU14" s="423">
        <f t="shared" si="82"/>
        <v>0</v>
      </c>
      <c r="GV14" s="423">
        <f t="shared" si="83"/>
        <v>0</v>
      </c>
      <c r="GW14" s="423">
        <f t="shared" si="84"/>
        <v>0</v>
      </c>
      <c r="GX14" s="423">
        <f t="shared" si="85"/>
        <v>0</v>
      </c>
      <c r="GY14" s="423">
        <f t="shared" si="86"/>
        <v>0</v>
      </c>
      <c r="GZ14" s="423">
        <f t="shared" si="87"/>
        <v>0</v>
      </c>
      <c r="HA14" s="423">
        <f t="shared" si="88"/>
        <v>0</v>
      </c>
      <c r="HB14" s="423">
        <f t="shared" si="89"/>
        <v>0</v>
      </c>
      <c r="HC14" s="423">
        <f t="shared" si="90"/>
        <v>0</v>
      </c>
      <c r="HD14" s="423">
        <f t="shared" si="91"/>
        <v>0</v>
      </c>
      <c r="HE14" s="423">
        <f t="shared" si="92"/>
        <v>0</v>
      </c>
      <c r="HF14" s="423">
        <f t="shared" si="93"/>
        <v>0</v>
      </c>
      <c r="HG14" s="423">
        <f t="shared" si="94"/>
        <v>0</v>
      </c>
      <c r="HH14" s="423">
        <f t="shared" si="95"/>
        <v>0</v>
      </c>
      <c r="HI14" s="423">
        <f t="shared" si="96"/>
        <v>0</v>
      </c>
      <c r="HJ14" s="423">
        <f t="shared" si="97"/>
        <v>0</v>
      </c>
      <c r="HK14" s="423">
        <f t="shared" si="98"/>
        <v>0</v>
      </c>
      <c r="HL14" s="423">
        <f t="shared" si="99"/>
        <v>0</v>
      </c>
      <c r="HV14" s="392"/>
      <c r="IA14" s="393"/>
      <c r="IB14" s="392"/>
      <c r="ID14" s="393"/>
      <c r="IH14" s="392"/>
      <c r="IP14" s="393"/>
      <c r="IQ14" s="392"/>
      <c r="IS14" s="393"/>
      <c r="IW14" s="392"/>
      <c r="JC14" s="442">
        <v>10</v>
      </c>
      <c r="JD14" s="398">
        <f>JD9+2</f>
        <v>2</v>
      </c>
    </row>
    <row r="15" spans="1:266" x14ac:dyDescent="0.25">
      <c r="C15" s="206">
        <v>9</v>
      </c>
      <c r="D15" s="401"/>
      <c r="E15" s="417"/>
      <c r="F15" s="418"/>
      <c r="G15" s="419"/>
      <c r="H15" s="419"/>
      <c r="I15" s="419"/>
      <c r="J15" s="401"/>
      <c r="K15" s="407">
        <f t="shared" si="52"/>
        <v>76</v>
      </c>
      <c r="L15" s="407">
        <f t="shared" si="53"/>
        <v>76</v>
      </c>
      <c r="M15" s="407" t="str">
        <f t="shared" si="54"/>
        <v>X</v>
      </c>
      <c r="O15" s="979" t="s">
        <v>431</v>
      </c>
      <c r="P15" s="979"/>
      <c r="R15" s="444" t="s">
        <v>21</v>
      </c>
      <c r="S15" s="400">
        <f>YEAR(S12)</f>
        <v>1900</v>
      </c>
      <c r="V15" s="981"/>
      <c r="W15" s="441" t="s">
        <v>259</v>
      </c>
      <c r="Y15" s="422">
        <f t="shared" si="0"/>
        <v>10</v>
      </c>
      <c r="Z15" s="412" t="str">
        <f>IF(Y15="","",IF(EDATE($Z$5,Y15)&gt;EXPEDIENTE!$F$27,"",EDATE($Z$5,Y15)))</f>
        <v/>
      </c>
      <c r="AA15" s="412" t="str">
        <f>IF(Z15="","",IF(YEAR(EXPEDIENTE!$F$25)=YEAR(Z15),Z15,""))</f>
        <v/>
      </c>
      <c r="AB15" s="412" t="str">
        <f>IF(Z15="","",IF(YEAR(EXPEDIENTE!$F$25)+1=YEAR(Z15),Z15,""))</f>
        <v/>
      </c>
      <c r="AC15" s="412" t="str">
        <f>IF(Z15="","",IF(YEAR(EXPEDIENTE!$F$25)+2=YEAR(Z15),Z15,""))</f>
        <v/>
      </c>
      <c r="AD15" s="412" t="str">
        <f>IF(Z15="","",IF(YEAR(EXPEDIENTE!$F$25)+3=YEAR(Z15),Z15,""))</f>
        <v/>
      </c>
      <c r="AG15" s="392"/>
      <c r="AH15" s="392"/>
      <c r="AI15" s="392"/>
      <c r="AJ15" s="392"/>
      <c r="AK15" s="392"/>
      <c r="AL15" s="392"/>
      <c r="AM15" s="392"/>
      <c r="AN15" s="392"/>
      <c r="AO15" s="392"/>
      <c r="AP15" s="392"/>
      <c r="AQ15" s="392"/>
      <c r="AR15" s="392"/>
      <c r="AS15" s="392"/>
      <c r="AT15" s="392"/>
      <c r="AU15" s="392"/>
      <c r="AW15" s="392"/>
      <c r="AY15" s="423">
        <v>9</v>
      </c>
      <c r="AZ15" s="424">
        <f t="shared" si="1"/>
        <v>44805</v>
      </c>
      <c r="BK15" s="433">
        <f t="shared" si="2"/>
        <v>0</v>
      </c>
      <c r="BL15" s="434">
        <f t="shared" si="3"/>
        <v>0</v>
      </c>
      <c r="BM15" s="434">
        <f t="shared" si="4"/>
        <v>0</v>
      </c>
      <c r="BN15" s="434">
        <f t="shared" si="5"/>
        <v>0</v>
      </c>
      <c r="BO15" s="434">
        <f t="shared" si="6"/>
        <v>0</v>
      </c>
      <c r="BP15" s="434">
        <f t="shared" si="7"/>
        <v>0</v>
      </c>
      <c r="BQ15" s="434">
        <f t="shared" si="8"/>
        <v>0</v>
      </c>
      <c r="BR15" s="435">
        <f t="shared" si="55"/>
        <v>0</v>
      </c>
      <c r="BS15" s="436">
        <f t="shared" si="56"/>
        <v>0</v>
      </c>
      <c r="BX15" s="392"/>
      <c r="BY15" s="392"/>
      <c r="BZ15" s="392"/>
      <c r="CA15" s="392"/>
      <c r="CB15" s="392"/>
      <c r="CC15" s="392"/>
      <c r="CD15" s="392"/>
      <c r="CE15" s="392"/>
      <c r="CF15" s="392"/>
      <c r="CG15" s="392"/>
      <c r="CH15" s="392"/>
      <c r="CI15" s="392"/>
      <c r="CJ15" s="392"/>
      <c r="CK15" s="392"/>
      <c r="CL15" s="392"/>
      <c r="CN15" s="392"/>
      <c r="CP15" s="423">
        <v>9</v>
      </c>
      <c r="CQ15" s="424">
        <f t="shared" si="9"/>
        <v>44805</v>
      </c>
      <c r="DB15" s="437">
        <f t="shared" si="57"/>
        <v>0</v>
      </c>
      <c r="DC15" s="423">
        <f t="shared" si="58"/>
        <v>0</v>
      </c>
      <c r="DD15" s="423">
        <f t="shared" si="59"/>
        <v>0</v>
      </c>
      <c r="DE15" s="423">
        <f t="shared" si="60"/>
        <v>0</v>
      </c>
      <c r="DF15" s="423">
        <f t="shared" si="61"/>
        <v>0</v>
      </c>
      <c r="DG15" s="423">
        <f t="shared" si="62"/>
        <v>0</v>
      </c>
      <c r="DH15" s="423">
        <f t="shared" si="63"/>
        <v>0</v>
      </c>
      <c r="DI15" s="438">
        <f t="shared" si="64"/>
        <v>0</v>
      </c>
      <c r="DJ15" s="439">
        <f t="shared" si="65"/>
        <v>0</v>
      </c>
      <c r="DN15" s="392"/>
      <c r="DY15" s="430">
        <f t="shared" si="10"/>
        <v>44927</v>
      </c>
      <c r="DZ15" s="430">
        <f t="shared" si="11"/>
        <v>44957</v>
      </c>
      <c r="EA15" s="386" t="str">
        <f>IF(AND(DZ15&gt;=EXPEDIENTE!$F$25,DY15&lt;=EXPEDIENTE!$F$29),"SI","NO")</f>
        <v>NO</v>
      </c>
      <c r="EB15" s="423">
        <f t="shared" si="12"/>
        <v>0</v>
      </c>
      <c r="EC15" s="423">
        <f t="shared" si="13"/>
        <v>0</v>
      </c>
      <c r="ED15" s="423">
        <f t="shared" si="14"/>
        <v>0</v>
      </c>
      <c r="EE15" s="423">
        <f t="shared" si="15"/>
        <v>0</v>
      </c>
      <c r="EF15" s="423">
        <f t="shared" si="16"/>
        <v>0</v>
      </c>
      <c r="EG15" s="423">
        <f t="shared" si="17"/>
        <v>0</v>
      </c>
      <c r="EH15" s="423">
        <f t="shared" si="18"/>
        <v>0</v>
      </c>
      <c r="EI15" s="423">
        <f t="shared" si="19"/>
        <v>0</v>
      </c>
      <c r="EJ15" s="423">
        <f t="shared" si="20"/>
        <v>0</v>
      </c>
      <c r="EK15" s="423">
        <f t="shared" si="21"/>
        <v>0</v>
      </c>
      <c r="EL15" s="423">
        <f t="shared" si="22"/>
        <v>0</v>
      </c>
      <c r="EM15" s="423">
        <f t="shared" si="23"/>
        <v>0</v>
      </c>
      <c r="EN15" s="423">
        <f t="shared" si="24"/>
        <v>0</v>
      </c>
      <c r="EO15" s="423">
        <f t="shared" si="25"/>
        <v>0</v>
      </c>
      <c r="EP15" s="423">
        <f t="shared" si="26"/>
        <v>0</v>
      </c>
      <c r="EQ15" s="423">
        <f t="shared" si="27"/>
        <v>0</v>
      </c>
      <c r="ER15" s="423">
        <f t="shared" si="28"/>
        <v>0</v>
      </c>
      <c r="ES15" s="423">
        <f t="shared" si="29"/>
        <v>0</v>
      </c>
      <c r="ET15" s="423">
        <f t="shared" si="30"/>
        <v>0</v>
      </c>
      <c r="EU15" s="423">
        <f t="shared" si="31"/>
        <v>0</v>
      </c>
      <c r="EV15" s="423">
        <f t="shared" si="32"/>
        <v>0</v>
      </c>
      <c r="EW15" s="423">
        <f t="shared" si="33"/>
        <v>0</v>
      </c>
      <c r="EX15" s="423">
        <f t="shared" si="34"/>
        <v>0</v>
      </c>
      <c r="EY15" s="423">
        <f t="shared" si="35"/>
        <v>0</v>
      </c>
      <c r="EZ15" s="423">
        <f t="shared" si="36"/>
        <v>0</v>
      </c>
      <c r="FA15" s="423">
        <f t="shared" si="37"/>
        <v>0</v>
      </c>
      <c r="FB15" s="423">
        <f t="shared" si="38"/>
        <v>0</v>
      </c>
      <c r="FC15" s="423">
        <f t="shared" si="39"/>
        <v>0</v>
      </c>
      <c r="FD15" s="423">
        <f t="shared" si="40"/>
        <v>0</v>
      </c>
      <c r="FE15" s="423">
        <f t="shared" si="41"/>
        <v>0</v>
      </c>
      <c r="FF15" s="423">
        <f t="shared" si="42"/>
        <v>0</v>
      </c>
      <c r="FG15" s="423">
        <f t="shared" si="43"/>
        <v>0</v>
      </c>
      <c r="FH15" s="423">
        <f t="shared" si="66"/>
        <v>0</v>
      </c>
      <c r="FR15" s="392"/>
      <c r="GC15" s="430">
        <f t="shared" si="44"/>
        <v>44927</v>
      </c>
      <c r="GD15" s="430">
        <f t="shared" si="45"/>
        <v>44957</v>
      </c>
      <c r="GE15" s="386" t="str">
        <f>IF(AND(GD15&gt;=EXPEDIENTE!$F$25,GC15&lt;=EXPEDIENTE!$F$29),"SI","NO")</f>
        <v>NO</v>
      </c>
      <c r="GF15" s="423">
        <f t="shared" si="67"/>
        <v>0</v>
      </c>
      <c r="GG15" s="423">
        <f t="shared" si="68"/>
        <v>0</v>
      </c>
      <c r="GH15" s="423">
        <f t="shared" si="69"/>
        <v>0</v>
      </c>
      <c r="GI15" s="423">
        <f t="shared" si="70"/>
        <v>0</v>
      </c>
      <c r="GJ15" s="423">
        <f t="shared" si="71"/>
        <v>0</v>
      </c>
      <c r="GK15" s="423">
        <f t="shared" si="72"/>
        <v>0</v>
      </c>
      <c r="GL15" s="423">
        <f t="shared" si="73"/>
        <v>0</v>
      </c>
      <c r="GM15" s="423">
        <f t="shared" si="74"/>
        <v>0</v>
      </c>
      <c r="GN15" s="423">
        <f t="shared" si="75"/>
        <v>0</v>
      </c>
      <c r="GO15" s="423">
        <f t="shared" si="76"/>
        <v>0</v>
      </c>
      <c r="GP15" s="423">
        <f t="shared" si="77"/>
        <v>0</v>
      </c>
      <c r="GQ15" s="423">
        <f t="shared" si="78"/>
        <v>0</v>
      </c>
      <c r="GR15" s="423">
        <f t="shared" si="79"/>
        <v>0</v>
      </c>
      <c r="GS15" s="423">
        <f t="shared" si="80"/>
        <v>0</v>
      </c>
      <c r="GT15" s="423">
        <f t="shared" si="81"/>
        <v>0</v>
      </c>
      <c r="GU15" s="423">
        <f t="shared" si="82"/>
        <v>0</v>
      </c>
      <c r="GV15" s="423">
        <f t="shared" si="83"/>
        <v>0</v>
      </c>
      <c r="GW15" s="423">
        <f t="shared" si="84"/>
        <v>0</v>
      </c>
      <c r="GX15" s="423">
        <f t="shared" si="85"/>
        <v>0</v>
      </c>
      <c r="GY15" s="423">
        <f t="shared" si="86"/>
        <v>0</v>
      </c>
      <c r="GZ15" s="423">
        <f t="shared" si="87"/>
        <v>0</v>
      </c>
      <c r="HA15" s="423">
        <f t="shared" si="88"/>
        <v>0</v>
      </c>
      <c r="HB15" s="423">
        <f t="shared" si="89"/>
        <v>0</v>
      </c>
      <c r="HC15" s="423">
        <f t="shared" si="90"/>
        <v>0</v>
      </c>
      <c r="HD15" s="423">
        <f t="shared" si="91"/>
        <v>0</v>
      </c>
      <c r="HE15" s="423">
        <f t="shared" si="92"/>
        <v>0</v>
      </c>
      <c r="HF15" s="423">
        <f t="shared" si="93"/>
        <v>0</v>
      </c>
      <c r="HG15" s="423">
        <f t="shared" si="94"/>
        <v>0</v>
      </c>
      <c r="HH15" s="423">
        <f t="shared" si="95"/>
        <v>0</v>
      </c>
      <c r="HI15" s="423">
        <f t="shared" si="96"/>
        <v>0</v>
      </c>
      <c r="HJ15" s="423">
        <f t="shared" si="97"/>
        <v>0</v>
      </c>
      <c r="HK15" s="423">
        <f t="shared" si="98"/>
        <v>0</v>
      </c>
      <c r="HL15" s="423">
        <f t="shared" si="99"/>
        <v>0</v>
      </c>
      <c r="JC15" s="406">
        <v>11</v>
      </c>
      <c r="JD15" s="398">
        <f t="shared" si="100"/>
        <v>4</v>
      </c>
    </row>
    <row r="16" spans="1:266" ht="15.75" customHeight="1" x14ac:dyDescent="0.25">
      <c r="C16" s="206">
        <v>10</v>
      </c>
      <c r="D16" s="401"/>
      <c r="E16" s="417"/>
      <c r="F16" s="418"/>
      <c r="G16" s="419"/>
      <c r="H16" s="419"/>
      <c r="I16" s="419"/>
      <c r="J16" s="401"/>
      <c r="K16" s="407">
        <f t="shared" si="52"/>
        <v>76</v>
      </c>
      <c r="L16" s="407">
        <f t="shared" si="53"/>
        <v>76</v>
      </c>
      <c r="M16" s="407" t="str">
        <f t="shared" si="54"/>
        <v>X</v>
      </c>
      <c r="R16" s="206"/>
      <c r="V16" s="981"/>
      <c r="W16" s="441" t="s">
        <v>260</v>
      </c>
      <c r="Y16" s="422">
        <f t="shared" si="0"/>
        <v>11</v>
      </c>
      <c r="Z16" s="412" t="str">
        <f>IF(Y16="","",IF(EDATE($Z$5,Y16)&gt;EXPEDIENTE!$F$27,"",EDATE($Z$5,Y16)))</f>
        <v/>
      </c>
      <c r="AA16" s="412" t="str">
        <f>IF(Z16="","",IF(YEAR(EXPEDIENTE!$F$25)=YEAR(Z16),Z16,""))</f>
        <v/>
      </c>
      <c r="AB16" s="412" t="str">
        <f>IF(Z16="","",IF(YEAR(EXPEDIENTE!$F$25)+1=YEAR(Z16),Z16,""))</f>
        <v/>
      </c>
      <c r="AC16" s="412" t="str">
        <f>IF(Z16="","",IF(YEAR(EXPEDIENTE!$F$25)+2=YEAR(Z16),Z16,""))</f>
        <v/>
      </c>
      <c r="AD16" s="412" t="str">
        <f>IF(Z16="","",IF(YEAR(EXPEDIENTE!$F$25)+3=YEAR(Z16),Z16,""))</f>
        <v/>
      </c>
      <c r="AG16" s="392"/>
      <c r="AH16" s="392"/>
      <c r="AI16" s="392"/>
      <c r="AJ16" s="392"/>
      <c r="AK16" s="392"/>
      <c r="AL16" s="392"/>
      <c r="AM16" s="392"/>
      <c r="AN16" s="392"/>
      <c r="AO16" s="392"/>
      <c r="AP16" s="392"/>
      <c r="AQ16" s="392"/>
      <c r="AR16" s="392"/>
      <c r="AS16" s="392"/>
      <c r="AT16" s="392"/>
      <c r="AU16" s="392"/>
      <c r="AW16" s="392"/>
      <c r="AY16" s="423">
        <v>10</v>
      </c>
      <c r="AZ16" s="424">
        <f t="shared" si="1"/>
        <v>44835</v>
      </c>
      <c r="BK16" s="433">
        <f t="shared" si="2"/>
        <v>0</v>
      </c>
      <c r="BL16" s="434">
        <f t="shared" si="3"/>
        <v>0</v>
      </c>
      <c r="BM16" s="434">
        <f t="shared" si="4"/>
        <v>0</v>
      </c>
      <c r="BN16" s="434">
        <f t="shared" si="5"/>
        <v>0</v>
      </c>
      <c r="BO16" s="434">
        <f t="shared" si="6"/>
        <v>0</v>
      </c>
      <c r="BP16" s="434">
        <f t="shared" si="7"/>
        <v>0</v>
      </c>
      <c r="BQ16" s="434">
        <f t="shared" si="8"/>
        <v>0</v>
      </c>
      <c r="BR16" s="435">
        <f t="shared" si="55"/>
        <v>0</v>
      </c>
      <c r="BS16" s="436">
        <f t="shared" si="56"/>
        <v>0</v>
      </c>
      <c r="BX16" s="392"/>
      <c r="BY16" s="392"/>
      <c r="BZ16" s="392"/>
      <c r="CA16" s="392"/>
      <c r="CB16" s="392"/>
      <c r="CC16" s="392"/>
      <c r="CD16" s="392"/>
      <c r="CE16" s="392"/>
      <c r="CF16" s="392"/>
      <c r="CG16" s="392"/>
      <c r="CH16" s="392"/>
      <c r="CI16" s="392"/>
      <c r="CJ16" s="392"/>
      <c r="CK16" s="392"/>
      <c r="CL16" s="392"/>
      <c r="CN16" s="392"/>
      <c r="CP16" s="423">
        <v>10</v>
      </c>
      <c r="CQ16" s="424">
        <f t="shared" si="9"/>
        <v>44835</v>
      </c>
      <c r="DB16" s="437">
        <f t="shared" si="57"/>
        <v>0</v>
      </c>
      <c r="DC16" s="423">
        <f t="shared" si="58"/>
        <v>0</v>
      </c>
      <c r="DD16" s="423">
        <f t="shared" si="59"/>
        <v>0</v>
      </c>
      <c r="DE16" s="423">
        <f t="shared" si="60"/>
        <v>0</v>
      </c>
      <c r="DF16" s="423">
        <f t="shared" si="61"/>
        <v>0</v>
      </c>
      <c r="DG16" s="423">
        <f t="shared" si="62"/>
        <v>0</v>
      </c>
      <c r="DH16" s="423">
        <f t="shared" si="63"/>
        <v>0</v>
      </c>
      <c r="DI16" s="438">
        <f t="shared" si="64"/>
        <v>0</v>
      </c>
      <c r="DJ16" s="439">
        <f t="shared" si="65"/>
        <v>0</v>
      </c>
      <c r="DN16" s="392"/>
      <c r="DY16" s="430">
        <f t="shared" si="10"/>
        <v>44958</v>
      </c>
      <c r="DZ16" s="430">
        <f t="shared" si="11"/>
        <v>44985</v>
      </c>
      <c r="EA16" s="386" t="str">
        <f>IF(AND(DZ16&gt;=EXPEDIENTE!$F$25,DY16&lt;=EXPEDIENTE!$F$29),"SI","NO")</f>
        <v>NO</v>
      </c>
      <c r="EB16" s="423">
        <f t="shared" si="12"/>
        <v>0</v>
      </c>
      <c r="EC16" s="423">
        <f t="shared" si="13"/>
        <v>0</v>
      </c>
      <c r="ED16" s="423">
        <f t="shared" si="14"/>
        <v>0</v>
      </c>
      <c r="EE16" s="423">
        <f t="shared" si="15"/>
        <v>0</v>
      </c>
      <c r="EF16" s="423">
        <f t="shared" si="16"/>
        <v>0</v>
      </c>
      <c r="EG16" s="423">
        <f t="shared" si="17"/>
        <v>0</v>
      </c>
      <c r="EH16" s="423">
        <f t="shared" si="18"/>
        <v>0</v>
      </c>
      <c r="EI16" s="423">
        <f t="shared" si="19"/>
        <v>0</v>
      </c>
      <c r="EJ16" s="423">
        <f t="shared" si="20"/>
        <v>0</v>
      </c>
      <c r="EK16" s="423">
        <f t="shared" si="21"/>
        <v>0</v>
      </c>
      <c r="EL16" s="423">
        <f t="shared" si="22"/>
        <v>0</v>
      </c>
      <c r="EM16" s="423">
        <f t="shared" si="23"/>
        <v>0</v>
      </c>
      <c r="EN16" s="423">
        <f t="shared" si="24"/>
        <v>0</v>
      </c>
      <c r="EO16" s="423">
        <f t="shared" si="25"/>
        <v>0</v>
      </c>
      <c r="EP16" s="423">
        <f t="shared" si="26"/>
        <v>0</v>
      </c>
      <c r="EQ16" s="423">
        <f t="shared" si="27"/>
        <v>0</v>
      </c>
      <c r="ER16" s="423">
        <f t="shared" si="28"/>
        <v>0</v>
      </c>
      <c r="ES16" s="423">
        <f t="shared" si="29"/>
        <v>0</v>
      </c>
      <c r="ET16" s="423">
        <f t="shared" si="30"/>
        <v>0</v>
      </c>
      <c r="EU16" s="423">
        <f t="shared" si="31"/>
        <v>0</v>
      </c>
      <c r="EV16" s="423">
        <f t="shared" si="32"/>
        <v>0</v>
      </c>
      <c r="EW16" s="423">
        <f t="shared" si="33"/>
        <v>0</v>
      </c>
      <c r="EX16" s="423">
        <f t="shared" si="34"/>
        <v>0</v>
      </c>
      <c r="EY16" s="423">
        <f t="shared" si="35"/>
        <v>0</v>
      </c>
      <c r="EZ16" s="423">
        <f t="shared" si="36"/>
        <v>0</v>
      </c>
      <c r="FA16" s="423">
        <f t="shared" si="37"/>
        <v>0</v>
      </c>
      <c r="FB16" s="423">
        <f t="shared" si="38"/>
        <v>0</v>
      </c>
      <c r="FC16" s="423">
        <f t="shared" si="39"/>
        <v>0</v>
      </c>
      <c r="FD16" s="423">
        <f t="shared" si="40"/>
        <v>0</v>
      </c>
      <c r="FE16" s="423">
        <f t="shared" si="41"/>
        <v>0</v>
      </c>
      <c r="FF16" s="423">
        <f t="shared" si="42"/>
        <v>0</v>
      </c>
      <c r="FG16" s="423">
        <f t="shared" si="43"/>
        <v>0</v>
      </c>
      <c r="FH16" s="423">
        <f t="shared" si="66"/>
        <v>0</v>
      </c>
      <c r="FR16" s="392"/>
      <c r="GC16" s="430">
        <f t="shared" si="44"/>
        <v>44958</v>
      </c>
      <c r="GD16" s="430">
        <f t="shared" si="45"/>
        <v>44985</v>
      </c>
      <c r="GE16" s="386" t="str">
        <f>IF(AND(GD16&gt;=EXPEDIENTE!$F$25,GC16&lt;=EXPEDIENTE!$F$29),"SI","NO")</f>
        <v>NO</v>
      </c>
      <c r="GF16" s="423">
        <f t="shared" si="67"/>
        <v>0</v>
      </c>
      <c r="GG16" s="423">
        <f t="shared" si="68"/>
        <v>0</v>
      </c>
      <c r="GH16" s="423">
        <f t="shared" si="69"/>
        <v>0</v>
      </c>
      <c r="GI16" s="423">
        <f t="shared" si="70"/>
        <v>0</v>
      </c>
      <c r="GJ16" s="423">
        <f t="shared" si="71"/>
        <v>0</v>
      </c>
      <c r="GK16" s="423">
        <f t="shared" si="72"/>
        <v>0</v>
      </c>
      <c r="GL16" s="423">
        <f t="shared" si="73"/>
        <v>0</v>
      </c>
      <c r="GM16" s="423">
        <f t="shared" si="74"/>
        <v>0</v>
      </c>
      <c r="GN16" s="423">
        <f t="shared" si="75"/>
        <v>0</v>
      </c>
      <c r="GO16" s="423">
        <f t="shared" si="76"/>
        <v>0</v>
      </c>
      <c r="GP16" s="423">
        <f t="shared" si="77"/>
        <v>0</v>
      </c>
      <c r="GQ16" s="423">
        <f t="shared" si="78"/>
        <v>0</v>
      </c>
      <c r="GR16" s="423">
        <f t="shared" si="79"/>
        <v>0</v>
      </c>
      <c r="GS16" s="423">
        <f t="shared" si="80"/>
        <v>0</v>
      </c>
      <c r="GT16" s="423">
        <f t="shared" si="81"/>
        <v>0</v>
      </c>
      <c r="GU16" s="423">
        <f t="shared" si="82"/>
        <v>0</v>
      </c>
      <c r="GV16" s="423">
        <f t="shared" si="83"/>
        <v>0</v>
      </c>
      <c r="GW16" s="423">
        <f t="shared" si="84"/>
        <v>0</v>
      </c>
      <c r="GX16" s="423">
        <f t="shared" si="85"/>
        <v>0</v>
      </c>
      <c r="GY16" s="423">
        <f t="shared" si="86"/>
        <v>0</v>
      </c>
      <c r="GZ16" s="423">
        <f t="shared" si="87"/>
        <v>0</v>
      </c>
      <c r="HA16" s="423">
        <f t="shared" si="88"/>
        <v>0</v>
      </c>
      <c r="HB16" s="423">
        <f t="shared" si="89"/>
        <v>0</v>
      </c>
      <c r="HC16" s="423">
        <f t="shared" si="90"/>
        <v>0</v>
      </c>
      <c r="HD16" s="423">
        <f t="shared" si="91"/>
        <v>0</v>
      </c>
      <c r="HE16" s="423">
        <f t="shared" si="92"/>
        <v>0</v>
      </c>
      <c r="HF16" s="423">
        <f t="shared" si="93"/>
        <v>0</v>
      </c>
      <c r="HG16" s="423">
        <f t="shared" si="94"/>
        <v>0</v>
      </c>
      <c r="HH16" s="423">
        <f t="shared" si="95"/>
        <v>0</v>
      </c>
      <c r="HI16" s="423">
        <f t="shared" si="96"/>
        <v>0</v>
      </c>
      <c r="HJ16" s="423">
        <f t="shared" si="97"/>
        <v>0</v>
      </c>
      <c r="HK16" s="423">
        <f t="shared" si="98"/>
        <v>0</v>
      </c>
      <c r="HL16" s="423">
        <f t="shared" si="99"/>
        <v>0</v>
      </c>
      <c r="JC16" s="416">
        <v>12</v>
      </c>
      <c r="JD16" s="398">
        <f t="shared" si="100"/>
        <v>4</v>
      </c>
    </row>
    <row r="17" spans="3:264" ht="15" customHeight="1" x14ac:dyDescent="0.25">
      <c r="C17" s="206">
        <v>11</v>
      </c>
      <c r="D17" s="401"/>
      <c r="E17" s="417"/>
      <c r="F17" s="418"/>
      <c r="G17" s="419"/>
      <c r="H17" s="419"/>
      <c r="I17" s="419"/>
      <c r="J17" s="401"/>
      <c r="K17" s="407">
        <f t="shared" si="52"/>
        <v>76</v>
      </c>
      <c r="L17" s="407">
        <f t="shared" si="53"/>
        <v>76</v>
      </c>
      <c r="M17" s="407" t="str">
        <f t="shared" si="54"/>
        <v>X</v>
      </c>
      <c r="O17" s="615" t="s">
        <v>430</v>
      </c>
      <c r="P17" s="614">
        <v>7200</v>
      </c>
      <c r="R17" s="444" t="s">
        <v>22</v>
      </c>
      <c r="S17" s="445">
        <f>DATE(YEAR(S12),MONTH(S12)+S10,DAY(S12))</f>
        <v>60</v>
      </c>
      <c r="V17" s="981"/>
      <c r="W17" s="441" t="s">
        <v>261</v>
      </c>
      <c r="Y17" s="422">
        <f t="shared" si="0"/>
        <v>12</v>
      </c>
      <c r="Z17" s="412" t="str">
        <f>IF(Y17="","",IF(EDATE($Z$5,Y17)&gt;EXPEDIENTE!$F$27,"",EDATE($Z$5,Y17)))</f>
        <v/>
      </c>
      <c r="AA17" s="412" t="str">
        <f>IF(Z17="","",IF(YEAR(EXPEDIENTE!$F$25)=YEAR(Z17),Z17,""))</f>
        <v/>
      </c>
      <c r="AB17" s="412" t="str">
        <f>IF(Z17="","",IF(YEAR(EXPEDIENTE!$F$25)+1=YEAR(Z17),Z17,""))</f>
        <v/>
      </c>
      <c r="AC17" s="412" t="str">
        <f>IF(Z17="","",IF(YEAR(EXPEDIENTE!$F$25)+2=YEAR(Z17),Z17,""))</f>
        <v/>
      </c>
      <c r="AD17" s="412" t="str">
        <f>IF(Z17="","",IF(YEAR(EXPEDIENTE!$F$25)+3=YEAR(Z17),Z17,""))</f>
        <v/>
      </c>
      <c r="AG17" s="392"/>
      <c r="AH17" s="392"/>
      <c r="AI17" s="996" t="s">
        <v>347</v>
      </c>
      <c r="AJ17" s="996"/>
      <c r="AK17" s="392"/>
      <c r="AL17" s="392"/>
      <c r="AM17" s="392"/>
      <c r="AN17" s="392"/>
      <c r="AO17" s="392"/>
      <c r="AP17" s="392"/>
      <c r="AQ17" s="392"/>
      <c r="AR17" s="392"/>
      <c r="AS17" s="392"/>
      <c r="AT17" s="392"/>
      <c r="AU17" s="392"/>
      <c r="AW17" s="392"/>
      <c r="AY17" s="423">
        <v>11</v>
      </c>
      <c r="AZ17" s="424">
        <f t="shared" si="1"/>
        <v>44866</v>
      </c>
      <c r="BK17" s="433">
        <f t="shared" si="2"/>
        <v>0</v>
      </c>
      <c r="BL17" s="434">
        <f t="shared" si="3"/>
        <v>0</v>
      </c>
      <c r="BM17" s="434">
        <f t="shared" si="4"/>
        <v>0</v>
      </c>
      <c r="BN17" s="434">
        <f t="shared" si="5"/>
        <v>0</v>
      </c>
      <c r="BO17" s="434">
        <f t="shared" si="6"/>
        <v>0</v>
      </c>
      <c r="BP17" s="434">
        <f t="shared" si="7"/>
        <v>0</v>
      </c>
      <c r="BQ17" s="434">
        <f t="shared" si="8"/>
        <v>0</v>
      </c>
      <c r="BR17" s="435">
        <f t="shared" si="55"/>
        <v>0</v>
      </c>
      <c r="BS17" s="436">
        <f t="shared" si="56"/>
        <v>0</v>
      </c>
      <c r="BX17" s="392"/>
      <c r="BY17" s="392"/>
      <c r="BZ17" s="996" t="s">
        <v>347</v>
      </c>
      <c r="CA17" s="996"/>
      <c r="CB17" s="392"/>
      <c r="CC17" s="392"/>
      <c r="CD17" s="392"/>
      <c r="CE17" s="392"/>
      <c r="CF17" s="392"/>
      <c r="CG17" s="392"/>
      <c r="CH17" s="392"/>
      <c r="CI17" s="392"/>
      <c r="CJ17" s="392"/>
      <c r="CK17" s="392"/>
      <c r="CL17" s="392"/>
      <c r="CN17" s="392"/>
      <c r="CP17" s="423">
        <v>11</v>
      </c>
      <c r="CQ17" s="424">
        <f t="shared" si="9"/>
        <v>44866</v>
      </c>
      <c r="DB17" s="437">
        <f t="shared" si="57"/>
        <v>0</v>
      </c>
      <c r="DC17" s="423">
        <f t="shared" si="58"/>
        <v>0</v>
      </c>
      <c r="DD17" s="423">
        <f t="shared" si="59"/>
        <v>0</v>
      </c>
      <c r="DE17" s="423">
        <f t="shared" si="60"/>
        <v>0</v>
      </c>
      <c r="DF17" s="423">
        <f t="shared" si="61"/>
        <v>0</v>
      </c>
      <c r="DG17" s="423">
        <f t="shared" si="62"/>
        <v>0</v>
      </c>
      <c r="DH17" s="423">
        <f t="shared" si="63"/>
        <v>0</v>
      </c>
      <c r="DI17" s="438">
        <f t="shared" si="64"/>
        <v>0</v>
      </c>
      <c r="DJ17" s="439">
        <f t="shared" si="65"/>
        <v>0</v>
      </c>
      <c r="DN17" s="392"/>
      <c r="DY17" s="430">
        <f t="shared" si="10"/>
        <v>44986</v>
      </c>
      <c r="DZ17" s="430">
        <f t="shared" si="11"/>
        <v>45016</v>
      </c>
      <c r="EA17" s="386" t="str">
        <f>IF(AND(DZ17&gt;=EXPEDIENTE!$F$25,DY17&lt;=EXPEDIENTE!$F$29),"SI","NO")</f>
        <v>NO</v>
      </c>
      <c r="EB17" s="423">
        <f t="shared" si="12"/>
        <v>0</v>
      </c>
      <c r="EC17" s="423">
        <f t="shared" si="13"/>
        <v>0</v>
      </c>
      <c r="ED17" s="423">
        <f t="shared" si="14"/>
        <v>0</v>
      </c>
      <c r="EE17" s="423">
        <f t="shared" si="15"/>
        <v>0</v>
      </c>
      <c r="EF17" s="423">
        <f t="shared" si="16"/>
        <v>0</v>
      </c>
      <c r="EG17" s="423">
        <f t="shared" si="17"/>
        <v>0</v>
      </c>
      <c r="EH17" s="423">
        <f t="shared" si="18"/>
        <v>0</v>
      </c>
      <c r="EI17" s="423">
        <f t="shared" si="19"/>
        <v>0</v>
      </c>
      <c r="EJ17" s="423">
        <f t="shared" si="20"/>
        <v>0</v>
      </c>
      <c r="EK17" s="423">
        <f t="shared" si="21"/>
        <v>0</v>
      </c>
      <c r="EL17" s="423">
        <f t="shared" si="22"/>
        <v>0</v>
      </c>
      <c r="EM17" s="423">
        <f t="shared" si="23"/>
        <v>0</v>
      </c>
      <c r="EN17" s="423">
        <f t="shared" si="24"/>
        <v>0</v>
      </c>
      <c r="EO17" s="423">
        <f t="shared" si="25"/>
        <v>0</v>
      </c>
      <c r="EP17" s="423">
        <f t="shared" si="26"/>
        <v>0</v>
      </c>
      <c r="EQ17" s="423">
        <f t="shared" si="27"/>
        <v>0</v>
      </c>
      <c r="ER17" s="423">
        <f t="shared" si="28"/>
        <v>0</v>
      </c>
      <c r="ES17" s="423">
        <f t="shared" si="29"/>
        <v>0</v>
      </c>
      <c r="ET17" s="423">
        <f t="shared" si="30"/>
        <v>0</v>
      </c>
      <c r="EU17" s="423">
        <f t="shared" si="31"/>
        <v>0</v>
      </c>
      <c r="EV17" s="423">
        <f t="shared" si="32"/>
        <v>0</v>
      </c>
      <c r="EW17" s="423">
        <f t="shared" si="33"/>
        <v>0</v>
      </c>
      <c r="EX17" s="423">
        <f t="shared" si="34"/>
        <v>0</v>
      </c>
      <c r="EY17" s="423">
        <f t="shared" si="35"/>
        <v>0</v>
      </c>
      <c r="EZ17" s="423">
        <f t="shared" si="36"/>
        <v>0</v>
      </c>
      <c r="FA17" s="423">
        <f t="shared" si="37"/>
        <v>0</v>
      </c>
      <c r="FB17" s="423">
        <f t="shared" si="38"/>
        <v>0</v>
      </c>
      <c r="FC17" s="423">
        <f t="shared" si="39"/>
        <v>0</v>
      </c>
      <c r="FD17" s="423">
        <f t="shared" si="40"/>
        <v>0</v>
      </c>
      <c r="FE17" s="423">
        <f t="shared" si="41"/>
        <v>0</v>
      </c>
      <c r="FF17" s="423">
        <f t="shared" si="42"/>
        <v>0</v>
      </c>
      <c r="FG17" s="423">
        <f t="shared" si="43"/>
        <v>0</v>
      </c>
      <c r="FH17" s="423">
        <f t="shared" si="66"/>
        <v>0</v>
      </c>
      <c r="FR17" s="392"/>
      <c r="GC17" s="430">
        <f t="shared" si="44"/>
        <v>44986</v>
      </c>
      <c r="GD17" s="430">
        <f t="shared" si="45"/>
        <v>45016</v>
      </c>
      <c r="GE17" s="386" t="str">
        <f>IF(AND(GD17&gt;=EXPEDIENTE!$F$25,GC17&lt;=EXPEDIENTE!$F$29),"SI","NO")</f>
        <v>NO</v>
      </c>
      <c r="GF17" s="423">
        <f t="shared" si="67"/>
        <v>0</v>
      </c>
      <c r="GG17" s="423">
        <f t="shared" si="68"/>
        <v>0</v>
      </c>
      <c r="GH17" s="423">
        <f t="shared" si="69"/>
        <v>0</v>
      </c>
      <c r="GI17" s="423">
        <f t="shared" si="70"/>
        <v>0</v>
      </c>
      <c r="GJ17" s="423">
        <f t="shared" si="71"/>
        <v>0</v>
      </c>
      <c r="GK17" s="423">
        <f t="shared" si="72"/>
        <v>0</v>
      </c>
      <c r="GL17" s="423">
        <f t="shared" si="73"/>
        <v>0</v>
      </c>
      <c r="GM17" s="423">
        <f t="shared" si="74"/>
        <v>0</v>
      </c>
      <c r="GN17" s="423">
        <f t="shared" si="75"/>
        <v>0</v>
      </c>
      <c r="GO17" s="423">
        <f t="shared" si="76"/>
        <v>0</v>
      </c>
      <c r="GP17" s="423">
        <f t="shared" si="77"/>
        <v>0</v>
      </c>
      <c r="GQ17" s="423">
        <f t="shared" si="78"/>
        <v>0</v>
      </c>
      <c r="GR17" s="423">
        <f t="shared" si="79"/>
        <v>0</v>
      </c>
      <c r="GS17" s="423">
        <f t="shared" si="80"/>
        <v>0</v>
      </c>
      <c r="GT17" s="423">
        <f t="shared" si="81"/>
        <v>0</v>
      </c>
      <c r="GU17" s="423">
        <f t="shared" si="82"/>
        <v>0</v>
      </c>
      <c r="GV17" s="423">
        <f t="shared" si="83"/>
        <v>0</v>
      </c>
      <c r="GW17" s="423">
        <f t="shared" si="84"/>
        <v>0</v>
      </c>
      <c r="GX17" s="423">
        <f t="shared" si="85"/>
        <v>0</v>
      </c>
      <c r="GY17" s="423">
        <f t="shared" si="86"/>
        <v>0</v>
      </c>
      <c r="GZ17" s="423">
        <f t="shared" si="87"/>
        <v>0</v>
      </c>
      <c r="HA17" s="423">
        <f t="shared" si="88"/>
        <v>0</v>
      </c>
      <c r="HB17" s="423">
        <f t="shared" si="89"/>
        <v>0</v>
      </c>
      <c r="HC17" s="423">
        <f t="shared" si="90"/>
        <v>0</v>
      </c>
      <c r="HD17" s="423">
        <f t="shared" si="91"/>
        <v>0</v>
      </c>
      <c r="HE17" s="423">
        <f t="shared" si="92"/>
        <v>0</v>
      </c>
      <c r="HF17" s="423">
        <f t="shared" si="93"/>
        <v>0</v>
      </c>
      <c r="HG17" s="423">
        <f t="shared" si="94"/>
        <v>0</v>
      </c>
      <c r="HH17" s="423">
        <f t="shared" si="95"/>
        <v>0</v>
      </c>
      <c r="HI17" s="423">
        <f t="shared" si="96"/>
        <v>0</v>
      </c>
      <c r="HJ17" s="423">
        <f t="shared" si="97"/>
        <v>0</v>
      </c>
      <c r="HK17" s="423">
        <f t="shared" si="98"/>
        <v>0</v>
      </c>
      <c r="HL17" s="423">
        <f t="shared" si="99"/>
        <v>0</v>
      </c>
      <c r="JC17" s="416">
        <v>13</v>
      </c>
      <c r="JD17" s="398">
        <f>JD12+2</f>
        <v>4</v>
      </c>
    </row>
    <row r="18" spans="3:264" ht="15" customHeight="1" thickBot="1" x14ac:dyDescent="0.3">
      <c r="C18" s="206">
        <v>12</v>
      </c>
      <c r="D18" s="401"/>
      <c r="E18" s="417"/>
      <c r="F18" s="418"/>
      <c r="G18" s="419"/>
      <c r="H18" s="419"/>
      <c r="I18" s="419"/>
      <c r="J18" s="401"/>
      <c r="K18" s="407">
        <f t="shared" si="52"/>
        <v>76</v>
      </c>
      <c r="L18" s="407">
        <f t="shared" si="53"/>
        <v>76</v>
      </c>
      <c r="M18" s="407" t="str">
        <f t="shared" si="54"/>
        <v>X</v>
      </c>
      <c r="R18" s="444" t="s">
        <v>23</v>
      </c>
      <c r="S18" s="445">
        <f>IF(DAY(S12)=DAY(S17),S17,DATE(YEAR(S17),MONTH(S17),1)-1)</f>
        <v>31</v>
      </c>
      <c r="V18" s="981"/>
      <c r="W18" s="441"/>
      <c r="Y18" s="422">
        <f t="shared" si="0"/>
        <v>13</v>
      </c>
      <c r="Z18" s="412" t="str">
        <f>IF(Y18="","",IF(EDATE($Z$5,Y18)&gt;EXPEDIENTE!$F$27,"",EDATE($Z$5,Y18)))</f>
        <v/>
      </c>
      <c r="AA18" s="412" t="str">
        <f>IF(Z18="","",IF(YEAR(EXPEDIENTE!$F$25)=YEAR(Z18),Z18,""))</f>
        <v/>
      </c>
      <c r="AB18" s="412" t="str">
        <f>IF(Z18="","",IF(YEAR(EXPEDIENTE!$F$25)+1=YEAR(Z18),Z18,""))</f>
        <v/>
      </c>
      <c r="AC18" s="412" t="str">
        <f>IF(Z18="","",IF(YEAR(EXPEDIENTE!$F$25)+2=YEAR(Z18),Z18,""))</f>
        <v/>
      </c>
      <c r="AD18" s="412" t="str">
        <f>IF(Z18="","",IF(YEAR(EXPEDIENTE!$F$25)+3=YEAR(Z18),Z18,""))</f>
        <v/>
      </c>
      <c r="AH18" s="392"/>
      <c r="AY18" s="423">
        <v>12</v>
      </c>
      <c r="AZ18" s="424">
        <f t="shared" si="1"/>
        <v>44896</v>
      </c>
      <c r="BK18" s="446">
        <f t="shared" si="2"/>
        <v>0</v>
      </c>
      <c r="BL18" s="447">
        <f t="shared" si="3"/>
        <v>0</v>
      </c>
      <c r="BM18" s="447">
        <f t="shared" si="4"/>
        <v>0</v>
      </c>
      <c r="BN18" s="447">
        <f t="shared" si="5"/>
        <v>0</v>
      </c>
      <c r="BO18" s="447">
        <f t="shared" si="6"/>
        <v>0</v>
      </c>
      <c r="BP18" s="447">
        <f t="shared" si="7"/>
        <v>0</v>
      </c>
      <c r="BQ18" s="447">
        <f t="shared" si="8"/>
        <v>0</v>
      </c>
      <c r="BR18" s="448">
        <f t="shared" si="55"/>
        <v>0</v>
      </c>
      <c r="BS18" s="449">
        <f t="shared" si="56"/>
        <v>0</v>
      </c>
      <c r="BY18" s="392"/>
      <c r="CP18" s="423">
        <v>12</v>
      </c>
      <c r="CQ18" s="424">
        <f t="shared" si="9"/>
        <v>44896</v>
      </c>
      <c r="DB18" s="450">
        <f t="shared" si="57"/>
        <v>0</v>
      </c>
      <c r="DC18" s="451">
        <f t="shared" si="58"/>
        <v>0</v>
      </c>
      <c r="DD18" s="451">
        <f t="shared" si="59"/>
        <v>0</v>
      </c>
      <c r="DE18" s="451">
        <f t="shared" si="60"/>
        <v>0</v>
      </c>
      <c r="DF18" s="451">
        <f t="shared" si="61"/>
        <v>0</v>
      </c>
      <c r="DG18" s="451">
        <f t="shared" si="62"/>
        <v>0</v>
      </c>
      <c r="DH18" s="451">
        <f t="shared" si="63"/>
        <v>0</v>
      </c>
      <c r="DI18" s="452">
        <f t="shared" si="64"/>
        <v>0</v>
      </c>
      <c r="DJ18" s="453">
        <f t="shared" si="65"/>
        <v>0</v>
      </c>
      <c r="DY18" s="430">
        <f t="shared" si="10"/>
        <v>45017</v>
      </c>
      <c r="DZ18" s="430">
        <f t="shared" si="11"/>
        <v>45046</v>
      </c>
      <c r="EA18" s="386" t="str">
        <f>IF(AND(DZ18&gt;=EXPEDIENTE!$F$25,DY18&lt;=EXPEDIENTE!$F$29),"SI","NO")</f>
        <v>NO</v>
      </c>
      <c r="EB18" s="423">
        <f t="shared" si="12"/>
        <v>0</v>
      </c>
      <c r="EC18" s="423">
        <f t="shared" si="13"/>
        <v>0</v>
      </c>
      <c r="ED18" s="423">
        <f t="shared" si="14"/>
        <v>0</v>
      </c>
      <c r="EE18" s="423">
        <f t="shared" si="15"/>
        <v>0</v>
      </c>
      <c r="EF18" s="423">
        <f t="shared" si="16"/>
        <v>0</v>
      </c>
      <c r="EG18" s="423">
        <f t="shared" si="17"/>
        <v>0</v>
      </c>
      <c r="EH18" s="423">
        <f t="shared" si="18"/>
        <v>0</v>
      </c>
      <c r="EI18" s="423">
        <f t="shared" si="19"/>
        <v>0</v>
      </c>
      <c r="EJ18" s="423">
        <f t="shared" si="20"/>
        <v>0</v>
      </c>
      <c r="EK18" s="423">
        <f t="shared" si="21"/>
        <v>0</v>
      </c>
      <c r="EL18" s="423">
        <f t="shared" si="22"/>
        <v>0</v>
      </c>
      <c r="EM18" s="423">
        <f t="shared" si="23"/>
        <v>0</v>
      </c>
      <c r="EN18" s="423">
        <f t="shared" si="24"/>
        <v>0</v>
      </c>
      <c r="EO18" s="423">
        <f t="shared" si="25"/>
        <v>0</v>
      </c>
      <c r="EP18" s="423">
        <f t="shared" si="26"/>
        <v>0</v>
      </c>
      <c r="EQ18" s="423">
        <f t="shared" si="27"/>
        <v>0</v>
      </c>
      <c r="ER18" s="423">
        <f t="shared" si="28"/>
        <v>0</v>
      </c>
      <c r="ES18" s="423">
        <f t="shared" si="29"/>
        <v>0</v>
      </c>
      <c r="ET18" s="423">
        <f t="shared" si="30"/>
        <v>0</v>
      </c>
      <c r="EU18" s="423">
        <f t="shared" si="31"/>
        <v>0</v>
      </c>
      <c r="EV18" s="423">
        <f t="shared" si="32"/>
        <v>0</v>
      </c>
      <c r="EW18" s="423">
        <f t="shared" si="33"/>
        <v>0</v>
      </c>
      <c r="EX18" s="423">
        <f t="shared" si="34"/>
        <v>0</v>
      </c>
      <c r="EY18" s="423">
        <f t="shared" si="35"/>
        <v>0</v>
      </c>
      <c r="EZ18" s="423">
        <f t="shared" si="36"/>
        <v>0</v>
      </c>
      <c r="FA18" s="423">
        <f t="shared" si="37"/>
        <v>0</v>
      </c>
      <c r="FB18" s="423">
        <f t="shared" si="38"/>
        <v>0</v>
      </c>
      <c r="FC18" s="423">
        <f t="shared" si="39"/>
        <v>0</v>
      </c>
      <c r="FD18" s="423">
        <f t="shared" si="40"/>
        <v>0</v>
      </c>
      <c r="FE18" s="423">
        <f t="shared" si="41"/>
        <v>0</v>
      </c>
      <c r="FF18" s="423">
        <f t="shared" si="42"/>
        <v>0</v>
      </c>
      <c r="FG18" s="423">
        <f t="shared" si="43"/>
        <v>0</v>
      </c>
      <c r="FH18" s="423">
        <f t="shared" si="66"/>
        <v>0</v>
      </c>
      <c r="GC18" s="430">
        <f t="shared" si="44"/>
        <v>45017</v>
      </c>
      <c r="GD18" s="430">
        <f t="shared" si="45"/>
        <v>45046</v>
      </c>
      <c r="GE18" s="386" t="str">
        <f>IF(AND(GD18&gt;=EXPEDIENTE!$F$25,GC18&lt;=EXPEDIENTE!$F$29),"SI","NO")</f>
        <v>NO</v>
      </c>
      <c r="GF18" s="423">
        <f t="shared" si="67"/>
        <v>0</v>
      </c>
      <c r="GG18" s="423">
        <f t="shared" si="68"/>
        <v>0</v>
      </c>
      <c r="GH18" s="423">
        <f t="shared" si="69"/>
        <v>0</v>
      </c>
      <c r="GI18" s="423">
        <f t="shared" si="70"/>
        <v>0</v>
      </c>
      <c r="GJ18" s="423">
        <f t="shared" si="71"/>
        <v>0</v>
      </c>
      <c r="GK18" s="423">
        <f t="shared" si="72"/>
        <v>0</v>
      </c>
      <c r="GL18" s="423">
        <f t="shared" si="73"/>
        <v>0</v>
      </c>
      <c r="GM18" s="423">
        <f t="shared" si="74"/>
        <v>0</v>
      </c>
      <c r="GN18" s="423">
        <f t="shared" si="75"/>
        <v>0</v>
      </c>
      <c r="GO18" s="423">
        <f t="shared" si="76"/>
        <v>0</v>
      </c>
      <c r="GP18" s="423">
        <f t="shared" si="77"/>
        <v>0</v>
      </c>
      <c r="GQ18" s="423">
        <f t="shared" si="78"/>
        <v>0</v>
      </c>
      <c r="GR18" s="423">
        <f t="shared" si="79"/>
        <v>0</v>
      </c>
      <c r="GS18" s="423">
        <f t="shared" si="80"/>
        <v>0</v>
      </c>
      <c r="GT18" s="423">
        <f t="shared" si="81"/>
        <v>0</v>
      </c>
      <c r="GU18" s="423">
        <f t="shared" si="82"/>
        <v>0</v>
      </c>
      <c r="GV18" s="423">
        <f t="shared" si="83"/>
        <v>0</v>
      </c>
      <c r="GW18" s="423">
        <f t="shared" si="84"/>
        <v>0</v>
      </c>
      <c r="GX18" s="423">
        <f t="shared" si="85"/>
        <v>0</v>
      </c>
      <c r="GY18" s="423">
        <f t="shared" si="86"/>
        <v>0</v>
      </c>
      <c r="GZ18" s="423">
        <f t="shared" si="87"/>
        <v>0</v>
      </c>
      <c r="HA18" s="423">
        <f t="shared" si="88"/>
        <v>0</v>
      </c>
      <c r="HB18" s="423">
        <f t="shared" si="89"/>
        <v>0</v>
      </c>
      <c r="HC18" s="423">
        <f t="shared" si="90"/>
        <v>0</v>
      </c>
      <c r="HD18" s="423">
        <f t="shared" si="91"/>
        <v>0</v>
      </c>
      <c r="HE18" s="423">
        <f t="shared" si="92"/>
        <v>0</v>
      </c>
      <c r="HF18" s="423">
        <f t="shared" si="93"/>
        <v>0</v>
      </c>
      <c r="HG18" s="423">
        <f t="shared" si="94"/>
        <v>0</v>
      </c>
      <c r="HH18" s="423">
        <f t="shared" si="95"/>
        <v>0</v>
      </c>
      <c r="HI18" s="423">
        <f t="shared" si="96"/>
        <v>0</v>
      </c>
      <c r="HJ18" s="423">
        <f t="shared" si="97"/>
        <v>0</v>
      </c>
      <c r="HK18" s="423">
        <f t="shared" si="98"/>
        <v>0</v>
      </c>
      <c r="HL18" s="423">
        <f t="shared" si="99"/>
        <v>0</v>
      </c>
      <c r="JC18" s="416">
        <v>14</v>
      </c>
      <c r="JD18" s="398">
        <f>JD13+2</f>
        <v>4</v>
      </c>
    </row>
    <row r="19" spans="3:264" ht="15.75" customHeight="1" thickBot="1" x14ac:dyDescent="0.3">
      <c r="C19" s="206">
        <v>13</v>
      </c>
      <c r="D19" s="401"/>
      <c r="E19" s="417"/>
      <c r="F19" s="418"/>
      <c r="G19" s="419"/>
      <c r="H19" s="419"/>
      <c r="I19" s="419"/>
      <c r="J19" s="401"/>
      <c r="K19" s="407">
        <f t="shared" si="52"/>
        <v>76</v>
      </c>
      <c r="L19" s="407">
        <f t="shared" si="53"/>
        <v>76</v>
      </c>
      <c r="M19" s="407" t="str">
        <f t="shared" si="54"/>
        <v>X</v>
      </c>
      <c r="V19" s="981"/>
      <c r="W19" s="441"/>
      <c r="Y19" s="422">
        <f t="shared" si="0"/>
        <v>14</v>
      </c>
      <c r="Z19" s="412" t="str">
        <f>IF(Y19="","",IF(EDATE($Z$5,Y19)&gt;EXPEDIENTE!$F$27,"",EDATE($Z$5,Y19)))</f>
        <v/>
      </c>
      <c r="AA19" s="412" t="str">
        <f>IF(Z19="","",IF(YEAR(EXPEDIENTE!$F$25)=YEAR(Z19),Z19,""))</f>
        <v/>
      </c>
      <c r="AB19" s="412" t="str">
        <f>IF(Z19="","",IF(YEAR(EXPEDIENTE!$F$25)+1=YEAR(Z19),Z19,""))</f>
        <v/>
      </c>
      <c r="AC19" s="412" t="str">
        <f>IF(Z19="","",IF(YEAR(EXPEDIENTE!$F$25)+2=YEAR(Z19),Z19,""))</f>
        <v/>
      </c>
      <c r="AD19" s="412" t="str">
        <f>IF(Z19="","",IF(YEAR(EXPEDIENTE!$F$25)+3=YEAR(Z19),Z19,""))</f>
        <v/>
      </c>
      <c r="AL19" s="1012" t="s">
        <v>348</v>
      </c>
      <c r="AM19" s="1013" t="s">
        <v>64</v>
      </c>
      <c r="AN19" s="1014" t="s">
        <v>71</v>
      </c>
      <c r="AO19" s="1015" t="s">
        <v>203</v>
      </c>
      <c r="AP19" s="1010" t="s">
        <v>109</v>
      </c>
      <c r="AQ19" s="959"/>
      <c r="AR19" s="1011"/>
      <c r="AS19" s="1010" t="s">
        <v>202</v>
      </c>
      <c r="AT19" s="959"/>
      <c r="AU19" s="1011"/>
      <c r="AV19" s="1024" t="s">
        <v>204</v>
      </c>
      <c r="AW19" s="1018" t="s">
        <v>205</v>
      </c>
      <c r="AZ19" s="454"/>
      <c r="CC19" s="1012" t="s">
        <v>348</v>
      </c>
      <c r="CD19" s="1013" t="s">
        <v>64</v>
      </c>
      <c r="CE19" s="1014" t="s">
        <v>71</v>
      </c>
      <c r="CF19" s="1015" t="s">
        <v>203</v>
      </c>
      <c r="CG19" s="1010" t="s">
        <v>109</v>
      </c>
      <c r="CH19" s="959"/>
      <c r="CI19" s="1011"/>
      <c r="CJ19" s="1010" t="s">
        <v>202</v>
      </c>
      <c r="CK19" s="959"/>
      <c r="CL19" s="1011"/>
      <c r="CM19" s="1024" t="s">
        <v>204</v>
      </c>
      <c r="CN19" s="1018" t="s">
        <v>205</v>
      </c>
      <c r="CQ19" s="454"/>
      <c r="DO19" s="455">
        <f>AF23</f>
        <v>2023</v>
      </c>
      <c r="DY19" s="430">
        <f>DATE(YEAR(DY20),MONTH(DY20)-1,1)</f>
        <v>45047</v>
      </c>
      <c r="DZ19" s="430">
        <f>DATE(YEAR(DZ20),MONTH(DZ20),1)-1</f>
        <v>45077</v>
      </c>
      <c r="EA19" s="386" t="str">
        <f>IF(AND(DZ19&gt;=EXPEDIENTE!$F$25,DY19&lt;=EXPEDIENTE!$F$29),"SI","NO")</f>
        <v>NO</v>
      </c>
      <c r="EB19" s="423">
        <f t="shared" si="12"/>
        <v>0</v>
      </c>
      <c r="EC19" s="423">
        <f t="shared" si="13"/>
        <v>0</v>
      </c>
      <c r="ED19" s="423">
        <f t="shared" si="14"/>
        <v>0</v>
      </c>
      <c r="EE19" s="423">
        <f t="shared" si="15"/>
        <v>0</v>
      </c>
      <c r="EF19" s="423">
        <f t="shared" si="16"/>
        <v>0</v>
      </c>
      <c r="EG19" s="423">
        <f t="shared" si="17"/>
        <v>0</v>
      </c>
      <c r="EH19" s="423">
        <f t="shared" si="18"/>
        <v>0</v>
      </c>
      <c r="EI19" s="423">
        <f t="shared" si="19"/>
        <v>0</v>
      </c>
      <c r="EJ19" s="423">
        <f t="shared" si="20"/>
        <v>0</v>
      </c>
      <c r="EK19" s="423">
        <f t="shared" si="21"/>
        <v>0</v>
      </c>
      <c r="EL19" s="423">
        <f t="shared" si="22"/>
        <v>0</v>
      </c>
      <c r="EM19" s="423">
        <f t="shared" si="23"/>
        <v>0</v>
      </c>
      <c r="EN19" s="423">
        <f t="shared" si="24"/>
        <v>0</v>
      </c>
      <c r="EO19" s="423">
        <f t="shared" si="25"/>
        <v>0</v>
      </c>
      <c r="EP19" s="423">
        <f t="shared" si="26"/>
        <v>0</v>
      </c>
      <c r="EQ19" s="423">
        <f t="shared" si="27"/>
        <v>0</v>
      </c>
      <c r="ER19" s="423">
        <f t="shared" si="28"/>
        <v>0</v>
      </c>
      <c r="ES19" s="423">
        <f t="shared" si="29"/>
        <v>0</v>
      </c>
      <c r="ET19" s="423">
        <f t="shared" si="30"/>
        <v>0</v>
      </c>
      <c r="EU19" s="423">
        <f t="shared" si="31"/>
        <v>0</v>
      </c>
      <c r="EV19" s="423">
        <f t="shared" si="32"/>
        <v>0</v>
      </c>
      <c r="EW19" s="423">
        <f t="shared" si="33"/>
        <v>0</v>
      </c>
      <c r="EX19" s="423">
        <f t="shared" si="34"/>
        <v>0</v>
      </c>
      <c r="EY19" s="423">
        <f t="shared" si="35"/>
        <v>0</v>
      </c>
      <c r="EZ19" s="423">
        <f t="shared" si="36"/>
        <v>0</v>
      </c>
      <c r="FA19" s="423">
        <f t="shared" si="37"/>
        <v>0</v>
      </c>
      <c r="FB19" s="423">
        <f t="shared" si="38"/>
        <v>0</v>
      </c>
      <c r="FC19" s="423">
        <f t="shared" si="39"/>
        <v>0</v>
      </c>
      <c r="FD19" s="423">
        <f t="shared" si="40"/>
        <v>0</v>
      </c>
      <c r="FE19" s="423">
        <f t="shared" si="41"/>
        <v>0</v>
      </c>
      <c r="FF19" s="423">
        <f t="shared" si="42"/>
        <v>0</v>
      </c>
      <c r="FG19" s="423">
        <f t="shared" si="43"/>
        <v>0</v>
      </c>
      <c r="FH19" s="423">
        <f t="shared" si="66"/>
        <v>0</v>
      </c>
      <c r="FS19" s="456">
        <f>BW23</f>
        <v>2023</v>
      </c>
      <c r="GC19" s="430">
        <f>DATE(YEAR(GC20),MONTH(GC20)-1,1)</f>
        <v>45047</v>
      </c>
      <c r="GD19" s="430">
        <f>DATE(YEAR(GD20),MONTH(GD20),1)-1</f>
        <v>45077</v>
      </c>
      <c r="GE19" s="386" t="str">
        <f>IF(AND(GD19&gt;=EXPEDIENTE!$F$25,GC19&lt;=EXPEDIENTE!$F$29),"SI","NO")</f>
        <v>NO</v>
      </c>
      <c r="GF19" s="423">
        <f t="shared" si="67"/>
        <v>0</v>
      </c>
      <c r="GG19" s="423">
        <f t="shared" si="68"/>
        <v>0</v>
      </c>
      <c r="GH19" s="423">
        <f t="shared" si="69"/>
        <v>0</v>
      </c>
      <c r="GI19" s="423">
        <f t="shared" si="70"/>
        <v>0</v>
      </c>
      <c r="GJ19" s="423">
        <f t="shared" si="71"/>
        <v>0</v>
      </c>
      <c r="GK19" s="423">
        <f t="shared" si="72"/>
        <v>0</v>
      </c>
      <c r="GL19" s="423">
        <f t="shared" si="73"/>
        <v>0</v>
      </c>
      <c r="GM19" s="423">
        <f t="shared" si="74"/>
        <v>0</v>
      </c>
      <c r="GN19" s="423">
        <f t="shared" si="75"/>
        <v>0</v>
      </c>
      <c r="GO19" s="423">
        <f t="shared" si="76"/>
        <v>0</v>
      </c>
      <c r="GP19" s="423">
        <f t="shared" si="77"/>
        <v>0</v>
      </c>
      <c r="GQ19" s="423">
        <f t="shared" si="78"/>
        <v>0</v>
      </c>
      <c r="GR19" s="423">
        <f t="shared" si="79"/>
        <v>0</v>
      </c>
      <c r="GS19" s="423">
        <f t="shared" si="80"/>
        <v>0</v>
      </c>
      <c r="GT19" s="423">
        <f t="shared" si="81"/>
        <v>0</v>
      </c>
      <c r="GU19" s="423">
        <f t="shared" si="82"/>
        <v>0</v>
      </c>
      <c r="GV19" s="423">
        <f t="shared" si="83"/>
        <v>0</v>
      </c>
      <c r="GW19" s="423">
        <f t="shared" si="84"/>
        <v>0</v>
      </c>
      <c r="GX19" s="423">
        <f t="shared" si="85"/>
        <v>0</v>
      </c>
      <c r="GY19" s="423">
        <f t="shared" si="86"/>
        <v>0</v>
      </c>
      <c r="GZ19" s="423">
        <f t="shared" si="87"/>
        <v>0</v>
      </c>
      <c r="HA19" s="423">
        <f t="shared" si="88"/>
        <v>0</v>
      </c>
      <c r="HB19" s="423">
        <f t="shared" si="89"/>
        <v>0</v>
      </c>
      <c r="HC19" s="423">
        <f t="shared" si="90"/>
        <v>0</v>
      </c>
      <c r="HD19" s="423">
        <f t="shared" si="91"/>
        <v>0</v>
      </c>
      <c r="HE19" s="423">
        <f t="shared" si="92"/>
        <v>0</v>
      </c>
      <c r="HF19" s="423">
        <f t="shared" si="93"/>
        <v>0</v>
      </c>
      <c r="HG19" s="423">
        <f t="shared" si="94"/>
        <v>0</v>
      </c>
      <c r="HH19" s="423">
        <f t="shared" si="95"/>
        <v>0</v>
      </c>
      <c r="HI19" s="423">
        <f t="shared" si="96"/>
        <v>0</v>
      </c>
      <c r="HJ19" s="423">
        <f t="shared" si="97"/>
        <v>0</v>
      </c>
      <c r="HK19" s="423">
        <f t="shared" si="98"/>
        <v>0</v>
      </c>
      <c r="HL19" s="423">
        <f t="shared" si="99"/>
        <v>0</v>
      </c>
      <c r="JC19" s="442">
        <v>15</v>
      </c>
      <c r="JD19" s="398">
        <f>JD14+2</f>
        <v>4</v>
      </c>
    </row>
    <row r="20" spans="3:264" ht="13.5" customHeight="1" thickBot="1" x14ac:dyDescent="0.3">
      <c r="C20" s="206">
        <v>14</v>
      </c>
      <c r="D20" s="401"/>
      <c r="E20" s="417"/>
      <c r="F20" s="418"/>
      <c r="G20" s="419"/>
      <c r="H20" s="419"/>
      <c r="I20" s="419"/>
      <c r="J20" s="401"/>
      <c r="K20" s="407">
        <f t="shared" si="52"/>
        <v>76</v>
      </c>
      <c r="L20" s="407">
        <f t="shared" si="53"/>
        <v>76</v>
      </c>
      <c r="M20" s="407" t="str">
        <f t="shared" si="54"/>
        <v>X</v>
      </c>
      <c r="R20" s="204" t="s">
        <v>241</v>
      </c>
      <c r="V20" s="981"/>
      <c r="W20" s="441"/>
      <c r="Y20" s="422">
        <f t="shared" si="0"/>
        <v>15</v>
      </c>
      <c r="Z20" s="412" t="str">
        <f>IF(Y20="","",IF(EDATE($Z$5,Y20)&gt;EXPEDIENTE!$F$27,"",EDATE($Z$5,Y20)))</f>
        <v/>
      </c>
      <c r="AA20" s="412" t="str">
        <f>IF(Z20="","",IF(YEAR(EXPEDIENTE!$F$25)=YEAR(Z20),Z20,""))</f>
        <v/>
      </c>
      <c r="AB20" s="412" t="str">
        <f>IF(Z20="","",IF(YEAR(EXPEDIENTE!$F$25)+1=YEAR(Z20),Z20,""))</f>
        <v/>
      </c>
      <c r="AC20" s="412" t="str">
        <f>IF(Z20="","",IF(YEAR(EXPEDIENTE!$F$25)+2=YEAR(Z20),Z20,""))</f>
        <v/>
      </c>
      <c r="AD20" s="412" t="str">
        <f>IF(Z20="","",IF(YEAR(EXPEDIENTE!$F$25)+3=YEAR(Z20),Z20,""))</f>
        <v/>
      </c>
      <c r="AH20" s="1001" t="s">
        <v>189</v>
      </c>
      <c r="AI20" s="1004" t="s">
        <v>190</v>
      </c>
      <c r="AJ20" s="1007" t="s">
        <v>191</v>
      </c>
      <c r="AL20" s="997"/>
      <c r="AM20" s="999"/>
      <c r="AN20" s="969"/>
      <c r="AO20" s="1016"/>
      <c r="AP20" s="997" t="s">
        <v>192</v>
      </c>
      <c r="AQ20" s="999" t="s">
        <v>110</v>
      </c>
      <c r="AR20" s="967" t="s">
        <v>81</v>
      </c>
      <c r="AS20" s="1026" t="s">
        <v>68</v>
      </c>
      <c r="AT20" s="969" t="s">
        <v>69</v>
      </c>
      <c r="AU20" s="967" t="s">
        <v>111</v>
      </c>
      <c r="AV20" s="1025"/>
      <c r="AW20" s="1019"/>
      <c r="AZ20" s="454"/>
      <c r="BA20" s="992" t="str">
        <f>CONCATENATE("P.P. OTRAS NÓMINAS ABONADAS EN ",AZ22)</f>
        <v>P.P. OTRAS NÓMINAS ABONADAS EN 2023</v>
      </c>
      <c r="BB20" s="993"/>
      <c r="BC20" s="993"/>
      <c r="BD20" s="993"/>
      <c r="BE20" s="993"/>
      <c r="BF20" s="993"/>
      <c r="BG20" s="993"/>
      <c r="BH20" s="993"/>
      <c r="BI20" s="994"/>
      <c r="BK20" s="992" t="e">
        <f>CONCATENATE("P.P. OTRAS NÓMINAS ABONADAS EN ",AZ38)</f>
        <v>#VALUE!</v>
      </c>
      <c r="BL20" s="993"/>
      <c r="BM20" s="993"/>
      <c r="BN20" s="993"/>
      <c r="BO20" s="993"/>
      <c r="BP20" s="993"/>
      <c r="BQ20" s="993"/>
      <c r="BR20" s="993"/>
      <c r="BS20" s="994"/>
      <c r="BU20" s="1030" t="s">
        <v>58</v>
      </c>
      <c r="BY20" s="1001" t="s">
        <v>189</v>
      </c>
      <c r="BZ20" s="1004" t="s">
        <v>190</v>
      </c>
      <c r="CA20" s="1007" t="s">
        <v>191</v>
      </c>
      <c r="CC20" s="997"/>
      <c r="CD20" s="999"/>
      <c r="CE20" s="969"/>
      <c r="CF20" s="1016"/>
      <c r="CG20" s="997" t="s">
        <v>192</v>
      </c>
      <c r="CH20" s="999" t="s">
        <v>110</v>
      </c>
      <c r="CI20" s="967" t="s">
        <v>81</v>
      </c>
      <c r="CJ20" s="1026" t="s">
        <v>68</v>
      </c>
      <c r="CK20" s="969" t="s">
        <v>69</v>
      </c>
      <c r="CL20" s="967" t="s">
        <v>111</v>
      </c>
      <c r="CM20" s="1025"/>
      <c r="CN20" s="1019"/>
      <c r="CQ20" s="454"/>
      <c r="CR20" s="992" t="str">
        <f>CONCATENATE("P.P. OTRAS NÓMINAS ABONADAS EN ",CQ22)</f>
        <v>P.P. OTRAS NÓMINAS ABONADAS EN 2023</v>
      </c>
      <c r="CS20" s="993"/>
      <c r="CT20" s="993"/>
      <c r="CU20" s="993"/>
      <c r="CV20" s="993"/>
      <c r="CW20" s="993"/>
      <c r="CX20" s="993"/>
      <c r="CY20" s="993"/>
      <c r="CZ20" s="994"/>
      <c r="DB20" s="992" t="e">
        <f>CONCATENATE("P.P. OTRAS NÓMINAS ABONADAS EN ",CQ38)</f>
        <v>#VALUE!</v>
      </c>
      <c r="DC20" s="993"/>
      <c r="DD20" s="993"/>
      <c r="DE20" s="993"/>
      <c r="DF20" s="993"/>
      <c r="DG20" s="993"/>
      <c r="DH20" s="993"/>
      <c r="DI20" s="993"/>
      <c r="DJ20" s="994"/>
      <c r="DL20" s="1030" t="s">
        <v>58</v>
      </c>
      <c r="DO20" s="956" t="s">
        <v>70</v>
      </c>
      <c r="DP20" s="959" t="s">
        <v>202</v>
      </c>
      <c r="DQ20" s="959"/>
      <c r="DR20" s="959"/>
      <c r="DS20" s="960" t="s">
        <v>134</v>
      </c>
      <c r="DT20" s="960" t="s">
        <v>352</v>
      </c>
      <c r="DU20" s="963" t="s">
        <v>353</v>
      </c>
      <c r="DV20" s="966" t="s">
        <v>205</v>
      </c>
      <c r="DX20" s="386">
        <v>1</v>
      </c>
      <c r="DY20" s="457">
        <f>DATE(YEAR(EXPEDIENTE!$F$25),MONTH(EXPEDIENTE!$F$25),1)</f>
        <v>45078</v>
      </c>
      <c r="DZ20" s="457">
        <f>EOMONTH(EXPEDIENTE!$F$25,0)</f>
        <v>45107</v>
      </c>
      <c r="EA20" s="386" t="str">
        <f>IF(AND(DZ20&gt;=EXPEDIENTE!$F$25,DY20&lt;=EXPEDIENTE!$F$29),"SI","NO")</f>
        <v>SI</v>
      </c>
      <c r="EB20" s="423">
        <f t="shared" si="12"/>
        <v>0</v>
      </c>
      <c r="EC20" s="423">
        <f t="shared" si="13"/>
        <v>0</v>
      </c>
      <c r="ED20" s="423">
        <f t="shared" si="14"/>
        <v>0</v>
      </c>
      <c r="EE20" s="423">
        <f t="shared" si="15"/>
        <v>0</v>
      </c>
      <c r="EF20" s="423">
        <f t="shared" si="16"/>
        <v>0</v>
      </c>
      <c r="EG20" s="423">
        <f t="shared" si="17"/>
        <v>0</v>
      </c>
      <c r="EH20" s="423">
        <f t="shared" si="18"/>
        <v>0</v>
      </c>
      <c r="EI20" s="423">
        <f t="shared" si="19"/>
        <v>0</v>
      </c>
      <c r="EJ20" s="423">
        <f t="shared" si="20"/>
        <v>0</v>
      </c>
      <c r="EK20" s="423">
        <f t="shared" si="21"/>
        <v>0</v>
      </c>
      <c r="EL20" s="423">
        <f t="shared" si="22"/>
        <v>0</v>
      </c>
      <c r="EM20" s="423">
        <f t="shared" si="23"/>
        <v>0</v>
      </c>
      <c r="EN20" s="423">
        <f t="shared" si="24"/>
        <v>0</v>
      </c>
      <c r="EO20" s="423">
        <f t="shared" si="25"/>
        <v>0</v>
      </c>
      <c r="EP20" s="423">
        <f t="shared" si="26"/>
        <v>0</v>
      </c>
      <c r="EQ20" s="423">
        <f t="shared" si="27"/>
        <v>0</v>
      </c>
      <c r="ER20" s="423">
        <f t="shared" si="28"/>
        <v>0</v>
      </c>
      <c r="ES20" s="423">
        <f t="shared" si="29"/>
        <v>0</v>
      </c>
      <c r="ET20" s="423">
        <f t="shared" si="30"/>
        <v>0</v>
      </c>
      <c r="EU20" s="423">
        <f t="shared" si="31"/>
        <v>0</v>
      </c>
      <c r="EV20" s="423">
        <f t="shared" si="32"/>
        <v>0</v>
      </c>
      <c r="EW20" s="423">
        <f t="shared" si="33"/>
        <v>0</v>
      </c>
      <c r="EX20" s="423">
        <f t="shared" si="34"/>
        <v>0</v>
      </c>
      <c r="EY20" s="423">
        <f t="shared" si="35"/>
        <v>0</v>
      </c>
      <c r="EZ20" s="423">
        <f t="shared" si="36"/>
        <v>0</v>
      </c>
      <c r="FA20" s="423">
        <f t="shared" si="37"/>
        <v>0</v>
      </c>
      <c r="FB20" s="423">
        <f t="shared" si="38"/>
        <v>0</v>
      </c>
      <c r="FC20" s="423">
        <f t="shared" si="39"/>
        <v>0</v>
      </c>
      <c r="FD20" s="423">
        <f t="shared" si="40"/>
        <v>0</v>
      </c>
      <c r="FE20" s="423">
        <f t="shared" si="41"/>
        <v>0</v>
      </c>
      <c r="FF20" s="423">
        <f t="shared" si="42"/>
        <v>0</v>
      </c>
      <c r="FG20" s="423">
        <f t="shared" si="43"/>
        <v>0</v>
      </c>
      <c r="FH20" s="423">
        <f t="shared" si="66"/>
        <v>0</v>
      </c>
      <c r="FS20" s="956" t="s">
        <v>70</v>
      </c>
      <c r="FT20" s="959" t="s">
        <v>202</v>
      </c>
      <c r="FU20" s="959"/>
      <c r="FV20" s="959"/>
      <c r="FW20" s="960" t="s">
        <v>134</v>
      </c>
      <c r="FX20" s="960" t="s">
        <v>352</v>
      </c>
      <c r="FY20" s="963" t="s">
        <v>353</v>
      </c>
      <c r="FZ20" s="966" t="s">
        <v>205</v>
      </c>
      <c r="GB20" s="386">
        <v>1</v>
      </c>
      <c r="GC20" s="457">
        <f>DATE(YEAR(EXPEDIENTE!$F$25),MONTH(EXPEDIENTE!$F$25),1)</f>
        <v>45078</v>
      </c>
      <c r="GD20" s="457">
        <f>EOMONTH(EXPEDIENTE!$F$25,0)</f>
        <v>45107</v>
      </c>
      <c r="GE20" s="386" t="str">
        <f>IF(AND(GD20&gt;=EXPEDIENTE!$F$25,GC20&lt;=EXPEDIENTE!$F$29),"SI","NO")</f>
        <v>SI</v>
      </c>
      <c r="GF20" s="423">
        <f t="shared" si="67"/>
        <v>0</v>
      </c>
      <c r="GG20" s="423">
        <f t="shared" si="68"/>
        <v>0</v>
      </c>
      <c r="GH20" s="423">
        <f t="shared" si="69"/>
        <v>0</v>
      </c>
      <c r="GI20" s="423">
        <f t="shared" si="70"/>
        <v>0</v>
      </c>
      <c r="GJ20" s="423">
        <f t="shared" si="71"/>
        <v>0</v>
      </c>
      <c r="GK20" s="423">
        <f t="shared" si="72"/>
        <v>0</v>
      </c>
      <c r="GL20" s="423">
        <f t="shared" si="73"/>
        <v>0</v>
      </c>
      <c r="GM20" s="423">
        <f t="shared" si="74"/>
        <v>0</v>
      </c>
      <c r="GN20" s="423">
        <f t="shared" si="75"/>
        <v>0</v>
      </c>
      <c r="GO20" s="423">
        <f t="shared" si="76"/>
        <v>0</v>
      </c>
      <c r="GP20" s="423">
        <f t="shared" si="77"/>
        <v>0</v>
      </c>
      <c r="GQ20" s="423">
        <f t="shared" si="78"/>
        <v>0</v>
      </c>
      <c r="GR20" s="423">
        <f t="shared" si="79"/>
        <v>0</v>
      </c>
      <c r="GS20" s="423">
        <f t="shared" si="80"/>
        <v>0</v>
      </c>
      <c r="GT20" s="423">
        <f t="shared" si="81"/>
        <v>0</v>
      </c>
      <c r="GU20" s="423">
        <f t="shared" si="82"/>
        <v>0</v>
      </c>
      <c r="GV20" s="423">
        <f t="shared" si="83"/>
        <v>0</v>
      </c>
      <c r="GW20" s="423">
        <f t="shared" si="84"/>
        <v>0</v>
      </c>
      <c r="GX20" s="423">
        <f t="shared" si="85"/>
        <v>0</v>
      </c>
      <c r="GY20" s="423">
        <f t="shared" si="86"/>
        <v>0</v>
      </c>
      <c r="GZ20" s="423">
        <f t="shared" si="87"/>
        <v>0</v>
      </c>
      <c r="HA20" s="423">
        <f t="shared" si="88"/>
        <v>0</v>
      </c>
      <c r="HB20" s="423">
        <f t="shared" si="89"/>
        <v>0</v>
      </c>
      <c r="HC20" s="423">
        <f t="shared" si="90"/>
        <v>0</v>
      </c>
      <c r="HD20" s="423">
        <f t="shared" si="91"/>
        <v>0</v>
      </c>
      <c r="HE20" s="423">
        <f t="shared" si="92"/>
        <v>0</v>
      </c>
      <c r="HF20" s="423">
        <f t="shared" si="93"/>
        <v>0</v>
      </c>
      <c r="HG20" s="423">
        <f t="shared" si="94"/>
        <v>0</v>
      </c>
      <c r="HH20" s="423">
        <f t="shared" si="95"/>
        <v>0</v>
      </c>
      <c r="HI20" s="423">
        <f t="shared" si="96"/>
        <v>0</v>
      </c>
      <c r="HJ20" s="423">
        <f t="shared" si="97"/>
        <v>0</v>
      </c>
      <c r="HK20" s="423">
        <f t="shared" si="98"/>
        <v>0</v>
      </c>
      <c r="HL20" s="423">
        <f t="shared" si="99"/>
        <v>0</v>
      </c>
      <c r="JC20" s="406">
        <v>16</v>
      </c>
      <c r="JD20" s="398">
        <f t="shared" si="100"/>
        <v>6</v>
      </c>
    </row>
    <row r="21" spans="3:264" ht="15" customHeight="1" thickBot="1" x14ac:dyDescent="0.3">
      <c r="C21" s="206">
        <v>15</v>
      </c>
      <c r="D21" s="401"/>
      <c r="E21" s="417"/>
      <c r="F21" s="418"/>
      <c r="G21" s="419"/>
      <c r="H21" s="419"/>
      <c r="I21" s="419"/>
      <c r="J21" s="401"/>
      <c r="K21" s="407">
        <f t="shared" si="52"/>
        <v>76</v>
      </c>
      <c r="L21" s="407">
        <f t="shared" si="53"/>
        <v>76</v>
      </c>
      <c r="M21" s="407" t="str">
        <f t="shared" si="54"/>
        <v>X</v>
      </c>
      <c r="V21" s="981"/>
      <c r="W21" s="441"/>
      <c r="Y21" s="422">
        <f t="shared" si="0"/>
        <v>16</v>
      </c>
      <c r="Z21" s="412" t="str">
        <f>IF(Y21="","",IF(EDATE($Z$5,Y21)&gt;EXPEDIENTE!$F$27,"",EDATE($Z$5,Y21)))</f>
        <v/>
      </c>
      <c r="AA21" s="412" t="str">
        <f>IF(Z21="","",IF(YEAR(EXPEDIENTE!$F$25)=YEAR(Z21),Z21,""))</f>
        <v/>
      </c>
      <c r="AB21" s="412" t="str">
        <f>IF(Z21="","",IF(YEAR(EXPEDIENTE!$F$25)+1=YEAR(Z21),Z21,""))</f>
        <v/>
      </c>
      <c r="AC21" s="412" t="str">
        <f>IF(Z21="","",IF(YEAR(EXPEDIENTE!$F$25)+2=YEAR(Z21),Z21,""))</f>
        <v/>
      </c>
      <c r="AD21" s="412" t="str">
        <f>IF(Z21="","",IF(YEAR(EXPEDIENTE!$F$25)+3=YEAR(Z21),Z21,""))</f>
        <v/>
      </c>
      <c r="AH21" s="1002"/>
      <c r="AI21" s="1005"/>
      <c r="AJ21" s="1008"/>
      <c r="AL21" s="997"/>
      <c r="AM21" s="999"/>
      <c r="AN21" s="969"/>
      <c r="AO21" s="1016"/>
      <c r="AP21" s="997"/>
      <c r="AQ21" s="999"/>
      <c r="AR21" s="967"/>
      <c r="AS21" s="1026"/>
      <c r="AT21" s="969"/>
      <c r="AU21" s="967"/>
      <c r="AV21" s="1025"/>
      <c r="AW21" s="1019"/>
      <c r="BA21" s="986">
        <f>'GASTOS EJER. 1'!$C$37</f>
        <v>0</v>
      </c>
      <c r="BB21" s="987">
        <f>'GASTOS EJER. 1'!$C$38</f>
        <v>0</v>
      </c>
      <c r="BC21" s="987">
        <f>'GASTOS EJER. 1'!$C$39</f>
        <v>0</v>
      </c>
      <c r="BD21" s="987">
        <f>'GASTOS EJER. 1'!$C$40</f>
        <v>0</v>
      </c>
      <c r="BE21" s="987">
        <f>'GASTOS EJER. 1'!$C$41</f>
        <v>0</v>
      </c>
      <c r="BF21" s="987">
        <f>'GASTOS EJER. 1'!$C$42</f>
        <v>0</v>
      </c>
      <c r="BG21" s="987">
        <f>'GASTOS EJER. 1'!$C$43</f>
        <v>0</v>
      </c>
      <c r="BH21" s="988">
        <f>'GASTOS EJER. 1'!$C$44</f>
        <v>0</v>
      </c>
      <c r="BI21" s="990" t="s">
        <v>58</v>
      </c>
      <c r="BK21" s="986">
        <f>'GASTOS EJER. 2'!$C$37</f>
        <v>0</v>
      </c>
      <c r="BL21" s="987">
        <f>'GASTOS EJER. 2'!$C$38</f>
        <v>0</v>
      </c>
      <c r="BM21" s="987">
        <f>'GASTOS EJER. 2'!$C$39</f>
        <v>0</v>
      </c>
      <c r="BN21" s="987">
        <f>'GASTOS EJER. 2'!$C$40</f>
        <v>0</v>
      </c>
      <c r="BO21" s="987">
        <f>'GASTOS EJER. 2'!$C$41</f>
        <v>0</v>
      </c>
      <c r="BP21" s="987">
        <f>'GASTOS EJER. 2'!$C$42</f>
        <v>0</v>
      </c>
      <c r="BQ21" s="987">
        <f>'GASTOS EJER. 2'!$C$43</f>
        <v>0</v>
      </c>
      <c r="BR21" s="988">
        <f>'GASTOS EJER. 2'!$C$44</f>
        <v>0</v>
      </c>
      <c r="BS21" s="990" t="s">
        <v>58</v>
      </c>
      <c r="BU21" s="1031"/>
      <c r="BY21" s="1002"/>
      <c r="BZ21" s="1005"/>
      <c r="CA21" s="1008"/>
      <c r="CC21" s="997"/>
      <c r="CD21" s="999"/>
      <c r="CE21" s="969"/>
      <c r="CF21" s="1016"/>
      <c r="CG21" s="997"/>
      <c r="CH21" s="999"/>
      <c r="CI21" s="967"/>
      <c r="CJ21" s="1026"/>
      <c r="CK21" s="969"/>
      <c r="CL21" s="967"/>
      <c r="CM21" s="1025"/>
      <c r="CN21" s="1019"/>
      <c r="CR21" s="986">
        <f>'GASTOS EJER. 1'!$C$37</f>
        <v>0</v>
      </c>
      <c r="CS21" s="987">
        <f>'GASTOS EJER. 1'!$C$38</f>
        <v>0</v>
      </c>
      <c r="CT21" s="987">
        <f>'GASTOS EJER. 1'!$C$39</f>
        <v>0</v>
      </c>
      <c r="CU21" s="987">
        <f>'GASTOS EJER. 1'!$C$40</f>
        <v>0</v>
      </c>
      <c r="CV21" s="987">
        <f>'GASTOS EJER. 1'!$C$41</f>
        <v>0</v>
      </c>
      <c r="CW21" s="987">
        <f>'GASTOS EJER. 1'!$C$42</f>
        <v>0</v>
      </c>
      <c r="CX21" s="987">
        <f>'GASTOS EJER. 1'!$C$43</f>
        <v>0</v>
      </c>
      <c r="CY21" s="988">
        <f>'GASTOS EJER. 1'!$C$44</f>
        <v>0</v>
      </c>
      <c r="CZ21" s="990" t="s">
        <v>58</v>
      </c>
      <c r="DB21" s="986">
        <f>'GASTOS EJER. 2'!$C$37</f>
        <v>0</v>
      </c>
      <c r="DC21" s="987">
        <f>'GASTOS EJER. 2'!$C$38</f>
        <v>0</v>
      </c>
      <c r="DD21" s="987">
        <f>'GASTOS EJER. 2'!$C$39</f>
        <v>0</v>
      </c>
      <c r="DE21" s="987">
        <f>'GASTOS EJER. 2'!$C$40</f>
        <v>0</v>
      </c>
      <c r="DF21" s="987">
        <f>'GASTOS EJER. 2'!$C$41</f>
        <v>0</v>
      </c>
      <c r="DG21" s="987">
        <f>'GASTOS EJER. 2'!$C$42</f>
        <v>0</v>
      </c>
      <c r="DH21" s="987">
        <f>'GASTOS EJER. 2'!$C$43</f>
        <v>0</v>
      </c>
      <c r="DI21" s="988">
        <f>'GASTOS EJER. 2'!$C$44</f>
        <v>0</v>
      </c>
      <c r="DJ21" s="990" t="s">
        <v>58</v>
      </c>
      <c r="DL21" s="1031"/>
      <c r="DO21" s="957"/>
      <c r="DP21" s="969" t="s">
        <v>68</v>
      </c>
      <c r="DQ21" s="969" t="s">
        <v>69</v>
      </c>
      <c r="DR21" s="969" t="s">
        <v>111</v>
      </c>
      <c r="DS21" s="961"/>
      <c r="DT21" s="961"/>
      <c r="DU21" s="964"/>
      <c r="DV21" s="967"/>
      <c r="DX21" s="386">
        <v>2</v>
      </c>
      <c r="DY21" s="430">
        <f>DATE(YEAR(DY20),MONTH(DY20)+1,1)</f>
        <v>45108</v>
      </c>
      <c r="DZ21" s="430">
        <f>EOMONTH(DATE(YEAR(DZ20),MONTH(DZ20),DAY(DZ20)+1),0)</f>
        <v>45138</v>
      </c>
      <c r="EA21" s="386" t="str">
        <f>IF(AND(DZ21&gt;=EXPEDIENTE!$F$25,DY21&lt;=EXPEDIENTE!$F$29),"SI","NO")</f>
        <v>SI</v>
      </c>
      <c r="EB21" s="423">
        <f t="shared" si="12"/>
        <v>0</v>
      </c>
      <c r="EC21" s="423">
        <f t="shared" si="13"/>
        <v>0</v>
      </c>
      <c r="ED21" s="423">
        <f t="shared" si="14"/>
        <v>0</v>
      </c>
      <c r="EE21" s="423">
        <f t="shared" si="15"/>
        <v>0</v>
      </c>
      <c r="EF21" s="423">
        <f t="shared" si="16"/>
        <v>0</v>
      </c>
      <c r="EG21" s="423">
        <f t="shared" si="17"/>
        <v>0</v>
      </c>
      <c r="EH21" s="423">
        <f t="shared" si="18"/>
        <v>0</v>
      </c>
      <c r="EI21" s="423">
        <f t="shared" si="19"/>
        <v>0</v>
      </c>
      <c r="EJ21" s="423">
        <f t="shared" si="20"/>
        <v>0</v>
      </c>
      <c r="EK21" s="423">
        <f t="shared" si="21"/>
        <v>0</v>
      </c>
      <c r="EL21" s="423">
        <f t="shared" si="22"/>
        <v>0</v>
      </c>
      <c r="EM21" s="423">
        <f t="shared" si="23"/>
        <v>0</v>
      </c>
      <c r="EN21" s="423">
        <f t="shared" si="24"/>
        <v>0</v>
      </c>
      <c r="EO21" s="423">
        <f t="shared" si="25"/>
        <v>0</v>
      </c>
      <c r="EP21" s="423">
        <f t="shared" si="26"/>
        <v>0</v>
      </c>
      <c r="EQ21" s="423">
        <f t="shared" si="27"/>
        <v>0</v>
      </c>
      <c r="ER21" s="423">
        <f t="shared" si="28"/>
        <v>0</v>
      </c>
      <c r="ES21" s="423">
        <f t="shared" si="29"/>
        <v>0</v>
      </c>
      <c r="ET21" s="423">
        <f t="shared" si="30"/>
        <v>0</v>
      </c>
      <c r="EU21" s="423">
        <f t="shared" si="31"/>
        <v>0</v>
      </c>
      <c r="EV21" s="423">
        <f t="shared" si="32"/>
        <v>0</v>
      </c>
      <c r="EW21" s="423">
        <f t="shared" si="33"/>
        <v>0</v>
      </c>
      <c r="EX21" s="423">
        <f t="shared" si="34"/>
        <v>0</v>
      </c>
      <c r="EY21" s="423">
        <f t="shared" si="35"/>
        <v>0</v>
      </c>
      <c r="EZ21" s="423">
        <f t="shared" si="36"/>
        <v>0</v>
      </c>
      <c r="FA21" s="423">
        <f t="shared" si="37"/>
        <v>0</v>
      </c>
      <c r="FB21" s="423">
        <f t="shared" si="38"/>
        <v>0</v>
      </c>
      <c r="FC21" s="423">
        <f t="shared" si="39"/>
        <v>0</v>
      </c>
      <c r="FD21" s="423">
        <f t="shared" si="40"/>
        <v>0</v>
      </c>
      <c r="FE21" s="423">
        <f t="shared" si="41"/>
        <v>0</v>
      </c>
      <c r="FF21" s="423">
        <f t="shared" si="42"/>
        <v>0</v>
      </c>
      <c r="FG21" s="423">
        <f t="shared" si="43"/>
        <v>0</v>
      </c>
      <c r="FH21" s="423">
        <f t="shared" si="66"/>
        <v>0</v>
      </c>
      <c r="FS21" s="957"/>
      <c r="FT21" s="969" t="s">
        <v>68</v>
      </c>
      <c r="FU21" s="969" t="s">
        <v>69</v>
      </c>
      <c r="FV21" s="969" t="s">
        <v>111</v>
      </c>
      <c r="FW21" s="961"/>
      <c r="FX21" s="961"/>
      <c r="FY21" s="964"/>
      <c r="FZ21" s="967"/>
      <c r="GB21" s="386">
        <v>2</v>
      </c>
      <c r="GC21" s="430">
        <f>DATE(YEAR(GC20),MONTH(GC20)+1,1)</f>
        <v>45108</v>
      </c>
      <c r="GD21" s="430">
        <f>EOMONTH(DATE(YEAR(GD20),MONTH(GD20),DAY(GD20)+1),0)</f>
        <v>45138</v>
      </c>
      <c r="GE21" s="386" t="str">
        <f>IF(AND(GD21&gt;=EXPEDIENTE!$F$25,GC21&lt;=EXPEDIENTE!$F$29),"SI","NO")</f>
        <v>SI</v>
      </c>
      <c r="GF21" s="423">
        <f t="shared" si="67"/>
        <v>0</v>
      </c>
      <c r="GG21" s="423">
        <f t="shared" si="68"/>
        <v>0</v>
      </c>
      <c r="GH21" s="423">
        <f t="shared" si="69"/>
        <v>0</v>
      </c>
      <c r="GI21" s="423">
        <f t="shared" si="70"/>
        <v>0</v>
      </c>
      <c r="GJ21" s="423">
        <f t="shared" si="71"/>
        <v>0</v>
      </c>
      <c r="GK21" s="423">
        <f t="shared" si="72"/>
        <v>0</v>
      </c>
      <c r="GL21" s="423">
        <f t="shared" si="73"/>
        <v>0</v>
      </c>
      <c r="GM21" s="423">
        <f t="shared" si="74"/>
        <v>0</v>
      </c>
      <c r="GN21" s="423">
        <f t="shared" si="75"/>
        <v>0</v>
      </c>
      <c r="GO21" s="423">
        <f t="shared" si="76"/>
        <v>0</v>
      </c>
      <c r="GP21" s="423">
        <f t="shared" si="77"/>
        <v>0</v>
      </c>
      <c r="GQ21" s="423">
        <f t="shared" si="78"/>
        <v>0</v>
      </c>
      <c r="GR21" s="423">
        <f t="shared" si="79"/>
        <v>0</v>
      </c>
      <c r="GS21" s="423">
        <f t="shared" si="80"/>
        <v>0</v>
      </c>
      <c r="GT21" s="423">
        <f t="shared" si="81"/>
        <v>0</v>
      </c>
      <c r="GU21" s="423">
        <f t="shared" si="82"/>
        <v>0</v>
      </c>
      <c r="GV21" s="423">
        <f t="shared" si="83"/>
        <v>0</v>
      </c>
      <c r="GW21" s="423">
        <f t="shared" si="84"/>
        <v>0</v>
      </c>
      <c r="GX21" s="423">
        <f t="shared" si="85"/>
        <v>0</v>
      </c>
      <c r="GY21" s="423">
        <f t="shared" si="86"/>
        <v>0</v>
      </c>
      <c r="GZ21" s="423">
        <f t="shared" si="87"/>
        <v>0</v>
      </c>
      <c r="HA21" s="423">
        <f t="shared" si="88"/>
        <v>0</v>
      </c>
      <c r="HB21" s="423">
        <f t="shared" si="89"/>
        <v>0</v>
      </c>
      <c r="HC21" s="423">
        <f t="shared" si="90"/>
        <v>0</v>
      </c>
      <c r="HD21" s="423">
        <f t="shared" si="91"/>
        <v>0</v>
      </c>
      <c r="HE21" s="423">
        <f t="shared" si="92"/>
        <v>0</v>
      </c>
      <c r="HF21" s="423">
        <f t="shared" si="93"/>
        <v>0</v>
      </c>
      <c r="HG21" s="423">
        <f t="shared" si="94"/>
        <v>0</v>
      </c>
      <c r="HH21" s="423">
        <f t="shared" si="95"/>
        <v>0</v>
      </c>
      <c r="HI21" s="423">
        <f t="shared" si="96"/>
        <v>0</v>
      </c>
      <c r="HJ21" s="423">
        <f t="shared" si="97"/>
        <v>0</v>
      </c>
      <c r="HK21" s="423">
        <f t="shared" si="98"/>
        <v>0</v>
      </c>
      <c r="HL21" s="423">
        <f t="shared" si="99"/>
        <v>0</v>
      </c>
      <c r="JC21" s="416">
        <v>17</v>
      </c>
      <c r="JD21" s="398">
        <f t="shared" si="100"/>
        <v>6</v>
      </c>
    </row>
    <row r="22" spans="3:264" ht="15.75" thickBot="1" x14ac:dyDescent="0.3">
      <c r="C22" s="206">
        <v>16</v>
      </c>
      <c r="D22" s="401"/>
      <c r="E22" s="417"/>
      <c r="F22" s="418"/>
      <c r="G22" s="419"/>
      <c r="H22" s="419"/>
      <c r="I22" s="419"/>
      <c r="J22" s="401"/>
      <c r="K22" s="407">
        <f t="shared" si="52"/>
        <v>76</v>
      </c>
      <c r="L22" s="407">
        <f t="shared" si="53"/>
        <v>76</v>
      </c>
      <c r="M22" s="407" t="str">
        <f t="shared" si="54"/>
        <v>X</v>
      </c>
      <c r="R22" s="204" t="s">
        <v>242</v>
      </c>
      <c r="V22" s="981"/>
      <c r="W22" s="441"/>
      <c r="Y22" s="422">
        <f t="shared" si="0"/>
        <v>17</v>
      </c>
      <c r="Z22" s="412" t="str">
        <f>IF(Y22="","",IF(EDATE($Z$5,Y22)&gt;EXPEDIENTE!$F$27,"",EDATE($Z$5,Y22)))</f>
        <v/>
      </c>
      <c r="AA22" s="412" t="str">
        <f>IF(Z22="","",IF(YEAR(EXPEDIENTE!$F$25)=YEAR(Z22),Z22,""))</f>
        <v/>
      </c>
      <c r="AB22" s="412" t="str">
        <f>IF(Z22="","",IF(YEAR(EXPEDIENTE!$F$25)+1=YEAR(Z22),Z22,""))</f>
        <v/>
      </c>
      <c r="AC22" s="412" t="str">
        <f>IF(Z22="","",IF(YEAR(EXPEDIENTE!$F$25)+2=YEAR(Z22),Z22,""))</f>
        <v/>
      </c>
      <c r="AD22" s="412" t="str">
        <f>IF(Z22="","",IF(YEAR(EXPEDIENTE!$F$25)+3=YEAR(Z22),Z22,""))</f>
        <v/>
      </c>
      <c r="AH22" s="1003"/>
      <c r="AI22" s="1006"/>
      <c r="AJ22" s="1009"/>
      <c r="AL22" s="998"/>
      <c r="AM22" s="1000"/>
      <c r="AN22" s="970"/>
      <c r="AO22" s="1017"/>
      <c r="AP22" s="998"/>
      <c r="AQ22" s="1000"/>
      <c r="AR22" s="968"/>
      <c r="AS22" s="1027"/>
      <c r="AT22" s="1028"/>
      <c r="AU22" s="1029"/>
      <c r="AV22" s="458">
        <f>AF23</f>
        <v>2023</v>
      </c>
      <c r="AW22" s="1020"/>
      <c r="AZ22" s="413">
        <f>AF23</f>
        <v>2023</v>
      </c>
      <c r="BA22" s="958"/>
      <c r="BB22" s="962"/>
      <c r="BC22" s="962"/>
      <c r="BD22" s="962"/>
      <c r="BE22" s="962"/>
      <c r="BF22" s="962"/>
      <c r="BG22" s="962"/>
      <c r="BH22" s="989"/>
      <c r="BI22" s="991"/>
      <c r="BK22" s="958"/>
      <c r="BL22" s="962"/>
      <c r="BM22" s="962"/>
      <c r="BN22" s="962"/>
      <c r="BO22" s="962"/>
      <c r="BP22" s="962"/>
      <c r="BQ22" s="962"/>
      <c r="BR22" s="989"/>
      <c r="BS22" s="991"/>
      <c r="BU22" s="459">
        <f>AF23</f>
        <v>2023</v>
      </c>
      <c r="BY22" s="1003"/>
      <c r="BZ22" s="1006"/>
      <c r="CA22" s="1009"/>
      <c r="CC22" s="998"/>
      <c r="CD22" s="1000"/>
      <c r="CE22" s="970"/>
      <c r="CF22" s="1017"/>
      <c r="CG22" s="998"/>
      <c r="CH22" s="1000"/>
      <c r="CI22" s="968"/>
      <c r="CJ22" s="1027"/>
      <c r="CK22" s="1028"/>
      <c r="CL22" s="1029"/>
      <c r="CM22" s="458">
        <f>BW23</f>
        <v>2023</v>
      </c>
      <c r="CN22" s="1020"/>
      <c r="CQ22" s="414">
        <f>BW23</f>
        <v>2023</v>
      </c>
      <c r="CR22" s="1021"/>
      <c r="CS22" s="1022"/>
      <c r="CT22" s="1022"/>
      <c r="CU22" s="1022"/>
      <c r="CV22" s="1022"/>
      <c r="CW22" s="1022"/>
      <c r="CX22" s="1022"/>
      <c r="CY22" s="1023"/>
      <c r="CZ22" s="991"/>
      <c r="DB22" s="1021"/>
      <c r="DC22" s="1022"/>
      <c r="DD22" s="1022"/>
      <c r="DE22" s="1022"/>
      <c r="DF22" s="1022"/>
      <c r="DG22" s="1022"/>
      <c r="DH22" s="1022"/>
      <c r="DI22" s="1023"/>
      <c r="DJ22" s="991"/>
      <c r="DL22" s="460">
        <f>BW23</f>
        <v>2023</v>
      </c>
      <c r="DO22" s="958"/>
      <c r="DP22" s="970"/>
      <c r="DQ22" s="970"/>
      <c r="DR22" s="970"/>
      <c r="DS22" s="962"/>
      <c r="DT22" s="962"/>
      <c r="DU22" s="965"/>
      <c r="DV22" s="968"/>
      <c r="DX22" s="386">
        <v>3</v>
      </c>
      <c r="DY22" s="430">
        <f t="shared" ref="DY22:DY69" si="101">DATE(YEAR(DY21),MONTH(DY21)+1,1)</f>
        <v>45139</v>
      </c>
      <c r="DZ22" s="430">
        <f t="shared" ref="DZ22:DZ69" si="102">EOMONTH(DATE(YEAR(DZ21),MONTH(DZ21),DAY(DZ21)+1),0)</f>
        <v>45169</v>
      </c>
      <c r="EA22" s="386" t="str">
        <f>IF(AND(DZ22&gt;=EXPEDIENTE!$F$25,DY22&lt;=EXPEDIENTE!$F$29),"SI","NO")</f>
        <v>SI</v>
      </c>
      <c r="EB22" s="423">
        <f t="shared" si="12"/>
        <v>0</v>
      </c>
      <c r="EC22" s="423">
        <f t="shared" si="13"/>
        <v>0</v>
      </c>
      <c r="ED22" s="423">
        <f t="shared" si="14"/>
        <v>0</v>
      </c>
      <c r="EE22" s="423">
        <f t="shared" si="15"/>
        <v>0</v>
      </c>
      <c r="EF22" s="423">
        <f t="shared" si="16"/>
        <v>0</v>
      </c>
      <c r="EG22" s="423">
        <f t="shared" si="17"/>
        <v>0</v>
      </c>
      <c r="EH22" s="423">
        <f t="shared" si="18"/>
        <v>0</v>
      </c>
      <c r="EI22" s="423">
        <f t="shared" si="19"/>
        <v>0</v>
      </c>
      <c r="EJ22" s="423">
        <f t="shared" si="20"/>
        <v>0</v>
      </c>
      <c r="EK22" s="423">
        <f t="shared" si="21"/>
        <v>0</v>
      </c>
      <c r="EL22" s="423">
        <f t="shared" si="22"/>
        <v>0</v>
      </c>
      <c r="EM22" s="423">
        <f t="shared" si="23"/>
        <v>0</v>
      </c>
      <c r="EN22" s="423">
        <f t="shared" si="24"/>
        <v>0</v>
      </c>
      <c r="EO22" s="423">
        <f t="shared" si="25"/>
        <v>0</v>
      </c>
      <c r="EP22" s="423">
        <f t="shared" si="26"/>
        <v>0</v>
      </c>
      <c r="EQ22" s="423">
        <f t="shared" si="27"/>
        <v>0</v>
      </c>
      <c r="ER22" s="423">
        <f t="shared" si="28"/>
        <v>0</v>
      </c>
      <c r="ES22" s="423">
        <f t="shared" si="29"/>
        <v>0</v>
      </c>
      <c r="ET22" s="423">
        <f t="shared" si="30"/>
        <v>0</v>
      </c>
      <c r="EU22" s="423">
        <f t="shared" si="31"/>
        <v>0</v>
      </c>
      <c r="EV22" s="423">
        <f t="shared" si="32"/>
        <v>0</v>
      </c>
      <c r="EW22" s="423">
        <f t="shared" si="33"/>
        <v>0</v>
      </c>
      <c r="EX22" s="423">
        <f t="shared" si="34"/>
        <v>0</v>
      </c>
      <c r="EY22" s="423">
        <f t="shared" si="35"/>
        <v>0</v>
      </c>
      <c r="EZ22" s="423">
        <f t="shared" si="36"/>
        <v>0</v>
      </c>
      <c r="FA22" s="423">
        <f t="shared" si="37"/>
        <v>0</v>
      </c>
      <c r="FB22" s="423">
        <f t="shared" si="38"/>
        <v>0</v>
      </c>
      <c r="FC22" s="423">
        <f t="shared" si="39"/>
        <v>0</v>
      </c>
      <c r="FD22" s="423">
        <f t="shared" si="40"/>
        <v>0</v>
      </c>
      <c r="FE22" s="423">
        <f t="shared" si="41"/>
        <v>0</v>
      </c>
      <c r="FF22" s="423">
        <f t="shared" si="42"/>
        <v>0</v>
      </c>
      <c r="FG22" s="423">
        <f t="shared" si="43"/>
        <v>0</v>
      </c>
      <c r="FH22" s="423">
        <f t="shared" si="66"/>
        <v>0</v>
      </c>
      <c r="FJ22" s="461">
        <f>AF23</f>
        <v>2023</v>
      </c>
      <c r="FK22" s="462" t="s">
        <v>76</v>
      </c>
      <c r="FL22" s="463" t="s">
        <v>207</v>
      </c>
      <c r="FM22" s="463" t="s">
        <v>136</v>
      </c>
      <c r="FN22" s="463" t="s">
        <v>193</v>
      </c>
      <c r="FO22" s="463" t="s">
        <v>350</v>
      </c>
      <c r="FP22" s="464" t="s">
        <v>58</v>
      </c>
      <c r="FS22" s="958"/>
      <c r="FT22" s="970"/>
      <c r="FU22" s="970"/>
      <c r="FV22" s="970"/>
      <c r="FW22" s="962"/>
      <c r="FX22" s="962"/>
      <c r="FY22" s="965"/>
      <c r="FZ22" s="968"/>
      <c r="GB22" s="386">
        <v>3</v>
      </c>
      <c r="GC22" s="430">
        <f t="shared" ref="GC22:GC69" si="103">DATE(YEAR(GC21),MONTH(GC21)+1,1)</f>
        <v>45139</v>
      </c>
      <c r="GD22" s="430">
        <f t="shared" ref="GD22:GD69" si="104">EOMONTH(DATE(YEAR(GD21),MONTH(GD21),DAY(GD21)+1),0)</f>
        <v>45169</v>
      </c>
      <c r="GE22" s="386" t="str">
        <f>IF(AND(GD22&gt;=EXPEDIENTE!$F$25,GC22&lt;=EXPEDIENTE!$F$29),"SI","NO")</f>
        <v>SI</v>
      </c>
      <c r="GF22" s="423">
        <f t="shared" si="67"/>
        <v>0</v>
      </c>
      <c r="GG22" s="423">
        <f t="shared" si="68"/>
        <v>0</v>
      </c>
      <c r="GH22" s="423">
        <f t="shared" si="69"/>
        <v>0</v>
      </c>
      <c r="GI22" s="423">
        <f t="shared" si="70"/>
        <v>0</v>
      </c>
      <c r="GJ22" s="423">
        <f t="shared" si="71"/>
        <v>0</v>
      </c>
      <c r="GK22" s="423">
        <f t="shared" si="72"/>
        <v>0</v>
      </c>
      <c r="GL22" s="423">
        <f t="shared" si="73"/>
        <v>0</v>
      </c>
      <c r="GM22" s="423">
        <f t="shared" si="74"/>
        <v>0</v>
      </c>
      <c r="GN22" s="423">
        <f t="shared" si="75"/>
        <v>0</v>
      </c>
      <c r="GO22" s="423">
        <f t="shared" si="76"/>
        <v>0</v>
      </c>
      <c r="GP22" s="423">
        <f t="shared" si="77"/>
        <v>0</v>
      </c>
      <c r="GQ22" s="423">
        <f t="shared" si="78"/>
        <v>0</v>
      </c>
      <c r="GR22" s="423">
        <f t="shared" si="79"/>
        <v>0</v>
      </c>
      <c r="GS22" s="423">
        <f t="shared" si="80"/>
        <v>0</v>
      </c>
      <c r="GT22" s="423">
        <f t="shared" si="81"/>
        <v>0</v>
      </c>
      <c r="GU22" s="423">
        <f t="shared" si="82"/>
        <v>0</v>
      </c>
      <c r="GV22" s="423">
        <f t="shared" si="83"/>
        <v>0</v>
      </c>
      <c r="GW22" s="423">
        <f t="shared" si="84"/>
        <v>0</v>
      </c>
      <c r="GX22" s="423">
        <f t="shared" si="85"/>
        <v>0</v>
      </c>
      <c r="GY22" s="423">
        <f t="shared" si="86"/>
        <v>0</v>
      </c>
      <c r="GZ22" s="423">
        <f t="shared" si="87"/>
        <v>0</v>
      </c>
      <c r="HA22" s="423">
        <f t="shared" si="88"/>
        <v>0</v>
      </c>
      <c r="HB22" s="423">
        <f t="shared" si="89"/>
        <v>0</v>
      </c>
      <c r="HC22" s="423">
        <f t="shared" si="90"/>
        <v>0</v>
      </c>
      <c r="HD22" s="423">
        <f t="shared" si="91"/>
        <v>0</v>
      </c>
      <c r="HE22" s="423">
        <f t="shared" si="92"/>
        <v>0</v>
      </c>
      <c r="HF22" s="423">
        <f t="shared" si="93"/>
        <v>0</v>
      </c>
      <c r="HG22" s="423">
        <f t="shared" si="94"/>
        <v>0</v>
      </c>
      <c r="HH22" s="423">
        <f t="shared" si="95"/>
        <v>0</v>
      </c>
      <c r="HI22" s="423">
        <f t="shared" si="96"/>
        <v>0</v>
      </c>
      <c r="HJ22" s="423">
        <f t="shared" si="97"/>
        <v>0</v>
      </c>
      <c r="HK22" s="423">
        <f t="shared" si="98"/>
        <v>0</v>
      </c>
      <c r="HL22" s="423">
        <f t="shared" si="99"/>
        <v>0</v>
      </c>
      <c r="HO22" s="465">
        <f>BW23</f>
        <v>2023</v>
      </c>
      <c r="HP22" s="462" t="s">
        <v>76</v>
      </c>
      <c r="HQ22" s="463" t="s">
        <v>207</v>
      </c>
      <c r="HR22" s="463" t="s">
        <v>136</v>
      </c>
      <c r="HS22" s="463" t="s">
        <v>193</v>
      </c>
      <c r="HT22" s="463" t="s">
        <v>350</v>
      </c>
      <c r="HU22" s="464" t="s">
        <v>58</v>
      </c>
      <c r="JC22" s="416">
        <v>18</v>
      </c>
      <c r="JD22" s="398">
        <f t="shared" si="100"/>
        <v>6</v>
      </c>
    </row>
    <row r="23" spans="3:264" ht="15.75" thickBot="1" x14ac:dyDescent="0.3">
      <c r="C23" s="206">
        <v>17</v>
      </c>
      <c r="D23" s="401"/>
      <c r="E23" s="417"/>
      <c r="F23" s="418"/>
      <c r="G23" s="419"/>
      <c r="H23" s="419"/>
      <c r="I23" s="419"/>
      <c r="J23" s="401"/>
      <c r="K23" s="407">
        <f t="shared" si="52"/>
        <v>76</v>
      </c>
      <c r="L23" s="407">
        <f t="shared" si="53"/>
        <v>76</v>
      </c>
      <c r="M23" s="407" t="str">
        <f t="shared" si="54"/>
        <v>X</v>
      </c>
      <c r="V23" s="981"/>
      <c r="W23" s="441"/>
      <c r="Y23" s="422">
        <f t="shared" si="0"/>
        <v>18</v>
      </c>
      <c r="Z23" s="412" t="str">
        <f>IF(Y23="","",IF(EDATE($Z$5,Y23)&gt;EXPEDIENTE!$F$27,"",EDATE($Z$5,Y23)))</f>
        <v/>
      </c>
      <c r="AA23" s="412" t="str">
        <f>IF(Z23="","",IF(YEAR(EXPEDIENTE!$F$25)=YEAR(Z23),Z23,""))</f>
        <v/>
      </c>
      <c r="AB23" s="412" t="str">
        <f>IF(Z23="","",IF(YEAR(EXPEDIENTE!$F$25)+1=YEAR(Z23),Z23,""))</f>
        <v/>
      </c>
      <c r="AC23" s="412" t="str">
        <f>IF(Z23="","",IF(YEAR(EXPEDIENTE!$F$25)+2=YEAR(Z23),Z23,""))</f>
        <v/>
      </c>
      <c r="AD23" s="412" t="str">
        <f>IF(Z23="","",IF(YEAR(EXPEDIENTE!$F$25)+3=YEAR(Z23),Z23,""))</f>
        <v/>
      </c>
      <c r="AF23" s="466">
        <f>YEAR(EXPEDIENTE!$F$25)</f>
        <v>2023</v>
      </c>
      <c r="AG23" s="467">
        <v>1</v>
      </c>
      <c r="AH23" s="468">
        <f>'GASTOS EJER. 1'!M37</f>
        <v>0</v>
      </c>
      <c r="AI23" s="469">
        <f>'GASTOS EJER. 1'!X37</f>
        <v>0</v>
      </c>
      <c r="AJ23" s="470">
        <f>AH23-AI23</f>
        <v>0</v>
      </c>
      <c r="AL23" s="471">
        <f>'GASTOS EJER. 1'!F37+'GASTOS EJER. 1'!L37-'GASTOS EJER. 1'!X37-'GASTOS EJER. 1'!Y37</f>
        <v>0</v>
      </c>
      <c r="AM23" s="472" t="str">
        <f>IF('GASTOS EJER. 1'!AA37="","",'GASTOS EJER. 1'!AA37)</f>
        <v/>
      </c>
      <c r="AN23" s="469">
        <f>'GASTOS EJER. 1'!Y37</f>
        <v>0</v>
      </c>
      <c r="AO23" s="473" t="str">
        <f>IF('GASTOS EJER. 1'!AB37="","",'GASTOS EJER. 1'!AB37)</f>
        <v/>
      </c>
      <c r="AP23" s="474">
        <f>IF(AND(AM23&gt;=EXPEDIENTE!$I$25,AM23&lt;=EXPEDIENTE!$I$29),AL23,0)</f>
        <v>0</v>
      </c>
      <c r="AQ23" s="426">
        <f>IF(AND(AO23&gt;=EXPEDIENTE!$I$25,AO23&lt;=EXPEDIENTE!$I$29),AN23,0)</f>
        <v>0</v>
      </c>
      <c r="AR23" s="470">
        <f>AP23+AQ23</f>
        <v>0</v>
      </c>
      <c r="AS23" s="475" t="str">
        <f>IF('GASTOS EJER. 1'!D37="","",'GASTOS EJER. 1'!D37)</f>
        <v/>
      </c>
      <c r="AT23" s="476" t="str">
        <f>IF('GASTOS EJER. 1'!E37="","",'GASTOS EJER. 1'!E37)</f>
        <v/>
      </c>
      <c r="AU23" s="477">
        <f>IF(OR(AS23="",AT23=""),0,DATEDIF(AS23,AT23,"M")+1)</f>
        <v>0</v>
      </c>
      <c r="AV23" s="478">
        <f t="shared" ref="AV23:AV30" si="105">IF(OR(AS23="",AT23=""),0,IF(YEAR(AS23)&lt;$AV$22,DATEDIF(DATE($AV$22,1,1),AT23,"M")+1,AU23))</f>
        <v>0</v>
      </c>
      <c r="AW23" s="479">
        <f>IF(OR(AS23="",AT23=""),0,ROUND(AR23/AU23,2))</f>
        <v>0</v>
      </c>
      <c r="AY23" s="423">
        <v>1</v>
      </c>
      <c r="AZ23" s="424">
        <f t="shared" ref="AZ23:AZ34" si="106">DATE($AZ$22,AY23,1)</f>
        <v>44927</v>
      </c>
      <c r="BA23" s="425">
        <f>IF($AH$23=0,0,IF($BA$21=0,0,IF(AND(AZ23&gt;=$AS$23,AZ23&lt;=$AT$23),$AW$23,0)))</f>
        <v>0</v>
      </c>
      <c r="BB23" s="426">
        <f>IF($AH$24=0,0,IF($BB$21=0,0,IF(AND(AZ23&gt;=$AS$24,AZ23&lt;=$AT$24),$AW$24,0)))</f>
        <v>0</v>
      </c>
      <c r="BC23" s="426">
        <f>IF($AH$25=0,0,IF($BC$21=0,0,IF(AND(AZ23&gt;=$AS$25,AZ23&lt;=$AT$25),$AW$25,0)))</f>
        <v>0</v>
      </c>
      <c r="BD23" s="426">
        <f t="shared" ref="BD23" si="107">IF($AH$26=0,0,IF($BD$21=0,0,IF(AND(AZ23&gt;=$AS$26,AZ23&lt;=$AT$26),$AW$26,0)))</f>
        <v>0</v>
      </c>
      <c r="BE23" s="426">
        <f t="shared" ref="BE23" si="108">IF($AH$27=0,0,IF($BE$21=0,0,IF(AND(AZ23&gt;=$AS$27,AZ23&lt;=$AT$27),$AW$27,0)))</f>
        <v>0</v>
      </c>
      <c r="BF23" s="426">
        <f>IF($AH$28=0,0,IF($BF$21=0,0,IF(AND(AZ23&gt;=$AS$28,AZ23&lt;=$AT$28),$AW$28,0)))</f>
        <v>0</v>
      </c>
      <c r="BG23" s="426">
        <f>IF($AH$29=0,0,IF($BG$21=0,0,IF(AND(AZ23&gt;=$AS$29,AZ23&lt;=$AT$29),$AW$29,0)))</f>
        <v>0</v>
      </c>
      <c r="BH23" s="427">
        <f>IF($AH$30=0,0,IF($BH$21=0,0,IF(AND(AZ23&gt;=$AS$30,AZ23&lt;=$AT$30),$AW$30,0)))</f>
        <v>0</v>
      </c>
      <c r="BI23" s="428">
        <f>SUM(BA23:BH23)</f>
        <v>0</v>
      </c>
      <c r="BK23" s="425">
        <f t="shared" ref="BK23:BK34" si="109">IF($AH$39=0,0,IF($BK$21=0,0,IF(AND(AZ23&gt;=$AS$39,AZ23&lt;=$AT$39),$AW$39,0)))</f>
        <v>0</v>
      </c>
      <c r="BL23" s="426">
        <f t="shared" ref="BL23:BL33" si="110">IF($AH$40=0,0,IF($BL$21=0,0,IF(AND(AZ23&gt;=$AS$40,AZ23&lt;=$AT$40),$AW$40,0)))</f>
        <v>0</v>
      </c>
      <c r="BM23" s="426">
        <f t="shared" ref="BM23:BM33" si="111">IF($AH$41=0,0,IF($BM$21=0,0,IF(AND(AZ23&gt;=$AS$41,AZ23&lt;=$AT$41),$AW$41,0)))</f>
        <v>0</v>
      </c>
      <c r="BN23" s="426">
        <f t="shared" ref="BN23:BN34" si="112">IF($AH$42=0,0,IF($BN$21=0,0,IF(AND(AZ23&gt;=$AS$42,AZ23&lt;=$AT$42),$AW$42,0)))</f>
        <v>0</v>
      </c>
      <c r="BO23" s="426">
        <f t="shared" ref="BO23:BO34" si="113">IF($AH$43=0,0,IF($BO$21=0,0,IF(AND(AZ23&gt;=$AS$43,AZ23&lt;=$AT$43),$AW$43,0)))</f>
        <v>0</v>
      </c>
      <c r="BP23" s="426">
        <f t="shared" ref="BP23:BP34" si="114">IF($AH$44=0,0,IF($BP$21=0,0,IF(AND(AZ23&gt;=$AS$44,AZ23&lt;=$AT$44),$AW$44,0)))</f>
        <v>0</v>
      </c>
      <c r="BQ23" s="426">
        <f t="shared" ref="BQ23:BQ34" si="115">IF($AH$45=0,0,IF($BQ$21=0,0,IF(AND(AZ23&gt;=$AS$45,AZ23&lt;=$AT$45),$AW$45,0)))</f>
        <v>0</v>
      </c>
      <c r="BR23" s="427">
        <f t="shared" ref="BR23:BR34" si="116">IF($AH$46=0,0,IF($BR$21=0,0,IF(AND(AZ23&gt;=$AS$46,AZ23&lt;=$AT$46),$AW$46,0)))</f>
        <v>0</v>
      </c>
      <c r="BS23" s="428">
        <f t="shared" ref="BS23:BS34" si="117">SUM(BK23:BR23)</f>
        <v>0</v>
      </c>
      <c r="BU23" s="480">
        <f>BI23+BS23</f>
        <v>0</v>
      </c>
      <c r="BW23" s="481">
        <f>YEAR(EXPEDIENTE!$I$25)</f>
        <v>2023</v>
      </c>
      <c r="BX23" s="467">
        <v>1</v>
      </c>
      <c r="BY23" s="468">
        <f>'GASTOS EJER. 1'!BN37</f>
        <v>0</v>
      </c>
      <c r="BZ23" s="469">
        <f>'GASTOS EJER. 1'!CM37</f>
        <v>0</v>
      </c>
      <c r="CA23" s="470">
        <f>BY23-BZ23</f>
        <v>0</v>
      </c>
      <c r="CC23" s="471">
        <f>'GASTOS EJER. 1'!AW37+'GASTOS EJER. 1'!BM37-'GASTOS EJER. 1'!CM37-'GASTOS EJER. 1'!CP37</f>
        <v>0</v>
      </c>
      <c r="CD23" s="472" t="str">
        <f>IF('GASTOS EJER. 1'!CT37="","",'GASTOS EJER. 1'!CT37)</f>
        <v/>
      </c>
      <c r="CE23" s="469">
        <f>'GASTOS EJER. 1'!CP37</f>
        <v>0</v>
      </c>
      <c r="CF23" s="473" t="str">
        <f>IF('GASTOS EJER. 1'!CW37="","",'GASTOS EJER. 1'!CW37)</f>
        <v/>
      </c>
      <c r="CG23" s="474">
        <f>IF(AND(CD23&gt;=EXPEDIENTE!$I$25,CD23&lt;=EXPEDIENTE!$I$29),CC23,0)</f>
        <v>0</v>
      </c>
      <c r="CH23" s="426">
        <f>IF(AND(CF23&gt;=EXPEDIENTE!$I$25,CF23&lt;=EXPEDIENTE!$I$29),CE23,0)</f>
        <v>0</v>
      </c>
      <c r="CI23" s="470">
        <f>CG23+CH23</f>
        <v>0</v>
      </c>
      <c r="CJ23" s="475" t="str">
        <f>IF('GASTOS EJER. 1'!AQ37="","",'GASTOS EJER. 1'!AQ37)</f>
        <v/>
      </c>
      <c r="CK23" s="476" t="str">
        <f>IF('GASTOS EJER. 1'!AT37="","",'GASTOS EJER. 1'!AT37)</f>
        <v/>
      </c>
      <c r="CL23" s="477">
        <f>IF(OR(CJ23="",CK23=""),0,DATEDIF(CJ23,CK23,"M")+1)</f>
        <v>0</v>
      </c>
      <c r="CM23" s="478">
        <f t="shared" ref="CM23:CM30" si="118">IF(OR(CJ23="",CK23=""),0,IF(YEAR(CJ23)&lt;$AV$22,DATEDIF(DATE($AV$22,1,1),CK23,"M")+1,CL23))</f>
        <v>0</v>
      </c>
      <c r="CN23" s="479">
        <f>IF(OR(CJ23="",CK23=""),0,ROUND(CI23/CL23,2))</f>
        <v>0</v>
      </c>
      <c r="CP23" s="423">
        <v>1</v>
      </c>
      <c r="CQ23" s="424">
        <f t="shared" ref="CQ23:CQ34" si="119">DATE($AZ$22,CP23,1)</f>
        <v>44927</v>
      </c>
      <c r="CR23" s="425">
        <f>IF($BY$23=0,0,IF($CR$21=0,0,IF(AND($CQ23&gt;=$CJ$23,$CQ23&lt;=$CK$23),$CN$23,0)))</f>
        <v>0</v>
      </c>
      <c r="CS23" s="426">
        <f>IF($BY$24=0,0,IF($CS$21=0,0,IF(AND($CQ23&gt;=$CJ$24,$CQ23&lt;=$CK$24),$CN$24,0)))</f>
        <v>0</v>
      </c>
      <c r="CT23" s="426">
        <f>IF($BY$25=0,0,IF($CT$21=0,0,IF(AND($CQ23&gt;=$CJ$25,$CQ23&lt;=$CK$25),$CN$25,0)))</f>
        <v>0</v>
      </c>
      <c r="CU23" s="426">
        <f>IF($BY$26=0,0,IF($CU$21=0,0,IF(AND($CQ23&gt;=$CJ$26,$CQ23&lt;=$CK$26),$CN$26,0)))</f>
        <v>0</v>
      </c>
      <c r="CV23" s="426">
        <f>IF($BY$27=0,0,IF($CV$21=0,0,IF(AND($CQ23&gt;=$CJ$27,$CQ23&lt;=$CK$27),$CN$27,0)))</f>
        <v>0</v>
      </c>
      <c r="CW23" s="426">
        <f>IF($BY$28=0,0,IF($CW$21=0,0,IF(AND($CQ23&gt;=$CJ$28,$CQ23&lt;=$CK$28),$CN$28,0)))</f>
        <v>0</v>
      </c>
      <c r="CX23" s="426">
        <f>IF($BY$29=0,0,IF($CX$21=0,0,IF(AND($CQ23&gt;=$CJ$29,$CQ23&lt;=$CK$29),$CN$29,0)))</f>
        <v>0</v>
      </c>
      <c r="CY23" s="427">
        <f>IF($BY$30=0,0,IF($CX$21=0,0,IF(AND($CQ23&gt;=$CJ$30,$CQ23&lt;=$CK$30),$CN$30,0)))</f>
        <v>0</v>
      </c>
      <c r="CZ23" s="428">
        <f>SUM(CR23:CY23)</f>
        <v>0</v>
      </c>
      <c r="DB23" s="425">
        <f>IF($BY$39=0,0,IF($DB$21=0,0,IF(AND($CQ23&gt;=$CJ$39,$CQ23&lt;=$CK$39),$CN$39,0)))</f>
        <v>0</v>
      </c>
      <c r="DC23" s="426">
        <f>IF($BY$40=0,0,IF($DC$21=0,0,IF(AND($CQ23&gt;=$CJ$40,$CQ23&lt;=$CK$40),$CN$40,0)))</f>
        <v>0</v>
      </c>
      <c r="DD23" s="426">
        <f>IF($BY$41=0,0,IF($DD$21=0,0,IF(AND($CQ23&gt;=$CJ$41,$CQ23&lt;=$CK$41),$CN$41,0)))</f>
        <v>0</v>
      </c>
      <c r="DE23" s="426">
        <f>IF($BY$42=0,0,IF($DE$21=0,0,IF(AND($CQ23&gt;=$CJ$42,$CQ23&lt;=$CK$42),$CN$42,0)))</f>
        <v>0</v>
      </c>
      <c r="DF23" s="426">
        <f>IF($BY$43=0,0,IF($DF$21=0,0,IF(AND($CQ23&gt;=$CJ$43,$CQ23&lt;=$CK$43),$CN$43,0)))</f>
        <v>0</v>
      </c>
      <c r="DG23" s="426">
        <f>IF($BY$44=0,0,IF($DG$21=0,0,IF(AND($CQ23&gt;=$CJ$44,$CQ23&lt;=$CK$44),$CN$44,0)))</f>
        <v>0</v>
      </c>
      <c r="DH23" s="426">
        <f>IF($BY$45=0,0,IF($DH$21=0,0,IF(AND($CQ23&gt;=$CJ$45,$CQ23&lt;=$CK$45),$CN$45,0)))</f>
        <v>0</v>
      </c>
      <c r="DI23" s="427">
        <f>IF($BY$46=0,0,IF($DI$21=0,0,IF(AND($CQ23&gt;=$CJ$46,$CQ23&lt;=$CK$46),$CN$46,0)))</f>
        <v>0</v>
      </c>
      <c r="DJ23" s="428">
        <f t="shared" ref="DJ23:DJ34" si="120">SUM(DB23:DI23)</f>
        <v>0</v>
      </c>
      <c r="DL23" s="480">
        <f>CZ23+DJ23</f>
        <v>0</v>
      </c>
      <c r="DN23" s="467">
        <v>1</v>
      </c>
      <c r="DO23" s="482">
        <f>'GASTOS EJER. 1'!$C37</f>
        <v>0</v>
      </c>
      <c r="DP23" s="476" t="str">
        <f>AS23</f>
        <v/>
      </c>
      <c r="DQ23" s="476" t="str">
        <f t="shared" ref="DQ23:DR23" si="121">AT23</f>
        <v/>
      </c>
      <c r="DR23" s="483">
        <f t="shared" si="121"/>
        <v>0</v>
      </c>
      <c r="DS23" s="484">
        <f>'GASTOS EJER. 1'!X37</f>
        <v>0</v>
      </c>
      <c r="DT23" s="472" t="str">
        <f>IF(DS23=0,"",'GASTOS EJER. 1'!AA37)</f>
        <v/>
      </c>
      <c r="DU23" s="472" t="str">
        <f t="shared" ref="DU23:DU30" si="122">IF(DT23="","",EOMONTH(DATE(YEAR(DT23),MONTH(DT23)+1,1),0))</f>
        <v/>
      </c>
      <c r="DV23" s="470" t="e">
        <f>IF(AND(DU23&gt;=EXPEDIENTE!$F$25,DU23&lt;=EXPEDIENTE!$F$29),ROUNDDOWN(DS23/DR23,2),0)</f>
        <v>#DIV/0!</v>
      </c>
      <c r="DX23" s="386">
        <v>4</v>
      </c>
      <c r="DY23" s="430">
        <f t="shared" si="101"/>
        <v>45170</v>
      </c>
      <c r="DZ23" s="430">
        <f t="shared" si="102"/>
        <v>45199</v>
      </c>
      <c r="EA23" s="386" t="str">
        <f>IF(AND(DZ23&gt;=EXPEDIENTE!$F$25,DY23&lt;=EXPEDIENTE!$F$29),"SI","NO")</f>
        <v>SI</v>
      </c>
      <c r="EB23" s="423">
        <f t="shared" si="12"/>
        <v>0</v>
      </c>
      <c r="EC23" s="423">
        <f t="shared" si="13"/>
        <v>0</v>
      </c>
      <c r="ED23" s="423">
        <f t="shared" si="14"/>
        <v>0</v>
      </c>
      <c r="EE23" s="423">
        <f t="shared" si="15"/>
        <v>0</v>
      </c>
      <c r="EF23" s="423">
        <f t="shared" si="16"/>
        <v>0</v>
      </c>
      <c r="EG23" s="423">
        <f t="shared" si="17"/>
        <v>0</v>
      </c>
      <c r="EH23" s="423">
        <f t="shared" si="18"/>
        <v>0</v>
      </c>
      <c r="EI23" s="423">
        <f t="shared" si="19"/>
        <v>0</v>
      </c>
      <c r="EJ23" s="423">
        <f t="shared" si="20"/>
        <v>0</v>
      </c>
      <c r="EK23" s="423">
        <f t="shared" si="21"/>
        <v>0</v>
      </c>
      <c r="EL23" s="423">
        <f t="shared" si="22"/>
        <v>0</v>
      </c>
      <c r="EM23" s="423">
        <f t="shared" si="23"/>
        <v>0</v>
      </c>
      <c r="EN23" s="423">
        <f t="shared" si="24"/>
        <v>0</v>
      </c>
      <c r="EO23" s="423">
        <f t="shared" si="25"/>
        <v>0</v>
      </c>
      <c r="EP23" s="423">
        <f t="shared" si="26"/>
        <v>0</v>
      </c>
      <c r="EQ23" s="423">
        <f t="shared" si="27"/>
        <v>0</v>
      </c>
      <c r="ER23" s="423">
        <f t="shared" si="28"/>
        <v>0</v>
      </c>
      <c r="ES23" s="423">
        <f t="shared" si="29"/>
        <v>0</v>
      </c>
      <c r="ET23" s="423">
        <f t="shared" si="30"/>
        <v>0</v>
      </c>
      <c r="EU23" s="423">
        <f t="shared" si="31"/>
        <v>0</v>
      </c>
      <c r="EV23" s="423">
        <f t="shared" si="32"/>
        <v>0</v>
      </c>
      <c r="EW23" s="423">
        <f t="shared" si="33"/>
        <v>0</v>
      </c>
      <c r="EX23" s="423">
        <f t="shared" si="34"/>
        <v>0</v>
      </c>
      <c r="EY23" s="423">
        <f t="shared" si="35"/>
        <v>0</v>
      </c>
      <c r="EZ23" s="423">
        <f t="shared" si="36"/>
        <v>0</v>
      </c>
      <c r="FA23" s="423">
        <f t="shared" si="37"/>
        <v>0</v>
      </c>
      <c r="FB23" s="423">
        <f t="shared" si="38"/>
        <v>0</v>
      </c>
      <c r="FC23" s="423">
        <f t="shared" si="39"/>
        <v>0</v>
      </c>
      <c r="FD23" s="423">
        <f t="shared" si="40"/>
        <v>0</v>
      </c>
      <c r="FE23" s="423">
        <f t="shared" si="41"/>
        <v>0</v>
      </c>
      <c r="FF23" s="423">
        <f t="shared" si="42"/>
        <v>0</v>
      </c>
      <c r="FG23" s="423">
        <f t="shared" si="43"/>
        <v>0</v>
      </c>
      <c r="FH23" s="423">
        <f t="shared" si="66"/>
        <v>0</v>
      </c>
      <c r="FJ23" s="120">
        <v>1</v>
      </c>
      <c r="FK23" s="485">
        <f>DATE(YEAR(EXPEDIENTE!$F$25),FJ23,1)</f>
        <v>44927</v>
      </c>
      <c r="FL23" s="485" t="str">
        <f>IF('GASTOS EJER. 1'!I49="","",'GASTOS EJER. 1'!I49)</f>
        <v/>
      </c>
      <c r="FM23" s="486">
        <f>'GASTOS EJER. 1'!X20</f>
        <v>0</v>
      </c>
      <c r="FN23" s="486">
        <f>'GASTOS EJER. 1'!H49</f>
        <v>0</v>
      </c>
      <c r="FO23" s="434">
        <f>VLOOKUP(FK23,$DY$7:$FH$69,36,FALSE)</f>
        <v>0</v>
      </c>
      <c r="FP23" s="486">
        <f t="shared" ref="FP23:FP34" si="123">SUM(FM23:FO23)</f>
        <v>0</v>
      </c>
      <c r="FR23" s="467">
        <v>1</v>
      </c>
      <c r="FS23" s="482">
        <f>'GASTOS EJER. 1'!$C37</f>
        <v>0</v>
      </c>
      <c r="FT23" s="476" t="str">
        <f>CJ23</f>
        <v/>
      </c>
      <c r="FU23" s="476" t="str">
        <f>CK23</f>
        <v/>
      </c>
      <c r="FV23" s="483">
        <f>CL23</f>
        <v>0</v>
      </c>
      <c r="FW23" s="484">
        <f>'GASTOS EJER. 1'!CM37</f>
        <v>0</v>
      </c>
      <c r="FX23" s="472" t="str">
        <f>IF(FW23=0,"",'GASTOS EJER. 1'!CT37)</f>
        <v/>
      </c>
      <c r="FY23" s="472" t="str">
        <f t="shared" ref="FY23:FY30" si="124">IF(FX23="","",EOMONTH(DATE(YEAR(FX23),MONTH(FX23)+1,1),0))</f>
        <v/>
      </c>
      <c r="FZ23" s="470" t="e">
        <f>IF(AND(FY23&gt;=EXPEDIENTE!$F$25,FY23&lt;=EXPEDIENTE!$F$29),ROUNDDOWN(FW23/FV23,2),0)</f>
        <v>#DIV/0!</v>
      </c>
      <c r="GB23" s="386">
        <v>4</v>
      </c>
      <c r="GC23" s="430">
        <f t="shared" si="103"/>
        <v>45170</v>
      </c>
      <c r="GD23" s="430">
        <f t="shared" si="104"/>
        <v>45199</v>
      </c>
      <c r="GE23" s="386" t="str">
        <f>IF(AND(GD23&gt;=EXPEDIENTE!$F$25,GC23&lt;=EXPEDIENTE!$F$29),"SI","NO")</f>
        <v>SI</v>
      </c>
      <c r="GF23" s="423">
        <f t="shared" si="67"/>
        <v>0</v>
      </c>
      <c r="GG23" s="423">
        <f t="shared" si="68"/>
        <v>0</v>
      </c>
      <c r="GH23" s="423">
        <f t="shared" si="69"/>
        <v>0</v>
      </c>
      <c r="GI23" s="423">
        <f t="shared" si="70"/>
        <v>0</v>
      </c>
      <c r="GJ23" s="423">
        <f t="shared" si="71"/>
        <v>0</v>
      </c>
      <c r="GK23" s="423">
        <f t="shared" si="72"/>
        <v>0</v>
      </c>
      <c r="GL23" s="423">
        <f t="shared" si="73"/>
        <v>0</v>
      </c>
      <c r="GM23" s="423">
        <f t="shared" si="74"/>
        <v>0</v>
      </c>
      <c r="GN23" s="423">
        <f t="shared" si="75"/>
        <v>0</v>
      </c>
      <c r="GO23" s="423">
        <f t="shared" si="76"/>
        <v>0</v>
      </c>
      <c r="GP23" s="423">
        <f t="shared" si="77"/>
        <v>0</v>
      </c>
      <c r="GQ23" s="423">
        <f t="shared" si="78"/>
        <v>0</v>
      </c>
      <c r="GR23" s="423">
        <f t="shared" si="79"/>
        <v>0</v>
      </c>
      <c r="GS23" s="423">
        <f t="shared" si="80"/>
        <v>0</v>
      </c>
      <c r="GT23" s="423">
        <f t="shared" si="81"/>
        <v>0</v>
      </c>
      <c r="GU23" s="423">
        <f t="shared" si="82"/>
        <v>0</v>
      </c>
      <c r="GV23" s="423">
        <f t="shared" si="83"/>
        <v>0</v>
      </c>
      <c r="GW23" s="423">
        <f t="shared" si="84"/>
        <v>0</v>
      </c>
      <c r="GX23" s="423">
        <f t="shared" si="85"/>
        <v>0</v>
      </c>
      <c r="GY23" s="423">
        <f t="shared" si="86"/>
        <v>0</v>
      </c>
      <c r="GZ23" s="423">
        <f t="shared" si="87"/>
        <v>0</v>
      </c>
      <c r="HA23" s="423">
        <f t="shared" si="88"/>
        <v>0</v>
      </c>
      <c r="HB23" s="423">
        <f t="shared" si="89"/>
        <v>0</v>
      </c>
      <c r="HC23" s="423">
        <f t="shared" si="90"/>
        <v>0</v>
      </c>
      <c r="HD23" s="423">
        <f t="shared" si="91"/>
        <v>0</v>
      </c>
      <c r="HE23" s="423">
        <f t="shared" si="92"/>
        <v>0</v>
      </c>
      <c r="HF23" s="423">
        <f t="shared" si="93"/>
        <v>0</v>
      </c>
      <c r="HG23" s="423">
        <f t="shared" si="94"/>
        <v>0</v>
      </c>
      <c r="HH23" s="423">
        <f t="shared" si="95"/>
        <v>0</v>
      </c>
      <c r="HI23" s="423">
        <f t="shared" si="96"/>
        <v>0</v>
      </c>
      <c r="HJ23" s="423">
        <f t="shared" si="97"/>
        <v>0</v>
      </c>
      <c r="HK23" s="423">
        <f t="shared" si="98"/>
        <v>0</v>
      </c>
      <c r="HL23" s="423">
        <f t="shared" si="99"/>
        <v>0</v>
      </c>
      <c r="HO23" s="120">
        <v>1</v>
      </c>
      <c r="HP23" s="485">
        <f>DATE(YEAR(EXPEDIENTE!$F$25),HO23,1)</f>
        <v>44927</v>
      </c>
      <c r="HQ23" s="485" t="str">
        <f>IF('GASTOS EJER. 1'!BF49="","",'GASTOS EJER. 1'!BF49)</f>
        <v/>
      </c>
      <c r="HR23" s="486">
        <f>'GASTOS EJER. 1'!CM20</f>
        <v>0</v>
      </c>
      <c r="HS23" s="486">
        <f>'GASTOS EJER. 1'!BA49</f>
        <v>0</v>
      </c>
      <c r="HT23" s="434">
        <f>VLOOKUP(HP23,$GC$7:$HL$69,36,FALSE)</f>
        <v>0</v>
      </c>
      <c r="HU23" s="486">
        <f t="shared" ref="HU23:HU34" si="125">SUM(HR23:HT23)</f>
        <v>0</v>
      </c>
      <c r="JC23" s="416">
        <v>19</v>
      </c>
      <c r="JD23" s="398">
        <f t="shared" si="100"/>
        <v>6</v>
      </c>
    </row>
    <row r="24" spans="3:264" x14ac:dyDescent="0.25">
      <c r="C24" s="206">
        <v>18</v>
      </c>
      <c r="D24" s="401"/>
      <c r="E24" s="417"/>
      <c r="F24" s="418"/>
      <c r="G24" s="419"/>
      <c r="H24" s="419"/>
      <c r="I24" s="419"/>
      <c r="J24" s="401"/>
      <c r="K24" s="407">
        <f t="shared" si="52"/>
        <v>76</v>
      </c>
      <c r="L24" s="407">
        <f t="shared" si="53"/>
        <v>76</v>
      </c>
      <c r="M24" s="407" t="str">
        <f t="shared" si="54"/>
        <v>X</v>
      </c>
      <c r="V24" s="981"/>
      <c r="W24" s="441"/>
      <c r="Y24" s="422">
        <f t="shared" si="0"/>
        <v>19</v>
      </c>
      <c r="Z24" s="412" t="str">
        <f>IF(Y24="","",IF(EDATE($Z$5,Y24)&gt;EXPEDIENTE!$F$27,"",EDATE($Z$5,Y24)))</f>
        <v/>
      </c>
      <c r="AA24" s="412" t="str">
        <f>IF(Z24="","",IF(YEAR(EXPEDIENTE!$F$25)=YEAR(Z24),Z24,""))</f>
        <v/>
      </c>
      <c r="AB24" s="412" t="str">
        <f>IF(Z24="","",IF(YEAR(EXPEDIENTE!$F$25)+1=YEAR(Z24),Z24,""))</f>
        <v/>
      </c>
      <c r="AC24" s="412" t="str">
        <f>IF(Z24="","",IF(YEAR(EXPEDIENTE!$F$25)+2=YEAR(Z24),Z24,""))</f>
        <v/>
      </c>
      <c r="AD24" s="412" t="str">
        <f>IF(Z24="","",IF(YEAR(EXPEDIENTE!$F$25)+3=YEAR(Z24),Z24,""))</f>
        <v/>
      </c>
      <c r="AG24" s="487">
        <v>2</v>
      </c>
      <c r="AH24" s="488">
        <f>'GASTOS EJER. 1'!M38</f>
        <v>0</v>
      </c>
      <c r="AI24" s="489">
        <f>'GASTOS EJER. 1'!X38</f>
        <v>0</v>
      </c>
      <c r="AJ24" s="490">
        <f t="shared" ref="AJ24:AJ30" si="126">AH24-AI24</f>
        <v>0</v>
      </c>
      <c r="AL24" s="491">
        <f>'GASTOS EJER. 1'!F38+'GASTOS EJER. 1'!L38-'GASTOS EJER. 1'!X38-'GASTOS EJER. 1'!Y38</f>
        <v>0</v>
      </c>
      <c r="AM24" s="492" t="str">
        <f>IF('GASTOS EJER. 1'!AA38="","",'GASTOS EJER. 1'!AA38)</f>
        <v/>
      </c>
      <c r="AN24" s="489">
        <f>'GASTOS EJER. 1'!Y38</f>
        <v>0</v>
      </c>
      <c r="AO24" s="493" t="str">
        <f>IF('GASTOS EJER. 1'!AB38="","",'GASTOS EJER. 1'!AB38)</f>
        <v/>
      </c>
      <c r="AP24" s="494">
        <f>IF(AND(AM24&gt;=EXPEDIENTE!$I$25,AM24&lt;=EXPEDIENTE!$I$29),AL24,0)</f>
        <v>0</v>
      </c>
      <c r="AQ24" s="423">
        <f>IF(AND(AO24&gt;=EXPEDIENTE!$I$25,AO24&lt;=EXPEDIENTE!$I$29),AN24,0)</f>
        <v>0</v>
      </c>
      <c r="AR24" s="490">
        <f t="shared" ref="AR24:AR30" si="127">AP24+AQ24</f>
        <v>0</v>
      </c>
      <c r="AS24" s="495" t="str">
        <f>IF('GASTOS EJER. 1'!D38="","",'GASTOS EJER. 1'!D38)</f>
        <v/>
      </c>
      <c r="AT24" s="496" t="str">
        <f>IF('GASTOS EJER. 1'!E38="","",'GASTOS EJER. 1'!E38)</f>
        <v/>
      </c>
      <c r="AU24" s="497">
        <f t="shared" ref="AU24:AU30" si="128">IF(OR(AS24="",AT24=""),0,DATEDIF(AS24,AT24,"M")+1)</f>
        <v>0</v>
      </c>
      <c r="AV24" s="498">
        <f t="shared" si="105"/>
        <v>0</v>
      </c>
      <c r="AW24" s="439">
        <f t="shared" ref="AW24:AW30" si="129">IF(OR(AS24="",AT24=""),0,ROUND(AR24/AU24,2))</f>
        <v>0</v>
      </c>
      <c r="AY24" s="423">
        <v>2</v>
      </c>
      <c r="AZ24" s="424">
        <f t="shared" si="106"/>
        <v>44958</v>
      </c>
      <c r="BA24" s="433">
        <f t="shared" ref="BA24:BA34" si="130">IF($AH$23=0,0,IF($BA$21=0,0,IF(AND(AZ24&gt;=$AS$23,AZ24&lt;=$AT$23),$AW$23,0)))</f>
        <v>0</v>
      </c>
      <c r="BB24" s="434">
        <f t="shared" ref="BB24:BB34" si="131">IF($AH$24=0,0,IF($BB$21=0,0,IF(AND(AZ24&gt;=$AS$24,AZ24&lt;=$AT$24),$AW$24,0)))</f>
        <v>0</v>
      </c>
      <c r="BC24" s="434">
        <f t="shared" ref="BC24:BC34" si="132">IF($AH$25=0,0,IF($BC$21=0,0,IF(AND(AZ24&gt;=$AS$25,AZ24&lt;=$AT$25),$AW$25,0)))</f>
        <v>0</v>
      </c>
      <c r="BD24" s="434">
        <f t="shared" ref="BD24:BD34" si="133">IF($AH$26=0,0,IF($BD$21=0,0,IF(AND(AZ24&gt;=$AS$26,AZ24&lt;=$AT$26),$AW$26,0)))</f>
        <v>0</v>
      </c>
      <c r="BE24" s="434">
        <f t="shared" ref="BE24:BE34" si="134">IF($AH$27=0,0,IF($BE$21=0,0,IF(AND(AZ24&gt;=$AS$27,AZ24&lt;=$AT$27),$AW$27,0)))</f>
        <v>0</v>
      </c>
      <c r="BF24" s="434">
        <f t="shared" ref="BF24:BF34" si="135">IF($AH$28=0,0,IF($BF$21=0,0,IF(AND(AZ24&gt;=$AS$28,AZ24&lt;=$AT$28),$AW$28,0)))</f>
        <v>0</v>
      </c>
      <c r="BG24" s="434">
        <f t="shared" ref="BG24:BG34" si="136">IF($AH$29=0,0,IF($BG$21=0,0,IF(AND(AZ24&gt;=$AS$29,AZ24&lt;=$AT$29),$AW$29,0)))</f>
        <v>0</v>
      </c>
      <c r="BH24" s="435">
        <f t="shared" ref="BH24:BH34" si="137">IF($AH$30=0,0,IF($BH$21=0,0,IF(AND(AZ24&gt;=$AS$30,AZ24&lt;=$AT$30),$AW$30,0)))</f>
        <v>0</v>
      </c>
      <c r="BI24" s="436">
        <f t="shared" ref="BI24:BI34" si="138">SUM(BA24:BH24)</f>
        <v>0</v>
      </c>
      <c r="BK24" s="433">
        <f t="shared" si="109"/>
        <v>0</v>
      </c>
      <c r="BL24" s="434">
        <f t="shared" si="110"/>
        <v>0</v>
      </c>
      <c r="BM24" s="434">
        <f t="shared" si="111"/>
        <v>0</v>
      </c>
      <c r="BN24" s="434">
        <f t="shared" si="112"/>
        <v>0</v>
      </c>
      <c r="BO24" s="434">
        <f t="shared" si="113"/>
        <v>0</v>
      </c>
      <c r="BP24" s="434">
        <f t="shared" si="114"/>
        <v>0</v>
      </c>
      <c r="BQ24" s="434">
        <f t="shared" si="115"/>
        <v>0</v>
      </c>
      <c r="BR24" s="435">
        <f t="shared" si="116"/>
        <v>0</v>
      </c>
      <c r="BS24" s="436">
        <f t="shared" si="117"/>
        <v>0</v>
      </c>
      <c r="BU24" s="436">
        <f t="shared" ref="BU24:BU34" si="139">BI24+BS24</f>
        <v>0</v>
      </c>
      <c r="BX24" s="487">
        <v>2</v>
      </c>
      <c r="BY24" s="488">
        <f>'GASTOS EJER. 1'!BN38</f>
        <v>0</v>
      </c>
      <c r="BZ24" s="489">
        <f>'GASTOS EJER. 1'!CM38</f>
        <v>0</v>
      </c>
      <c r="CA24" s="490">
        <f t="shared" ref="CA24:CA30" si="140">BY24-BZ24</f>
        <v>0</v>
      </c>
      <c r="CC24" s="491">
        <f>'GASTOS EJER. 1'!AW38+'GASTOS EJER. 1'!BM38-'GASTOS EJER. 1'!CM38-'GASTOS EJER. 1'!CP38</f>
        <v>0</v>
      </c>
      <c r="CD24" s="492" t="str">
        <f>IF('GASTOS EJER. 1'!CT38="","",'GASTOS EJER. 1'!CT38)</f>
        <v/>
      </c>
      <c r="CE24" s="489">
        <f>'GASTOS EJER. 1'!CP38</f>
        <v>0</v>
      </c>
      <c r="CF24" s="493" t="str">
        <f>IF('GASTOS EJER. 1'!CW38="","",'GASTOS EJER. 1'!CW38)</f>
        <v/>
      </c>
      <c r="CG24" s="494">
        <f>IF(AND(CD24&gt;=EXPEDIENTE!$I$25,CD24&lt;=EXPEDIENTE!$I$29),CC24,0)</f>
        <v>0</v>
      </c>
      <c r="CH24" s="423">
        <f>IF(AND(CF24&gt;=EXPEDIENTE!$I$25,CF24&lt;=EXPEDIENTE!$I$29),CE24,0)</f>
        <v>0</v>
      </c>
      <c r="CI24" s="490">
        <f t="shared" ref="CI24:CI30" si="141">CG24+CH24</f>
        <v>0</v>
      </c>
      <c r="CJ24" s="495" t="str">
        <f>IF('GASTOS EJER. 1'!AQ38="","",'GASTOS EJER. 1'!AQ38)</f>
        <v/>
      </c>
      <c r="CK24" s="496" t="str">
        <f>IF('GASTOS EJER. 1'!AT38="","",'GASTOS EJER. 1'!AT38)</f>
        <v/>
      </c>
      <c r="CL24" s="497">
        <f t="shared" ref="CL24:CL30" si="142">IF(OR(CJ24="",CK24=""),0,DATEDIF(CJ24,CK24,"M")+1)</f>
        <v>0</v>
      </c>
      <c r="CM24" s="498">
        <f t="shared" si="118"/>
        <v>0</v>
      </c>
      <c r="CN24" s="439">
        <f t="shared" ref="CN24:CN30" si="143">IF(OR(CJ24="",CK24=""),0,ROUND(CI24/CL24,2))</f>
        <v>0</v>
      </c>
      <c r="CP24" s="423">
        <v>2</v>
      </c>
      <c r="CQ24" s="424">
        <f t="shared" si="119"/>
        <v>44958</v>
      </c>
      <c r="CR24" s="437">
        <f t="shared" ref="CR24:CR34" si="144">IF($BY$23=0,0,IF($CR$21=0,0,IF(AND($CQ24&gt;=$CJ$23,$CQ24&lt;=$CK$23),$CN$23,0)))</f>
        <v>0</v>
      </c>
      <c r="CS24" s="423">
        <f t="shared" ref="CS24:CS34" si="145">IF($BY$24=0,0,IF($CS$21=0,0,IF(AND($CQ24&gt;=$CJ$24,$CQ24&lt;=$CK$24),$CN$24,0)))</f>
        <v>0</v>
      </c>
      <c r="CT24" s="423">
        <f t="shared" ref="CT24:CT34" si="146">IF($BY$25=0,0,IF($CT$21=0,0,IF(AND($CQ24&gt;=$CJ$25,$CQ24&lt;=$CK$25),$CN$25,0)))</f>
        <v>0</v>
      </c>
      <c r="CU24" s="423">
        <f t="shared" ref="CU24:CU34" si="147">IF($BY$26=0,0,IF($CU$21=0,0,IF(AND($CQ24&gt;=$CJ$26,$CQ24&lt;=$CK$26),$CN$26,0)))</f>
        <v>0</v>
      </c>
      <c r="CV24" s="423">
        <f t="shared" ref="CV24:CV34" si="148">IF($BY$27=0,0,IF($CV$21=0,0,IF(AND($CQ24&gt;=$CJ$27,$CQ24&lt;=$CK$27),$CN$27,0)))</f>
        <v>0</v>
      </c>
      <c r="CW24" s="423">
        <f t="shared" ref="CW24:CW34" si="149">IF($BY$28=0,0,IF($CW$21=0,0,IF(AND($CQ24&gt;=$CJ$28,$CQ24&lt;=$CK$28),$CN$28,0)))</f>
        <v>0</v>
      </c>
      <c r="CX24" s="423">
        <f t="shared" ref="CX24:CX34" si="150">IF($BY$29=0,0,IF($CX$21=0,0,IF(AND($CQ24&gt;=$CJ$29,$CQ24&lt;=$CK$29),$CN$29,0)))</f>
        <v>0</v>
      </c>
      <c r="CY24" s="438">
        <f t="shared" ref="CY24:CY34" si="151">IF($BY$30=0,0,IF($CX$21=0,0,IF(AND($CQ24&gt;=$CJ$30,$CQ24&lt;=$CK$30),$CN$30,0)))</f>
        <v>0</v>
      </c>
      <c r="CZ24" s="436">
        <f t="shared" ref="CZ24:CZ34" si="152">SUM(CR24:CY24)</f>
        <v>0</v>
      </c>
      <c r="DB24" s="437">
        <f t="shared" ref="DB24:DB34" si="153">IF($BY$39=0,0,IF($DB$21=0,0,IF(AND($CQ24&gt;=$CJ$39,$CQ24&lt;=$CK$39),$CN$39,0)))</f>
        <v>0</v>
      </c>
      <c r="DC24" s="423">
        <f t="shared" ref="DC24:DC34" si="154">IF($BY$40=0,0,IF($DC$21=0,0,IF(AND($CQ24&gt;=$CJ$40,$CQ24&lt;=$CK$40),$CN$40,0)))</f>
        <v>0</v>
      </c>
      <c r="DD24" s="423">
        <f t="shared" ref="DD24:DD34" si="155">IF($BY$41=0,0,IF($DD$21=0,0,IF(AND($CQ24&gt;=$CJ$41,$CQ24&lt;=$CK$41),$CN$41,0)))</f>
        <v>0</v>
      </c>
      <c r="DE24" s="423">
        <f t="shared" ref="DE24:DE34" si="156">IF($BY$42=0,0,IF($DE$21=0,0,IF(AND($CQ24&gt;=$CJ$42,$CQ24&lt;=$CK$42),$CN$42,0)))</f>
        <v>0</v>
      </c>
      <c r="DF24" s="423">
        <f t="shared" ref="DF24:DF34" si="157">IF($BY$43=0,0,IF($DF$21=0,0,IF(AND($CQ24&gt;=$CJ$43,$CQ24&lt;=$CK$43),$CN$43,0)))</f>
        <v>0</v>
      </c>
      <c r="DG24" s="423">
        <f t="shared" ref="DG24:DG34" si="158">IF($BY$44=0,0,IF($DG$21=0,0,IF(AND($CQ24&gt;=$CJ$44,$CQ24&lt;=$CK$44),$CN$44,0)))</f>
        <v>0</v>
      </c>
      <c r="DH24" s="423">
        <f t="shared" ref="DH24:DH34" si="159">IF($BY$45=0,0,IF($DH$21=0,0,IF(AND($CQ24&gt;=$CJ$45,$CQ24&lt;=$CK$45),$CN$45,0)))</f>
        <v>0</v>
      </c>
      <c r="DI24" s="438">
        <f t="shared" ref="DI24:DI34" si="160">IF($BY$46=0,0,IF($DI$21=0,0,IF(AND($CQ24&gt;=$CJ$46,$CQ24&lt;=$CK$46),$CN$46,0)))</f>
        <v>0</v>
      </c>
      <c r="DJ24" s="436">
        <f t="shared" si="120"/>
        <v>0</v>
      </c>
      <c r="DL24" s="436">
        <f t="shared" ref="DL24:DL34" si="161">CZ24+DJ24</f>
        <v>0</v>
      </c>
      <c r="DN24" s="487">
        <v>2</v>
      </c>
      <c r="DO24" s="499">
        <f>'GASTOS EJER. 1'!$C38</f>
        <v>0</v>
      </c>
      <c r="DP24" s="496" t="str">
        <f t="shared" ref="DP24:DP30" si="162">AS24</f>
        <v/>
      </c>
      <c r="DQ24" s="496" t="str">
        <f t="shared" ref="DQ24:DQ30" si="163">AT24</f>
        <v/>
      </c>
      <c r="DR24" s="386">
        <f t="shared" ref="DR24:DR30" si="164">AU24</f>
        <v>0</v>
      </c>
      <c r="DS24" s="500">
        <f>'GASTOS EJER. 1'!X38</f>
        <v>0</v>
      </c>
      <c r="DT24" s="492" t="str">
        <f>IF(DS24=0,"",'GASTOS EJER. 1'!AA38)</f>
        <v/>
      </c>
      <c r="DU24" s="492" t="str">
        <f t="shared" si="122"/>
        <v/>
      </c>
      <c r="DV24" s="490" t="e">
        <f>IF(AND(DU24&gt;=EXPEDIENTE!$F$25,DU24&lt;=EXPEDIENTE!$F$29),ROUNDDOWN(DS24/DR24,2),0)</f>
        <v>#DIV/0!</v>
      </c>
      <c r="DX24" s="386">
        <v>5</v>
      </c>
      <c r="DY24" s="430">
        <f t="shared" si="101"/>
        <v>45200</v>
      </c>
      <c r="DZ24" s="430">
        <f t="shared" si="102"/>
        <v>45230</v>
      </c>
      <c r="EA24" s="386" t="str">
        <f>IF(AND(DZ24&gt;=EXPEDIENTE!$F$25,DY24&lt;=EXPEDIENTE!$F$29),"SI","NO")</f>
        <v>SI</v>
      </c>
      <c r="EB24" s="423">
        <f t="shared" si="12"/>
        <v>0</v>
      </c>
      <c r="EC24" s="423">
        <f t="shared" si="13"/>
        <v>0</v>
      </c>
      <c r="ED24" s="423">
        <f t="shared" si="14"/>
        <v>0</v>
      </c>
      <c r="EE24" s="423">
        <f t="shared" si="15"/>
        <v>0</v>
      </c>
      <c r="EF24" s="423">
        <f t="shared" si="16"/>
        <v>0</v>
      </c>
      <c r="EG24" s="423">
        <f t="shared" si="17"/>
        <v>0</v>
      </c>
      <c r="EH24" s="423">
        <f t="shared" si="18"/>
        <v>0</v>
      </c>
      <c r="EI24" s="423">
        <f t="shared" si="19"/>
        <v>0</v>
      </c>
      <c r="EJ24" s="423">
        <f t="shared" si="20"/>
        <v>0</v>
      </c>
      <c r="EK24" s="423">
        <f t="shared" si="21"/>
        <v>0</v>
      </c>
      <c r="EL24" s="423">
        <f t="shared" si="22"/>
        <v>0</v>
      </c>
      <c r="EM24" s="423">
        <f t="shared" si="23"/>
        <v>0</v>
      </c>
      <c r="EN24" s="423">
        <f t="shared" si="24"/>
        <v>0</v>
      </c>
      <c r="EO24" s="423">
        <f t="shared" si="25"/>
        <v>0</v>
      </c>
      <c r="EP24" s="423">
        <f t="shared" si="26"/>
        <v>0</v>
      </c>
      <c r="EQ24" s="423">
        <f t="shared" si="27"/>
        <v>0</v>
      </c>
      <c r="ER24" s="423">
        <f t="shared" si="28"/>
        <v>0</v>
      </c>
      <c r="ES24" s="423">
        <f t="shared" si="29"/>
        <v>0</v>
      </c>
      <c r="ET24" s="423">
        <f t="shared" si="30"/>
        <v>0</v>
      </c>
      <c r="EU24" s="423">
        <f t="shared" si="31"/>
        <v>0</v>
      </c>
      <c r="EV24" s="423">
        <f t="shared" si="32"/>
        <v>0</v>
      </c>
      <c r="EW24" s="423">
        <f t="shared" si="33"/>
        <v>0</v>
      </c>
      <c r="EX24" s="423">
        <f t="shared" si="34"/>
        <v>0</v>
      </c>
      <c r="EY24" s="423">
        <f t="shared" si="35"/>
        <v>0</v>
      </c>
      <c r="EZ24" s="423">
        <f t="shared" si="36"/>
        <v>0</v>
      </c>
      <c r="FA24" s="423">
        <f t="shared" si="37"/>
        <v>0</v>
      </c>
      <c r="FB24" s="423">
        <f t="shared" si="38"/>
        <v>0</v>
      </c>
      <c r="FC24" s="423">
        <f t="shared" si="39"/>
        <v>0</v>
      </c>
      <c r="FD24" s="423">
        <f t="shared" si="40"/>
        <v>0</v>
      </c>
      <c r="FE24" s="423">
        <f t="shared" si="41"/>
        <v>0</v>
      </c>
      <c r="FF24" s="423">
        <f t="shared" si="42"/>
        <v>0</v>
      </c>
      <c r="FG24" s="423">
        <f t="shared" si="43"/>
        <v>0</v>
      </c>
      <c r="FH24" s="423">
        <f t="shared" si="66"/>
        <v>0</v>
      </c>
      <c r="FJ24" s="120">
        <v>2</v>
      </c>
      <c r="FK24" s="492">
        <f>DATE(YEAR(EXPEDIENTE!$F$25),FJ24,1)</f>
        <v>44958</v>
      </c>
      <c r="FL24" s="492" t="str">
        <f>IF('GASTOS EJER. 1'!I50="","",'GASTOS EJER. 1'!I50)</f>
        <v/>
      </c>
      <c r="FM24" s="500">
        <f>'GASTOS EJER. 1'!X21</f>
        <v>0</v>
      </c>
      <c r="FN24" s="500">
        <f>'GASTOS EJER. 1'!H50</f>
        <v>0</v>
      </c>
      <c r="FO24" s="423">
        <f t="shared" ref="FO24:FO34" si="165">VLOOKUP(FK24,$DY$7:$FH$69,36,FALSE)</f>
        <v>0</v>
      </c>
      <c r="FP24" s="500">
        <f t="shared" si="123"/>
        <v>0</v>
      </c>
      <c r="FR24" s="487">
        <v>2</v>
      </c>
      <c r="FS24" s="499">
        <f>'GASTOS EJER. 1'!$C38</f>
        <v>0</v>
      </c>
      <c r="FT24" s="496" t="str">
        <f t="shared" ref="FT24:FT30" si="166">CJ24</f>
        <v/>
      </c>
      <c r="FU24" s="496" t="str">
        <f t="shared" ref="FU24:FU30" si="167">CK24</f>
        <v/>
      </c>
      <c r="FV24" s="386">
        <f t="shared" ref="FV24:FV30" si="168">CL24</f>
        <v>0</v>
      </c>
      <c r="FW24" s="500">
        <f>'GASTOS EJER. 1'!CM38</f>
        <v>0</v>
      </c>
      <c r="FX24" s="492" t="str">
        <f>IF(FW24=0,"",'GASTOS EJER. 1'!CT38)</f>
        <v/>
      </c>
      <c r="FY24" s="492" t="str">
        <f t="shared" si="124"/>
        <v/>
      </c>
      <c r="FZ24" s="490" t="e">
        <f>IF(AND(FY24&gt;=EXPEDIENTE!$F$25,FY24&lt;=EXPEDIENTE!$F$29),ROUNDDOWN(FW24/FV24,2),0)</f>
        <v>#DIV/0!</v>
      </c>
      <c r="GB24" s="386">
        <v>5</v>
      </c>
      <c r="GC24" s="430">
        <f t="shared" si="103"/>
        <v>45200</v>
      </c>
      <c r="GD24" s="430">
        <f t="shared" si="104"/>
        <v>45230</v>
      </c>
      <c r="GE24" s="386" t="str">
        <f>IF(AND(GD24&gt;=EXPEDIENTE!$F$25,GC24&lt;=EXPEDIENTE!$F$29),"SI","NO")</f>
        <v>SI</v>
      </c>
      <c r="GF24" s="423">
        <f t="shared" si="67"/>
        <v>0</v>
      </c>
      <c r="GG24" s="423">
        <f t="shared" si="68"/>
        <v>0</v>
      </c>
      <c r="GH24" s="423">
        <f t="shared" si="69"/>
        <v>0</v>
      </c>
      <c r="GI24" s="423">
        <f t="shared" si="70"/>
        <v>0</v>
      </c>
      <c r="GJ24" s="423">
        <f t="shared" si="71"/>
        <v>0</v>
      </c>
      <c r="GK24" s="423">
        <f t="shared" si="72"/>
        <v>0</v>
      </c>
      <c r="GL24" s="423">
        <f t="shared" si="73"/>
        <v>0</v>
      </c>
      <c r="GM24" s="423">
        <f t="shared" si="74"/>
        <v>0</v>
      </c>
      <c r="GN24" s="423">
        <f t="shared" si="75"/>
        <v>0</v>
      </c>
      <c r="GO24" s="423">
        <f t="shared" si="76"/>
        <v>0</v>
      </c>
      <c r="GP24" s="423">
        <f t="shared" si="77"/>
        <v>0</v>
      </c>
      <c r="GQ24" s="423">
        <f t="shared" si="78"/>
        <v>0</v>
      </c>
      <c r="GR24" s="423">
        <f t="shared" si="79"/>
        <v>0</v>
      </c>
      <c r="GS24" s="423">
        <f t="shared" si="80"/>
        <v>0</v>
      </c>
      <c r="GT24" s="423">
        <f t="shared" si="81"/>
        <v>0</v>
      </c>
      <c r="GU24" s="423">
        <f t="shared" si="82"/>
        <v>0</v>
      </c>
      <c r="GV24" s="423">
        <f t="shared" si="83"/>
        <v>0</v>
      </c>
      <c r="GW24" s="423">
        <f t="shared" si="84"/>
        <v>0</v>
      </c>
      <c r="GX24" s="423">
        <f t="shared" si="85"/>
        <v>0</v>
      </c>
      <c r="GY24" s="423">
        <f t="shared" si="86"/>
        <v>0</v>
      </c>
      <c r="GZ24" s="423">
        <f t="shared" si="87"/>
        <v>0</v>
      </c>
      <c r="HA24" s="423">
        <f t="shared" si="88"/>
        <v>0</v>
      </c>
      <c r="HB24" s="423">
        <f t="shared" si="89"/>
        <v>0</v>
      </c>
      <c r="HC24" s="423">
        <f t="shared" si="90"/>
        <v>0</v>
      </c>
      <c r="HD24" s="423">
        <f t="shared" si="91"/>
        <v>0</v>
      </c>
      <c r="HE24" s="423">
        <f t="shared" si="92"/>
        <v>0</v>
      </c>
      <c r="HF24" s="423">
        <f t="shared" si="93"/>
        <v>0</v>
      </c>
      <c r="HG24" s="423">
        <f t="shared" si="94"/>
        <v>0</v>
      </c>
      <c r="HH24" s="423">
        <f t="shared" si="95"/>
        <v>0</v>
      </c>
      <c r="HI24" s="423">
        <f t="shared" si="96"/>
        <v>0</v>
      </c>
      <c r="HJ24" s="423">
        <f t="shared" si="97"/>
        <v>0</v>
      </c>
      <c r="HK24" s="423">
        <f t="shared" si="98"/>
        <v>0</v>
      </c>
      <c r="HL24" s="423">
        <f t="shared" si="99"/>
        <v>0</v>
      </c>
      <c r="HO24" s="120">
        <v>2</v>
      </c>
      <c r="HP24" s="492">
        <f>DATE(YEAR(EXPEDIENTE!$F$25),HO24,1)</f>
        <v>44958</v>
      </c>
      <c r="HQ24" s="492" t="str">
        <f>IF('GASTOS EJER. 1'!BF50="","",'GASTOS EJER. 1'!BF50)</f>
        <v/>
      </c>
      <c r="HR24" s="500">
        <f>'GASTOS EJER. 1'!CM21</f>
        <v>0</v>
      </c>
      <c r="HS24" s="500">
        <f>'GASTOS EJER. 1'!BA50</f>
        <v>0</v>
      </c>
      <c r="HT24" s="423">
        <f t="shared" ref="HT24:HT34" si="169">VLOOKUP(HP24,$GC$7:$HL$69,36,FALSE)</f>
        <v>0</v>
      </c>
      <c r="HU24" s="500">
        <f t="shared" si="125"/>
        <v>0</v>
      </c>
      <c r="JC24" s="442">
        <v>20</v>
      </c>
      <c r="JD24" s="398">
        <f t="shared" si="100"/>
        <v>6</v>
      </c>
    </row>
    <row r="25" spans="3:264" x14ac:dyDescent="0.25">
      <c r="C25" s="206">
        <v>19</v>
      </c>
      <c r="D25" s="401"/>
      <c r="E25" s="417"/>
      <c r="F25" s="418"/>
      <c r="G25" s="419"/>
      <c r="H25" s="419"/>
      <c r="I25" s="419"/>
      <c r="J25" s="401"/>
      <c r="K25" s="407">
        <f t="shared" si="52"/>
        <v>76</v>
      </c>
      <c r="L25" s="407">
        <f t="shared" si="53"/>
        <v>76</v>
      </c>
      <c r="M25" s="407" t="str">
        <f t="shared" si="54"/>
        <v>X</v>
      </c>
      <c r="V25" s="981"/>
      <c r="W25" s="441"/>
      <c r="Y25" s="422">
        <f t="shared" si="0"/>
        <v>20</v>
      </c>
      <c r="Z25" s="412" t="str">
        <f>IF(Y25="","",IF(EDATE($Z$5,Y25)&gt;EXPEDIENTE!$F$27,"",EDATE($Z$5,Y25)))</f>
        <v/>
      </c>
      <c r="AA25" s="412" t="str">
        <f>IF(Z25="","",IF(YEAR(EXPEDIENTE!$F$25)=YEAR(Z25),Z25,""))</f>
        <v/>
      </c>
      <c r="AB25" s="412" t="str">
        <f>IF(Z25="","",IF(YEAR(EXPEDIENTE!$F$25)+1=YEAR(Z25),Z25,""))</f>
        <v/>
      </c>
      <c r="AC25" s="412" t="str">
        <f>IF(Z25="","",IF(YEAR(EXPEDIENTE!$F$25)+2=YEAR(Z25),Z25,""))</f>
        <v/>
      </c>
      <c r="AD25" s="412" t="str">
        <f>IF(Z25="","",IF(YEAR(EXPEDIENTE!$F$25)+3=YEAR(Z25),Z25,""))</f>
        <v/>
      </c>
      <c r="AG25" s="487">
        <v>3</v>
      </c>
      <c r="AH25" s="488">
        <f>'GASTOS EJER. 1'!M39</f>
        <v>0</v>
      </c>
      <c r="AI25" s="489">
        <f>'GASTOS EJER. 1'!X39</f>
        <v>0</v>
      </c>
      <c r="AJ25" s="490">
        <f t="shared" si="126"/>
        <v>0</v>
      </c>
      <c r="AL25" s="491">
        <f>'GASTOS EJER. 1'!F39+'GASTOS EJER. 1'!L39-'GASTOS EJER. 1'!X39-'GASTOS EJER. 1'!Y39</f>
        <v>0</v>
      </c>
      <c r="AM25" s="492" t="str">
        <f>IF('GASTOS EJER. 1'!AA39="","",'GASTOS EJER. 1'!AA39)</f>
        <v/>
      </c>
      <c r="AN25" s="489">
        <f>'GASTOS EJER. 1'!Y39</f>
        <v>0</v>
      </c>
      <c r="AO25" s="493" t="str">
        <f>IF('GASTOS EJER. 1'!AB39="","",'GASTOS EJER. 1'!AB39)</f>
        <v/>
      </c>
      <c r="AP25" s="494">
        <f>IF(AND(AM25&gt;=EXPEDIENTE!$I$25,AM25&lt;=EXPEDIENTE!$I$29),AL25,0)</f>
        <v>0</v>
      </c>
      <c r="AQ25" s="423">
        <f>IF(AND(AO25&gt;=EXPEDIENTE!$I$25,AO25&lt;=EXPEDIENTE!$I$29),AN25,0)</f>
        <v>0</v>
      </c>
      <c r="AR25" s="490">
        <f t="shared" si="127"/>
        <v>0</v>
      </c>
      <c r="AS25" s="495" t="str">
        <f>IF('GASTOS EJER. 1'!D39="","",'GASTOS EJER. 1'!D39)</f>
        <v/>
      </c>
      <c r="AT25" s="496" t="str">
        <f>IF('GASTOS EJER. 1'!E39="","",'GASTOS EJER. 1'!E39)</f>
        <v/>
      </c>
      <c r="AU25" s="497">
        <f t="shared" si="128"/>
        <v>0</v>
      </c>
      <c r="AV25" s="498">
        <f t="shared" si="105"/>
        <v>0</v>
      </c>
      <c r="AW25" s="439">
        <f t="shared" si="129"/>
        <v>0</v>
      </c>
      <c r="AY25" s="423">
        <v>3</v>
      </c>
      <c r="AZ25" s="424">
        <f t="shared" si="106"/>
        <v>44986</v>
      </c>
      <c r="BA25" s="433">
        <f t="shared" si="130"/>
        <v>0</v>
      </c>
      <c r="BB25" s="434">
        <f t="shared" si="131"/>
        <v>0</v>
      </c>
      <c r="BC25" s="434">
        <f t="shared" si="132"/>
        <v>0</v>
      </c>
      <c r="BD25" s="434">
        <f t="shared" si="133"/>
        <v>0</v>
      </c>
      <c r="BE25" s="434">
        <f t="shared" si="134"/>
        <v>0</v>
      </c>
      <c r="BF25" s="434">
        <f t="shared" si="135"/>
        <v>0</v>
      </c>
      <c r="BG25" s="434">
        <f t="shared" si="136"/>
        <v>0</v>
      </c>
      <c r="BH25" s="435">
        <f t="shared" si="137"/>
        <v>0</v>
      </c>
      <c r="BI25" s="436">
        <f t="shared" si="138"/>
        <v>0</v>
      </c>
      <c r="BK25" s="433">
        <f t="shared" si="109"/>
        <v>0</v>
      </c>
      <c r="BL25" s="434">
        <f t="shared" si="110"/>
        <v>0</v>
      </c>
      <c r="BM25" s="434">
        <f t="shared" si="111"/>
        <v>0</v>
      </c>
      <c r="BN25" s="434">
        <f t="shared" si="112"/>
        <v>0</v>
      </c>
      <c r="BO25" s="434">
        <f t="shared" si="113"/>
        <v>0</v>
      </c>
      <c r="BP25" s="434">
        <f t="shared" si="114"/>
        <v>0</v>
      </c>
      <c r="BQ25" s="434">
        <f t="shared" si="115"/>
        <v>0</v>
      </c>
      <c r="BR25" s="435">
        <f t="shared" si="116"/>
        <v>0</v>
      </c>
      <c r="BS25" s="436">
        <f t="shared" si="117"/>
        <v>0</v>
      </c>
      <c r="BU25" s="436">
        <f t="shared" si="139"/>
        <v>0</v>
      </c>
      <c r="BX25" s="487">
        <v>3</v>
      </c>
      <c r="BY25" s="488">
        <f>'GASTOS EJER. 1'!BN39</f>
        <v>0</v>
      </c>
      <c r="BZ25" s="489">
        <f>'GASTOS EJER. 1'!CM39</f>
        <v>0</v>
      </c>
      <c r="CA25" s="490">
        <f t="shared" si="140"/>
        <v>0</v>
      </c>
      <c r="CC25" s="491">
        <f>'GASTOS EJER. 1'!AW39+'GASTOS EJER. 1'!BM39-'GASTOS EJER. 1'!CM39-'GASTOS EJER. 1'!CP39</f>
        <v>0</v>
      </c>
      <c r="CD25" s="492" t="str">
        <f>IF('GASTOS EJER. 1'!CT39="","",'GASTOS EJER. 1'!CT39)</f>
        <v/>
      </c>
      <c r="CE25" s="489">
        <f>'GASTOS EJER. 1'!CP39</f>
        <v>0</v>
      </c>
      <c r="CF25" s="493" t="str">
        <f>IF('GASTOS EJER. 1'!CW39="","",'GASTOS EJER. 1'!CW39)</f>
        <v/>
      </c>
      <c r="CG25" s="494">
        <f>IF(AND(CD25&gt;=EXPEDIENTE!$I$25,CD25&lt;=EXPEDIENTE!$I$29),CC25,0)</f>
        <v>0</v>
      </c>
      <c r="CH25" s="423">
        <f>IF(AND(CF25&gt;=EXPEDIENTE!$I$25,CF25&lt;=EXPEDIENTE!$I$29),CE25,0)</f>
        <v>0</v>
      </c>
      <c r="CI25" s="490">
        <f t="shared" si="141"/>
        <v>0</v>
      </c>
      <c r="CJ25" s="495" t="str">
        <f>IF('GASTOS EJER. 1'!AQ39="","",'GASTOS EJER. 1'!AQ39)</f>
        <v/>
      </c>
      <c r="CK25" s="496" t="str">
        <f>IF('GASTOS EJER. 1'!AT39="","",'GASTOS EJER. 1'!AT39)</f>
        <v/>
      </c>
      <c r="CL25" s="497">
        <f t="shared" si="142"/>
        <v>0</v>
      </c>
      <c r="CM25" s="498">
        <f t="shared" si="118"/>
        <v>0</v>
      </c>
      <c r="CN25" s="439">
        <f t="shared" si="143"/>
        <v>0</v>
      </c>
      <c r="CP25" s="423">
        <v>3</v>
      </c>
      <c r="CQ25" s="424">
        <f t="shared" si="119"/>
        <v>44986</v>
      </c>
      <c r="CR25" s="437">
        <f t="shared" si="144"/>
        <v>0</v>
      </c>
      <c r="CS25" s="423">
        <f t="shared" si="145"/>
        <v>0</v>
      </c>
      <c r="CT25" s="423">
        <f t="shared" si="146"/>
        <v>0</v>
      </c>
      <c r="CU25" s="423">
        <f t="shared" si="147"/>
        <v>0</v>
      </c>
      <c r="CV25" s="423">
        <f t="shared" si="148"/>
        <v>0</v>
      </c>
      <c r="CW25" s="423">
        <f t="shared" si="149"/>
        <v>0</v>
      </c>
      <c r="CX25" s="423">
        <f t="shared" si="150"/>
        <v>0</v>
      </c>
      <c r="CY25" s="438">
        <f t="shared" si="151"/>
        <v>0</v>
      </c>
      <c r="CZ25" s="436">
        <f t="shared" si="152"/>
        <v>0</v>
      </c>
      <c r="DB25" s="437">
        <f t="shared" si="153"/>
        <v>0</v>
      </c>
      <c r="DC25" s="423">
        <f t="shared" si="154"/>
        <v>0</v>
      </c>
      <c r="DD25" s="423">
        <f t="shared" si="155"/>
        <v>0</v>
      </c>
      <c r="DE25" s="423">
        <f t="shared" si="156"/>
        <v>0</v>
      </c>
      <c r="DF25" s="423">
        <f t="shared" si="157"/>
        <v>0</v>
      </c>
      <c r="DG25" s="423">
        <f t="shared" si="158"/>
        <v>0</v>
      </c>
      <c r="DH25" s="423">
        <f t="shared" si="159"/>
        <v>0</v>
      </c>
      <c r="DI25" s="438">
        <f t="shared" si="160"/>
        <v>0</v>
      </c>
      <c r="DJ25" s="436">
        <f t="shared" si="120"/>
        <v>0</v>
      </c>
      <c r="DL25" s="436">
        <f t="shared" si="161"/>
        <v>0</v>
      </c>
      <c r="DN25" s="487">
        <v>3</v>
      </c>
      <c r="DO25" s="499">
        <f>'GASTOS EJER. 1'!$C39</f>
        <v>0</v>
      </c>
      <c r="DP25" s="496" t="str">
        <f t="shared" si="162"/>
        <v/>
      </c>
      <c r="DQ25" s="496" t="str">
        <f t="shared" si="163"/>
        <v/>
      </c>
      <c r="DR25" s="386">
        <f t="shared" si="164"/>
        <v>0</v>
      </c>
      <c r="DS25" s="500">
        <f>'GASTOS EJER. 1'!X39</f>
        <v>0</v>
      </c>
      <c r="DT25" s="492" t="str">
        <f>IF(DS25=0,"",'GASTOS EJER. 1'!AA39)</f>
        <v/>
      </c>
      <c r="DU25" s="492" t="str">
        <f t="shared" si="122"/>
        <v/>
      </c>
      <c r="DV25" s="490" t="e">
        <f>IF(AND(DU25&gt;=EXPEDIENTE!$F$25,DU25&lt;=EXPEDIENTE!$F$29),ROUNDDOWN(DS25/DR25,2),0)</f>
        <v>#DIV/0!</v>
      </c>
      <c r="DX25" s="386">
        <v>6</v>
      </c>
      <c r="DY25" s="430">
        <f t="shared" si="101"/>
        <v>45231</v>
      </c>
      <c r="DZ25" s="430">
        <f t="shared" si="102"/>
        <v>45260</v>
      </c>
      <c r="EA25" s="386" t="str">
        <f>IF(AND(DZ25&gt;=EXPEDIENTE!$F$25,DY25&lt;=EXPEDIENTE!$F$29),"SI","NO")</f>
        <v>SI</v>
      </c>
      <c r="EB25" s="423">
        <f t="shared" si="12"/>
        <v>0</v>
      </c>
      <c r="EC25" s="423">
        <f t="shared" si="13"/>
        <v>0</v>
      </c>
      <c r="ED25" s="423">
        <f t="shared" si="14"/>
        <v>0</v>
      </c>
      <c r="EE25" s="423">
        <f t="shared" si="15"/>
        <v>0</v>
      </c>
      <c r="EF25" s="423">
        <f t="shared" si="16"/>
        <v>0</v>
      </c>
      <c r="EG25" s="423">
        <f t="shared" si="17"/>
        <v>0</v>
      </c>
      <c r="EH25" s="423">
        <f t="shared" si="18"/>
        <v>0</v>
      </c>
      <c r="EI25" s="423">
        <f t="shared" si="19"/>
        <v>0</v>
      </c>
      <c r="EJ25" s="423">
        <f t="shared" si="20"/>
        <v>0</v>
      </c>
      <c r="EK25" s="423">
        <f t="shared" si="21"/>
        <v>0</v>
      </c>
      <c r="EL25" s="423">
        <f t="shared" si="22"/>
        <v>0</v>
      </c>
      <c r="EM25" s="423">
        <f t="shared" si="23"/>
        <v>0</v>
      </c>
      <c r="EN25" s="423">
        <f t="shared" si="24"/>
        <v>0</v>
      </c>
      <c r="EO25" s="423">
        <f t="shared" si="25"/>
        <v>0</v>
      </c>
      <c r="EP25" s="423">
        <f t="shared" si="26"/>
        <v>0</v>
      </c>
      <c r="EQ25" s="423">
        <f t="shared" si="27"/>
        <v>0</v>
      </c>
      <c r="ER25" s="423">
        <f t="shared" si="28"/>
        <v>0</v>
      </c>
      <c r="ES25" s="423">
        <f t="shared" si="29"/>
        <v>0</v>
      </c>
      <c r="ET25" s="423">
        <f t="shared" si="30"/>
        <v>0</v>
      </c>
      <c r="EU25" s="423">
        <f t="shared" si="31"/>
        <v>0</v>
      </c>
      <c r="EV25" s="423">
        <f t="shared" si="32"/>
        <v>0</v>
      </c>
      <c r="EW25" s="423">
        <f t="shared" si="33"/>
        <v>0</v>
      </c>
      <c r="EX25" s="423">
        <f t="shared" si="34"/>
        <v>0</v>
      </c>
      <c r="EY25" s="423">
        <f t="shared" si="35"/>
        <v>0</v>
      </c>
      <c r="EZ25" s="423">
        <f t="shared" si="36"/>
        <v>0</v>
      </c>
      <c r="FA25" s="423">
        <f t="shared" si="37"/>
        <v>0</v>
      </c>
      <c r="FB25" s="423">
        <f t="shared" si="38"/>
        <v>0</v>
      </c>
      <c r="FC25" s="423">
        <f t="shared" si="39"/>
        <v>0</v>
      </c>
      <c r="FD25" s="423">
        <f t="shared" si="40"/>
        <v>0</v>
      </c>
      <c r="FE25" s="423">
        <f t="shared" si="41"/>
        <v>0</v>
      </c>
      <c r="FF25" s="423">
        <f t="shared" si="42"/>
        <v>0</v>
      </c>
      <c r="FG25" s="423">
        <f t="shared" si="43"/>
        <v>0</v>
      </c>
      <c r="FH25" s="423">
        <f t="shared" si="66"/>
        <v>0</v>
      </c>
      <c r="FJ25" s="120">
        <v>3</v>
      </c>
      <c r="FK25" s="492">
        <f>DATE(YEAR(EXPEDIENTE!$F$25),FJ25,1)</f>
        <v>44986</v>
      </c>
      <c r="FL25" s="492" t="str">
        <f>IF('GASTOS EJER. 1'!I51="","",'GASTOS EJER. 1'!I51)</f>
        <v/>
      </c>
      <c r="FM25" s="500">
        <f>'GASTOS EJER. 1'!X22</f>
        <v>0</v>
      </c>
      <c r="FN25" s="500">
        <f>'GASTOS EJER. 1'!H51</f>
        <v>0</v>
      </c>
      <c r="FO25" s="423">
        <f t="shared" si="165"/>
        <v>0</v>
      </c>
      <c r="FP25" s="500">
        <f t="shared" si="123"/>
        <v>0</v>
      </c>
      <c r="FR25" s="487">
        <v>3</v>
      </c>
      <c r="FS25" s="499">
        <f>'GASTOS EJER. 1'!$C39</f>
        <v>0</v>
      </c>
      <c r="FT25" s="496" t="str">
        <f t="shared" si="166"/>
        <v/>
      </c>
      <c r="FU25" s="496" t="str">
        <f t="shared" si="167"/>
        <v/>
      </c>
      <c r="FV25" s="386">
        <f t="shared" si="168"/>
        <v>0</v>
      </c>
      <c r="FW25" s="500">
        <f>'GASTOS EJER. 1'!CM39</f>
        <v>0</v>
      </c>
      <c r="FX25" s="492" t="str">
        <f>IF(FW25=0,"",'GASTOS EJER. 1'!CT39)</f>
        <v/>
      </c>
      <c r="FY25" s="492" t="str">
        <f t="shared" si="124"/>
        <v/>
      </c>
      <c r="FZ25" s="490" t="e">
        <f>IF(AND(FY25&gt;=EXPEDIENTE!$F$25,FY25&lt;=EXPEDIENTE!$F$29),ROUNDDOWN(FW25/FV25,2),0)</f>
        <v>#DIV/0!</v>
      </c>
      <c r="GB25" s="386">
        <v>6</v>
      </c>
      <c r="GC25" s="430">
        <f t="shared" si="103"/>
        <v>45231</v>
      </c>
      <c r="GD25" s="430">
        <f t="shared" si="104"/>
        <v>45260</v>
      </c>
      <c r="GE25" s="386" t="str">
        <f>IF(AND(GD25&gt;=EXPEDIENTE!$F$25,GC25&lt;=EXPEDIENTE!$F$29),"SI","NO")</f>
        <v>SI</v>
      </c>
      <c r="GF25" s="423">
        <f t="shared" si="67"/>
        <v>0</v>
      </c>
      <c r="GG25" s="423">
        <f t="shared" si="68"/>
        <v>0</v>
      </c>
      <c r="GH25" s="423">
        <f t="shared" si="69"/>
        <v>0</v>
      </c>
      <c r="GI25" s="423">
        <f t="shared" si="70"/>
        <v>0</v>
      </c>
      <c r="GJ25" s="423">
        <f t="shared" si="71"/>
        <v>0</v>
      </c>
      <c r="GK25" s="423">
        <f t="shared" si="72"/>
        <v>0</v>
      </c>
      <c r="GL25" s="423">
        <f t="shared" si="73"/>
        <v>0</v>
      </c>
      <c r="GM25" s="423">
        <f t="shared" si="74"/>
        <v>0</v>
      </c>
      <c r="GN25" s="423">
        <f t="shared" si="75"/>
        <v>0</v>
      </c>
      <c r="GO25" s="423">
        <f t="shared" si="76"/>
        <v>0</v>
      </c>
      <c r="GP25" s="423">
        <f t="shared" si="77"/>
        <v>0</v>
      </c>
      <c r="GQ25" s="423">
        <f t="shared" si="78"/>
        <v>0</v>
      </c>
      <c r="GR25" s="423">
        <f t="shared" si="79"/>
        <v>0</v>
      </c>
      <c r="GS25" s="423">
        <f t="shared" si="80"/>
        <v>0</v>
      </c>
      <c r="GT25" s="423">
        <f t="shared" si="81"/>
        <v>0</v>
      </c>
      <c r="GU25" s="423">
        <f t="shared" si="82"/>
        <v>0</v>
      </c>
      <c r="GV25" s="423">
        <f t="shared" si="83"/>
        <v>0</v>
      </c>
      <c r="GW25" s="423">
        <f t="shared" si="84"/>
        <v>0</v>
      </c>
      <c r="GX25" s="423">
        <f t="shared" si="85"/>
        <v>0</v>
      </c>
      <c r="GY25" s="423">
        <f t="shared" si="86"/>
        <v>0</v>
      </c>
      <c r="GZ25" s="423">
        <f t="shared" si="87"/>
        <v>0</v>
      </c>
      <c r="HA25" s="423">
        <f t="shared" si="88"/>
        <v>0</v>
      </c>
      <c r="HB25" s="423">
        <f t="shared" si="89"/>
        <v>0</v>
      </c>
      <c r="HC25" s="423">
        <f t="shared" si="90"/>
        <v>0</v>
      </c>
      <c r="HD25" s="423">
        <f t="shared" si="91"/>
        <v>0</v>
      </c>
      <c r="HE25" s="423">
        <f t="shared" si="92"/>
        <v>0</v>
      </c>
      <c r="HF25" s="423">
        <f t="shared" si="93"/>
        <v>0</v>
      </c>
      <c r="HG25" s="423">
        <f t="shared" si="94"/>
        <v>0</v>
      </c>
      <c r="HH25" s="423">
        <f t="shared" si="95"/>
        <v>0</v>
      </c>
      <c r="HI25" s="423">
        <f t="shared" si="96"/>
        <v>0</v>
      </c>
      <c r="HJ25" s="423">
        <f t="shared" si="97"/>
        <v>0</v>
      </c>
      <c r="HK25" s="423">
        <f t="shared" si="98"/>
        <v>0</v>
      </c>
      <c r="HL25" s="423">
        <f t="shared" si="99"/>
        <v>0</v>
      </c>
      <c r="HO25" s="120">
        <v>3</v>
      </c>
      <c r="HP25" s="492">
        <f>DATE(YEAR(EXPEDIENTE!$F$25),HO25,1)</f>
        <v>44986</v>
      </c>
      <c r="HQ25" s="492" t="str">
        <f>IF('GASTOS EJER. 1'!BF51="","",'GASTOS EJER. 1'!BF51)</f>
        <v/>
      </c>
      <c r="HR25" s="500">
        <f>'GASTOS EJER. 1'!CM22</f>
        <v>0</v>
      </c>
      <c r="HS25" s="500">
        <f>'GASTOS EJER. 1'!BA51</f>
        <v>0</v>
      </c>
      <c r="HT25" s="423">
        <f t="shared" si="169"/>
        <v>0</v>
      </c>
      <c r="HU25" s="500">
        <f t="shared" si="125"/>
        <v>0</v>
      </c>
      <c r="JC25" s="406">
        <v>21</v>
      </c>
      <c r="JD25" s="398">
        <f t="shared" si="100"/>
        <v>8</v>
      </c>
    </row>
    <row r="26" spans="3:264" x14ac:dyDescent="0.25">
      <c r="C26" s="206">
        <v>20</v>
      </c>
      <c r="D26" s="401"/>
      <c r="E26" s="417"/>
      <c r="F26" s="418"/>
      <c r="G26" s="419"/>
      <c r="H26" s="419"/>
      <c r="I26" s="419"/>
      <c r="J26" s="401"/>
      <c r="K26" s="407">
        <f t="shared" si="52"/>
        <v>76</v>
      </c>
      <c r="L26" s="407">
        <f t="shared" si="53"/>
        <v>76</v>
      </c>
      <c r="M26" s="407" t="str">
        <f t="shared" si="54"/>
        <v>X</v>
      </c>
      <c r="V26" s="981"/>
      <c r="W26" s="441"/>
      <c r="Y26" s="422">
        <f t="shared" si="0"/>
        <v>21</v>
      </c>
      <c r="Z26" s="412" t="str">
        <f>IF(Y26="","",IF(EDATE($Z$5,Y26)&gt;EXPEDIENTE!$F$27,"",EDATE($Z$5,Y26)))</f>
        <v/>
      </c>
      <c r="AA26" s="412" t="str">
        <f>IF(Z26="","",IF(YEAR(EXPEDIENTE!$F$25)=YEAR(Z26),Z26,""))</f>
        <v/>
      </c>
      <c r="AB26" s="412" t="str">
        <f>IF(Z26="","",IF(YEAR(EXPEDIENTE!$F$25)+1=YEAR(Z26),Z26,""))</f>
        <v/>
      </c>
      <c r="AC26" s="412" t="str">
        <f>IF(Z26="","",IF(YEAR(EXPEDIENTE!$F$25)+2=YEAR(Z26),Z26,""))</f>
        <v/>
      </c>
      <c r="AD26" s="412" t="str">
        <f>IF(Z26="","",IF(YEAR(EXPEDIENTE!$F$25)+3=YEAR(Z26),Z26,""))</f>
        <v/>
      </c>
      <c r="AG26" s="487">
        <v>4</v>
      </c>
      <c r="AH26" s="488">
        <f>'GASTOS EJER. 1'!M40</f>
        <v>0</v>
      </c>
      <c r="AI26" s="489">
        <f>'GASTOS EJER. 1'!X40</f>
        <v>0</v>
      </c>
      <c r="AJ26" s="490">
        <f t="shared" si="126"/>
        <v>0</v>
      </c>
      <c r="AL26" s="491">
        <f>'GASTOS EJER. 1'!F40+'GASTOS EJER. 1'!L40-'GASTOS EJER. 1'!X40-'GASTOS EJER. 1'!Y40</f>
        <v>0</v>
      </c>
      <c r="AM26" s="492" t="str">
        <f>IF('GASTOS EJER. 1'!AA40="","",'GASTOS EJER. 1'!AA40)</f>
        <v/>
      </c>
      <c r="AN26" s="489">
        <f>'GASTOS EJER. 1'!Y40</f>
        <v>0</v>
      </c>
      <c r="AO26" s="493" t="str">
        <f>IF('GASTOS EJER. 1'!AB40="","",'GASTOS EJER. 1'!AB40)</f>
        <v/>
      </c>
      <c r="AP26" s="494">
        <f>IF(AND(AM26&gt;=EXPEDIENTE!$I$25,AM26&lt;=EXPEDIENTE!$I$29),AL26,0)</f>
        <v>0</v>
      </c>
      <c r="AQ26" s="423">
        <f>IF(AND(AO26&gt;=EXPEDIENTE!$I$25,AO26&lt;=EXPEDIENTE!$I$29),AN26,0)</f>
        <v>0</v>
      </c>
      <c r="AR26" s="490">
        <f t="shared" si="127"/>
        <v>0</v>
      </c>
      <c r="AS26" s="495" t="str">
        <f>IF('GASTOS EJER. 1'!D40="","",'GASTOS EJER. 1'!D40)</f>
        <v/>
      </c>
      <c r="AT26" s="496" t="str">
        <f>IF('GASTOS EJER. 1'!E40="","",'GASTOS EJER. 1'!E40)</f>
        <v/>
      </c>
      <c r="AU26" s="497">
        <f t="shared" si="128"/>
        <v>0</v>
      </c>
      <c r="AV26" s="498">
        <f t="shared" si="105"/>
        <v>0</v>
      </c>
      <c r="AW26" s="439">
        <f t="shared" si="129"/>
        <v>0</v>
      </c>
      <c r="AY26" s="423">
        <v>4</v>
      </c>
      <c r="AZ26" s="424">
        <f t="shared" si="106"/>
        <v>45017</v>
      </c>
      <c r="BA26" s="433">
        <f t="shared" si="130"/>
        <v>0</v>
      </c>
      <c r="BB26" s="434">
        <f t="shared" si="131"/>
        <v>0</v>
      </c>
      <c r="BC26" s="434">
        <f t="shared" si="132"/>
        <v>0</v>
      </c>
      <c r="BD26" s="434">
        <f t="shared" si="133"/>
        <v>0</v>
      </c>
      <c r="BE26" s="434">
        <f t="shared" si="134"/>
        <v>0</v>
      </c>
      <c r="BF26" s="434">
        <f t="shared" si="135"/>
        <v>0</v>
      </c>
      <c r="BG26" s="434">
        <f t="shared" si="136"/>
        <v>0</v>
      </c>
      <c r="BH26" s="435">
        <f t="shared" si="137"/>
        <v>0</v>
      </c>
      <c r="BI26" s="436">
        <f t="shared" si="138"/>
        <v>0</v>
      </c>
      <c r="BK26" s="433">
        <f t="shared" si="109"/>
        <v>0</v>
      </c>
      <c r="BL26" s="434">
        <f t="shared" si="110"/>
        <v>0</v>
      </c>
      <c r="BM26" s="434">
        <f t="shared" si="111"/>
        <v>0</v>
      </c>
      <c r="BN26" s="434">
        <f t="shared" si="112"/>
        <v>0</v>
      </c>
      <c r="BO26" s="434">
        <f t="shared" si="113"/>
        <v>0</v>
      </c>
      <c r="BP26" s="434">
        <f t="shared" si="114"/>
        <v>0</v>
      </c>
      <c r="BQ26" s="434">
        <f t="shared" si="115"/>
        <v>0</v>
      </c>
      <c r="BR26" s="435">
        <f t="shared" si="116"/>
        <v>0</v>
      </c>
      <c r="BS26" s="436">
        <f t="shared" si="117"/>
        <v>0</v>
      </c>
      <c r="BU26" s="436">
        <f t="shared" si="139"/>
        <v>0</v>
      </c>
      <c r="BX26" s="487">
        <v>4</v>
      </c>
      <c r="BY26" s="488">
        <f>'GASTOS EJER. 1'!BN40</f>
        <v>0</v>
      </c>
      <c r="BZ26" s="489">
        <f>'GASTOS EJER. 1'!CM40</f>
        <v>0</v>
      </c>
      <c r="CA26" s="490">
        <f t="shared" si="140"/>
        <v>0</v>
      </c>
      <c r="CC26" s="491">
        <f>'GASTOS EJER. 1'!AW40+'GASTOS EJER. 1'!BM40-'GASTOS EJER. 1'!CM40-'GASTOS EJER. 1'!CP40</f>
        <v>0</v>
      </c>
      <c r="CD26" s="492" t="str">
        <f>IF('GASTOS EJER. 1'!CT40="","",'GASTOS EJER. 1'!CT40)</f>
        <v/>
      </c>
      <c r="CE26" s="489">
        <f>'GASTOS EJER. 1'!CP40</f>
        <v>0</v>
      </c>
      <c r="CF26" s="493" t="str">
        <f>IF('GASTOS EJER. 1'!CW40="","",'GASTOS EJER. 1'!CW40)</f>
        <v/>
      </c>
      <c r="CG26" s="494">
        <f>IF(AND(CD26&gt;=EXPEDIENTE!$I$25,CD26&lt;=EXPEDIENTE!$I$29),CC26,0)</f>
        <v>0</v>
      </c>
      <c r="CH26" s="423">
        <f>IF(AND(CF26&gt;=EXPEDIENTE!$I$25,CF26&lt;=EXPEDIENTE!$I$29),CE26,0)</f>
        <v>0</v>
      </c>
      <c r="CI26" s="490">
        <f t="shared" si="141"/>
        <v>0</v>
      </c>
      <c r="CJ26" s="495" t="str">
        <f>IF('GASTOS EJER. 1'!AQ40="","",'GASTOS EJER. 1'!AQ40)</f>
        <v/>
      </c>
      <c r="CK26" s="496" t="str">
        <f>IF('GASTOS EJER. 1'!AT40="","",'GASTOS EJER. 1'!AT40)</f>
        <v/>
      </c>
      <c r="CL26" s="497">
        <f t="shared" si="142"/>
        <v>0</v>
      </c>
      <c r="CM26" s="498">
        <f t="shared" si="118"/>
        <v>0</v>
      </c>
      <c r="CN26" s="439">
        <f t="shared" si="143"/>
        <v>0</v>
      </c>
      <c r="CP26" s="423">
        <v>4</v>
      </c>
      <c r="CQ26" s="424">
        <f t="shared" si="119"/>
        <v>45017</v>
      </c>
      <c r="CR26" s="437">
        <f t="shared" si="144"/>
        <v>0</v>
      </c>
      <c r="CS26" s="423">
        <f t="shared" si="145"/>
        <v>0</v>
      </c>
      <c r="CT26" s="423">
        <f t="shared" si="146"/>
        <v>0</v>
      </c>
      <c r="CU26" s="423">
        <f t="shared" si="147"/>
        <v>0</v>
      </c>
      <c r="CV26" s="423">
        <f t="shared" si="148"/>
        <v>0</v>
      </c>
      <c r="CW26" s="423">
        <f t="shared" si="149"/>
        <v>0</v>
      </c>
      <c r="CX26" s="423">
        <f t="shared" si="150"/>
        <v>0</v>
      </c>
      <c r="CY26" s="438">
        <f t="shared" si="151"/>
        <v>0</v>
      </c>
      <c r="CZ26" s="436">
        <f t="shared" si="152"/>
        <v>0</v>
      </c>
      <c r="DB26" s="437">
        <f t="shared" si="153"/>
        <v>0</v>
      </c>
      <c r="DC26" s="423">
        <f t="shared" si="154"/>
        <v>0</v>
      </c>
      <c r="DD26" s="423">
        <f t="shared" si="155"/>
        <v>0</v>
      </c>
      <c r="DE26" s="423">
        <f t="shared" si="156"/>
        <v>0</v>
      </c>
      <c r="DF26" s="423">
        <f t="shared" si="157"/>
        <v>0</v>
      </c>
      <c r="DG26" s="423">
        <f t="shared" si="158"/>
        <v>0</v>
      </c>
      <c r="DH26" s="423">
        <f t="shared" si="159"/>
        <v>0</v>
      </c>
      <c r="DI26" s="438">
        <f t="shared" si="160"/>
        <v>0</v>
      </c>
      <c r="DJ26" s="436">
        <f t="shared" si="120"/>
        <v>0</v>
      </c>
      <c r="DL26" s="436">
        <f t="shared" si="161"/>
        <v>0</v>
      </c>
      <c r="DN26" s="487">
        <v>4</v>
      </c>
      <c r="DO26" s="499">
        <f>'GASTOS EJER. 1'!$C40</f>
        <v>0</v>
      </c>
      <c r="DP26" s="496" t="str">
        <f t="shared" si="162"/>
        <v/>
      </c>
      <c r="DQ26" s="496" t="str">
        <f t="shared" si="163"/>
        <v/>
      </c>
      <c r="DR26" s="386">
        <f t="shared" si="164"/>
        <v>0</v>
      </c>
      <c r="DS26" s="500">
        <f>'GASTOS EJER. 1'!X40</f>
        <v>0</v>
      </c>
      <c r="DT26" s="492" t="str">
        <f>IF(DS26=0,"",'GASTOS EJER. 1'!AA40)</f>
        <v/>
      </c>
      <c r="DU26" s="492" t="str">
        <f t="shared" si="122"/>
        <v/>
      </c>
      <c r="DV26" s="490" t="e">
        <f>IF(AND(DU26&gt;=EXPEDIENTE!$F$25,DU26&lt;=EXPEDIENTE!$F$29),ROUNDDOWN(DS26/DR26,2),0)</f>
        <v>#DIV/0!</v>
      </c>
      <c r="DX26" s="386">
        <v>7</v>
      </c>
      <c r="DY26" s="430">
        <f t="shared" si="101"/>
        <v>45261</v>
      </c>
      <c r="DZ26" s="430">
        <f t="shared" si="102"/>
        <v>45291</v>
      </c>
      <c r="EA26" s="386" t="str">
        <f>IF(AND(DZ26&gt;=EXPEDIENTE!$F$25,DY26&lt;=EXPEDIENTE!$F$29),"SI","NO")</f>
        <v>SI</v>
      </c>
      <c r="EB26" s="423">
        <f t="shared" si="12"/>
        <v>0</v>
      </c>
      <c r="EC26" s="423">
        <f t="shared" si="13"/>
        <v>0</v>
      </c>
      <c r="ED26" s="423">
        <f t="shared" si="14"/>
        <v>0</v>
      </c>
      <c r="EE26" s="423">
        <f t="shared" si="15"/>
        <v>0</v>
      </c>
      <c r="EF26" s="423">
        <f t="shared" si="16"/>
        <v>0</v>
      </c>
      <c r="EG26" s="423">
        <f t="shared" si="17"/>
        <v>0</v>
      </c>
      <c r="EH26" s="423">
        <f t="shared" si="18"/>
        <v>0</v>
      </c>
      <c r="EI26" s="423">
        <f t="shared" si="19"/>
        <v>0</v>
      </c>
      <c r="EJ26" s="423">
        <f t="shared" si="20"/>
        <v>0</v>
      </c>
      <c r="EK26" s="423">
        <f t="shared" si="21"/>
        <v>0</v>
      </c>
      <c r="EL26" s="423">
        <f t="shared" si="22"/>
        <v>0</v>
      </c>
      <c r="EM26" s="423">
        <f t="shared" si="23"/>
        <v>0</v>
      </c>
      <c r="EN26" s="423">
        <f t="shared" si="24"/>
        <v>0</v>
      </c>
      <c r="EO26" s="423">
        <f t="shared" si="25"/>
        <v>0</v>
      </c>
      <c r="EP26" s="423">
        <f t="shared" si="26"/>
        <v>0</v>
      </c>
      <c r="EQ26" s="423">
        <f t="shared" si="27"/>
        <v>0</v>
      </c>
      <c r="ER26" s="423">
        <f t="shared" si="28"/>
        <v>0</v>
      </c>
      <c r="ES26" s="423">
        <f t="shared" si="29"/>
        <v>0</v>
      </c>
      <c r="ET26" s="423">
        <f t="shared" si="30"/>
        <v>0</v>
      </c>
      <c r="EU26" s="423">
        <f t="shared" si="31"/>
        <v>0</v>
      </c>
      <c r="EV26" s="423">
        <f t="shared" si="32"/>
        <v>0</v>
      </c>
      <c r="EW26" s="423">
        <f t="shared" si="33"/>
        <v>0</v>
      </c>
      <c r="EX26" s="423">
        <f t="shared" si="34"/>
        <v>0</v>
      </c>
      <c r="EY26" s="423">
        <f t="shared" si="35"/>
        <v>0</v>
      </c>
      <c r="EZ26" s="423">
        <f t="shared" si="36"/>
        <v>0</v>
      </c>
      <c r="FA26" s="423">
        <f t="shared" si="37"/>
        <v>0</v>
      </c>
      <c r="FB26" s="423">
        <f t="shared" si="38"/>
        <v>0</v>
      </c>
      <c r="FC26" s="423">
        <f t="shared" si="39"/>
        <v>0</v>
      </c>
      <c r="FD26" s="423">
        <f t="shared" si="40"/>
        <v>0</v>
      </c>
      <c r="FE26" s="423">
        <f t="shared" si="41"/>
        <v>0</v>
      </c>
      <c r="FF26" s="423">
        <f t="shared" si="42"/>
        <v>0</v>
      </c>
      <c r="FG26" s="423">
        <f t="shared" si="43"/>
        <v>0</v>
      </c>
      <c r="FH26" s="423">
        <f t="shared" si="66"/>
        <v>0</v>
      </c>
      <c r="FJ26" s="120">
        <v>4</v>
      </c>
      <c r="FK26" s="492">
        <f>DATE(YEAR(EXPEDIENTE!$F$25),FJ26,1)</f>
        <v>45017</v>
      </c>
      <c r="FL26" s="492" t="str">
        <f>IF('GASTOS EJER. 1'!I52="","",'GASTOS EJER. 1'!I52)</f>
        <v/>
      </c>
      <c r="FM26" s="500">
        <f>'GASTOS EJER. 1'!X23</f>
        <v>0</v>
      </c>
      <c r="FN26" s="500">
        <f>'GASTOS EJER. 1'!H52</f>
        <v>0</v>
      </c>
      <c r="FO26" s="423">
        <f t="shared" si="165"/>
        <v>0</v>
      </c>
      <c r="FP26" s="500">
        <f t="shared" si="123"/>
        <v>0</v>
      </c>
      <c r="FR26" s="487">
        <v>4</v>
      </c>
      <c r="FS26" s="499">
        <f>'GASTOS EJER. 1'!$C40</f>
        <v>0</v>
      </c>
      <c r="FT26" s="496" t="str">
        <f t="shared" si="166"/>
        <v/>
      </c>
      <c r="FU26" s="496" t="str">
        <f t="shared" si="167"/>
        <v/>
      </c>
      <c r="FV26" s="386">
        <f t="shared" si="168"/>
        <v>0</v>
      </c>
      <c r="FW26" s="500">
        <f>'GASTOS EJER. 1'!CM40</f>
        <v>0</v>
      </c>
      <c r="FX26" s="492" t="str">
        <f>IF(FW26=0,"",'GASTOS EJER. 1'!CT40)</f>
        <v/>
      </c>
      <c r="FY26" s="492" t="str">
        <f t="shared" si="124"/>
        <v/>
      </c>
      <c r="FZ26" s="490" t="e">
        <f>IF(AND(FY26&gt;=EXPEDIENTE!$F$25,FY26&lt;=EXPEDIENTE!$F$29),ROUNDDOWN(FW26/FV26,2),0)</f>
        <v>#DIV/0!</v>
      </c>
      <c r="GB26" s="386">
        <v>7</v>
      </c>
      <c r="GC26" s="430">
        <f t="shared" si="103"/>
        <v>45261</v>
      </c>
      <c r="GD26" s="430">
        <f t="shared" si="104"/>
        <v>45291</v>
      </c>
      <c r="GE26" s="386" t="str">
        <f>IF(AND(GD26&gt;=EXPEDIENTE!$F$25,GC26&lt;=EXPEDIENTE!$F$29),"SI","NO")</f>
        <v>SI</v>
      </c>
      <c r="GF26" s="423">
        <f t="shared" si="67"/>
        <v>0</v>
      </c>
      <c r="GG26" s="423">
        <f t="shared" si="68"/>
        <v>0</v>
      </c>
      <c r="GH26" s="423">
        <f t="shared" si="69"/>
        <v>0</v>
      </c>
      <c r="GI26" s="423">
        <f t="shared" si="70"/>
        <v>0</v>
      </c>
      <c r="GJ26" s="423">
        <f t="shared" si="71"/>
        <v>0</v>
      </c>
      <c r="GK26" s="423">
        <f t="shared" si="72"/>
        <v>0</v>
      </c>
      <c r="GL26" s="423">
        <f t="shared" si="73"/>
        <v>0</v>
      </c>
      <c r="GM26" s="423">
        <f t="shared" si="74"/>
        <v>0</v>
      </c>
      <c r="GN26" s="423">
        <f t="shared" si="75"/>
        <v>0</v>
      </c>
      <c r="GO26" s="423">
        <f t="shared" si="76"/>
        <v>0</v>
      </c>
      <c r="GP26" s="423">
        <f t="shared" si="77"/>
        <v>0</v>
      </c>
      <c r="GQ26" s="423">
        <f t="shared" si="78"/>
        <v>0</v>
      </c>
      <c r="GR26" s="423">
        <f t="shared" si="79"/>
        <v>0</v>
      </c>
      <c r="GS26" s="423">
        <f t="shared" si="80"/>
        <v>0</v>
      </c>
      <c r="GT26" s="423">
        <f t="shared" si="81"/>
        <v>0</v>
      </c>
      <c r="GU26" s="423">
        <f t="shared" si="82"/>
        <v>0</v>
      </c>
      <c r="GV26" s="423">
        <f t="shared" si="83"/>
        <v>0</v>
      </c>
      <c r="GW26" s="423">
        <f t="shared" si="84"/>
        <v>0</v>
      </c>
      <c r="GX26" s="423">
        <f t="shared" si="85"/>
        <v>0</v>
      </c>
      <c r="GY26" s="423">
        <f t="shared" si="86"/>
        <v>0</v>
      </c>
      <c r="GZ26" s="423">
        <f t="shared" si="87"/>
        <v>0</v>
      </c>
      <c r="HA26" s="423">
        <f t="shared" si="88"/>
        <v>0</v>
      </c>
      <c r="HB26" s="423">
        <f t="shared" si="89"/>
        <v>0</v>
      </c>
      <c r="HC26" s="423">
        <f t="shared" si="90"/>
        <v>0</v>
      </c>
      <c r="HD26" s="423">
        <f t="shared" si="91"/>
        <v>0</v>
      </c>
      <c r="HE26" s="423">
        <f t="shared" si="92"/>
        <v>0</v>
      </c>
      <c r="HF26" s="423">
        <f t="shared" si="93"/>
        <v>0</v>
      </c>
      <c r="HG26" s="423">
        <f t="shared" si="94"/>
        <v>0</v>
      </c>
      <c r="HH26" s="423">
        <f t="shared" si="95"/>
        <v>0</v>
      </c>
      <c r="HI26" s="423">
        <f t="shared" si="96"/>
        <v>0</v>
      </c>
      <c r="HJ26" s="423">
        <f t="shared" si="97"/>
        <v>0</v>
      </c>
      <c r="HK26" s="423">
        <f t="shared" si="98"/>
        <v>0</v>
      </c>
      <c r="HL26" s="423">
        <f t="shared" si="99"/>
        <v>0</v>
      </c>
      <c r="HO26" s="120">
        <v>4</v>
      </c>
      <c r="HP26" s="492">
        <f>DATE(YEAR(EXPEDIENTE!$F$25),HO26,1)</f>
        <v>45017</v>
      </c>
      <c r="HQ26" s="492" t="str">
        <f>IF('GASTOS EJER. 1'!BF52="","",'GASTOS EJER. 1'!BF52)</f>
        <v/>
      </c>
      <c r="HR26" s="500">
        <f>'GASTOS EJER. 1'!CM23</f>
        <v>0</v>
      </c>
      <c r="HS26" s="500">
        <f>'GASTOS EJER. 1'!BA52</f>
        <v>0</v>
      </c>
      <c r="HT26" s="423">
        <f t="shared" si="169"/>
        <v>0</v>
      </c>
      <c r="HU26" s="500">
        <f t="shared" si="125"/>
        <v>0</v>
      </c>
      <c r="JC26" s="416">
        <v>22</v>
      </c>
      <c r="JD26" s="398">
        <f t="shared" si="100"/>
        <v>8</v>
      </c>
    </row>
    <row r="27" spans="3:264" ht="15.75" thickBot="1" x14ac:dyDescent="0.3">
      <c r="C27" s="206">
        <v>21</v>
      </c>
      <c r="D27" s="401"/>
      <c r="E27" s="417"/>
      <c r="F27" s="418"/>
      <c r="G27" s="419"/>
      <c r="H27" s="419"/>
      <c r="I27" s="419"/>
      <c r="J27" s="401"/>
      <c r="K27" s="407">
        <f t="shared" si="52"/>
        <v>76</v>
      </c>
      <c r="L27" s="407">
        <f t="shared" si="53"/>
        <v>76</v>
      </c>
      <c r="M27" s="407" t="str">
        <f t="shared" si="54"/>
        <v>X</v>
      </c>
      <c r="V27" s="982"/>
      <c r="W27" s="421" t="s">
        <v>262</v>
      </c>
      <c r="Y27" s="422">
        <f t="shared" si="0"/>
        <v>22</v>
      </c>
      <c r="Z27" s="412" t="str">
        <f>IF(Y27="","",IF(EDATE($Z$5,Y27)&gt;EXPEDIENTE!$F$27,"",EDATE($Z$5,Y27)))</f>
        <v/>
      </c>
      <c r="AA27" s="412" t="str">
        <f>IF(Z27="","",IF(YEAR(EXPEDIENTE!$F$25)=YEAR(Z27),Z27,""))</f>
        <v/>
      </c>
      <c r="AB27" s="412" t="str">
        <f>IF(Z27="","",IF(YEAR(EXPEDIENTE!$F$25)+1=YEAR(Z27),Z27,""))</f>
        <v/>
      </c>
      <c r="AC27" s="412" t="str">
        <f>IF(Z27="","",IF(YEAR(EXPEDIENTE!$F$25)+2=YEAR(Z27),Z27,""))</f>
        <v/>
      </c>
      <c r="AD27" s="412" t="str">
        <f>IF(Z27="","",IF(YEAR(EXPEDIENTE!$F$25)+3=YEAR(Z27),Z27,""))</f>
        <v/>
      </c>
      <c r="AG27" s="487">
        <v>5</v>
      </c>
      <c r="AH27" s="488">
        <f>'GASTOS EJER. 1'!M41</f>
        <v>0</v>
      </c>
      <c r="AI27" s="489">
        <f>'GASTOS EJER. 1'!X41</f>
        <v>0</v>
      </c>
      <c r="AJ27" s="490">
        <f t="shared" si="126"/>
        <v>0</v>
      </c>
      <c r="AL27" s="491">
        <f>'GASTOS EJER. 1'!F41+'GASTOS EJER. 1'!L41-'GASTOS EJER. 1'!X41-'GASTOS EJER. 1'!Y41</f>
        <v>0</v>
      </c>
      <c r="AM27" s="492" t="str">
        <f>IF('GASTOS EJER. 1'!AA41="","",'GASTOS EJER. 1'!AA41)</f>
        <v/>
      </c>
      <c r="AN27" s="489">
        <f>'GASTOS EJER. 1'!Y41</f>
        <v>0</v>
      </c>
      <c r="AO27" s="493" t="str">
        <f>IF('GASTOS EJER. 1'!AB41="","",'GASTOS EJER. 1'!AB41)</f>
        <v/>
      </c>
      <c r="AP27" s="494">
        <f>IF(AND(AM27&gt;=EXPEDIENTE!$I$25,AM27&lt;=EXPEDIENTE!$I$29),AL27,0)</f>
        <v>0</v>
      </c>
      <c r="AQ27" s="423">
        <f>IF(AND(AO27&gt;=EXPEDIENTE!$I$25,AO27&lt;=EXPEDIENTE!$I$29),AN27,0)</f>
        <v>0</v>
      </c>
      <c r="AR27" s="490">
        <f t="shared" si="127"/>
        <v>0</v>
      </c>
      <c r="AS27" s="495" t="str">
        <f>IF('GASTOS EJER. 1'!D41="","",'GASTOS EJER. 1'!D41)</f>
        <v/>
      </c>
      <c r="AT27" s="496" t="str">
        <f>IF('GASTOS EJER. 1'!E41="","",'GASTOS EJER. 1'!E41)</f>
        <v/>
      </c>
      <c r="AU27" s="497">
        <f t="shared" si="128"/>
        <v>0</v>
      </c>
      <c r="AV27" s="498">
        <f t="shared" si="105"/>
        <v>0</v>
      </c>
      <c r="AW27" s="439">
        <f t="shared" si="129"/>
        <v>0</v>
      </c>
      <c r="AY27" s="423">
        <v>5</v>
      </c>
      <c r="AZ27" s="424">
        <f t="shared" si="106"/>
        <v>45047</v>
      </c>
      <c r="BA27" s="433">
        <f t="shared" si="130"/>
        <v>0</v>
      </c>
      <c r="BB27" s="434">
        <f t="shared" si="131"/>
        <v>0</v>
      </c>
      <c r="BC27" s="434">
        <f t="shared" si="132"/>
        <v>0</v>
      </c>
      <c r="BD27" s="434">
        <f t="shared" si="133"/>
        <v>0</v>
      </c>
      <c r="BE27" s="434">
        <f t="shared" si="134"/>
        <v>0</v>
      </c>
      <c r="BF27" s="434">
        <f t="shared" si="135"/>
        <v>0</v>
      </c>
      <c r="BG27" s="434">
        <f t="shared" si="136"/>
        <v>0</v>
      </c>
      <c r="BH27" s="435">
        <f t="shared" si="137"/>
        <v>0</v>
      </c>
      <c r="BI27" s="436">
        <f t="shared" si="138"/>
        <v>0</v>
      </c>
      <c r="BK27" s="433">
        <f t="shared" si="109"/>
        <v>0</v>
      </c>
      <c r="BL27" s="434">
        <f t="shared" si="110"/>
        <v>0</v>
      </c>
      <c r="BM27" s="434">
        <f t="shared" si="111"/>
        <v>0</v>
      </c>
      <c r="BN27" s="434">
        <f t="shared" si="112"/>
        <v>0</v>
      </c>
      <c r="BO27" s="434">
        <f t="shared" si="113"/>
        <v>0</v>
      </c>
      <c r="BP27" s="434">
        <f t="shared" si="114"/>
        <v>0</v>
      </c>
      <c r="BQ27" s="434">
        <f t="shared" si="115"/>
        <v>0</v>
      </c>
      <c r="BR27" s="435">
        <f t="shared" si="116"/>
        <v>0</v>
      </c>
      <c r="BS27" s="436">
        <f t="shared" si="117"/>
        <v>0</v>
      </c>
      <c r="BU27" s="436">
        <f t="shared" si="139"/>
        <v>0</v>
      </c>
      <c r="BX27" s="487">
        <v>5</v>
      </c>
      <c r="BY27" s="488">
        <f>'GASTOS EJER. 1'!BN41</f>
        <v>0</v>
      </c>
      <c r="BZ27" s="489">
        <f>'GASTOS EJER. 1'!CM41</f>
        <v>0</v>
      </c>
      <c r="CA27" s="490">
        <f t="shared" si="140"/>
        <v>0</v>
      </c>
      <c r="CC27" s="491">
        <f>'GASTOS EJER. 1'!AW41+'GASTOS EJER. 1'!BM41-'GASTOS EJER. 1'!CM41-'GASTOS EJER. 1'!CP41</f>
        <v>0</v>
      </c>
      <c r="CD27" s="492" t="str">
        <f>IF('GASTOS EJER. 1'!CT41="","",'GASTOS EJER. 1'!CT41)</f>
        <v/>
      </c>
      <c r="CE27" s="489">
        <f>'GASTOS EJER. 1'!CP41</f>
        <v>0</v>
      </c>
      <c r="CF27" s="493" t="str">
        <f>IF('GASTOS EJER. 1'!CW41="","",'GASTOS EJER. 1'!CW41)</f>
        <v/>
      </c>
      <c r="CG27" s="494">
        <f>IF(AND(CD27&gt;=EXPEDIENTE!$I$25,CD27&lt;=EXPEDIENTE!$I$29),CC27,0)</f>
        <v>0</v>
      </c>
      <c r="CH27" s="423">
        <f>IF(AND(CF27&gt;=EXPEDIENTE!$I$25,CF27&lt;=EXPEDIENTE!$I$29),CE27,0)</f>
        <v>0</v>
      </c>
      <c r="CI27" s="490">
        <f t="shared" si="141"/>
        <v>0</v>
      </c>
      <c r="CJ27" s="495" t="str">
        <f>IF('GASTOS EJER. 1'!AQ41="","",'GASTOS EJER. 1'!AQ41)</f>
        <v/>
      </c>
      <c r="CK27" s="496" t="str">
        <f>IF('GASTOS EJER. 1'!AT41="","",'GASTOS EJER. 1'!AT41)</f>
        <v/>
      </c>
      <c r="CL27" s="497">
        <f t="shared" si="142"/>
        <v>0</v>
      </c>
      <c r="CM27" s="498">
        <f t="shared" si="118"/>
        <v>0</v>
      </c>
      <c r="CN27" s="439">
        <f t="shared" si="143"/>
        <v>0</v>
      </c>
      <c r="CP27" s="423">
        <v>5</v>
      </c>
      <c r="CQ27" s="424">
        <f t="shared" si="119"/>
        <v>45047</v>
      </c>
      <c r="CR27" s="437">
        <f t="shared" si="144"/>
        <v>0</v>
      </c>
      <c r="CS27" s="423">
        <f t="shared" si="145"/>
        <v>0</v>
      </c>
      <c r="CT27" s="423">
        <f t="shared" si="146"/>
        <v>0</v>
      </c>
      <c r="CU27" s="423">
        <f t="shared" si="147"/>
        <v>0</v>
      </c>
      <c r="CV27" s="423">
        <f t="shared" si="148"/>
        <v>0</v>
      </c>
      <c r="CW27" s="423">
        <f t="shared" si="149"/>
        <v>0</v>
      </c>
      <c r="CX27" s="423">
        <f t="shared" si="150"/>
        <v>0</v>
      </c>
      <c r="CY27" s="438">
        <f t="shared" si="151"/>
        <v>0</v>
      </c>
      <c r="CZ27" s="436">
        <f t="shared" si="152"/>
        <v>0</v>
      </c>
      <c r="DB27" s="437">
        <f t="shared" si="153"/>
        <v>0</v>
      </c>
      <c r="DC27" s="423">
        <f t="shared" si="154"/>
        <v>0</v>
      </c>
      <c r="DD27" s="423">
        <f t="shared" si="155"/>
        <v>0</v>
      </c>
      <c r="DE27" s="423">
        <f t="shared" si="156"/>
        <v>0</v>
      </c>
      <c r="DF27" s="423">
        <f t="shared" si="157"/>
        <v>0</v>
      </c>
      <c r="DG27" s="423">
        <f t="shared" si="158"/>
        <v>0</v>
      </c>
      <c r="DH27" s="423">
        <f t="shared" si="159"/>
        <v>0</v>
      </c>
      <c r="DI27" s="438">
        <f t="shared" si="160"/>
        <v>0</v>
      </c>
      <c r="DJ27" s="436">
        <f t="shared" si="120"/>
        <v>0</v>
      </c>
      <c r="DL27" s="436">
        <f t="shared" si="161"/>
        <v>0</v>
      </c>
      <c r="DN27" s="487">
        <v>5</v>
      </c>
      <c r="DO27" s="499">
        <f>'GASTOS EJER. 1'!$C41</f>
        <v>0</v>
      </c>
      <c r="DP27" s="496" t="str">
        <f t="shared" si="162"/>
        <v/>
      </c>
      <c r="DQ27" s="496" t="str">
        <f t="shared" si="163"/>
        <v/>
      </c>
      <c r="DR27" s="386">
        <f t="shared" si="164"/>
        <v>0</v>
      </c>
      <c r="DS27" s="500">
        <f>'GASTOS EJER. 1'!X41</f>
        <v>0</v>
      </c>
      <c r="DT27" s="492" t="str">
        <f>IF(DS27=0,"",'GASTOS EJER. 1'!AA41)</f>
        <v/>
      </c>
      <c r="DU27" s="492" t="str">
        <f t="shared" si="122"/>
        <v/>
      </c>
      <c r="DV27" s="490" t="e">
        <f>IF(AND(DU27&gt;=EXPEDIENTE!$F$25,DU27&lt;=EXPEDIENTE!$F$29),ROUNDDOWN(DS27/DR27,2),0)</f>
        <v>#DIV/0!</v>
      </c>
      <c r="DX27" s="386">
        <v>8</v>
      </c>
      <c r="DY27" s="430">
        <f t="shared" si="101"/>
        <v>45292</v>
      </c>
      <c r="DZ27" s="430">
        <f t="shared" si="102"/>
        <v>45322</v>
      </c>
      <c r="EA27" s="386" t="str">
        <f>IF(AND(DZ27&gt;=EXPEDIENTE!$F$25,DY27&lt;=EXPEDIENTE!$F$29),"SI","NO")</f>
        <v>SI</v>
      </c>
      <c r="EB27" s="423">
        <f t="shared" si="12"/>
        <v>0</v>
      </c>
      <c r="EC27" s="423">
        <f t="shared" si="13"/>
        <v>0</v>
      </c>
      <c r="ED27" s="423">
        <f t="shared" si="14"/>
        <v>0</v>
      </c>
      <c r="EE27" s="423">
        <f t="shared" si="15"/>
        <v>0</v>
      </c>
      <c r="EF27" s="423">
        <f t="shared" si="16"/>
        <v>0</v>
      </c>
      <c r="EG27" s="423">
        <f t="shared" si="17"/>
        <v>0</v>
      </c>
      <c r="EH27" s="423">
        <f t="shared" si="18"/>
        <v>0</v>
      </c>
      <c r="EI27" s="423">
        <f t="shared" si="19"/>
        <v>0</v>
      </c>
      <c r="EJ27" s="423">
        <f t="shared" si="20"/>
        <v>0</v>
      </c>
      <c r="EK27" s="423">
        <f t="shared" si="21"/>
        <v>0</v>
      </c>
      <c r="EL27" s="423">
        <f t="shared" si="22"/>
        <v>0</v>
      </c>
      <c r="EM27" s="423">
        <f t="shared" si="23"/>
        <v>0</v>
      </c>
      <c r="EN27" s="423">
        <f t="shared" si="24"/>
        <v>0</v>
      </c>
      <c r="EO27" s="423">
        <f t="shared" si="25"/>
        <v>0</v>
      </c>
      <c r="EP27" s="423">
        <f t="shared" si="26"/>
        <v>0</v>
      </c>
      <c r="EQ27" s="423">
        <f t="shared" si="27"/>
        <v>0</v>
      </c>
      <c r="ER27" s="423">
        <f t="shared" si="28"/>
        <v>0</v>
      </c>
      <c r="ES27" s="423">
        <f t="shared" si="29"/>
        <v>0</v>
      </c>
      <c r="ET27" s="423">
        <f t="shared" si="30"/>
        <v>0</v>
      </c>
      <c r="EU27" s="423">
        <f t="shared" si="31"/>
        <v>0</v>
      </c>
      <c r="EV27" s="423">
        <f t="shared" si="32"/>
        <v>0</v>
      </c>
      <c r="EW27" s="423">
        <f t="shared" si="33"/>
        <v>0</v>
      </c>
      <c r="EX27" s="423">
        <f t="shared" si="34"/>
        <v>0</v>
      </c>
      <c r="EY27" s="423">
        <f t="shared" si="35"/>
        <v>0</v>
      </c>
      <c r="EZ27" s="423">
        <f t="shared" si="36"/>
        <v>0</v>
      </c>
      <c r="FA27" s="423">
        <f t="shared" si="37"/>
        <v>0</v>
      </c>
      <c r="FB27" s="423">
        <f t="shared" si="38"/>
        <v>0</v>
      </c>
      <c r="FC27" s="423">
        <f t="shared" si="39"/>
        <v>0</v>
      </c>
      <c r="FD27" s="423">
        <f t="shared" si="40"/>
        <v>0</v>
      </c>
      <c r="FE27" s="423">
        <f t="shared" si="41"/>
        <v>0</v>
      </c>
      <c r="FF27" s="423">
        <f t="shared" si="42"/>
        <v>0</v>
      </c>
      <c r="FG27" s="423">
        <f t="shared" si="43"/>
        <v>0</v>
      </c>
      <c r="FH27" s="423">
        <f t="shared" si="66"/>
        <v>0</v>
      </c>
      <c r="FJ27" s="120">
        <v>5</v>
      </c>
      <c r="FK27" s="492">
        <f>DATE(YEAR(EXPEDIENTE!$F$25),FJ27,1)</f>
        <v>45047</v>
      </c>
      <c r="FL27" s="492" t="str">
        <f>IF('GASTOS EJER. 1'!I53="","",'GASTOS EJER. 1'!I53)</f>
        <v/>
      </c>
      <c r="FM27" s="500">
        <f>'GASTOS EJER. 1'!X24</f>
        <v>0</v>
      </c>
      <c r="FN27" s="500">
        <f>'GASTOS EJER. 1'!H53</f>
        <v>0</v>
      </c>
      <c r="FO27" s="423">
        <f t="shared" si="165"/>
        <v>0</v>
      </c>
      <c r="FP27" s="500">
        <f t="shared" si="123"/>
        <v>0</v>
      </c>
      <c r="FR27" s="487">
        <v>5</v>
      </c>
      <c r="FS27" s="499">
        <f>'GASTOS EJER. 1'!$C41</f>
        <v>0</v>
      </c>
      <c r="FT27" s="496" t="str">
        <f t="shared" si="166"/>
        <v/>
      </c>
      <c r="FU27" s="496" t="str">
        <f t="shared" si="167"/>
        <v/>
      </c>
      <c r="FV27" s="386">
        <f t="shared" si="168"/>
        <v>0</v>
      </c>
      <c r="FW27" s="500">
        <f>'GASTOS EJER. 1'!CM41</f>
        <v>0</v>
      </c>
      <c r="FX27" s="492" t="str">
        <f>IF(FW27=0,"",'GASTOS EJER. 1'!CT41)</f>
        <v/>
      </c>
      <c r="FY27" s="492" t="str">
        <f t="shared" si="124"/>
        <v/>
      </c>
      <c r="FZ27" s="490" t="e">
        <f>IF(AND(FY27&gt;=EXPEDIENTE!$F$25,FY27&lt;=EXPEDIENTE!$F$29),ROUNDDOWN(FW27/FV27,2),0)</f>
        <v>#DIV/0!</v>
      </c>
      <c r="GB27" s="386">
        <v>8</v>
      </c>
      <c r="GC27" s="430">
        <f t="shared" si="103"/>
        <v>45292</v>
      </c>
      <c r="GD27" s="430">
        <f t="shared" si="104"/>
        <v>45322</v>
      </c>
      <c r="GE27" s="386" t="str">
        <f>IF(AND(GD27&gt;=EXPEDIENTE!$F$25,GC27&lt;=EXPEDIENTE!$F$29),"SI","NO")</f>
        <v>SI</v>
      </c>
      <c r="GF27" s="423">
        <f t="shared" si="67"/>
        <v>0</v>
      </c>
      <c r="GG27" s="423">
        <f t="shared" si="68"/>
        <v>0</v>
      </c>
      <c r="GH27" s="423">
        <f t="shared" si="69"/>
        <v>0</v>
      </c>
      <c r="GI27" s="423">
        <f t="shared" si="70"/>
        <v>0</v>
      </c>
      <c r="GJ27" s="423">
        <f t="shared" si="71"/>
        <v>0</v>
      </c>
      <c r="GK27" s="423">
        <f t="shared" si="72"/>
        <v>0</v>
      </c>
      <c r="GL27" s="423">
        <f t="shared" si="73"/>
        <v>0</v>
      </c>
      <c r="GM27" s="423">
        <f t="shared" si="74"/>
        <v>0</v>
      </c>
      <c r="GN27" s="423">
        <f t="shared" si="75"/>
        <v>0</v>
      </c>
      <c r="GO27" s="423">
        <f t="shared" si="76"/>
        <v>0</v>
      </c>
      <c r="GP27" s="423">
        <f t="shared" si="77"/>
        <v>0</v>
      </c>
      <c r="GQ27" s="423">
        <f t="shared" si="78"/>
        <v>0</v>
      </c>
      <c r="GR27" s="423">
        <f t="shared" si="79"/>
        <v>0</v>
      </c>
      <c r="GS27" s="423">
        <f t="shared" si="80"/>
        <v>0</v>
      </c>
      <c r="GT27" s="423">
        <f t="shared" si="81"/>
        <v>0</v>
      </c>
      <c r="GU27" s="423">
        <f t="shared" si="82"/>
        <v>0</v>
      </c>
      <c r="GV27" s="423">
        <f t="shared" si="83"/>
        <v>0</v>
      </c>
      <c r="GW27" s="423">
        <f t="shared" si="84"/>
        <v>0</v>
      </c>
      <c r="GX27" s="423">
        <f t="shared" si="85"/>
        <v>0</v>
      </c>
      <c r="GY27" s="423">
        <f t="shared" si="86"/>
        <v>0</v>
      </c>
      <c r="GZ27" s="423">
        <f t="shared" si="87"/>
        <v>0</v>
      </c>
      <c r="HA27" s="423">
        <f t="shared" si="88"/>
        <v>0</v>
      </c>
      <c r="HB27" s="423">
        <f t="shared" si="89"/>
        <v>0</v>
      </c>
      <c r="HC27" s="423">
        <f t="shared" si="90"/>
        <v>0</v>
      </c>
      <c r="HD27" s="423">
        <f t="shared" si="91"/>
        <v>0</v>
      </c>
      <c r="HE27" s="423">
        <f t="shared" si="92"/>
        <v>0</v>
      </c>
      <c r="HF27" s="423">
        <f t="shared" si="93"/>
        <v>0</v>
      </c>
      <c r="HG27" s="423">
        <f t="shared" si="94"/>
        <v>0</v>
      </c>
      <c r="HH27" s="423">
        <f t="shared" si="95"/>
        <v>0</v>
      </c>
      <c r="HI27" s="423">
        <f t="shared" si="96"/>
        <v>0</v>
      </c>
      <c r="HJ27" s="423">
        <f t="shared" si="97"/>
        <v>0</v>
      </c>
      <c r="HK27" s="423">
        <f t="shared" si="98"/>
        <v>0</v>
      </c>
      <c r="HL27" s="423">
        <f t="shared" si="99"/>
        <v>0</v>
      </c>
      <c r="HO27" s="120">
        <v>5</v>
      </c>
      <c r="HP27" s="492">
        <f>DATE(YEAR(EXPEDIENTE!$F$25),HO27,1)</f>
        <v>45047</v>
      </c>
      <c r="HQ27" s="492" t="str">
        <f>IF('GASTOS EJER. 1'!BF53="","",'GASTOS EJER. 1'!BF53)</f>
        <v/>
      </c>
      <c r="HR27" s="500">
        <f>'GASTOS EJER. 1'!CM24</f>
        <v>0</v>
      </c>
      <c r="HS27" s="500">
        <f>'GASTOS EJER. 1'!BA53</f>
        <v>0</v>
      </c>
      <c r="HT27" s="423">
        <f t="shared" si="169"/>
        <v>0</v>
      </c>
      <c r="HU27" s="500">
        <f t="shared" si="125"/>
        <v>0</v>
      </c>
      <c r="JC27" s="416">
        <v>23</v>
      </c>
      <c r="JD27" s="398">
        <f t="shared" si="100"/>
        <v>8</v>
      </c>
    </row>
    <row r="28" spans="3:264" x14ac:dyDescent="0.25">
      <c r="C28" s="206">
        <v>22</v>
      </c>
      <c r="D28" s="401"/>
      <c r="E28" s="417"/>
      <c r="F28" s="418"/>
      <c r="G28" s="419"/>
      <c r="H28" s="419"/>
      <c r="I28" s="419"/>
      <c r="J28" s="401"/>
      <c r="K28" s="407">
        <f t="shared" si="52"/>
        <v>76</v>
      </c>
      <c r="L28" s="407">
        <f t="shared" si="53"/>
        <v>76</v>
      </c>
      <c r="M28" s="407" t="str">
        <f t="shared" si="54"/>
        <v>X</v>
      </c>
      <c r="V28" s="981" t="s">
        <v>263</v>
      </c>
      <c r="W28" s="410" t="s">
        <v>264</v>
      </c>
      <c r="Y28" s="422">
        <f t="shared" si="0"/>
        <v>23</v>
      </c>
      <c r="Z28" s="412" t="str">
        <f>IF(Y28="","",IF(EDATE($Z$5,Y28)&gt;EXPEDIENTE!$F$27,"",EDATE($Z$5,Y28)))</f>
        <v/>
      </c>
      <c r="AA28" s="412" t="str">
        <f>IF(Z28="","",IF(YEAR(EXPEDIENTE!$F$25)=YEAR(Z28),Z28,""))</f>
        <v/>
      </c>
      <c r="AB28" s="412" t="str">
        <f>IF(Z28="","",IF(YEAR(EXPEDIENTE!$F$25)+1=YEAR(Z28),Z28,""))</f>
        <v/>
      </c>
      <c r="AC28" s="412" t="str">
        <f>IF(Z28="","",IF(YEAR(EXPEDIENTE!$F$25)+2=YEAR(Z28),Z28,""))</f>
        <v/>
      </c>
      <c r="AD28" s="412" t="str">
        <f>IF(Z28="","",IF(YEAR(EXPEDIENTE!$F$25)+3=YEAR(Z28),Z28,""))</f>
        <v/>
      </c>
      <c r="AG28" s="487">
        <v>6</v>
      </c>
      <c r="AH28" s="488">
        <f>'GASTOS EJER. 1'!M42</f>
        <v>0</v>
      </c>
      <c r="AI28" s="489">
        <f>'GASTOS EJER. 1'!X42</f>
        <v>0</v>
      </c>
      <c r="AJ28" s="490">
        <f t="shared" si="126"/>
        <v>0</v>
      </c>
      <c r="AL28" s="491">
        <f>'GASTOS EJER. 1'!F42+'GASTOS EJER. 1'!L42-'GASTOS EJER. 1'!X42-'GASTOS EJER. 1'!Y42</f>
        <v>0</v>
      </c>
      <c r="AM28" s="492" t="str">
        <f>IF('GASTOS EJER. 1'!AA42="","",'GASTOS EJER. 1'!AA42)</f>
        <v/>
      </c>
      <c r="AN28" s="489">
        <f>'GASTOS EJER. 1'!Y42</f>
        <v>0</v>
      </c>
      <c r="AO28" s="493" t="str">
        <f>IF('GASTOS EJER. 1'!AB42="","",'GASTOS EJER. 1'!AB42)</f>
        <v/>
      </c>
      <c r="AP28" s="494">
        <f>IF(AND(AM28&gt;=EXPEDIENTE!$I$25,AM28&lt;=EXPEDIENTE!$I$29),AL28,0)</f>
        <v>0</v>
      </c>
      <c r="AQ28" s="423">
        <f>IF(AND(AO28&gt;=EXPEDIENTE!$I$25,AO28&lt;=EXPEDIENTE!$I$29),AN28,0)</f>
        <v>0</v>
      </c>
      <c r="AR28" s="490">
        <f t="shared" si="127"/>
        <v>0</v>
      </c>
      <c r="AS28" s="495" t="str">
        <f>IF('GASTOS EJER. 1'!D42="","",'GASTOS EJER. 1'!D42)</f>
        <v/>
      </c>
      <c r="AT28" s="496" t="str">
        <f>IF('GASTOS EJER. 1'!E42="","",'GASTOS EJER. 1'!E42)</f>
        <v/>
      </c>
      <c r="AU28" s="497">
        <f t="shared" si="128"/>
        <v>0</v>
      </c>
      <c r="AV28" s="498">
        <f t="shared" si="105"/>
        <v>0</v>
      </c>
      <c r="AW28" s="439">
        <f t="shared" si="129"/>
        <v>0</v>
      </c>
      <c r="AY28" s="423">
        <v>6</v>
      </c>
      <c r="AZ28" s="424">
        <f t="shared" si="106"/>
        <v>45078</v>
      </c>
      <c r="BA28" s="433">
        <f t="shared" si="130"/>
        <v>0</v>
      </c>
      <c r="BB28" s="434">
        <f t="shared" si="131"/>
        <v>0</v>
      </c>
      <c r="BC28" s="434">
        <f t="shared" si="132"/>
        <v>0</v>
      </c>
      <c r="BD28" s="434">
        <f t="shared" si="133"/>
        <v>0</v>
      </c>
      <c r="BE28" s="434">
        <f t="shared" si="134"/>
        <v>0</v>
      </c>
      <c r="BF28" s="434">
        <f t="shared" si="135"/>
        <v>0</v>
      </c>
      <c r="BG28" s="434">
        <f t="shared" si="136"/>
        <v>0</v>
      </c>
      <c r="BH28" s="435">
        <f t="shared" si="137"/>
        <v>0</v>
      </c>
      <c r="BI28" s="436">
        <f t="shared" si="138"/>
        <v>0</v>
      </c>
      <c r="BK28" s="433">
        <f t="shared" si="109"/>
        <v>0</v>
      </c>
      <c r="BL28" s="434">
        <f t="shared" si="110"/>
        <v>0</v>
      </c>
      <c r="BM28" s="434">
        <f t="shared" si="111"/>
        <v>0</v>
      </c>
      <c r="BN28" s="434">
        <f t="shared" si="112"/>
        <v>0</v>
      </c>
      <c r="BO28" s="434">
        <f t="shared" si="113"/>
        <v>0</v>
      </c>
      <c r="BP28" s="434">
        <f t="shared" si="114"/>
        <v>0</v>
      </c>
      <c r="BQ28" s="434">
        <f t="shared" si="115"/>
        <v>0</v>
      </c>
      <c r="BR28" s="435">
        <f t="shared" si="116"/>
        <v>0</v>
      </c>
      <c r="BS28" s="436">
        <f t="shared" si="117"/>
        <v>0</v>
      </c>
      <c r="BU28" s="436">
        <f t="shared" si="139"/>
        <v>0</v>
      </c>
      <c r="BX28" s="487">
        <v>6</v>
      </c>
      <c r="BY28" s="488">
        <f>'GASTOS EJER. 1'!BN42</f>
        <v>0</v>
      </c>
      <c r="BZ28" s="489">
        <f>'GASTOS EJER. 1'!CM42</f>
        <v>0</v>
      </c>
      <c r="CA28" s="490">
        <f t="shared" si="140"/>
        <v>0</v>
      </c>
      <c r="CC28" s="491">
        <f>'GASTOS EJER. 1'!AW42+'GASTOS EJER. 1'!BM42-'GASTOS EJER. 1'!CM42-'GASTOS EJER. 1'!CP42</f>
        <v>0</v>
      </c>
      <c r="CD28" s="492" t="str">
        <f>IF('GASTOS EJER. 1'!CT42="","",'GASTOS EJER. 1'!CT42)</f>
        <v/>
      </c>
      <c r="CE28" s="489">
        <f>'GASTOS EJER. 1'!CP42</f>
        <v>0</v>
      </c>
      <c r="CF28" s="493" t="str">
        <f>IF('GASTOS EJER. 1'!CW42="","",'GASTOS EJER. 1'!CW42)</f>
        <v/>
      </c>
      <c r="CG28" s="494">
        <f>IF(AND(CD28&gt;=EXPEDIENTE!$I$25,CD28&lt;=EXPEDIENTE!$I$29),CC28,0)</f>
        <v>0</v>
      </c>
      <c r="CH28" s="423">
        <f>IF(AND(CF28&gt;=EXPEDIENTE!$I$25,CF28&lt;=EXPEDIENTE!$I$29),CE28,0)</f>
        <v>0</v>
      </c>
      <c r="CI28" s="490">
        <f t="shared" si="141"/>
        <v>0</v>
      </c>
      <c r="CJ28" s="495" t="str">
        <f>IF('GASTOS EJER. 1'!AQ42="","",'GASTOS EJER. 1'!AQ42)</f>
        <v/>
      </c>
      <c r="CK28" s="496" t="str">
        <f>IF('GASTOS EJER. 1'!AT42="","",'GASTOS EJER. 1'!AT42)</f>
        <v/>
      </c>
      <c r="CL28" s="497">
        <f t="shared" si="142"/>
        <v>0</v>
      </c>
      <c r="CM28" s="498">
        <f t="shared" si="118"/>
        <v>0</v>
      </c>
      <c r="CN28" s="439">
        <f t="shared" si="143"/>
        <v>0</v>
      </c>
      <c r="CP28" s="423">
        <v>6</v>
      </c>
      <c r="CQ28" s="424">
        <f t="shared" si="119"/>
        <v>45078</v>
      </c>
      <c r="CR28" s="437">
        <f t="shared" si="144"/>
        <v>0</v>
      </c>
      <c r="CS28" s="423">
        <f t="shared" si="145"/>
        <v>0</v>
      </c>
      <c r="CT28" s="423">
        <f t="shared" si="146"/>
        <v>0</v>
      </c>
      <c r="CU28" s="423">
        <f t="shared" si="147"/>
        <v>0</v>
      </c>
      <c r="CV28" s="423">
        <f t="shared" si="148"/>
        <v>0</v>
      </c>
      <c r="CW28" s="423">
        <f t="shared" si="149"/>
        <v>0</v>
      </c>
      <c r="CX28" s="423">
        <f t="shared" si="150"/>
        <v>0</v>
      </c>
      <c r="CY28" s="438">
        <f t="shared" si="151"/>
        <v>0</v>
      </c>
      <c r="CZ28" s="436">
        <f t="shared" si="152"/>
        <v>0</v>
      </c>
      <c r="DB28" s="437">
        <f t="shared" si="153"/>
        <v>0</v>
      </c>
      <c r="DC28" s="423">
        <f t="shared" si="154"/>
        <v>0</v>
      </c>
      <c r="DD28" s="423">
        <f t="shared" si="155"/>
        <v>0</v>
      </c>
      <c r="DE28" s="423">
        <f t="shared" si="156"/>
        <v>0</v>
      </c>
      <c r="DF28" s="423">
        <f t="shared" si="157"/>
        <v>0</v>
      </c>
      <c r="DG28" s="423">
        <f t="shared" si="158"/>
        <v>0</v>
      </c>
      <c r="DH28" s="423">
        <f t="shared" si="159"/>
        <v>0</v>
      </c>
      <c r="DI28" s="438">
        <f t="shared" si="160"/>
        <v>0</v>
      </c>
      <c r="DJ28" s="436">
        <f t="shared" si="120"/>
        <v>0</v>
      </c>
      <c r="DL28" s="436">
        <f t="shared" si="161"/>
        <v>0</v>
      </c>
      <c r="DN28" s="487">
        <v>6</v>
      </c>
      <c r="DO28" s="499">
        <f>'GASTOS EJER. 1'!$C42</f>
        <v>0</v>
      </c>
      <c r="DP28" s="496" t="str">
        <f t="shared" si="162"/>
        <v/>
      </c>
      <c r="DQ28" s="496" t="str">
        <f t="shared" si="163"/>
        <v/>
      </c>
      <c r="DR28" s="386">
        <f t="shared" si="164"/>
        <v>0</v>
      </c>
      <c r="DS28" s="500">
        <f>'GASTOS EJER. 1'!X42</f>
        <v>0</v>
      </c>
      <c r="DT28" s="492" t="str">
        <f>IF(DS28=0,"",'GASTOS EJER. 1'!AA42)</f>
        <v/>
      </c>
      <c r="DU28" s="492" t="str">
        <f t="shared" si="122"/>
        <v/>
      </c>
      <c r="DV28" s="490" t="e">
        <f>IF(AND(DU28&gt;=EXPEDIENTE!$F$25,DU28&lt;=EXPEDIENTE!$F$29),ROUNDDOWN(DS28/DR28,2),0)</f>
        <v>#DIV/0!</v>
      </c>
      <c r="DX28" s="386">
        <v>9</v>
      </c>
      <c r="DY28" s="430">
        <f t="shared" si="101"/>
        <v>45323</v>
      </c>
      <c r="DZ28" s="430">
        <f t="shared" si="102"/>
        <v>45351</v>
      </c>
      <c r="EA28" s="386" t="str">
        <f>IF(AND(DZ28&gt;=EXPEDIENTE!$F$25,DY28&lt;=EXPEDIENTE!$F$29),"SI","NO")</f>
        <v>SI</v>
      </c>
      <c r="EB28" s="423">
        <f t="shared" si="12"/>
        <v>0</v>
      </c>
      <c r="EC28" s="423">
        <f t="shared" si="13"/>
        <v>0</v>
      </c>
      <c r="ED28" s="423">
        <f t="shared" si="14"/>
        <v>0</v>
      </c>
      <c r="EE28" s="423">
        <f t="shared" si="15"/>
        <v>0</v>
      </c>
      <c r="EF28" s="423">
        <f t="shared" si="16"/>
        <v>0</v>
      </c>
      <c r="EG28" s="423">
        <f t="shared" si="17"/>
        <v>0</v>
      </c>
      <c r="EH28" s="423">
        <f t="shared" si="18"/>
        <v>0</v>
      </c>
      <c r="EI28" s="423">
        <f t="shared" si="19"/>
        <v>0</v>
      </c>
      <c r="EJ28" s="423">
        <f t="shared" si="20"/>
        <v>0</v>
      </c>
      <c r="EK28" s="423">
        <f t="shared" si="21"/>
        <v>0</v>
      </c>
      <c r="EL28" s="423">
        <f t="shared" si="22"/>
        <v>0</v>
      </c>
      <c r="EM28" s="423">
        <f t="shared" si="23"/>
        <v>0</v>
      </c>
      <c r="EN28" s="423">
        <f t="shared" si="24"/>
        <v>0</v>
      </c>
      <c r="EO28" s="423">
        <f t="shared" si="25"/>
        <v>0</v>
      </c>
      <c r="EP28" s="423">
        <f t="shared" si="26"/>
        <v>0</v>
      </c>
      <c r="EQ28" s="423">
        <f t="shared" si="27"/>
        <v>0</v>
      </c>
      <c r="ER28" s="423">
        <f t="shared" si="28"/>
        <v>0</v>
      </c>
      <c r="ES28" s="423">
        <f t="shared" si="29"/>
        <v>0</v>
      </c>
      <c r="ET28" s="423">
        <f t="shared" si="30"/>
        <v>0</v>
      </c>
      <c r="EU28" s="423">
        <f t="shared" si="31"/>
        <v>0</v>
      </c>
      <c r="EV28" s="423">
        <f t="shared" si="32"/>
        <v>0</v>
      </c>
      <c r="EW28" s="423">
        <f t="shared" si="33"/>
        <v>0</v>
      </c>
      <c r="EX28" s="423">
        <f t="shared" si="34"/>
        <v>0</v>
      </c>
      <c r="EY28" s="423">
        <f t="shared" si="35"/>
        <v>0</v>
      </c>
      <c r="EZ28" s="423">
        <f t="shared" si="36"/>
        <v>0</v>
      </c>
      <c r="FA28" s="423">
        <f t="shared" si="37"/>
        <v>0</v>
      </c>
      <c r="FB28" s="423">
        <f t="shared" si="38"/>
        <v>0</v>
      </c>
      <c r="FC28" s="423">
        <f t="shared" si="39"/>
        <v>0</v>
      </c>
      <c r="FD28" s="423">
        <f t="shared" si="40"/>
        <v>0</v>
      </c>
      <c r="FE28" s="423">
        <f t="shared" si="41"/>
        <v>0</v>
      </c>
      <c r="FF28" s="423">
        <f t="shared" si="42"/>
        <v>0</v>
      </c>
      <c r="FG28" s="423">
        <f t="shared" si="43"/>
        <v>0</v>
      </c>
      <c r="FH28" s="423">
        <f t="shared" si="66"/>
        <v>0</v>
      </c>
      <c r="FJ28" s="120">
        <v>6</v>
      </c>
      <c r="FK28" s="492">
        <f>DATE(YEAR(EXPEDIENTE!$F$25),FJ28,1)</f>
        <v>45078</v>
      </c>
      <c r="FL28" s="492" t="str">
        <f>IF('GASTOS EJER. 1'!I54="","",'GASTOS EJER. 1'!I54)</f>
        <v/>
      </c>
      <c r="FM28" s="500">
        <f>'GASTOS EJER. 1'!X25</f>
        <v>0</v>
      </c>
      <c r="FN28" s="500">
        <f>'GASTOS EJER. 1'!H54</f>
        <v>0</v>
      </c>
      <c r="FO28" s="423">
        <f t="shared" si="165"/>
        <v>0</v>
      </c>
      <c r="FP28" s="500">
        <f t="shared" si="123"/>
        <v>0</v>
      </c>
      <c r="FR28" s="487">
        <v>6</v>
      </c>
      <c r="FS28" s="499">
        <f>'GASTOS EJER. 1'!$C42</f>
        <v>0</v>
      </c>
      <c r="FT28" s="496" t="str">
        <f t="shared" si="166"/>
        <v/>
      </c>
      <c r="FU28" s="496" t="str">
        <f t="shared" si="167"/>
        <v/>
      </c>
      <c r="FV28" s="386">
        <f t="shared" si="168"/>
        <v>0</v>
      </c>
      <c r="FW28" s="500">
        <f>'GASTOS EJER. 1'!CM42</f>
        <v>0</v>
      </c>
      <c r="FX28" s="492" t="str">
        <f>IF(FW28=0,"",'GASTOS EJER. 1'!CT42)</f>
        <v/>
      </c>
      <c r="FY28" s="492" t="str">
        <f t="shared" si="124"/>
        <v/>
      </c>
      <c r="FZ28" s="490" t="e">
        <f>IF(AND(FY28&gt;=EXPEDIENTE!$F$25,FY28&lt;=EXPEDIENTE!$F$29),ROUNDDOWN(FW28/FV28,2),0)</f>
        <v>#DIV/0!</v>
      </c>
      <c r="GB28" s="386">
        <v>9</v>
      </c>
      <c r="GC28" s="430">
        <f t="shared" si="103"/>
        <v>45323</v>
      </c>
      <c r="GD28" s="430">
        <f t="shared" si="104"/>
        <v>45351</v>
      </c>
      <c r="GE28" s="386" t="str">
        <f>IF(AND(GD28&gt;=EXPEDIENTE!$F$25,GC28&lt;=EXPEDIENTE!$F$29),"SI","NO")</f>
        <v>SI</v>
      </c>
      <c r="GF28" s="423">
        <f t="shared" si="67"/>
        <v>0</v>
      </c>
      <c r="GG28" s="423">
        <f t="shared" si="68"/>
        <v>0</v>
      </c>
      <c r="GH28" s="423">
        <f t="shared" si="69"/>
        <v>0</v>
      </c>
      <c r="GI28" s="423">
        <f t="shared" si="70"/>
        <v>0</v>
      </c>
      <c r="GJ28" s="423">
        <f t="shared" si="71"/>
        <v>0</v>
      </c>
      <c r="GK28" s="423">
        <f t="shared" si="72"/>
        <v>0</v>
      </c>
      <c r="GL28" s="423">
        <f t="shared" si="73"/>
        <v>0</v>
      </c>
      <c r="GM28" s="423">
        <f t="shared" si="74"/>
        <v>0</v>
      </c>
      <c r="GN28" s="423">
        <f t="shared" si="75"/>
        <v>0</v>
      </c>
      <c r="GO28" s="423">
        <f t="shared" si="76"/>
        <v>0</v>
      </c>
      <c r="GP28" s="423">
        <f t="shared" si="77"/>
        <v>0</v>
      </c>
      <c r="GQ28" s="423">
        <f t="shared" si="78"/>
        <v>0</v>
      </c>
      <c r="GR28" s="423">
        <f t="shared" si="79"/>
        <v>0</v>
      </c>
      <c r="GS28" s="423">
        <f t="shared" si="80"/>
        <v>0</v>
      </c>
      <c r="GT28" s="423">
        <f t="shared" si="81"/>
        <v>0</v>
      </c>
      <c r="GU28" s="423">
        <f t="shared" si="82"/>
        <v>0</v>
      </c>
      <c r="GV28" s="423">
        <f t="shared" si="83"/>
        <v>0</v>
      </c>
      <c r="GW28" s="423">
        <f t="shared" si="84"/>
        <v>0</v>
      </c>
      <c r="GX28" s="423">
        <f t="shared" si="85"/>
        <v>0</v>
      </c>
      <c r="GY28" s="423">
        <f t="shared" si="86"/>
        <v>0</v>
      </c>
      <c r="GZ28" s="423">
        <f t="shared" si="87"/>
        <v>0</v>
      </c>
      <c r="HA28" s="423">
        <f t="shared" si="88"/>
        <v>0</v>
      </c>
      <c r="HB28" s="423">
        <f t="shared" si="89"/>
        <v>0</v>
      </c>
      <c r="HC28" s="423">
        <f t="shared" si="90"/>
        <v>0</v>
      </c>
      <c r="HD28" s="423">
        <f t="shared" si="91"/>
        <v>0</v>
      </c>
      <c r="HE28" s="423">
        <f t="shared" si="92"/>
        <v>0</v>
      </c>
      <c r="HF28" s="423">
        <f t="shared" si="93"/>
        <v>0</v>
      </c>
      <c r="HG28" s="423">
        <f t="shared" si="94"/>
        <v>0</v>
      </c>
      <c r="HH28" s="423">
        <f t="shared" si="95"/>
        <v>0</v>
      </c>
      <c r="HI28" s="423">
        <f t="shared" si="96"/>
        <v>0</v>
      </c>
      <c r="HJ28" s="423">
        <f t="shared" si="97"/>
        <v>0</v>
      </c>
      <c r="HK28" s="423">
        <f t="shared" si="98"/>
        <v>0</v>
      </c>
      <c r="HL28" s="423">
        <f t="shared" si="99"/>
        <v>0</v>
      </c>
      <c r="HO28" s="120">
        <v>6</v>
      </c>
      <c r="HP28" s="492">
        <f>DATE(YEAR(EXPEDIENTE!$F$25),HO28,1)</f>
        <v>45078</v>
      </c>
      <c r="HQ28" s="492" t="str">
        <f>IF('GASTOS EJER. 1'!BF54="","",'GASTOS EJER. 1'!BF54)</f>
        <v/>
      </c>
      <c r="HR28" s="500">
        <f>'GASTOS EJER. 1'!CM25</f>
        <v>0</v>
      </c>
      <c r="HS28" s="500">
        <f>'GASTOS EJER. 1'!BA54</f>
        <v>0</v>
      </c>
      <c r="HT28" s="423">
        <f t="shared" si="169"/>
        <v>0</v>
      </c>
      <c r="HU28" s="500">
        <f t="shared" si="125"/>
        <v>0</v>
      </c>
      <c r="JC28" s="416">
        <v>24</v>
      </c>
      <c r="JD28" s="398">
        <f t="shared" si="100"/>
        <v>8</v>
      </c>
    </row>
    <row r="29" spans="3:264" x14ac:dyDescent="0.25">
      <c r="C29" s="206">
        <v>23</v>
      </c>
      <c r="D29" s="401"/>
      <c r="E29" s="417"/>
      <c r="F29" s="418"/>
      <c r="G29" s="419"/>
      <c r="H29" s="419"/>
      <c r="I29" s="419"/>
      <c r="J29" s="401"/>
      <c r="K29" s="407">
        <f t="shared" si="52"/>
        <v>76</v>
      </c>
      <c r="L29" s="407">
        <f t="shared" si="53"/>
        <v>76</v>
      </c>
      <c r="M29" s="407" t="str">
        <f t="shared" si="54"/>
        <v>X</v>
      </c>
      <c r="V29" s="981"/>
      <c r="W29" s="441" t="s">
        <v>265</v>
      </c>
      <c r="Y29" s="422">
        <f t="shared" si="0"/>
        <v>24</v>
      </c>
      <c r="Z29" s="412" t="str">
        <f>IF(Y29="","",IF(EDATE($Z$5,Y29)&gt;EXPEDIENTE!$F$27,"",EDATE($Z$5,Y29)))</f>
        <v/>
      </c>
      <c r="AA29" s="412" t="str">
        <f>IF(Z29="","",IF(YEAR(EXPEDIENTE!$F$25)=YEAR(Z29),Z29,""))</f>
        <v/>
      </c>
      <c r="AB29" s="412" t="str">
        <f>IF(Z29="","",IF(YEAR(EXPEDIENTE!$F$25)+1=YEAR(Z29),Z29,""))</f>
        <v/>
      </c>
      <c r="AC29" s="412" t="str">
        <f>IF(Z29="","",IF(YEAR(EXPEDIENTE!$F$25)+2=YEAR(Z29),Z29,""))</f>
        <v/>
      </c>
      <c r="AD29" s="412" t="str">
        <f>IF(Z29="","",IF(YEAR(EXPEDIENTE!$F$25)+3=YEAR(Z29),Z29,""))</f>
        <v/>
      </c>
      <c r="AG29" s="487">
        <v>7</v>
      </c>
      <c r="AH29" s="488">
        <f>'GASTOS EJER. 1'!M43</f>
        <v>0</v>
      </c>
      <c r="AI29" s="489">
        <f>'GASTOS EJER. 1'!X43</f>
        <v>0</v>
      </c>
      <c r="AJ29" s="490">
        <f t="shared" si="126"/>
        <v>0</v>
      </c>
      <c r="AL29" s="491">
        <f>'GASTOS EJER. 1'!F43+'GASTOS EJER. 1'!L43-'GASTOS EJER. 1'!X43-'GASTOS EJER. 1'!Y43</f>
        <v>0</v>
      </c>
      <c r="AM29" s="492" t="str">
        <f>IF('GASTOS EJER. 1'!AA43="","",'GASTOS EJER. 1'!AA43)</f>
        <v/>
      </c>
      <c r="AN29" s="489">
        <f>'GASTOS EJER. 1'!Y43</f>
        <v>0</v>
      </c>
      <c r="AO29" s="493" t="str">
        <f>IF('GASTOS EJER. 1'!AB43="","",'GASTOS EJER. 1'!AB43)</f>
        <v/>
      </c>
      <c r="AP29" s="494">
        <f>IF(AND(AM29&gt;=EXPEDIENTE!$I$25,AM29&lt;=EXPEDIENTE!$I$29),AL29,0)</f>
        <v>0</v>
      </c>
      <c r="AQ29" s="423">
        <f>IF(AND(AO29&gt;=EXPEDIENTE!$I$25,AO29&lt;=EXPEDIENTE!$I$29),AN29,0)</f>
        <v>0</v>
      </c>
      <c r="AR29" s="490">
        <f t="shared" si="127"/>
        <v>0</v>
      </c>
      <c r="AS29" s="495" t="str">
        <f>IF('GASTOS EJER. 1'!D43="","",'GASTOS EJER. 1'!D43)</f>
        <v/>
      </c>
      <c r="AT29" s="496" t="str">
        <f>IF('GASTOS EJER. 1'!E43="","",'GASTOS EJER. 1'!E43)</f>
        <v/>
      </c>
      <c r="AU29" s="497">
        <f t="shared" si="128"/>
        <v>0</v>
      </c>
      <c r="AV29" s="498">
        <f t="shared" si="105"/>
        <v>0</v>
      </c>
      <c r="AW29" s="439">
        <f t="shared" si="129"/>
        <v>0</v>
      </c>
      <c r="AY29" s="423">
        <v>7</v>
      </c>
      <c r="AZ29" s="424">
        <f t="shared" si="106"/>
        <v>45108</v>
      </c>
      <c r="BA29" s="433">
        <f t="shared" si="130"/>
        <v>0</v>
      </c>
      <c r="BB29" s="434">
        <f t="shared" si="131"/>
        <v>0</v>
      </c>
      <c r="BC29" s="434">
        <f t="shared" si="132"/>
        <v>0</v>
      </c>
      <c r="BD29" s="434">
        <f t="shared" si="133"/>
        <v>0</v>
      </c>
      <c r="BE29" s="434">
        <f t="shared" si="134"/>
        <v>0</v>
      </c>
      <c r="BF29" s="434">
        <f t="shared" si="135"/>
        <v>0</v>
      </c>
      <c r="BG29" s="434">
        <f t="shared" si="136"/>
        <v>0</v>
      </c>
      <c r="BH29" s="435">
        <f t="shared" si="137"/>
        <v>0</v>
      </c>
      <c r="BI29" s="436">
        <f t="shared" si="138"/>
        <v>0</v>
      </c>
      <c r="BK29" s="433">
        <f t="shared" si="109"/>
        <v>0</v>
      </c>
      <c r="BL29" s="434">
        <f t="shared" si="110"/>
        <v>0</v>
      </c>
      <c r="BM29" s="434">
        <f t="shared" si="111"/>
        <v>0</v>
      </c>
      <c r="BN29" s="434">
        <f t="shared" si="112"/>
        <v>0</v>
      </c>
      <c r="BO29" s="434">
        <f t="shared" si="113"/>
        <v>0</v>
      </c>
      <c r="BP29" s="434">
        <f t="shared" si="114"/>
        <v>0</v>
      </c>
      <c r="BQ29" s="434">
        <f t="shared" si="115"/>
        <v>0</v>
      </c>
      <c r="BR29" s="435">
        <f t="shared" si="116"/>
        <v>0</v>
      </c>
      <c r="BS29" s="436">
        <f t="shared" si="117"/>
        <v>0</v>
      </c>
      <c r="BU29" s="436">
        <f t="shared" si="139"/>
        <v>0</v>
      </c>
      <c r="BX29" s="487">
        <v>7</v>
      </c>
      <c r="BY29" s="488">
        <f>'GASTOS EJER. 1'!BN43</f>
        <v>0</v>
      </c>
      <c r="BZ29" s="489">
        <f>'GASTOS EJER. 1'!CM43</f>
        <v>0</v>
      </c>
      <c r="CA29" s="490">
        <f t="shared" si="140"/>
        <v>0</v>
      </c>
      <c r="CC29" s="491">
        <f>'GASTOS EJER. 1'!AW43+'GASTOS EJER. 1'!BM43-'GASTOS EJER. 1'!CM43-'GASTOS EJER. 1'!CP43</f>
        <v>0</v>
      </c>
      <c r="CD29" s="492" t="str">
        <f>IF('GASTOS EJER. 1'!CT43="","",'GASTOS EJER. 1'!CT43)</f>
        <v/>
      </c>
      <c r="CE29" s="489">
        <f>'GASTOS EJER. 1'!CP43</f>
        <v>0</v>
      </c>
      <c r="CF29" s="493" t="str">
        <f>IF('GASTOS EJER. 1'!CW43="","",'GASTOS EJER. 1'!CW43)</f>
        <v/>
      </c>
      <c r="CG29" s="494">
        <f>IF(AND(CD29&gt;=EXPEDIENTE!$I$25,CD29&lt;=EXPEDIENTE!$I$29),CC29,0)</f>
        <v>0</v>
      </c>
      <c r="CH29" s="423">
        <f>IF(AND(CF29&gt;=EXPEDIENTE!$I$25,CF29&lt;=EXPEDIENTE!$I$29),CE29,0)</f>
        <v>0</v>
      </c>
      <c r="CI29" s="490">
        <f t="shared" si="141"/>
        <v>0</v>
      </c>
      <c r="CJ29" s="495" t="str">
        <f>IF('GASTOS EJER. 1'!AQ43="","",'GASTOS EJER. 1'!AQ43)</f>
        <v/>
      </c>
      <c r="CK29" s="496" t="str">
        <f>IF('GASTOS EJER. 1'!AT43="","",'GASTOS EJER. 1'!AT43)</f>
        <v/>
      </c>
      <c r="CL29" s="497">
        <f t="shared" si="142"/>
        <v>0</v>
      </c>
      <c r="CM29" s="498">
        <f t="shared" si="118"/>
        <v>0</v>
      </c>
      <c r="CN29" s="439">
        <f t="shared" si="143"/>
        <v>0</v>
      </c>
      <c r="CP29" s="423">
        <v>7</v>
      </c>
      <c r="CQ29" s="424">
        <f t="shared" si="119"/>
        <v>45108</v>
      </c>
      <c r="CR29" s="437">
        <f t="shared" si="144"/>
        <v>0</v>
      </c>
      <c r="CS29" s="423">
        <f t="shared" si="145"/>
        <v>0</v>
      </c>
      <c r="CT29" s="423">
        <f t="shared" si="146"/>
        <v>0</v>
      </c>
      <c r="CU29" s="423">
        <f t="shared" si="147"/>
        <v>0</v>
      </c>
      <c r="CV29" s="423">
        <f t="shared" si="148"/>
        <v>0</v>
      </c>
      <c r="CW29" s="423">
        <f t="shared" si="149"/>
        <v>0</v>
      </c>
      <c r="CX29" s="423">
        <f t="shared" si="150"/>
        <v>0</v>
      </c>
      <c r="CY29" s="438">
        <f t="shared" si="151"/>
        <v>0</v>
      </c>
      <c r="CZ29" s="436">
        <f t="shared" si="152"/>
        <v>0</v>
      </c>
      <c r="DB29" s="437">
        <f t="shared" si="153"/>
        <v>0</v>
      </c>
      <c r="DC29" s="423">
        <f t="shared" si="154"/>
        <v>0</v>
      </c>
      <c r="DD29" s="423">
        <f t="shared" si="155"/>
        <v>0</v>
      </c>
      <c r="DE29" s="423">
        <f t="shared" si="156"/>
        <v>0</v>
      </c>
      <c r="DF29" s="423">
        <f t="shared" si="157"/>
        <v>0</v>
      </c>
      <c r="DG29" s="423">
        <f t="shared" si="158"/>
        <v>0</v>
      </c>
      <c r="DH29" s="423">
        <f t="shared" si="159"/>
        <v>0</v>
      </c>
      <c r="DI29" s="438">
        <f t="shared" si="160"/>
        <v>0</v>
      </c>
      <c r="DJ29" s="436">
        <f t="shared" si="120"/>
        <v>0</v>
      </c>
      <c r="DL29" s="436">
        <f t="shared" si="161"/>
        <v>0</v>
      </c>
      <c r="DN29" s="487">
        <v>7</v>
      </c>
      <c r="DO29" s="499">
        <f>'GASTOS EJER. 1'!$C43</f>
        <v>0</v>
      </c>
      <c r="DP29" s="496" t="str">
        <f t="shared" si="162"/>
        <v/>
      </c>
      <c r="DQ29" s="496" t="str">
        <f t="shared" si="163"/>
        <v/>
      </c>
      <c r="DR29" s="386">
        <f t="shared" si="164"/>
        <v>0</v>
      </c>
      <c r="DS29" s="500">
        <f>'GASTOS EJER. 1'!X43</f>
        <v>0</v>
      </c>
      <c r="DT29" s="492" t="str">
        <f>IF(DS29=0,"",'GASTOS EJER. 1'!AA43)</f>
        <v/>
      </c>
      <c r="DU29" s="492" t="str">
        <f t="shared" si="122"/>
        <v/>
      </c>
      <c r="DV29" s="490" t="e">
        <f>IF(AND(DU29&gt;=EXPEDIENTE!$F$25,DU29&lt;=EXPEDIENTE!$F$29),ROUNDDOWN(DS29/DR29,2),0)</f>
        <v>#DIV/0!</v>
      </c>
      <c r="DX29" s="386">
        <v>10</v>
      </c>
      <c r="DY29" s="430">
        <f t="shared" si="101"/>
        <v>45352</v>
      </c>
      <c r="DZ29" s="430">
        <f t="shared" si="102"/>
        <v>45382</v>
      </c>
      <c r="EA29" s="386" t="str">
        <f>IF(AND(DZ29&gt;=EXPEDIENTE!$F$25,DY29&lt;=EXPEDIENTE!$F$29),"SI","NO")</f>
        <v>SI</v>
      </c>
      <c r="EB29" s="423">
        <f t="shared" si="12"/>
        <v>0</v>
      </c>
      <c r="EC29" s="423">
        <f t="shared" si="13"/>
        <v>0</v>
      </c>
      <c r="ED29" s="423">
        <f t="shared" si="14"/>
        <v>0</v>
      </c>
      <c r="EE29" s="423">
        <f t="shared" si="15"/>
        <v>0</v>
      </c>
      <c r="EF29" s="423">
        <f t="shared" si="16"/>
        <v>0</v>
      </c>
      <c r="EG29" s="423">
        <f t="shared" si="17"/>
        <v>0</v>
      </c>
      <c r="EH29" s="423">
        <f t="shared" si="18"/>
        <v>0</v>
      </c>
      <c r="EI29" s="423">
        <f t="shared" si="19"/>
        <v>0</v>
      </c>
      <c r="EJ29" s="423">
        <f t="shared" si="20"/>
        <v>0</v>
      </c>
      <c r="EK29" s="423">
        <f t="shared" si="21"/>
        <v>0</v>
      </c>
      <c r="EL29" s="423">
        <f t="shared" si="22"/>
        <v>0</v>
      </c>
      <c r="EM29" s="423">
        <f t="shared" si="23"/>
        <v>0</v>
      </c>
      <c r="EN29" s="423">
        <f t="shared" si="24"/>
        <v>0</v>
      </c>
      <c r="EO29" s="423">
        <f t="shared" si="25"/>
        <v>0</v>
      </c>
      <c r="EP29" s="423">
        <f t="shared" si="26"/>
        <v>0</v>
      </c>
      <c r="EQ29" s="423">
        <f t="shared" si="27"/>
        <v>0</v>
      </c>
      <c r="ER29" s="423">
        <f t="shared" si="28"/>
        <v>0</v>
      </c>
      <c r="ES29" s="423">
        <f t="shared" si="29"/>
        <v>0</v>
      </c>
      <c r="ET29" s="423">
        <f t="shared" si="30"/>
        <v>0</v>
      </c>
      <c r="EU29" s="423">
        <f t="shared" si="31"/>
        <v>0</v>
      </c>
      <c r="EV29" s="423">
        <f t="shared" si="32"/>
        <v>0</v>
      </c>
      <c r="EW29" s="423">
        <f t="shared" si="33"/>
        <v>0</v>
      </c>
      <c r="EX29" s="423">
        <f t="shared" si="34"/>
        <v>0</v>
      </c>
      <c r="EY29" s="423">
        <f t="shared" si="35"/>
        <v>0</v>
      </c>
      <c r="EZ29" s="423">
        <f t="shared" si="36"/>
        <v>0</v>
      </c>
      <c r="FA29" s="423">
        <f t="shared" si="37"/>
        <v>0</v>
      </c>
      <c r="FB29" s="423">
        <f t="shared" si="38"/>
        <v>0</v>
      </c>
      <c r="FC29" s="423">
        <f t="shared" si="39"/>
        <v>0</v>
      </c>
      <c r="FD29" s="423">
        <f t="shared" si="40"/>
        <v>0</v>
      </c>
      <c r="FE29" s="423">
        <f t="shared" si="41"/>
        <v>0</v>
      </c>
      <c r="FF29" s="423">
        <f t="shared" si="42"/>
        <v>0</v>
      </c>
      <c r="FG29" s="423">
        <f t="shared" si="43"/>
        <v>0</v>
      </c>
      <c r="FH29" s="423">
        <f t="shared" si="66"/>
        <v>0</v>
      </c>
      <c r="FJ29" s="120">
        <v>7</v>
      </c>
      <c r="FK29" s="492">
        <f>DATE(YEAR(EXPEDIENTE!$F$25),FJ29,1)</f>
        <v>45108</v>
      </c>
      <c r="FL29" s="492" t="str">
        <f>IF('GASTOS EJER. 1'!I55="","",'GASTOS EJER. 1'!I55)</f>
        <v/>
      </c>
      <c r="FM29" s="500">
        <f>'GASTOS EJER. 1'!X26</f>
        <v>0</v>
      </c>
      <c r="FN29" s="500">
        <f>'GASTOS EJER. 1'!H55</f>
        <v>0</v>
      </c>
      <c r="FO29" s="423">
        <f t="shared" si="165"/>
        <v>0</v>
      </c>
      <c r="FP29" s="500">
        <f t="shared" si="123"/>
        <v>0</v>
      </c>
      <c r="FR29" s="487">
        <v>7</v>
      </c>
      <c r="FS29" s="499">
        <f>'GASTOS EJER. 1'!$C43</f>
        <v>0</v>
      </c>
      <c r="FT29" s="496" t="str">
        <f t="shared" si="166"/>
        <v/>
      </c>
      <c r="FU29" s="496" t="str">
        <f t="shared" si="167"/>
        <v/>
      </c>
      <c r="FV29" s="386">
        <f t="shared" si="168"/>
        <v>0</v>
      </c>
      <c r="FW29" s="500">
        <f>'GASTOS EJER. 1'!CM43</f>
        <v>0</v>
      </c>
      <c r="FX29" s="492" t="str">
        <f>IF(FW29=0,"",'GASTOS EJER. 1'!CT43)</f>
        <v/>
      </c>
      <c r="FY29" s="492" t="str">
        <f t="shared" si="124"/>
        <v/>
      </c>
      <c r="FZ29" s="490" t="e">
        <f>IF(AND(FY29&gt;=EXPEDIENTE!$F$25,FY29&lt;=EXPEDIENTE!$F$29),ROUNDDOWN(FW29/FV29,2),0)</f>
        <v>#DIV/0!</v>
      </c>
      <c r="GB29" s="386">
        <v>10</v>
      </c>
      <c r="GC29" s="430">
        <f t="shared" si="103"/>
        <v>45352</v>
      </c>
      <c r="GD29" s="430">
        <f t="shared" si="104"/>
        <v>45382</v>
      </c>
      <c r="GE29" s="386" t="str">
        <f>IF(AND(GD29&gt;=EXPEDIENTE!$F$25,GC29&lt;=EXPEDIENTE!$F$29),"SI","NO")</f>
        <v>SI</v>
      </c>
      <c r="GF29" s="423">
        <f t="shared" si="67"/>
        <v>0</v>
      </c>
      <c r="GG29" s="423">
        <f t="shared" si="68"/>
        <v>0</v>
      </c>
      <c r="GH29" s="423">
        <f t="shared" si="69"/>
        <v>0</v>
      </c>
      <c r="GI29" s="423">
        <f t="shared" si="70"/>
        <v>0</v>
      </c>
      <c r="GJ29" s="423">
        <f t="shared" si="71"/>
        <v>0</v>
      </c>
      <c r="GK29" s="423">
        <f t="shared" si="72"/>
        <v>0</v>
      </c>
      <c r="GL29" s="423">
        <f t="shared" si="73"/>
        <v>0</v>
      </c>
      <c r="GM29" s="423">
        <f t="shared" si="74"/>
        <v>0</v>
      </c>
      <c r="GN29" s="423">
        <f t="shared" si="75"/>
        <v>0</v>
      </c>
      <c r="GO29" s="423">
        <f t="shared" si="76"/>
        <v>0</v>
      </c>
      <c r="GP29" s="423">
        <f t="shared" si="77"/>
        <v>0</v>
      </c>
      <c r="GQ29" s="423">
        <f t="shared" si="78"/>
        <v>0</v>
      </c>
      <c r="GR29" s="423">
        <f t="shared" si="79"/>
        <v>0</v>
      </c>
      <c r="GS29" s="423">
        <f t="shared" si="80"/>
        <v>0</v>
      </c>
      <c r="GT29" s="423">
        <f t="shared" si="81"/>
        <v>0</v>
      </c>
      <c r="GU29" s="423">
        <f t="shared" si="82"/>
        <v>0</v>
      </c>
      <c r="GV29" s="423">
        <f t="shared" si="83"/>
        <v>0</v>
      </c>
      <c r="GW29" s="423">
        <f t="shared" si="84"/>
        <v>0</v>
      </c>
      <c r="GX29" s="423">
        <f t="shared" si="85"/>
        <v>0</v>
      </c>
      <c r="GY29" s="423">
        <f t="shared" si="86"/>
        <v>0</v>
      </c>
      <c r="GZ29" s="423">
        <f t="shared" si="87"/>
        <v>0</v>
      </c>
      <c r="HA29" s="423">
        <f t="shared" si="88"/>
        <v>0</v>
      </c>
      <c r="HB29" s="423">
        <f t="shared" si="89"/>
        <v>0</v>
      </c>
      <c r="HC29" s="423">
        <f t="shared" si="90"/>
        <v>0</v>
      </c>
      <c r="HD29" s="423">
        <f t="shared" si="91"/>
        <v>0</v>
      </c>
      <c r="HE29" s="423">
        <f t="shared" si="92"/>
        <v>0</v>
      </c>
      <c r="HF29" s="423">
        <f t="shared" si="93"/>
        <v>0</v>
      </c>
      <c r="HG29" s="423">
        <f t="shared" si="94"/>
        <v>0</v>
      </c>
      <c r="HH29" s="423">
        <f t="shared" si="95"/>
        <v>0</v>
      </c>
      <c r="HI29" s="423">
        <f t="shared" si="96"/>
        <v>0</v>
      </c>
      <c r="HJ29" s="423">
        <f t="shared" si="97"/>
        <v>0</v>
      </c>
      <c r="HK29" s="423">
        <f t="shared" si="98"/>
        <v>0</v>
      </c>
      <c r="HL29" s="423">
        <f t="shared" si="99"/>
        <v>0</v>
      </c>
      <c r="HO29" s="120">
        <v>7</v>
      </c>
      <c r="HP29" s="492">
        <f>DATE(YEAR(EXPEDIENTE!$F$25),HO29,1)</f>
        <v>45108</v>
      </c>
      <c r="HQ29" s="492" t="str">
        <f>IF('GASTOS EJER. 1'!BF55="","",'GASTOS EJER. 1'!BF55)</f>
        <v/>
      </c>
      <c r="HR29" s="500">
        <f>'GASTOS EJER. 1'!CM26</f>
        <v>0</v>
      </c>
      <c r="HS29" s="500">
        <f>'GASTOS EJER. 1'!BA55</f>
        <v>0</v>
      </c>
      <c r="HT29" s="423">
        <f t="shared" si="169"/>
        <v>0</v>
      </c>
      <c r="HU29" s="500">
        <f t="shared" si="125"/>
        <v>0</v>
      </c>
      <c r="JC29" s="442">
        <v>25</v>
      </c>
      <c r="JD29" s="398">
        <f t="shared" si="100"/>
        <v>8</v>
      </c>
    </row>
    <row r="30" spans="3:264" ht="15.75" customHeight="1" thickBot="1" x14ac:dyDescent="0.3">
      <c r="C30" s="206">
        <v>24</v>
      </c>
      <c r="D30" s="401"/>
      <c r="E30" s="417"/>
      <c r="F30" s="418"/>
      <c r="G30" s="419"/>
      <c r="H30" s="419"/>
      <c r="I30" s="419"/>
      <c r="J30" s="401"/>
      <c r="K30" s="407">
        <f t="shared" si="52"/>
        <v>76</v>
      </c>
      <c r="L30" s="407">
        <f t="shared" si="53"/>
        <v>76</v>
      </c>
      <c r="M30" s="407" t="str">
        <f t="shared" si="54"/>
        <v>X</v>
      </c>
      <c r="V30" s="981"/>
      <c r="W30" s="441" t="s">
        <v>266</v>
      </c>
      <c r="Y30" s="422">
        <f t="shared" si="0"/>
        <v>25</v>
      </c>
      <c r="Z30" s="412" t="str">
        <f>IF(Y30="","",IF(EDATE($Z$5,Y30)&gt;EXPEDIENTE!$F$27,"",EDATE($Z$5,Y30)))</f>
        <v/>
      </c>
      <c r="AA30" s="412" t="str">
        <f>IF(Z30="","",IF(YEAR(EXPEDIENTE!$F$25)=YEAR(Z30),Z30,""))</f>
        <v/>
      </c>
      <c r="AB30" s="412" t="str">
        <f>IF(Z30="","",IF(YEAR(EXPEDIENTE!$F$25)+1=YEAR(Z30),Z30,""))</f>
        <v/>
      </c>
      <c r="AC30" s="412" t="str">
        <f>IF(Z30="","",IF(YEAR(EXPEDIENTE!$F$25)+2=YEAR(Z30),Z30,""))</f>
        <v/>
      </c>
      <c r="AD30" s="412" t="str">
        <f>IF(Z30="","",IF(YEAR(EXPEDIENTE!$F$25)+3=YEAR(Z30),Z30,""))</f>
        <v/>
      </c>
      <c r="AG30" s="501">
        <v>8</v>
      </c>
      <c r="AH30" s="502">
        <f>'GASTOS EJER. 1'!M44</f>
        <v>0</v>
      </c>
      <c r="AI30" s="503">
        <f>'GASTOS EJER. 1'!X44</f>
        <v>0</v>
      </c>
      <c r="AJ30" s="504">
        <f t="shared" si="126"/>
        <v>0</v>
      </c>
      <c r="AL30" s="505">
        <f>'GASTOS EJER. 1'!F44+'GASTOS EJER. 1'!L44-'GASTOS EJER. 1'!X44-'GASTOS EJER. 1'!Y44</f>
        <v>0</v>
      </c>
      <c r="AM30" s="506" t="str">
        <f>IF('GASTOS EJER. 1'!AA44="","",'GASTOS EJER. 1'!AA44)</f>
        <v/>
      </c>
      <c r="AN30" s="503">
        <f>'GASTOS EJER. 1'!Y44</f>
        <v>0</v>
      </c>
      <c r="AO30" s="507" t="str">
        <f>IF('GASTOS EJER. 1'!AB44="","",'GASTOS EJER. 1'!AB44)</f>
        <v/>
      </c>
      <c r="AP30" s="508">
        <f>IF(AND(AM30&gt;=EXPEDIENTE!$I$25,AM30&lt;=EXPEDIENTE!$I$29),AL30,0)</f>
        <v>0</v>
      </c>
      <c r="AQ30" s="451">
        <f>IF(AND(AO30&gt;=EXPEDIENTE!$I$25,AO30&lt;=EXPEDIENTE!$I$29),AN30,0)</f>
        <v>0</v>
      </c>
      <c r="AR30" s="504">
        <f t="shared" si="127"/>
        <v>0</v>
      </c>
      <c r="AS30" s="509" t="str">
        <f>IF('GASTOS EJER. 1'!D44="","",'GASTOS EJER. 1'!D44)</f>
        <v/>
      </c>
      <c r="AT30" s="510" t="str">
        <f>IF('GASTOS EJER. 1'!E44="","",'GASTOS EJER. 1'!E44)</f>
        <v/>
      </c>
      <c r="AU30" s="511">
        <f t="shared" si="128"/>
        <v>0</v>
      </c>
      <c r="AV30" s="512">
        <f t="shared" si="105"/>
        <v>0</v>
      </c>
      <c r="AW30" s="453">
        <f t="shared" si="129"/>
        <v>0</v>
      </c>
      <c r="AY30" s="423">
        <v>8</v>
      </c>
      <c r="AZ30" s="424">
        <f t="shared" si="106"/>
        <v>45139</v>
      </c>
      <c r="BA30" s="433">
        <f t="shared" si="130"/>
        <v>0</v>
      </c>
      <c r="BB30" s="434">
        <f t="shared" si="131"/>
        <v>0</v>
      </c>
      <c r="BC30" s="434">
        <f t="shared" si="132"/>
        <v>0</v>
      </c>
      <c r="BD30" s="434">
        <f t="shared" si="133"/>
        <v>0</v>
      </c>
      <c r="BE30" s="434">
        <f t="shared" si="134"/>
        <v>0</v>
      </c>
      <c r="BF30" s="434">
        <f t="shared" si="135"/>
        <v>0</v>
      </c>
      <c r="BG30" s="434">
        <f t="shared" si="136"/>
        <v>0</v>
      </c>
      <c r="BH30" s="435">
        <f t="shared" si="137"/>
        <v>0</v>
      </c>
      <c r="BI30" s="436">
        <f t="shared" si="138"/>
        <v>0</v>
      </c>
      <c r="BK30" s="433">
        <f t="shared" si="109"/>
        <v>0</v>
      </c>
      <c r="BL30" s="434">
        <f t="shared" si="110"/>
        <v>0</v>
      </c>
      <c r="BM30" s="434">
        <f t="shared" si="111"/>
        <v>0</v>
      </c>
      <c r="BN30" s="434">
        <f t="shared" si="112"/>
        <v>0</v>
      </c>
      <c r="BO30" s="434">
        <f t="shared" si="113"/>
        <v>0</v>
      </c>
      <c r="BP30" s="434">
        <f t="shared" si="114"/>
        <v>0</v>
      </c>
      <c r="BQ30" s="434">
        <f t="shared" si="115"/>
        <v>0</v>
      </c>
      <c r="BR30" s="435">
        <f t="shared" si="116"/>
        <v>0</v>
      </c>
      <c r="BS30" s="436">
        <f t="shared" si="117"/>
        <v>0</v>
      </c>
      <c r="BU30" s="436">
        <f t="shared" si="139"/>
        <v>0</v>
      </c>
      <c r="BX30" s="501">
        <v>8</v>
      </c>
      <c r="BY30" s="502">
        <f>'GASTOS EJER. 1'!BN44</f>
        <v>0</v>
      </c>
      <c r="BZ30" s="503">
        <f>'GASTOS EJER. 1'!CM44</f>
        <v>0</v>
      </c>
      <c r="CA30" s="504">
        <f t="shared" si="140"/>
        <v>0</v>
      </c>
      <c r="CC30" s="505">
        <f>'GASTOS EJER. 1'!AW44+'GASTOS EJER. 1'!BM44-'GASTOS EJER. 1'!CM44-'GASTOS EJER. 1'!CP44</f>
        <v>0</v>
      </c>
      <c r="CD30" s="506" t="str">
        <f>IF('GASTOS EJER. 1'!CT44="","",'GASTOS EJER. 1'!CT44)</f>
        <v/>
      </c>
      <c r="CE30" s="503">
        <f>'GASTOS EJER. 1'!CP44</f>
        <v>0</v>
      </c>
      <c r="CF30" s="507" t="str">
        <f>IF('GASTOS EJER. 1'!CW44="","",'GASTOS EJER. 1'!CW44)</f>
        <v/>
      </c>
      <c r="CG30" s="508">
        <f>IF(AND(CD30&gt;=EXPEDIENTE!$I$25,CD30&lt;=EXPEDIENTE!$I$29),CC30,0)</f>
        <v>0</v>
      </c>
      <c r="CH30" s="451">
        <f>IF(AND(CF30&gt;=EXPEDIENTE!$I$25,CF30&lt;=EXPEDIENTE!$I$29),CE30,0)</f>
        <v>0</v>
      </c>
      <c r="CI30" s="504">
        <f t="shared" si="141"/>
        <v>0</v>
      </c>
      <c r="CJ30" s="509" t="str">
        <f>IF('GASTOS EJER. 1'!AQ44="","",'GASTOS EJER. 1'!AQ44)</f>
        <v/>
      </c>
      <c r="CK30" s="510" t="str">
        <f>IF('GASTOS EJER. 1'!AT44="","",'GASTOS EJER. 1'!AT44)</f>
        <v/>
      </c>
      <c r="CL30" s="511">
        <f t="shared" si="142"/>
        <v>0</v>
      </c>
      <c r="CM30" s="512">
        <f t="shared" si="118"/>
        <v>0</v>
      </c>
      <c r="CN30" s="453">
        <f t="shared" si="143"/>
        <v>0</v>
      </c>
      <c r="CP30" s="423">
        <v>8</v>
      </c>
      <c r="CQ30" s="424">
        <f t="shared" si="119"/>
        <v>45139</v>
      </c>
      <c r="CR30" s="437">
        <f t="shared" si="144"/>
        <v>0</v>
      </c>
      <c r="CS30" s="423">
        <f t="shared" si="145"/>
        <v>0</v>
      </c>
      <c r="CT30" s="423">
        <f t="shared" si="146"/>
        <v>0</v>
      </c>
      <c r="CU30" s="423">
        <f t="shared" si="147"/>
        <v>0</v>
      </c>
      <c r="CV30" s="423">
        <f t="shared" si="148"/>
        <v>0</v>
      </c>
      <c r="CW30" s="423">
        <f t="shared" si="149"/>
        <v>0</v>
      </c>
      <c r="CX30" s="423">
        <f t="shared" si="150"/>
        <v>0</v>
      </c>
      <c r="CY30" s="438">
        <f t="shared" si="151"/>
        <v>0</v>
      </c>
      <c r="CZ30" s="436">
        <f t="shared" si="152"/>
        <v>0</v>
      </c>
      <c r="DB30" s="437">
        <f t="shared" si="153"/>
        <v>0</v>
      </c>
      <c r="DC30" s="423">
        <f t="shared" si="154"/>
        <v>0</v>
      </c>
      <c r="DD30" s="423">
        <f t="shared" si="155"/>
        <v>0</v>
      </c>
      <c r="DE30" s="423">
        <f t="shared" si="156"/>
        <v>0</v>
      </c>
      <c r="DF30" s="423">
        <f t="shared" si="157"/>
        <v>0</v>
      </c>
      <c r="DG30" s="423">
        <f t="shared" si="158"/>
        <v>0</v>
      </c>
      <c r="DH30" s="423">
        <f t="shared" si="159"/>
        <v>0</v>
      </c>
      <c r="DI30" s="438">
        <f t="shared" si="160"/>
        <v>0</v>
      </c>
      <c r="DJ30" s="436">
        <f t="shared" si="120"/>
        <v>0</v>
      </c>
      <c r="DL30" s="436">
        <f t="shared" si="161"/>
        <v>0</v>
      </c>
      <c r="DN30" s="501">
        <v>8</v>
      </c>
      <c r="DO30" s="513">
        <f>'GASTOS EJER. 1'!$C44</f>
        <v>0</v>
      </c>
      <c r="DP30" s="510" t="str">
        <f t="shared" si="162"/>
        <v/>
      </c>
      <c r="DQ30" s="510" t="str">
        <f t="shared" si="163"/>
        <v/>
      </c>
      <c r="DR30" s="514">
        <f t="shared" si="164"/>
        <v>0</v>
      </c>
      <c r="DS30" s="515">
        <f>'GASTOS EJER. 1'!X44</f>
        <v>0</v>
      </c>
      <c r="DT30" s="506" t="str">
        <f>IF(DS30=0,"",'GASTOS EJER. 1'!AA44)</f>
        <v/>
      </c>
      <c r="DU30" s="506" t="str">
        <f t="shared" si="122"/>
        <v/>
      </c>
      <c r="DV30" s="504" t="e">
        <f>IF(AND(DU30&gt;=EXPEDIENTE!$F$25,DU30&lt;=EXPEDIENTE!$F$29),ROUNDDOWN(DS30/DR30,2),0)</f>
        <v>#DIV/0!</v>
      </c>
      <c r="DX30" s="386">
        <v>11</v>
      </c>
      <c r="DY30" s="430">
        <f t="shared" si="101"/>
        <v>45383</v>
      </c>
      <c r="DZ30" s="430">
        <f t="shared" si="102"/>
        <v>45412</v>
      </c>
      <c r="EA30" s="386" t="str">
        <f>IF(AND(DZ30&gt;=EXPEDIENTE!$F$25,DY30&lt;=EXPEDIENTE!$F$29),"SI","NO")</f>
        <v>SI</v>
      </c>
      <c r="EB30" s="423">
        <f t="shared" si="12"/>
        <v>0</v>
      </c>
      <c r="EC30" s="423">
        <f t="shared" si="13"/>
        <v>0</v>
      </c>
      <c r="ED30" s="423">
        <f t="shared" si="14"/>
        <v>0</v>
      </c>
      <c r="EE30" s="423">
        <f t="shared" si="15"/>
        <v>0</v>
      </c>
      <c r="EF30" s="423">
        <f t="shared" si="16"/>
        <v>0</v>
      </c>
      <c r="EG30" s="423">
        <f t="shared" si="17"/>
        <v>0</v>
      </c>
      <c r="EH30" s="423">
        <f t="shared" si="18"/>
        <v>0</v>
      </c>
      <c r="EI30" s="423">
        <f t="shared" si="19"/>
        <v>0</v>
      </c>
      <c r="EJ30" s="423">
        <f t="shared" si="20"/>
        <v>0</v>
      </c>
      <c r="EK30" s="423">
        <f t="shared" si="21"/>
        <v>0</v>
      </c>
      <c r="EL30" s="423">
        <f t="shared" si="22"/>
        <v>0</v>
      </c>
      <c r="EM30" s="423">
        <f t="shared" si="23"/>
        <v>0</v>
      </c>
      <c r="EN30" s="423">
        <f t="shared" si="24"/>
        <v>0</v>
      </c>
      <c r="EO30" s="423">
        <f t="shared" si="25"/>
        <v>0</v>
      </c>
      <c r="EP30" s="423">
        <f t="shared" si="26"/>
        <v>0</v>
      </c>
      <c r="EQ30" s="423">
        <f t="shared" si="27"/>
        <v>0</v>
      </c>
      <c r="ER30" s="423">
        <f t="shared" si="28"/>
        <v>0</v>
      </c>
      <c r="ES30" s="423">
        <f t="shared" si="29"/>
        <v>0</v>
      </c>
      <c r="ET30" s="423">
        <f t="shared" si="30"/>
        <v>0</v>
      </c>
      <c r="EU30" s="423">
        <f t="shared" si="31"/>
        <v>0</v>
      </c>
      <c r="EV30" s="423">
        <f t="shared" si="32"/>
        <v>0</v>
      </c>
      <c r="EW30" s="423">
        <f t="shared" si="33"/>
        <v>0</v>
      </c>
      <c r="EX30" s="423">
        <f t="shared" si="34"/>
        <v>0</v>
      </c>
      <c r="EY30" s="423">
        <f t="shared" si="35"/>
        <v>0</v>
      </c>
      <c r="EZ30" s="423">
        <f t="shared" si="36"/>
        <v>0</v>
      </c>
      <c r="FA30" s="423">
        <f t="shared" si="37"/>
        <v>0</v>
      </c>
      <c r="FB30" s="423">
        <f t="shared" si="38"/>
        <v>0</v>
      </c>
      <c r="FC30" s="423">
        <f t="shared" si="39"/>
        <v>0</v>
      </c>
      <c r="FD30" s="423">
        <f t="shared" si="40"/>
        <v>0</v>
      </c>
      <c r="FE30" s="423">
        <f t="shared" si="41"/>
        <v>0</v>
      </c>
      <c r="FF30" s="423">
        <f t="shared" si="42"/>
        <v>0</v>
      </c>
      <c r="FG30" s="423">
        <f t="shared" si="43"/>
        <v>0</v>
      </c>
      <c r="FH30" s="423">
        <f t="shared" si="66"/>
        <v>0</v>
      </c>
      <c r="FJ30" s="120">
        <v>8</v>
      </c>
      <c r="FK30" s="492">
        <f>DATE(YEAR(EXPEDIENTE!$F$25),FJ30,1)</f>
        <v>45139</v>
      </c>
      <c r="FL30" s="492" t="str">
        <f>IF('GASTOS EJER. 1'!I56="","",'GASTOS EJER. 1'!I56)</f>
        <v/>
      </c>
      <c r="FM30" s="500">
        <f>'GASTOS EJER. 1'!X27</f>
        <v>0</v>
      </c>
      <c r="FN30" s="500">
        <f>'GASTOS EJER. 1'!H56</f>
        <v>0</v>
      </c>
      <c r="FO30" s="423">
        <f t="shared" si="165"/>
        <v>0</v>
      </c>
      <c r="FP30" s="500">
        <f t="shared" si="123"/>
        <v>0</v>
      </c>
      <c r="FR30" s="501">
        <v>8</v>
      </c>
      <c r="FS30" s="513">
        <f>'GASTOS EJER. 1'!$C44</f>
        <v>0</v>
      </c>
      <c r="FT30" s="510" t="str">
        <f t="shared" si="166"/>
        <v/>
      </c>
      <c r="FU30" s="510" t="str">
        <f t="shared" si="167"/>
        <v/>
      </c>
      <c r="FV30" s="514">
        <f t="shared" si="168"/>
        <v>0</v>
      </c>
      <c r="FW30" s="515">
        <f>'GASTOS EJER. 1'!CM44</f>
        <v>0</v>
      </c>
      <c r="FX30" s="506" t="str">
        <f>IF(FW30=0,"",'GASTOS EJER. 1'!CT44)</f>
        <v/>
      </c>
      <c r="FY30" s="506" t="str">
        <f t="shared" si="124"/>
        <v/>
      </c>
      <c r="FZ30" s="504" t="e">
        <f>IF(AND(FY30&gt;=EXPEDIENTE!$F$25,FY30&lt;=EXPEDIENTE!$F$29),ROUNDDOWN(FW30/FV30,2),0)</f>
        <v>#DIV/0!</v>
      </c>
      <c r="GB30" s="386">
        <v>11</v>
      </c>
      <c r="GC30" s="430">
        <f t="shared" si="103"/>
        <v>45383</v>
      </c>
      <c r="GD30" s="430">
        <f t="shared" si="104"/>
        <v>45412</v>
      </c>
      <c r="GE30" s="386" t="str">
        <f>IF(AND(GD30&gt;=EXPEDIENTE!$F$25,GC30&lt;=EXPEDIENTE!$F$29),"SI","NO")</f>
        <v>SI</v>
      </c>
      <c r="GF30" s="423">
        <f t="shared" si="67"/>
        <v>0</v>
      </c>
      <c r="GG30" s="423">
        <f t="shared" si="68"/>
        <v>0</v>
      </c>
      <c r="GH30" s="423">
        <f t="shared" si="69"/>
        <v>0</v>
      </c>
      <c r="GI30" s="423">
        <f t="shared" si="70"/>
        <v>0</v>
      </c>
      <c r="GJ30" s="423">
        <f t="shared" si="71"/>
        <v>0</v>
      </c>
      <c r="GK30" s="423">
        <f t="shared" si="72"/>
        <v>0</v>
      </c>
      <c r="GL30" s="423">
        <f t="shared" si="73"/>
        <v>0</v>
      </c>
      <c r="GM30" s="423">
        <f t="shared" si="74"/>
        <v>0</v>
      </c>
      <c r="GN30" s="423">
        <f t="shared" si="75"/>
        <v>0</v>
      </c>
      <c r="GO30" s="423">
        <f t="shared" si="76"/>
        <v>0</v>
      </c>
      <c r="GP30" s="423">
        <f t="shared" si="77"/>
        <v>0</v>
      </c>
      <c r="GQ30" s="423">
        <f t="shared" si="78"/>
        <v>0</v>
      </c>
      <c r="GR30" s="423">
        <f t="shared" si="79"/>
        <v>0</v>
      </c>
      <c r="GS30" s="423">
        <f t="shared" si="80"/>
        <v>0</v>
      </c>
      <c r="GT30" s="423">
        <f t="shared" si="81"/>
        <v>0</v>
      </c>
      <c r="GU30" s="423">
        <f t="shared" si="82"/>
        <v>0</v>
      </c>
      <c r="GV30" s="423">
        <f t="shared" si="83"/>
        <v>0</v>
      </c>
      <c r="GW30" s="423">
        <f t="shared" si="84"/>
        <v>0</v>
      </c>
      <c r="GX30" s="423">
        <f t="shared" si="85"/>
        <v>0</v>
      </c>
      <c r="GY30" s="423">
        <f t="shared" si="86"/>
        <v>0</v>
      </c>
      <c r="GZ30" s="423">
        <f t="shared" si="87"/>
        <v>0</v>
      </c>
      <c r="HA30" s="423">
        <f t="shared" si="88"/>
        <v>0</v>
      </c>
      <c r="HB30" s="423">
        <f t="shared" si="89"/>
        <v>0</v>
      </c>
      <c r="HC30" s="423">
        <f t="shared" si="90"/>
        <v>0</v>
      </c>
      <c r="HD30" s="423">
        <f t="shared" si="91"/>
        <v>0</v>
      </c>
      <c r="HE30" s="423">
        <f t="shared" si="92"/>
        <v>0</v>
      </c>
      <c r="HF30" s="423">
        <f t="shared" si="93"/>
        <v>0</v>
      </c>
      <c r="HG30" s="423">
        <f t="shared" si="94"/>
        <v>0</v>
      </c>
      <c r="HH30" s="423">
        <f t="shared" si="95"/>
        <v>0</v>
      </c>
      <c r="HI30" s="423">
        <f t="shared" si="96"/>
        <v>0</v>
      </c>
      <c r="HJ30" s="423">
        <f t="shared" si="97"/>
        <v>0</v>
      </c>
      <c r="HK30" s="423">
        <f t="shared" si="98"/>
        <v>0</v>
      </c>
      <c r="HL30" s="423">
        <f t="shared" si="99"/>
        <v>0</v>
      </c>
      <c r="HO30" s="120">
        <v>8</v>
      </c>
      <c r="HP30" s="492">
        <f>DATE(YEAR(EXPEDIENTE!$F$25),HO30,1)</f>
        <v>45139</v>
      </c>
      <c r="HQ30" s="492" t="str">
        <f>IF('GASTOS EJER. 1'!BF56="","",'GASTOS EJER. 1'!BF56)</f>
        <v/>
      </c>
      <c r="HR30" s="500">
        <f>'GASTOS EJER. 1'!CM27</f>
        <v>0</v>
      </c>
      <c r="HS30" s="500">
        <f>'GASTOS EJER. 1'!BA56</f>
        <v>0</v>
      </c>
      <c r="HT30" s="423">
        <f t="shared" si="169"/>
        <v>0</v>
      </c>
      <c r="HU30" s="500">
        <f t="shared" si="125"/>
        <v>0</v>
      </c>
      <c r="JC30" s="406">
        <v>26</v>
      </c>
      <c r="JD30" s="398">
        <f t="shared" si="100"/>
        <v>10</v>
      </c>
    </row>
    <row r="31" spans="3:264" x14ac:dyDescent="0.25">
      <c r="C31" s="206">
        <v>25</v>
      </c>
      <c r="D31" s="401"/>
      <c r="E31" s="417"/>
      <c r="F31" s="418"/>
      <c r="G31" s="419"/>
      <c r="H31" s="419"/>
      <c r="I31" s="419"/>
      <c r="J31" s="401"/>
      <c r="K31" s="407">
        <f t="shared" si="52"/>
        <v>76</v>
      </c>
      <c r="L31" s="407">
        <f t="shared" si="53"/>
        <v>76</v>
      </c>
      <c r="M31" s="407" t="str">
        <f t="shared" si="54"/>
        <v>X</v>
      </c>
      <c r="V31" s="981"/>
      <c r="W31" s="441" t="s">
        <v>267</v>
      </c>
      <c r="Y31" s="422">
        <f t="shared" si="0"/>
        <v>26</v>
      </c>
      <c r="Z31" s="412" t="str">
        <f>IF(Y31="","",IF(EDATE($Z$5,Y31)&gt;EXPEDIENTE!$F$27,"",EDATE($Z$5,Y31)))</f>
        <v/>
      </c>
      <c r="AA31" s="412" t="str">
        <f>IF(Z31="","",IF(YEAR(EXPEDIENTE!$F$25)=YEAR(Z31),Z31,""))</f>
        <v/>
      </c>
      <c r="AB31" s="412" t="str">
        <f>IF(Z31="","",IF(YEAR(EXPEDIENTE!$F$25)+1=YEAR(Z31),Z31,""))</f>
        <v/>
      </c>
      <c r="AC31" s="412" t="str">
        <f>IF(Z31="","",IF(YEAR(EXPEDIENTE!$F$25)+2=YEAR(Z31),Z31,""))</f>
        <v/>
      </c>
      <c r="AD31" s="412" t="str">
        <f>IF(Z31="","",IF(YEAR(EXPEDIENTE!$F$25)+3=YEAR(Z31),Z31,""))</f>
        <v/>
      </c>
      <c r="AG31" s="392"/>
      <c r="AH31" s="392"/>
      <c r="AI31" s="392"/>
      <c r="AJ31" s="392"/>
      <c r="AK31" s="392"/>
      <c r="AL31" s="392"/>
      <c r="AM31" s="392"/>
      <c r="AN31" s="392"/>
      <c r="AO31" s="392"/>
      <c r="AP31" s="392"/>
      <c r="AQ31" s="392"/>
      <c r="AR31" s="392"/>
      <c r="AS31" s="392"/>
      <c r="AT31" s="392"/>
      <c r="AU31" s="392"/>
      <c r="AV31" s="392"/>
      <c r="AW31" s="392"/>
      <c r="AY31" s="423">
        <v>9</v>
      </c>
      <c r="AZ31" s="424">
        <f t="shared" si="106"/>
        <v>45170</v>
      </c>
      <c r="BA31" s="433">
        <f t="shared" si="130"/>
        <v>0</v>
      </c>
      <c r="BB31" s="434">
        <f t="shared" si="131"/>
        <v>0</v>
      </c>
      <c r="BC31" s="434">
        <f t="shared" si="132"/>
        <v>0</v>
      </c>
      <c r="BD31" s="434">
        <f t="shared" si="133"/>
        <v>0</v>
      </c>
      <c r="BE31" s="434">
        <f t="shared" si="134"/>
        <v>0</v>
      </c>
      <c r="BF31" s="434">
        <f t="shared" si="135"/>
        <v>0</v>
      </c>
      <c r="BG31" s="434">
        <f t="shared" si="136"/>
        <v>0</v>
      </c>
      <c r="BH31" s="435">
        <f t="shared" si="137"/>
        <v>0</v>
      </c>
      <c r="BI31" s="436">
        <f t="shared" si="138"/>
        <v>0</v>
      </c>
      <c r="BK31" s="433">
        <f t="shared" si="109"/>
        <v>0</v>
      </c>
      <c r="BL31" s="434">
        <f t="shared" si="110"/>
        <v>0</v>
      </c>
      <c r="BM31" s="434">
        <f t="shared" si="111"/>
        <v>0</v>
      </c>
      <c r="BN31" s="434">
        <f t="shared" si="112"/>
        <v>0</v>
      </c>
      <c r="BO31" s="434">
        <f t="shared" si="113"/>
        <v>0</v>
      </c>
      <c r="BP31" s="434">
        <f t="shared" si="114"/>
        <v>0</v>
      </c>
      <c r="BQ31" s="434">
        <f t="shared" si="115"/>
        <v>0</v>
      </c>
      <c r="BR31" s="435">
        <f t="shared" si="116"/>
        <v>0</v>
      </c>
      <c r="BS31" s="436">
        <f t="shared" si="117"/>
        <v>0</v>
      </c>
      <c r="BU31" s="436">
        <f t="shared" si="139"/>
        <v>0</v>
      </c>
      <c r="BX31" s="392"/>
      <c r="BY31" s="392"/>
      <c r="BZ31" s="392"/>
      <c r="CA31" s="392"/>
      <c r="CB31" s="392"/>
      <c r="CC31" s="392"/>
      <c r="CD31" s="392"/>
      <c r="CE31" s="392"/>
      <c r="CF31" s="392"/>
      <c r="CG31" s="392"/>
      <c r="CH31" s="392"/>
      <c r="CI31" s="392"/>
      <c r="CJ31" s="392"/>
      <c r="CK31" s="392"/>
      <c r="CL31" s="392"/>
      <c r="CM31" s="392"/>
      <c r="CN31" s="392"/>
      <c r="CP31" s="423">
        <v>9</v>
      </c>
      <c r="CQ31" s="424">
        <f t="shared" si="119"/>
        <v>45170</v>
      </c>
      <c r="CR31" s="437">
        <f t="shared" si="144"/>
        <v>0</v>
      </c>
      <c r="CS31" s="423">
        <f t="shared" si="145"/>
        <v>0</v>
      </c>
      <c r="CT31" s="423">
        <f t="shared" si="146"/>
        <v>0</v>
      </c>
      <c r="CU31" s="423">
        <f t="shared" si="147"/>
        <v>0</v>
      </c>
      <c r="CV31" s="423">
        <f t="shared" si="148"/>
        <v>0</v>
      </c>
      <c r="CW31" s="423">
        <f t="shared" si="149"/>
        <v>0</v>
      </c>
      <c r="CX31" s="423">
        <f t="shared" si="150"/>
        <v>0</v>
      </c>
      <c r="CY31" s="438">
        <f t="shared" si="151"/>
        <v>0</v>
      </c>
      <c r="CZ31" s="436">
        <f t="shared" si="152"/>
        <v>0</v>
      </c>
      <c r="DB31" s="437">
        <f t="shared" si="153"/>
        <v>0</v>
      </c>
      <c r="DC31" s="423">
        <f t="shared" si="154"/>
        <v>0</v>
      </c>
      <c r="DD31" s="423">
        <f t="shared" si="155"/>
        <v>0</v>
      </c>
      <c r="DE31" s="423">
        <f t="shared" si="156"/>
        <v>0</v>
      </c>
      <c r="DF31" s="423">
        <f t="shared" si="157"/>
        <v>0</v>
      </c>
      <c r="DG31" s="423">
        <f t="shared" si="158"/>
        <v>0</v>
      </c>
      <c r="DH31" s="423">
        <f t="shared" si="159"/>
        <v>0</v>
      </c>
      <c r="DI31" s="438">
        <f t="shared" si="160"/>
        <v>0</v>
      </c>
      <c r="DJ31" s="436">
        <f t="shared" si="120"/>
        <v>0</v>
      </c>
      <c r="DL31" s="436">
        <f t="shared" si="161"/>
        <v>0</v>
      </c>
      <c r="DN31" s="392"/>
      <c r="DX31" s="386">
        <v>12</v>
      </c>
      <c r="DY31" s="430">
        <f t="shared" si="101"/>
        <v>45413</v>
      </c>
      <c r="DZ31" s="430">
        <f t="shared" si="102"/>
        <v>45443</v>
      </c>
      <c r="EA31" s="386" t="str">
        <f>IF(AND(DZ31&gt;=EXPEDIENTE!$F$25,DY31&lt;=EXPEDIENTE!$F$29),"SI","NO")</f>
        <v>SI</v>
      </c>
      <c r="EB31" s="423">
        <f t="shared" si="12"/>
        <v>0</v>
      </c>
      <c r="EC31" s="423">
        <f t="shared" si="13"/>
        <v>0</v>
      </c>
      <c r="ED31" s="423">
        <f t="shared" si="14"/>
        <v>0</v>
      </c>
      <c r="EE31" s="423">
        <f t="shared" si="15"/>
        <v>0</v>
      </c>
      <c r="EF31" s="423">
        <f t="shared" si="16"/>
        <v>0</v>
      </c>
      <c r="EG31" s="423">
        <f t="shared" si="17"/>
        <v>0</v>
      </c>
      <c r="EH31" s="423">
        <f t="shared" si="18"/>
        <v>0</v>
      </c>
      <c r="EI31" s="423">
        <f t="shared" si="19"/>
        <v>0</v>
      </c>
      <c r="EJ31" s="423">
        <f t="shared" si="20"/>
        <v>0</v>
      </c>
      <c r="EK31" s="423">
        <f t="shared" si="21"/>
        <v>0</v>
      </c>
      <c r="EL31" s="423">
        <f t="shared" si="22"/>
        <v>0</v>
      </c>
      <c r="EM31" s="423">
        <f t="shared" si="23"/>
        <v>0</v>
      </c>
      <c r="EN31" s="423">
        <f t="shared" si="24"/>
        <v>0</v>
      </c>
      <c r="EO31" s="423">
        <f t="shared" si="25"/>
        <v>0</v>
      </c>
      <c r="EP31" s="423">
        <f t="shared" si="26"/>
        <v>0</v>
      </c>
      <c r="EQ31" s="423">
        <f t="shared" si="27"/>
        <v>0</v>
      </c>
      <c r="ER31" s="423">
        <f t="shared" si="28"/>
        <v>0</v>
      </c>
      <c r="ES31" s="423">
        <f t="shared" si="29"/>
        <v>0</v>
      </c>
      <c r="ET31" s="423">
        <f t="shared" si="30"/>
        <v>0</v>
      </c>
      <c r="EU31" s="423">
        <f t="shared" si="31"/>
        <v>0</v>
      </c>
      <c r="EV31" s="423">
        <f t="shared" si="32"/>
        <v>0</v>
      </c>
      <c r="EW31" s="423">
        <f t="shared" si="33"/>
        <v>0</v>
      </c>
      <c r="EX31" s="423">
        <f t="shared" si="34"/>
        <v>0</v>
      </c>
      <c r="EY31" s="423">
        <f t="shared" si="35"/>
        <v>0</v>
      </c>
      <c r="EZ31" s="423">
        <f t="shared" si="36"/>
        <v>0</v>
      </c>
      <c r="FA31" s="423">
        <f t="shared" si="37"/>
        <v>0</v>
      </c>
      <c r="FB31" s="423">
        <f t="shared" si="38"/>
        <v>0</v>
      </c>
      <c r="FC31" s="423">
        <f t="shared" si="39"/>
        <v>0</v>
      </c>
      <c r="FD31" s="423">
        <f t="shared" si="40"/>
        <v>0</v>
      </c>
      <c r="FE31" s="423">
        <f t="shared" si="41"/>
        <v>0</v>
      </c>
      <c r="FF31" s="423">
        <f t="shared" si="42"/>
        <v>0</v>
      </c>
      <c r="FG31" s="423">
        <f t="shared" si="43"/>
        <v>0</v>
      </c>
      <c r="FH31" s="423">
        <f t="shared" si="66"/>
        <v>0</v>
      </c>
      <c r="FJ31" s="120">
        <v>9</v>
      </c>
      <c r="FK31" s="492">
        <f>DATE(YEAR(EXPEDIENTE!$F$25),FJ31,1)</f>
        <v>45170</v>
      </c>
      <c r="FL31" s="492" t="str">
        <f>IF('GASTOS EJER. 1'!I57="","",'GASTOS EJER. 1'!I57)</f>
        <v/>
      </c>
      <c r="FM31" s="500">
        <f>'GASTOS EJER. 1'!X28</f>
        <v>0</v>
      </c>
      <c r="FN31" s="500">
        <f>'GASTOS EJER. 1'!H57</f>
        <v>0</v>
      </c>
      <c r="FO31" s="423">
        <f t="shared" si="165"/>
        <v>0</v>
      </c>
      <c r="FP31" s="500">
        <f t="shared" si="123"/>
        <v>0</v>
      </c>
      <c r="FR31" s="392"/>
      <c r="GB31" s="386">
        <v>12</v>
      </c>
      <c r="GC31" s="430">
        <f t="shared" si="103"/>
        <v>45413</v>
      </c>
      <c r="GD31" s="430">
        <f t="shared" si="104"/>
        <v>45443</v>
      </c>
      <c r="GE31" s="386" t="str">
        <f>IF(AND(GD31&gt;=EXPEDIENTE!$F$25,GC31&lt;=EXPEDIENTE!$F$29),"SI","NO")</f>
        <v>SI</v>
      </c>
      <c r="GF31" s="423">
        <f t="shared" si="67"/>
        <v>0</v>
      </c>
      <c r="GG31" s="423">
        <f t="shared" si="68"/>
        <v>0</v>
      </c>
      <c r="GH31" s="423">
        <f t="shared" si="69"/>
        <v>0</v>
      </c>
      <c r="GI31" s="423">
        <f t="shared" si="70"/>
        <v>0</v>
      </c>
      <c r="GJ31" s="423">
        <f t="shared" si="71"/>
        <v>0</v>
      </c>
      <c r="GK31" s="423">
        <f t="shared" si="72"/>
        <v>0</v>
      </c>
      <c r="GL31" s="423">
        <f t="shared" si="73"/>
        <v>0</v>
      </c>
      <c r="GM31" s="423">
        <f t="shared" si="74"/>
        <v>0</v>
      </c>
      <c r="GN31" s="423">
        <f t="shared" si="75"/>
        <v>0</v>
      </c>
      <c r="GO31" s="423">
        <f t="shared" si="76"/>
        <v>0</v>
      </c>
      <c r="GP31" s="423">
        <f t="shared" si="77"/>
        <v>0</v>
      </c>
      <c r="GQ31" s="423">
        <f t="shared" si="78"/>
        <v>0</v>
      </c>
      <c r="GR31" s="423">
        <f t="shared" si="79"/>
        <v>0</v>
      </c>
      <c r="GS31" s="423">
        <f t="shared" si="80"/>
        <v>0</v>
      </c>
      <c r="GT31" s="423">
        <f t="shared" si="81"/>
        <v>0</v>
      </c>
      <c r="GU31" s="423">
        <f t="shared" si="82"/>
        <v>0</v>
      </c>
      <c r="GV31" s="423">
        <f t="shared" si="83"/>
        <v>0</v>
      </c>
      <c r="GW31" s="423">
        <f t="shared" si="84"/>
        <v>0</v>
      </c>
      <c r="GX31" s="423">
        <f t="shared" si="85"/>
        <v>0</v>
      </c>
      <c r="GY31" s="423">
        <f t="shared" si="86"/>
        <v>0</v>
      </c>
      <c r="GZ31" s="423">
        <f t="shared" si="87"/>
        <v>0</v>
      </c>
      <c r="HA31" s="423">
        <f t="shared" si="88"/>
        <v>0</v>
      </c>
      <c r="HB31" s="423">
        <f t="shared" si="89"/>
        <v>0</v>
      </c>
      <c r="HC31" s="423">
        <f t="shared" si="90"/>
        <v>0</v>
      </c>
      <c r="HD31" s="423">
        <f t="shared" si="91"/>
        <v>0</v>
      </c>
      <c r="HE31" s="423">
        <f t="shared" si="92"/>
        <v>0</v>
      </c>
      <c r="HF31" s="423">
        <f t="shared" si="93"/>
        <v>0</v>
      </c>
      <c r="HG31" s="423">
        <f t="shared" si="94"/>
        <v>0</v>
      </c>
      <c r="HH31" s="423">
        <f t="shared" si="95"/>
        <v>0</v>
      </c>
      <c r="HI31" s="423">
        <f t="shared" si="96"/>
        <v>0</v>
      </c>
      <c r="HJ31" s="423">
        <f t="shared" si="97"/>
        <v>0</v>
      </c>
      <c r="HK31" s="423">
        <f t="shared" si="98"/>
        <v>0</v>
      </c>
      <c r="HL31" s="423">
        <f t="shared" si="99"/>
        <v>0</v>
      </c>
      <c r="HO31" s="120">
        <v>9</v>
      </c>
      <c r="HP31" s="492">
        <f>DATE(YEAR(EXPEDIENTE!$F$25),HO31,1)</f>
        <v>45170</v>
      </c>
      <c r="HQ31" s="492" t="str">
        <f>IF('GASTOS EJER. 1'!BF57="","",'GASTOS EJER. 1'!BF57)</f>
        <v/>
      </c>
      <c r="HR31" s="500">
        <f>'GASTOS EJER. 1'!CM28</f>
        <v>0</v>
      </c>
      <c r="HS31" s="500">
        <f>'GASTOS EJER. 1'!BA57</f>
        <v>0</v>
      </c>
      <c r="HT31" s="423">
        <f t="shared" si="169"/>
        <v>0</v>
      </c>
      <c r="HU31" s="500">
        <f t="shared" si="125"/>
        <v>0</v>
      </c>
      <c r="JC31" s="416">
        <v>27</v>
      </c>
      <c r="JD31" s="398">
        <f t="shared" si="100"/>
        <v>10</v>
      </c>
    </row>
    <row r="32" spans="3:264" ht="15.75" thickBot="1" x14ac:dyDescent="0.3">
      <c r="C32" s="206">
        <v>26</v>
      </c>
      <c r="D32" s="401"/>
      <c r="E32" s="417"/>
      <c r="F32" s="418"/>
      <c r="G32" s="419"/>
      <c r="H32" s="419"/>
      <c r="I32" s="419"/>
      <c r="J32" s="401"/>
      <c r="K32" s="407">
        <f t="shared" si="52"/>
        <v>76</v>
      </c>
      <c r="L32" s="407">
        <f t="shared" si="53"/>
        <v>76</v>
      </c>
      <c r="M32" s="407" t="str">
        <f t="shared" si="54"/>
        <v>X</v>
      </c>
      <c r="V32" s="982"/>
      <c r="W32" s="421" t="s">
        <v>268</v>
      </c>
      <c r="Y32" s="422">
        <f t="shared" si="0"/>
        <v>27</v>
      </c>
      <c r="Z32" s="412" t="str">
        <f>IF(Y32="","",IF(EDATE($Z$5,Y32)&gt;EXPEDIENTE!$F$27,"",EDATE($Z$5,Y32)))</f>
        <v/>
      </c>
      <c r="AA32" s="412" t="str">
        <f>IF(Z32="","",IF(YEAR(EXPEDIENTE!$F$25)=YEAR(Z32),Z32,""))</f>
        <v/>
      </c>
      <c r="AB32" s="412" t="str">
        <f>IF(Z32="","",IF(YEAR(EXPEDIENTE!$F$25)+1=YEAR(Z32),Z32,""))</f>
        <v/>
      </c>
      <c r="AC32" s="412" t="str">
        <f>IF(Z32="","",IF(YEAR(EXPEDIENTE!$F$25)+2=YEAR(Z32),Z32,""))</f>
        <v/>
      </c>
      <c r="AD32" s="412" t="str">
        <f>IF(Z32="","",IF(YEAR(EXPEDIENTE!$F$25)+3=YEAR(Z32),Z32,""))</f>
        <v/>
      </c>
      <c r="AG32" s="392"/>
      <c r="AH32" s="392"/>
      <c r="AI32" s="392"/>
      <c r="AJ32" s="392"/>
      <c r="AK32" s="392"/>
      <c r="AL32" s="392"/>
      <c r="AM32" s="392"/>
      <c r="AN32" s="392"/>
      <c r="AO32" s="392"/>
      <c r="AP32" s="392"/>
      <c r="AQ32" s="392"/>
      <c r="AR32" s="392"/>
      <c r="AS32" s="392"/>
      <c r="AT32" s="392"/>
      <c r="AU32" s="392"/>
      <c r="AV32" s="392"/>
      <c r="AW32" s="392"/>
      <c r="AY32" s="423">
        <v>10</v>
      </c>
      <c r="AZ32" s="424">
        <f t="shared" si="106"/>
        <v>45200</v>
      </c>
      <c r="BA32" s="433">
        <f t="shared" si="130"/>
        <v>0</v>
      </c>
      <c r="BB32" s="434">
        <f t="shared" si="131"/>
        <v>0</v>
      </c>
      <c r="BC32" s="434">
        <f t="shared" si="132"/>
        <v>0</v>
      </c>
      <c r="BD32" s="434">
        <f t="shared" si="133"/>
        <v>0</v>
      </c>
      <c r="BE32" s="434">
        <f t="shared" si="134"/>
        <v>0</v>
      </c>
      <c r="BF32" s="434">
        <f t="shared" si="135"/>
        <v>0</v>
      </c>
      <c r="BG32" s="434">
        <f t="shared" si="136"/>
        <v>0</v>
      </c>
      <c r="BH32" s="435">
        <f t="shared" si="137"/>
        <v>0</v>
      </c>
      <c r="BI32" s="436">
        <f t="shared" si="138"/>
        <v>0</v>
      </c>
      <c r="BK32" s="433">
        <f t="shared" si="109"/>
        <v>0</v>
      </c>
      <c r="BL32" s="434">
        <f t="shared" si="110"/>
        <v>0</v>
      </c>
      <c r="BM32" s="434">
        <f t="shared" si="111"/>
        <v>0</v>
      </c>
      <c r="BN32" s="434">
        <f t="shared" si="112"/>
        <v>0</v>
      </c>
      <c r="BO32" s="434">
        <f t="shared" si="113"/>
        <v>0</v>
      </c>
      <c r="BP32" s="434">
        <f t="shared" si="114"/>
        <v>0</v>
      </c>
      <c r="BQ32" s="434">
        <f t="shared" si="115"/>
        <v>0</v>
      </c>
      <c r="BR32" s="435">
        <f t="shared" si="116"/>
        <v>0</v>
      </c>
      <c r="BS32" s="436">
        <f t="shared" si="117"/>
        <v>0</v>
      </c>
      <c r="BU32" s="436">
        <f t="shared" si="139"/>
        <v>0</v>
      </c>
      <c r="BX32" s="392"/>
      <c r="BY32" s="392"/>
      <c r="BZ32" s="392"/>
      <c r="CA32" s="392"/>
      <c r="CB32" s="392"/>
      <c r="CC32" s="392"/>
      <c r="CD32" s="392"/>
      <c r="CE32" s="392"/>
      <c r="CF32" s="392"/>
      <c r="CG32" s="392"/>
      <c r="CH32" s="392"/>
      <c r="CI32" s="392"/>
      <c r="CJ32" s="392"/>
      <c r="CK32" s="392"/>
      <c r="CL32" s="392"/>
      <c r="CM32" s="392"/>
      <c r="CN32" s="392"/>
      <c r="CP32" s="423">
        <v>10</v>
      </c>
      <c r="CQ32" s="424">
        <f t="shared" si="119"/>
        <v>45200</v>
      </c>
      <c r="CR32" s="437">
        <f t="shared" si="144"/>
        <v>0</v>
      </c>
      <c r="CS32" s="423">
        <f t="shared" si="145"/>
        <v>0</v>
      </c>
      <c r="CT32" s="423">
        <f t="shared" si="146"/>
        <v>0</v>
      </c>
      <c r="CU32" s="423">
        <f t="shared" si="147"/>
        <v>0</v>
      </c>
      <c r="CV32" s="423">
        <f t="shared" si="148"/>
        <v>0</v>
      </c>
      <c r="CW32" s="423">
        <f t="shared" si="149"/>
        <v>0</v>
      </c>
      <c r="CX32" s="423">
        <f t="shared" si="150"/>
        <v>0</v>
      </c>
      <c r="CY32" s="438">
        <f t="shared" si="151"/>
        <v>0</v>
      </c>
      <c r="CZ32" s="436">
        <f t="shared" si="152"/>
        <v>0</v>
      </c>
      <c r="DB32" s="437">
        <f t="shared" si="153"/>
        <v>0</v>
      </c>
      <c r="DC32" s="423">
        <f t="shared" si="154"/>
        <v>0</v>
      </c>
      <c r="DD32" s="423">
        <f t="shared" si="155"/>
        <v>0</v>
      </c>
      <c r="DE32" s="423">
        <f t="shared" si="156"/>
        <v>0</v>
      </c>
      <c r="DF32" s="423">
        <f t="shared" si="157"/>
        <v>0</v>
      </c>
      <c r="DG32" s="423">
        <f t="shared" si="158"/>
        <v>0</v>
      </c>
      <c r="DH32" s="423">
        <f t="shared" si="159"/>
        <v>0</v>
      </c>
      <c r="DI32" s="438">
        <f t="shared" si="160"/>
        <v>0</v>
      </c>
      <c r="DJ32" s="436">
        <f t="shared" si="120"/>
        <v>0</v>
      </c>
      <c r="DL32" s="436">
        <f t="shared" si="161"/>
        <v>0</v>
      </c>
      <c r="DN32" s="392"/>
      <c r="DX32" s="386">
        <v>13</v>
      </c>
      <c r="DY32" s="430">
        <f t="shared" si="101"/>
        <v>45444</v>
      </c>
      <c r="DZ32" s="430">
        <f t="shared" si="102"/>
        <v>45473</v>
      </c>
      <c r="EA32" s="386" t="str">
        <f>IF(AND(DZ32&gt;=EXPEDIENTE!$F$25,DY32&lt;=EXPEDIENTE!$F$29),"SI","NO")</f>
        <v>SI</v>
      </c>
      <c r="EB32" s="423">
        <f t="shared" si="12"/>
        <v>0</v>
      </c>
      <c r="EC32" s="423">
        <f t="shared" si="13"/>
        <v>0</v>
      </c>
      <c r="ED32" s="423">
        <f t="shared" si="14"/>
        <v>0</v>
      </c>
      <c r="EE32" s="423">
        <f t="shared" si="15"/>
        <v>0</v>
      </c>
      <c r="EF32" s="423">
        <f t="shared" si="16"/>
        <v>0</v>
      </c>
      <c r="EG32" s="423">
        <f t="shared" si="17"/>
        <v>0</v>
      </c>
      <c r="EH32" s="423">
        <f t="shared" si="18"/>
        <v>0</v>
      </c>
      <c r="EI32" s="423">
        <f t="shared" si="19"/>
        <v>0</v>
      </c>
      <c r="EJ32" s="423">
        <f t="shared" si="20"/>
        <v>0</v>
      </c>
      <c r="EK32" s="423">
        <f t="shared" si="21"/>
        <v>0</v>
      </c>
      <c r="EL32" s="423">
        <f t="shared" si="22"/>
        <v>0</v>
      </c>
      <c r="EM32" s="423">
        <f t="shared" si="23"/>
        <v>0</v>
      </c>
      <c r="EN32" s="423">
        <f t="shared" si="24"/>
        <v>0</v>
      </c>
      <c r="EO32" s="423">
        <f t="shared" si="25"/>
        <v>0</v>
      </c>
      <c r="EP32" s="423">
        <f t="shared" si="26"/>
        <v>0</v>
      </c>
      <c r="EQ32" s="423">
        <f t="shared" si="27"/>
        <v>0</v>
      </c>
      <c r="ER32" s="423">
        <f t="shared" si="28"/>
        <v>0</v>
      </c>
      <c r="ES32" s="423">
        <f t="shared" si="29"/>
        <v>0</v>
      </c>
      <c r="ET32" s="423">
        <f t="shared" si="30"/>
        <v>0</v>
      </c>
      <c r="EU32" s="423">
        <f t="shared" si="31"/>
        <v>0</v>
      </c>
      <c r="EV32" s="423">
        <f t="shared" si="32"/>
        <v>0</v>
      </c>
      <c r="EW32" s="423">
        <f t="shared" si="33"/>
        <v>0</v>
      </c>
      <c r="EX32" s="423">
        <f t="shared" si="34"/>
        <v>0</v>
      </c>
      <c r="EY32" s="423">
        <f t="shared" si="35"/>
        <v>0</v>
      </c>
      <c r="EZ32" s="423">
        <f t="shared" si="36"/>
        <v>0</v>
      </c>
      <c r="FA32" s="423">
        <f t="shared" si="37"/>
        <v>0</v>
      </c>
      <c r="FB32" s="423">
        <f t="shared" si="38"/>
        <v>0</v>
      </c>
      <c r="FC32" s="423">
        <f t="shared" si="39"/>
        <v>0</v>
      </c>
      <c r="FD32" s="423">
        <f t="shared" si="40"/>
        <v>0</v>
      </c>
      <c r="FE32" s="423">
        <f t="shared" si="41"/>
        <v>0</v>
      </c>
      <c r="FF32" s="423">
        <f t="shared" si="42"/>
        <v>0</v>
      </c>
      <c r="FG32" s="423">
        <f t="shared" si="43"/>
        <v>0</v>
      </c>
      <c r="FH32" s="423">
        <f t="shared" si="66"/>
        <v>0</v>
      </c>
      <c r="FJ32" s="120">
        <v>10</v>
      </c>
      <c r="FK32" s="492">
        <f>DATE(YEAR(EXPEDIENTE!$F$25),FJ32,1)</f>
        <v>45200</v>
      </c>
      <c r="FL32" s="492" t="str">
        <f>IF('GASTOS EJER. 1'!I58="","",'GASTOS EJER. 1'!I58)</f>
        <v/>
      </c>
      <c r="FM32" s="500">
        <f>'GASTOS EJER. 1'!X29</f>
        <v>0</v>
      </c>
      <c r="FN32" s="500">
        <f>'GASTOS EJER. 1'!H58</f>
        <v>0</v>
      </c>
      <c r="FO32" s="423">
        <f t="shared" si="165"/>
        <v>0</v>
      </c>
      <c r="FP32" s="500">
        <f t="shared" si="123"/>
        <v>0</v>
      </c>
      <c r="FR32" s="392"/>
      <c r="GB32" s="386">
        <v>13</v>
      </c>
      <c r="GC32" s="430">
        <f t="shared" si="103"/>
        <v>45444</v>
      </c>
      <c r="GD32" s="430">
        <f t="shared" si="104"/>
        <v>45473</v>
      </c>
      <c r="GE32" s="386" t="str">
        <f>IF(AND(GD32&gt;=EXPEDIENTE!$F$25,GC32&lt;=EXPEDIENTE!$F$29),"SI","NO")</f>
        <v>SI</v>
      </c>
      <c r="GF32" s="423">
        <f t="shared" si="67"/>
        <v>0</v>
      </c>
      <c r="GG32" s="423">
        <f t="shared" si="68"/>
        <v>0</v>
      </c>
      <c r="GH32" s="423">
        <f t="shared" si="69"/>
        <v>0</v>
      </c>
      <c r="GI32" s="423">
        <f t="shared" si="70"/>
        <v>0</v>
      </c>
      <c r="GJ32" s="423">
        <f t="shared" si="71"/>
        <v>0</v>
      </c>
      <c r="GK32" s="423">
        <f t="shared" si="72"/>
        <v>0</v>
      </c>
      <c r="GL32" s="423">
        <f t="shared" si="73"/>
        <v>0</v>
      </c>
      <c r="GM32" s="423">
        <f t="shared" si="74"/>
        <v>0</v>
      </c>
      <c r="GN32" s="423">
        <f t="shared" si="75"/>
        <v>0</v>
      </c>
      <c r="GO32" s="423">
        <f t="shared" si="76"/>
        <v>0</v>
      </c>
      <c r="GP32" s="423">
        <f t="shared" si="77"/>
        <v>0</v>
      </c>
      <c r="GQ32" s="423">
        <f t="shared" si="78"/>
        <v>0</v>
      </c>
      <c r="GR32" s="423">
        <f t="shared" si="79"/>
        <v>0</v>
      </c>
      <c r="GS32" s="423">
        <f t="shared" si="80"/>
        <v>0</v>
      </c>
      <c r="GT32" s="423">
        <f t="shared" si="81"/>
        <v>0</v>
      </c>
      <c r="GU32" s="423">
        <f t="shared" si="82"/>
        <v>0</v>
      </c>
      <c r="GV32" s="423">
        <f t="shared" si="83"/>
        <v>0</v>
      </c>
      <c r="GW32" s="423">
        <f t="shared" si="84"/>
        <v>0</v>
      </c>
      <c r="GX32" s="423">
        <f t="shared" si="85"/>
        <v>0</v>
      </c>
      <c r="GY32" s="423">
        <f t="shared" si="86"/>
        <v>0</v>
      </c>
      <c r="GZ32" s="423">
        <f t="shared" si="87"/>
        <v>0</v>
      </c>
      <c r="HA32" s="423">
        <f t="shared" si="88"/>
        <v>0</v>
      </c>
      <c r="HB32" s="423">
        <f t="shared" si="89"/>
        <v>0</v>
      </c>
      <c r="HC32" s="423">
        <f t="shared" si="90"/>
        <v>0</v>
      </c>
      <c r="HD32" s="423">
        <f t="shared" si="91"/>
        <v>0</v>
      </c>
      <c r="HE32" s="423">
        <f t="shared" si="92"/>
        <v>0</v>
      </c>
      <c r="HF32" s="423">
        <f t="shared" si="93"/>
        <v>0</v>
      </c>
      <c r="HG32" s="423">
        <f t="shared" si="94"/>
        <v>0</v>
      </c>
      <c r="HH32" s="423">
        <f t="shared" si="95"/>
        <v>0</v>
      </c>
      <c r="HI32" s="423">
        <f t="shared" si="96"/>
        <v>0</v>
      </c>
      <c r="HJ32" s="423">
        <f t="shared" si="97"/>
        <v>0</v>
      </c>
      <c r="HK32" s="423">
        <f t="shared" si="98"/>
        <v>0</v>
      </c>
      <c r="HL32" s="423">
        <f t="shared" si="99"/>
        <v>0</v>
      </c>
      <c r="HO32" s="120">
        <v>10</v>
      </c>
      <c r="HP32" s="492">
        <f>DATE(YEAR(EXPEDIENTE!$F$25),HO32,1)</f>
        <v>45200</v>
      </c>
      <c r="HQ32" s="492" t="str">
        <f>IF('GASTOS EJER. 1'!BF58="","",'GASTOS EJER. 1'!BF58)</f>
        <v/>
      </c>
      <c r="HR32" s="500">
        <f>'GASTOS EJER. 1'!CM29</f>
        <v>0</v>
      </c>
      <c r="HS32" s="500">
        <f>'GASTOS EJER. 1'!BA58</f>
        <v>0</v>
      </c>
      <c r="HT32" s="423">
        <f t="shared" si="169"/>
        <v>0</v>
      </c>
      <c r="HU32" s="500">
        <f t="shared" si="125"/>
        <v>0</v>
      </c>
      <c r="JC32" s="416">
        <v>28</v>
      </c>
      <c r="JD32" s="398">
        <f t="shared" si="100"/>
        <v>10</v>
      </c>
    </row>
    <row r="33" spans="3:264" x14ac:dyDescent="0.25">
      <c r="C33" s="206">
        <v>27</v>
      </c>
      <c r="D33" s="401"/>
      <c r="E33" s="417"/>
      <c r="F33" s="418"/>
      <c r="G33" s="419"/>
      <c r="H33" s="419"/>
      <c r="I33" s="419"/>
      <c r="J33" s="401"/>
      <c r="K33" s="407">
        <f t="shared" si="52"/>
        <v>76</v>
      </c>
      <c r="L33" s="407">
        <f t="shared" si="53"/>
        <v>76</v>
      </c>
      <c r="M33" s="407" t="str">
        <f t="shared" si="54"/>
        <v>X</v>
      </c>
      <c r="Y33" s="422">
        <f t="shared" si="0"/>
        <v>28</v>
      </c>
      <c r="Z33" s="412" t="str">
        <f>IF(Y33="","",IF(EDATE($Z$5,Y33)&gt;EXPEDIENTE!$F$27,"",EDATE($Z$5,Y33)))</f>
        <v/>
      </c>
      <c r="AA33" s="412" t="str">
        <f>IF(Z33="","",IF(YEAR(EXPEDIENTE!$F$25)=YEAR(Z33),Z33,""))</f>
        <v/>
      </c>
      <c r="AB33" s="412" t="str">
        <f>IF(Z33="","",IF(YEAR(EXPEDIENTE!$F$25)+1=YEAR(Z33),Z33,""))</f>
        <v/>
      </c>
      <c r="AC33" s="412" t="str">
        <f>IF(Z33="","",IF(YEAR(EXPEDIENTE!$F$25)+2=YEAR(Z33),Z33,""))</f>
        <v/>
      </c>
      <c r="AD33" s="412" t="str">
        <f>IF(Z33="","",IF(YEAR(EXPEDIENTE!$F$25)+3=YEAR(Z33),Z33,""))</f>
        <v/>
      </c>
      <c r="AG33" s="392"/>
      <c r="AH33" s="392"/>
      <c r="AI33" s="392"/>
      <c r="AJ33" s="392"/>
      <c r="AK33" s="392"/>
      <c r="AL33" s="392"/>
      <c r="AM33" s="392"/>
      <c r="AN33" s="392"/>
      <c r="AO33" s="392"/>
      <c r="AP33" s="392"/>
      <c r="AQ33" s="392"/>
      <c r="AR33" s="392"/>
      <c r="AS33" s="392"/>
      <c r="AT33" s="392"/>
      <c r="AU33" s="392"/>
      <c r="AV33" s="392"/>
      <c r="AW33" s="392"/>
      <c r="AY33" s="423">
        <v>11</v>
      </c>
      <c r="AZ33" s="424">
        <f t="shared" si="106"/>
        <v>45231</v>
      </c>
      <c r="BA33" s="433">
        <f t="shared" si="130"/>
        <v>0</v>
      </c>
      <c r="BB33" s="434">
        <f t="shared" si="131"/>
        <v>0</v>
      </c>
      <c r="BC33" s="434">
        <f t="shared" si="132"/>
        <v>0</v>
      </c>
      <c r="BD33" s="434">
        <f t="shared" si="133"/>
        <v>0</v>
      </c>
      <c r="BE33" s="434">
        <f t="shared" si="134"/>
        <v>0</v>
      </c>
      <c r="BF33" s="434">
        <f t="shared" si="135"/>
        <v>0</v>
      </c>
      <c r="BG33" s="434">
        <f t="shared" si="136"/>
        <v>0</v>
      </c>
      <c r="BH33" s="435">
        <f t="shared" si="137"/>
        <v>0</v>
      </c>
      <c r="BI33" s="436">
        <f t="shared" si="138"/>
        <v>0</v>
      </c>
      <c r="BK33" s="433">
        <f t="shared" si="109"/>
        <v>0</v>
      </c>
      <c r="BL33" s="434">
        <f t="shared" si="110"/>
        <v>0</v>
      </c>
      <c r="BM33" s="434">
        <f t="shared" si="111"/>
        <v>0</v>
      </c>
      <c r="BN33" s="434">
        <f t="shared" si="112"/>
        <v>0</v>
      </c>
      <c r="BO33" s="434">
        <f t="shared" si="113"/>
        <v>0</v>
      </c>
      <c r="BP33" s="434">
        <f t="shared" si="114"/>
        <v>0</v>
      </c>
      <c r="BQ33" s="434">
        <f t="shared" si="115"/>
        <v>0</v>
      </c>
      <c r="BR33" s="435">
        <f t="shared" si="116"/>
        <v>0</v>
      </c>
      <c r="BS33" s="436">
        <f t="shared" si="117"/>
        <v>0</v>
      </c>
      <c r="BU33" s="436">
        <f t="shared" si="139"/>
        <v>0</v>
      </c>
      <c r="BX33" s="392"/>
      <c r="BY33" s="392"/>
      <c r="BZ33" s="392"/>
      <c r="CA33" s="392"/>
      <c r="CB33" s="392"/>
      <c r="CC33" s="392"/>
      <c r="CD33" s="392"/>
      <c r="CE33" s="392"/>
      <c r="CF33" s="392"/>
      <c r="CG33" s="392"/>
      <c r="CH33" s="392"/>
      <c r="CI33" s="392"/>
      <c r="CJ33" s="392"/>
      <c r="CK33" s="392"/>
      <c r="CL33" s="392"/>
      <c r="CM33" s="392"/>
      <c r="CN33" s="392"/>
      <c r="CP33" s="423">
        <v>11</v>
      </c>
      <c r="CQ33" s="424">
        <f t="shared" si="119"/>
        <v>45231</v>
      </c>
      <c r="CR33" s="437">
        <f t="shared" si="144"/>
        <v>0</v>
      </c>
      <c r="CS33" s="423">
        <f t="shared" si="145"/>
        <v>0</v>
      </c>
      <c r="CT33" s="423">
        <f t="shared" si="146"/>
        <v>0</v>
      </c>
      <c r="CU33" s="423">
        <f t="shared" si="147"/>
        <v>0</v>
      </c>
      <c r="CV33" s="423">
        <f t="shared" si="148"/>
        <v>0</v>
      </c>
      <c r="CW33" s="423">
        <f t="shared" si="149"/>
        <v>0</v>
      </c>
      <c r="CX33" s="423">
        <f t="shared" si="150"/>
        <v>0</v>
      </c>
      <c r="CY33" s="438">
        <f t="shared" si="151"/>
        <v>0</v>
      </c>
      <c r="CZ33" s="436">
        <f t="shared" si="152"/>
        <v>0</v>
      </c>
      <c r="DB33" s="437">
        <f t="shared" si="153"/>
        <v>0</v>
      </c>
      <c r="DC33" s="423">
        <f t="shared" si="154"/>
        <v>0</v>
      </c>
      <c r="DD33" s="423">
        <f t="shared" si="155"/>
        <v>0</v>
      </c>
      <c r="DE33" s="423">
        <f t="shared" si="156"/>
        <v>0</v>
      </c>
      <c r="DF33" s="423">
        <f t="shared" si="157"/>
        <v>0</v>
      </c>
      <c r="DG33" s="423">
        <f t="shared" si="158"/>
        <v>0</v>
      </c>
      <c r="DH33" s="423">
        <f t="shared" si="159"/>
        <v>0</v>
      </c>
      <c r="DI33" s="438">
        <f t="shared" si="160"/>
        <v>0</v>
      </c>
      <c r="DJ33" s="436">
        <f t="shared" si="120"/>
        <v>0</v>
      </c>
      <c r="DL33" s="436">
        <f t="shared" si="161"/>
        <v>0</v>
      </c>
      <c r="DN33" s="392"/>
      <c r="DX33" s="386">
        <v>14</v>
      </c>
      <c r="DY33" s="430">
        <f t="shared" si="101"/>
        <v>45474</v>
      </c>
      <c r="DZ33" s="430">
        <f t="shared" si="102"/>
        <v>45504</v>
      </c>
      <c r="EA33" s="386" t="str">
        <f>IF(AND(DZ33&gt;=EXPEDIENTE!$F$25,DY33&lt;=EXPEDIENTE!$F$29),"SI","NO")</f>
        <v>SI</v>
      </c>
      <c r="EB33" s="423">
        <f t="shared" si="12"/>
        <v>0</v>
      </c>
      <c r="EC33" s="423">
        <f t="shared" si="13"/>
        <v>0</v>
      </c>
      <c r="ED33" s="423">
        <f t="shared" si="14"/>
        <v>0</v>
      </c>
      <c r="EE33" s="423">
        <f t="shared" si="15"/>
        <v>0</v>
      </c>
      <c r="EF33" s="423">
        <f t="shared" si="16"/>
        <v>0</v>
      </c>
      <c r="EG33" s="423">
        <f t="shared" si="17"/>
        <v>0</v>
      </c>
      <c r="EH33" s="423">
        <f t="shared" si="18"/>
        <v>0</v>
      </c>
      <c r="EI33" s="423">
        <f t="shared" si="19"/>
        <v>0</v>
      </c>
      <c r="EJ33" s="423">
        <f t="shared" si="20"/>
        <v>0</v>
      </c>
      <c r="EK33" s="423">
        <f t="shared" si="21"/>
        <v>0</v>
      </c>
      <c r="EL33" s="423">
        <f t="shared" si="22"/>
        <v>0</v>
      </c>
      <c r="EM33" s="423">
        <f t="shared" si="23"/>
        <v>0</v>
      </c>
      <c r="EN33" s="423">
        <f t="shared" si="24"/>
        <v>0</v>
      </c>
      <c r="EO33" s="423">
        <f t="shared" si="25"/>
        <v>0</v>
      </c>
      <c r="EP33" s="423">
        <f t="shared" si="26"/>
        <v>0</v>
      </c>
      <c r="EQ33" s="423">
        <f t="shared" si="27"/>
        <v>0</v>
      </c>
      <c r="ER33" s="423">
        <f t="shared" si="28"/>
        <v>0</v>
      </c>
      <c r="ES33" s="423">
        <f t="shared" si="29"/>
        <v>0</v>
      </c>
      <c r="ET33" s="423">
        <f t="shared" si="30"/>
        <v>0</v>
      </c>
      <c r="EU33" s="423">
        <f t="shared" si="31"/>
        <v>0</v>
      </c>
      <c r="EV33" s="423">
        <f t="shared" si="32"/>
        <v>0</v>
      </c>
      <c r="EW33" s="423">
        <f t="shared" si="33"/>
        <v>0</v>
      </c>
      <c r="EX33" s="423">
        <f t="shared" si="34"/>
        <v>0</v>
      </c>
      <c r="EY33" s="423">
        <f t="shared" si="35"/>
        <v>0</v>
      </c>
      <c r="EZ33" s="423">
        <f t="shared" si="36"/>
        <v>0</v>
      </c>
      <c r="FA33" s="423">
        <f t="shared" si="37"/>
        <v>0</v>
      </c>
      <c r="FB33" s="423">
        <f t="shared" si="38"/>
        <v>0</v>
      </c>
      <c r="FC33" s="423">
        <f t="shared" si="39"/>
        <v>0</v>
      </c>
      <c r="FD33" s="423">
        <f t="shared" si="40"/>
        <v>0</v>
      </c>
      <c r="FE33" s="423">
        <f t="shared" si="41"/>
        <v>0</v>
      </c>
      <c r="FF33" s="423">
        <f t="shared" si="42"/>
        <v>0</v>
      </c>
      <c r="FG33" s="423">
        <f t="shared" si="43"/>
        <v>0</v>
      </c>
      <c r="FH33" s="423">
        <f t="shared" si="66"/>
        <v>0</v>
      </c>
      <c r="FJ33" s="120">
        <v>11</v>
      </c>
      <c r="FK33" s="492">
        <f>DATE(YEAR(EXPEDIENTE!$F$25),FJ33,1)</f>
        <v>45231</v>
      </c>
      <c r="FL33" s="492" t="str">
        <f>IF('GASTOS EJER. 1'!I59="","",'GASTOS EJER. 1'!I59)</f>
        <v/>
      </c>
      <c r="FM33" s="500">
        <f>'GASTOS EJER. 1'!X30</f>
        <v>0</v>
      </c>
      <c r="FN33" s="500">
        <f>'GASTOS EJER. 1'!H59</f>
        <v>0</v>
      </c>
      <c r="FO33" s="423">
        <f t="shared" si="165"/>
        <v>0</v>
      </c>
      <c r="FP33" s="500">
        <f t="shared" si="123"/>
        <v>0</v>
      </c>
      <c r="FR33" s="392"/>
      <c r="GB33" s="386">
        <v>14</v>
      </c>
      <c r="GC33" s="430">
        <f t="shared" si="103"/>
        <v>45474</v>
      </c>
      <c r="GD33" s="430">
        <f t="shared" si="104"/>
        <v>45504</v>
      </c>
      <c r="GE33" s="386" t="str">
        <f>IF(AND(GD33&gt;=EXPEDIENTE!$F$25,GC33&lt;=EXPEDIENTE!$F$29),"SI","NO")</f>
        <v>SI</v>
      </c>
      <c r="GF33" s="423">
        <f t="shared" si="67"/>
        <v>0</v>
      </c>
      <c r="GG33" s="423">
        <f t="shared" si="68"/>
        <v>0</v>
      </c>
      <c r="GH33" s="423">
        <f t="shared" si="69"/>
        <v>0</v>
      </c>
      <c r="GI33" s="423">
        <f t="shared" si="70"/>
        <v>0</v>
      </c>
      <c r="GJ33" s="423">
        <f t="shared" si="71"/>
        <v>0</v>
      </c>
      <c r="GK33" s="423">
        <f t="shared" si="72"/>
        <v>0</v>
      </c>
      <c r="GL33" s="423">
        <f t="shared" si="73"/>
        <v>0</v>
      </c>
      <c r="GM33" s="423">
        <f t="shared" si="74"/>
        <v>0</v>
      </c>
      <c r="GN33" s="423">
        <f t="shared" si="75"/>
        <v>0</v>
      </c>
      <c r="GO33" s="423">
        <f t="shared" si="76"/>
        <v>0</v>
      </c>
      <c r="GP33" s="423">
        <f t="shared" si="77"/>
        <v>0</v>
      </c>
      <c r="GQ33" s="423">
        <f t="shared" si="78"/>
        <v>0</v>
      </c>
      <c r="GR33" s="423">
        <f t="shared" si="79"/>
        <v>0</v>
      </c>
      <c r="GS33" s="423">
        <f t="shared" si="80"/>
        <v>0</v>
      </c>
      <c r="GT33" s="423">
        <f t="shared" si="81"/>
        <v>0</v>
      </c>
      <c r="GU33" s="423">
        <f t="shared" si="82"/>
        <v>0</v>
      </c>
      <c r="GV33" s="423">
        <f t="shared" si="83"/>
        <v>0</v>
      </c>
      <c r="GW33" s="423">
        <f t="shared" si="84"/>
        <v>0</v>
      </c>
      <c r="GX33" s="423">
        <f t="shared" si="85"/>
        <v>0</v>
      </c>
      <c r="GY33" s="423">
        <f t="shared" si="86"/>
        <v>0</v>
      </c>
      <c r="GZ33" s="423">
        <f t="shared" si="87"/>
        <v>0</v>
      </c>
      <c r="HA33" s="423">
        <f t="shared" si="88"/>
        <v>0</v>
      </c>
      <c r="HB33" s="423">
        <f t="shared" si="89"/>
        <v>0</v>
      </c>
      <c r="HC33" s="423">
        <f t="shared" si="90"/>
        <v>0</v>
      </c>
      <c r="HD33" s="423">
        <f t="shared" si="91"/>
        <v>0</v>
      </c>
      <c r="HE33" s="423">
        <f t="shared" si="92"/>
        <v>0</v>
      </c>
      <c r="HF33" s="423">
        <f t="shared" si="93"/>
        <v>0</v>
      </c>
      <c r="HG33" s="423">
        <f t="shared" si="94"/>
        <v>0</v>
      </c>
      <c r="HH33" s="423">
        <f t="shared" si="95"/>
        <v>0</v>
      </c>
      <c r="HI33" s="423">
        <f t="shared" si="96"/>
        <v>0</v>
      </c>
      <c r="HJ33" s="423">
        <f t="shared" si="97"/>
        <v>0</v>
      </c>
      <c r="HK33" s="423">
        <f t="shared" si="98"/>
        <v>0</v>
      </c>
      <c r="HL33" s="423">
        <f t="shared" si="99"/>
        <v>0</v>
      </c>
      <c r="HO33" s="120">
        <v>11</v>
      </c>
      <c r="HP33" s="492">
        <f>DATE(YEAR(EXPEDIENTE!$F$25),HO33,1)</f>
        <v>45231</v>
      </c>
      <c r="HQ33" s="492" t="str">
        <f>IF('GASTOS EJER. 1'!BF59="","",'GASTOS EJER. 1'!BF59)</f>
        <v/>
      </c>
      <c r="HR33" s="500">
        <f>'GASTOS EJER. 1'!CM30</f>
        <v>0</v>
      </c>
      <c r="HS33" s="500">
        <f>'GASTOS EJER. 1'!BA59</f>
        <v>0</v>
      </c>
      <c r="HT33" s="423">
        <f t="shared" si="169"/>
        <v>0</v>
      </c>
      <c r="HU33" s="500">
        <f t="shared" si="125"/>
        <v>0</v>
      </c>
      <c r="JC33" s="416">
        <v>29</v>
      </c>
      <c r="JD33" s="398">
        <f t="shared" si="100"/>
        <v>10</v>
      </c>
    </row>
    <row r="34" spans="3:264" ht="15.75" thickBot="1" x14ac:dyDescent="0.3">
      <c r="C34" s="206">
        <v>28</v>
      </c>
      <c r="D34" s="401"/>
      <c r="E34" s="417"/>
      <c r="F34" s="418"/>
      <c r="G34" s="419"/>
      <c r="H34" s="419"/>
      <c r="I34" s="419"/>
      <c r="J34" s="401"/>
      <c r="K34" s="407">
        <f t="shared" si="52"/>
        <v>76</v>
      </c>
      <c r="L34" s="407">
        <f t="shared" si="53"/>
        <v>76</v>
      </c>
      <c r="M34" s="407" t="str">
        <f t="shared" si="54"/>
        <v>X</v>
      </c>
      <c r="Y34" s="422">
        <f t="shared" si="0"/>
        <v>29</v>
      </c>
      <c r="Z34" s="412" t="str">
        <f>IF(Y34="","",IF(EDATE($Z$5,Y34)&gt;EXPEDIENTE!$F$27,"",EDATE($Z$5,Y34)))</f>
        <v/>
      </c>
      <c r="AA34" s="412" t="str">
        <f>IF(Z34="","",IF(YEAR(EXPEDIENTE!$F$25)=YEAR(Z34),Z34,""))</f>
        <v/>
      </c>
      <c r="AB34" s="412" t="str">
        <f>IF(Z34="","",IF(YEAR(EXPEDIENTE!$F$25)+1=YEAR(Z34),Z34,""))</f>
        <v/>
      </c>
      <c r="AC34" s="412" t="str">
        <f>IF(Z34="","",IF(YEAR(EXPEDIENTE!$F$25)+2=YEAR(Z34),Z34,""))</f>
        <v/>
      </c>
      <c r="AD34" s="412" t="str">
        <f>IF(Z34="","",IF(YEAR(EXPEDIENTE!$F$25)+3=YEAR(Z34),Z34,""))</f>
        <v/>
      </c>
      <c r="AG34" s="392"/>
      <c r="AH34" s="392"/>
      <c r="AI34" s="392"/>
      <c r="AJ34" s="392"/>
      <c r="AK34" s="392"/>
      <c r="AL34" s="392"/>
      <c r="AM34" s="392"/>
      <c r="AN34" s="392"/>
      <c r="AO34" s="392"/>
      <c r="AP34" s="392"/>
      <c r="AQ34" s="392"/>
      <c r="AR34" s="392"/>
      <c r="AS34" s="392"/>
      <c r="AT34" s="392"/>
      <c r="AU34" s="392"/>
      <c r="AV34" s="392"/>
      <c r="AW34" s="392"/>
      <c r="AY34" s="423">
        <v>12</v>
      </c>
      <c r="AZ34" s="424">
        <f t="shared" si="106"/>
        <v>45261</v>
      </c>
      <c r="BA34" s="446">
        <f t="shared" si="130"/>
        <v>0</v>
      </c>
      <c r="BB34" s="447">
        <f t="shared" si="131"/>
        <v>0</v>
      </c>
      <c r="BC34" s="447">
        <f t="shared" si="132"/>
        <v>0</v>
      </c>
      <c r="BD34" s="447">
        <f t="shared" si="133"/>
        <v>0</v>
      </c>
      <c r="BE34" s="447">
        <f t="shared" si="134"/>
        <v>0</v>
      </c>
      <c r="BF34" s="447">
        <f t="shared" si="135"/>
        <v>0</v>
      </c>
      <c r="BG34" s="447">
        <f t="shared" si="136"/>
        <v>0</v>
      </c>
      <c r="BH34" s="448">
        <f t="shared" si="137"/>
        <v>0</v>
      </c>
      <c r="BI34" s="449">
        <f t="shared" si="138"/>
        <v>0</v>
      </c>
      <c r="BK34" s="446">
        <f t="shared" si="109"/>
        <v>0</v>
      </c>
      <c r="BL34" s="447">
        <f>IF($AH$40=0,0,IF($BL$21=0,0,IF(AND(AZ34&gt;=$AS$40,AZ34&lt;=$AT$40),$AW$40,0)))</f>
        <v>0</v>
      </c>
      <c r="BM34" s="447">
        <f>IF($AH$41=0,0,IF($BM$21=0,0,IF(AND(AZ34&gt;=$AS$41,AZ34&lt;=$AT$41),$AW$41,0)))</f>
        <v>0</v>
      </c>
      <c r="BN34" s="447">
        <f t="shared" si="112"/>
        <v>0</v>
      </c>
      <c r="BO34" s="447">
        <f t="shared" si="113"/>
        <v>0</v>
      </c>
      <c r="BP34" s="447">
        <f t="shared" si="114"/>
        <v>0</v>
      </c>
      <c r="BQ34" s="447">
        <f t="shared" si="115"/>
        <v>0</v>
      </c>
      <c r="BR34" s="448">
        <f t="shared" si="116"/>
        <v>0</v>
      </c>
      <c r="BS34" s="449">
        <f t="shared" si="117"/>
        <v>0</v>
      </c>
      <c r="BU34" s="449">
        <f t="shared" si="139"/>
        <v>0</v>
      </c>
      <c r="BX34" s="392"/>
      <c r="BY34" s="392"/>
      <c r="BZ34" s="392"/>
      <c r="CA34" s="392"/>
      <c r="CB34" s="392"/>
      <c r="CC34" s="392"/>
      <c r="CD34" s="392"/>
      <c r="CE34" s="392"/>
      <c r="CF34" s="392"/>
      <c r="CG34" s="392"/>
      <c r="CH34" s="392"/>
      <c r="CI34" s="392"/>
      <c r="CJ34" s="392"/>
      <c r="CK34" s="392"/>
      <c r="CL34" s="392"/>
      <c r="CM34" s="392"/>
      <c r="CN34" s="392"/>
      <c r="CP34" s="423">
        <v>12</v>
      </c>
      <c r="CQ34" s="424">
        <f t="shared" si="119"/>
        <v>45261</v>
      </c>
      <c r="CR34" s="450">
        <f t="shared" si="144"/>
        <v>0</v>
      </c>
      <c r="CS34" s="451">
        <f t="shared" si="145"/>
        <v>0</v>
      </c>
      <c r="CT34" s="451">
        <f t="shared" si="146"/>
        <v>0</v>
      </c>
      <c r="CU34" s="451">
        <f t="shared" si="147"/>
        <v>0</v>
      </c>
      <c r="CV34" s="451">
        <f t="shared" si="148"/>
        <v>0</v>
      </c>
      <c r="CW34" s="451">
        <f t="shared" si="149"/>
        <v>0</v>
      </c>
      <c r="CX34" s="451">
        <f t="shared" si="150"/>
        <v>0</v>
      </c>
      <c r="CY34" s="452">
        <f t="shared" si="151"/>
        <v>0</v>
      </c>
      <c r="CZ34" s="449">
        <f t="shared" si="152"/>
        <v>0</v>
      </c>
      <c r="DB34" s="450">
        <f t="shared" si="153"/>
        <v>0</v>
      </c>
      <c r="DC34" s="451">
        <f t="shared" si="154"/>
        <v>0</v>
      </c>
      <c r="DD34" s="451">
        <f t="shared" si="155"/>
        <v>0</v>
      </c>
      <c r="DE34" s="451">
        <f t="shared" si="156"/>
        <v>0</v>
      </c>
      <c r="DF34" s="451">
        <f t="shared" si="157"/>
        <v>0</v>
      </c>
      <c r="DG34" s="451">
        <f t="shared" si="158"/>
        <v>0</v>
      </c>
      <c r="DH34" s="451">
        <f t="shared" si="159"/>
        <v>0</v>
      </c>
      <c r="DI34" s="452">
        <f t="shared" si="160"/>
        <v>0</v>
      </c>
      <c r="DJ34" s="449">
        <f t="shared" si="120"/>
        <v>0</v>
      </c>
      <c r="DL34" s="449">
        <f t="shared" si="161"/>
        <v>0</v>
      </c>
      <c r="DN34" s="392"/>
      <c r="DX34" s="386">
        <v>15</v>
      </c>
      <c r="DY34" s="430">
        <f t="shared" si="101"/>
        <v>45505</v>
      </c>
      <c r="DZ34" s="430">
        <f t="shared" si="102"/>
        <v>45535</v>
      </c>
      <c r="EA34" s="386" t="str">
        <f>IF(AND(DZ34&gt;=EXPEDIENTE!$F$25,DY34&lt;=EXPEDIENTE!$F$29),"SI","NO")</f>
        <v>SI</v>
      </c>
      <c r="EB34" s="423">
        <f t="shared" si="12"/>
        <v>0</v>
      </c>
      <c r="EC34" s="423">
        <f t="shared" si="13"/>
        <v>0</v>
      </c>
      <c r="ED34" s="423">
        <f t="shared" si="14"/>
        <v>0</v>
      </c>
      <c r="EE34" s="423">
        <f t="shared" si="15"/>
        <v>0</v>
      </c>
      <c r="EF34" s="423">
        <f t="shared" si="16"/>
        <v>0</v>
      </c>
      <c r="EG34" s="423">
        <f t="shared" si="17"/>
        <v>0</v>
      </c>
      <c r="EH34" s="423">
        <f t="shared" si="18"/>
        <v>0</v>
      </c>
      <c r="EI34" s="423">
        <f t="shared" si="19"/>
        <v>0</v>
      </c>
      <c r="EJ34" s="423">
        <f t="shared" si="20"/>
        <v>0</v>
      </c>
      <c r="EK34" s="423">
        <f t="shared" si="21"/>
        <v>0</v>
      </c>
      <c r="EL34" s="423">
        <f t="shared" si="22"/>
        <v>0</v>
      </c>
      <c r="EM34" s="423">
        <f t="shared" si="23"/>
        <v>0</v>
      </c>
      <c r="EN34" s="423">
        <f t="shared" si="24"/>
        <v>0</v>
      </c>
      <c r="EO34" s="423">
        <f t="shared" si="25"/>
        <v>0</v>
      </c>
      <c r="EP34" s="423">
        <f t="shared" si="26"/>
        <v>0</v>
      </c>
      <c r="EQ34" s="423">
        <f t="shared" si="27"/>
        <v>0</v>
      </c>
      <c r="ER34" s="423">
        <f t="shared" si="28"/>
        <v>0</v>
      </c>
      <c r="ES34" s="423">
        <f t="shared" si="29"/>
        <v>0</v>
      </c>
      <c r="ET34" s="423">
        <f t="shared" si="30"/>
        <v>0</v>
      </c>
      <c r="EU34" s="423">
        <f t="shared" si="31"/>
        <v>0</v>
      </c>
      <c r="EV34" s="423">
        <f t="shared" si="32"/>
        <v>0</v>
      </c>
      <c r="EW34" s="423">
        <f t="shared" si="33"/>
        <v>0</v>
      </c>
      <c r="EX34" s="423">
        <f t="shared" si="34"/>
        <v>0</v>
      </c>
      <c r="EY34" s="423">
        <f t="shared" si="35"/>
        <v>0</v>
      </c>
      <c r="EZ34" s="423">
        <f t="shared" si="36"/>
        <v>0</v>
      </c>
      <c r="FA34" s="423">
        <f t="shared" si="37"/>
        <v>0</v>
      </c>
      <c r="FB34" s="423">
        <f t="shared" si="38"/>
        <v>0</v>
      </c>
      <c r="FC34" s="423">
        <f t="shared" si="39"/>
        <v>0</v>
      </c>
      <c r="FD34" s="423">
        <f t="shared" si="40"/>
        <v>0</v>
      </c>
      <c r="FE34" s="423">
        <f t="shared" si="41"/>
        <v>0</v>
      </c>
      <c r="FF34" s="423">
        <f t="shared" si="42"/>
        <v>0</v>
      </c>
      <c r="FG34" s="423">
        <f t="shared" si="43"/>
        <v>0</v>
      </c>
      <c r="FH34" s="423">
        <f t="shared" si="66"/>
        <v>0</v>
      </c>
      <c r="FJ34" s="120">
        <v>12</v>
      </c>
      <c r="FK34" s="492">
        <f>DATE(YEAR(EXPEDIENTE!$F$25),FJ34,1)</f>
        <v>45261</v>
      </c>
      <c r="FL34" s="492" t="str">
        <f>IF('GASTOS EJER. 1'!I60="","",'GASTOS EJER. 1'!I60)</f>
        <v/>
      </c>
      <c r="FM34" s="500">
        <f>'GASTOS EJER. 1'!X31</f>
        <v>0</v>
      </c>
      <c r="FN34" s="500">
        <f>'GASTOS EJER. 1'!H60</f>
        <v>0</v>
      </c>
      <c r="FO34" s="423">
        <f t="shared" si="165"/>
        <v>0</v>
      </c>
      <c r="FP34" s="500">
        <f t="shared" si="123"/>
        <v>0</v>
      </c>
      <c r="FR34" s="392"/>
      <c r="GB34" s="386">
        <v>15</v>
      </c>
      <c r="GC34" s="430">
        <f t="shared" si="103"/>
        <v>45505</v>
      </c>
      <c r="GD34" s="430">
        <f t="shared" si="104"/>
        <v>45535</v>
      </c>
      <c r="GE34" s="386" t="str">
        <f>IF(AND(GD34&gt;=EXPEDIENTE!$F$25,GC34&lt;=EXPEDIENTE!$F$29),"SI","NO")</f>
        <v>SI</v>
      </c>
      <c r="GF34" s="423">
        <f t="shared" si="67"/>
        <v>0</v>
      </c>
      <c r="GG34" s="423">
        <f t="shared" si="68"/>
        <v>0</v>
      </c>
      <c r="GH34" s="423">
        <f t="shared" si="69"/>
        <v>0</v>
      </c>
      <c r="GI34" s="423">
        <f t="shared" si="70"/>
        <v>0</v>
      </c>
      <c r="GJ34" s="423">
        <f t="shared" si="71"/>
        <v>0</v>
      </c>
      <c r="GK34" s="423">
        <f t="shared" si="72"/>
        <v>0</v>
      </c>
      <c r="GL34" s="423">
        <f t="shared" si="73"/>
        <v>0</v>
      </c>
      <c r="GM34" s="423">
        <f t="shared" si="74"/>
        <v>0</v>
      </c>
      <c r="GN34" s="423">
        <f t="shared" si="75"/>
        <v>0</v>
      </c>
      <c r="GO34" s="423">
        <f t="shared" si="76"/>
        <v>0</v>
      </c>
      <c r="GP34" s="423">
        <f t="shared" si="77"/>
        <v>0</v>
      </c>
      <c r="GQ34" s="423">
        <f t="shared" si="78"/>
        <v>0</v>
      </c>
      <c r="GR34" s="423">
        <f t="shared" si="79"/>
        <v>0</v>
      </c>
      <c r="GS34" s="423">
        <f t="shared" si="80"/>
        <v>0</v>
      </c>
      <c r="GT34" s="423">
        <f t="shared" si="81"/>
        <v>0</v>
      </c>
      <c r="GU34" s="423">
        <f t="shared" si="82"/>
        <v>0</v>
      </c>
      <c r="GV34" s="423">
        <f t="shared" si="83"/>
        <v>0</v>
      </c>
      <c r="GW34" s="423">
        <f t="shared" si="84"/>
        <v>0</v>
      </c>
      <c r="GX34" s="423">
        <f t="shared" si="85"/>
        <v>0</v>
      </c>
      <c r="GY34" s="423">
        <f t="shared" si="86"/>
        <v>0</v>
      </c>
      <c r="GZ34" s="423">
        <f t="shared" si="87"/>
        <v>0</v>
      </c>
      <c r="HA34" s="423">
        <f t="shared" si="88"/>
        <v>0</v>
      </c>
      <c r="HB34" s="423">
        <f t="shared" si="89"/>
        <v>0</v>
      </c>
      <c r="HC34" s="423">
        <f t="shared" si="90"/>
        <v>0</v>
      </c>
      <c r="HD34" s="423">
        <f t="shared" si="91"/>
        <v>0</v>
      </c>
      <c r="HE34" s="423">
        <f t="shared" si="92"/>
        <v>0</v>
      </c>
      <c r="HF34" s="423">
        <f t="shared" si="93"/>
        <v>0</v>
      </c>
      <c r="HG34" s="423">
        <f t="shared" si="94"/>
        <v>0</v>
      </c>
      <c r="HH34" s="423">
        <f t="shared" si="95"/>
        <v>0</v>
      </c>
      <c r="HI34" s="423">
        <f t="shared" si="96"/>
        <v>0</v>
      </c>
      <c r="HJ34" s="423">
        <f t="shared" si="97"/>
        <v>0</v>
      </c>
      <c r="HK34" s="423">
        <f t="shared" si="98"/>
        <v>0</v>
      </c>
      <c r="HL34" s="423">
        <f t="shared" si="99"/>
        <v>0</v>
      </c>
      <c r="HO34" s="120">
        <v>12</v>
      </c>
      <c r="HP34" s="492">
        <f>DATE(YEAR(EXPEDIENTE!$F$25),HO34,1)</f>
        <v>45261</v>
      </c>
      <c r="HQ34" s="492" t="str">
        <f>IF('GASTOS EJER. 1'!BF60="","",'GASTOS EJER. 1'!BF60)</f>
        <v/>
      </c>
      <c r="HR34" s="500">
        <f>'GASTOS EJER. 1'!CM31</f>
        <v>0</v>
      </c>
      <c r="HS34" s="500">
        <f>'GASTOS EJER. 1'!BA60</f>
        <v>0</v>
      </c>
      <c r="HT34" s="423">
        <f t="shared" si="169"/>
        <v>0</v>
      </c>
      <c r="HU34" s="500">
        <f t="shared" si="125"/>
        <v>0</v>
      </c>
      <c r="JC34" s="442">
        <v>30</v>
      </c>
      <c r="JD34" s="398">
        <f t="shared" si="100"/>
        <v>10</v>
      </c>
    </row>
    <row r="35" spans="3:264" ht="15.75" customHeight="1" thickBot="1" x14ac:dyDescent="0.3">
      <c r="C35" s="206">
        <v>29</v>
      </c>
      <c r="D35" s="401"/>
      <c r="E35" s="417"/>
      <c r="F35" s="418"/>
      <c r="G35" s="419"/>
      <c r="H35" s="419"/>
      <c r="I35" s="419"/>
      <c r="J35" s="401"/>
      <c r="K35" s="407">
        <f t="shared" si="52"/>
        <v>76</v>
      </c>
      <c r="L35" s="407">
        <f t="shared" si="53"/>
        <v>76</v>
      </c>
      <c r="M35" s="407" t="str">
        <f t="shared" si="54"/>
        <v>X</v>
      </c>
      <c r="Y35" s="422">
        <f t="shared" si="0"/>
        <v>30</v>
      </c>
      <c r="Z35" s="412" t="str">
        <f>IF(Y35="","",IF(EDATE($Z$5,Y35)&gt;EXPEDIENTE!$F$27,"",EDATE($Z$5,Y35)))</f>
        <v/>
      </c>
      <c r="AA35" s="412" t="str">
        <f>IF(Z35="","",IF(YEAR(EXPEDIENTE!$F$25)=YEAR(Z35),Z35,""))</f>
        <v/>
      </c>
      <c r="AB35" s="412" t="str">
        <f>IF(Z35="","",IF(YEAR(EXPEDIENTE!$F$25)+1=YEAR(Z35),Z35,""))</f>
        <v/>
      </c>
      <c r="AC35" s="412" t="str">
        <f>IF(Z35="","",IF(YEAR(EXPEDIENTE!$F$25)+2=YEAR(Z35),Z35,""))</f>
        <v/>
      </c>
      <c r="AD35" s="412" t="str">
        <f>IF(Z35="","",IF(YEAR(EXPEDIENTE!$F$25)+3=YEAR(Z35),Z35,""))</f>
        <v/>
      </c>
      <c r="AG35" s="392"/>
      <c r="AL35" s="1012" t="s">
        <v>348</v>
      </c>
      <c r="AM35" s="1013" t="s">
        <v>64</v>
      </c>
      <c r="AN35" s="1014" t="s">
        <v>71</v>
      </c>
      <c r="AO35" s="1015" t="s">
        <v>203</v>
      </c>
      <c r="AP35" s="1010" t="s">
        <v>109</v>
      </c>
      <c r="AQ35" s="959"/>
      <c r="AR35" s="1011"/>
      <c r="AS35" s="1010" t="s">
        <v>202</v>
      </c>
      <c r="AT35" s="959"/>
      <c r="AU35" s="1011"/>
      <c r="AV35" s="1024" t="s">
        <v>204</v>
      </c>
      <c r="AW35" s="1018" t="s">
        <v>205</v>
      </c>
      <c r="AZ35" s="454"/>
      <c r="BX35" s="392"/>
      <c r="CC35" s="1012" t="s">
        <v>348</v>
      </c>
      <c r="CD35" s="1013" t="s">
        <v>64</v>
      </c>
      <c r="CE35" s="1014" t="s">
        <v>71</v>
      </c>
      <c r="CF35" s="1015" t="s">
        <v>203</v>
      </c>
      <c r="CG35" s="1010" t="s">
        <v>109</v>
      </c>
      <c r="CH35" s="959"/>
      <c r="CI35" s="1011"/>
      <c r="CJ35" s="1010" t="s">
        <v>202</v>
      </c>
      <c r="CK35" s="959"/>
      <c r="CL35" s="1011"/>
      <c r="CM35" s="1024" t="s">
        <v>204</v>
      </c>
      <c r="CN35" s="1018" t="s">
        <v>205</v>
      </c>
      <c r="CQ35" s="454"/>
      <c r="DN35" s="392"/>
      <c r="DO35" s="516" t="e">
        <f>AF39</f>
        <v>#VALUE!</v>
      </c>
      <c r="DP35" s="394"/>
      <c r="DQ35" s="394"/>
      <c r="DR35" s="394"/>
      <c r="DX35" s="386">
        <v>16</v>
      </c>
      <c r="DY35" s="430">
        <f t="shared" si="101"/>
        <v>45536</v>
      </c>
      <c r="DZ35" s="430">
        <f t="shared" si="102"/>
        <v>45565</v>
      </c>
      <c r="EA35" s="386" t="str">
        <f>IF(AND(DZ35&gt;=EXPEDIENTE!$F$25,DY35&lt;=EXPEDIENTE!$F$29),"SI","NO")</f>
        <v>SI</v>
      </c>
      <c r="EB35" s="423">
        <f t="shared" si="12"/>
        <v>0</v>
      </c>
      <c r="EC35" s="423">
        <f t="shared" si="13"/>
        <v>0</v>
      </c>
      <c r="ED35" s="423">
        <f t="shared" si="14"/>
        <v>0</v>
      </c>
      <c r="EE35" s="423">
        <f t="shared" si="15"/>
        <v>0</v>
      </c>
      <c r="EF35" s="423">
        <f t="shared" si="16"/>
        <v>0</v>
      </c>
      <c r="EG35" s="423">
        <f t="shared" si="17"/>
        <v>0</v>
      </c>
      <c r="EH35" s="423">
        <f t="shared" si="18"/>
        <v>0</v>
      </c>
      <c r="EI35" s="423">
        <f t="shared" si="19"/>
        <v>0</v>
      </c>
      <c r="EJ35" s="423">
        <f t="shared" si="20"/>
        <v>0</v>
      </c>
      <c r="EK35" s="423">
        <f t="shared" si="21"/>
        <v>0</v>
      </c>
      <c r="EL35" s="423">
        <f t="shared" si="22"/>
        <v>0</v>
      </c>
      <c r="EM35" s="423">
        <f t="shared" si="23"/>
        <v>0</v>
      </c>
      <c r="EN35" s="423">
        <f t="shared" si="24"/>
        <v>0</v>
      </c>
      <c r="EO35" s="423">
        <f t="shared" si="25"/>
        <v>0</v>
      </c>
      <c r="EP35" s="423">
        <f t="shared" si="26"/>
        <v>0</v>
      </c>
      <c r="EQ35" s="423">
        <f t="shared" si="27"/>
        <v>0</v>
      </c>
      <c r="ER35" s="423">
        <f t="shared" si="28"/>
        <v>0</v>
      </c>
      <c r="ES35" s="423">
        <f t="shared" si="29"/>
        <v>0</v>
      </c>
      <c r="ET35" s="423">
        <f t="shared" si="30"/>
        <v>0</v>
      </c>
      <c r="EU35" s="423">
        <f t="shared" si="31"/>
        <v>0</v>
      </c>
      <c r="EV35" s="423">
        <f t="shared" si="32"/>
        <v>0</v>
      </c>
      <c r="EW35" s="423">
        <f t="shared" si="33"/>
        <v>0</v>
      </c>
      <c r="EX35" s="423">
        <f t="shared" si="34"/>
        <v>0</v>
      </c>
      <c r="EY35" s="423">
        <f t="shared" si="35"/>
        <v>0</v>
      </c>
      <c r="EZ35" s="423">
        <f t="shared" si="36"/>
        <v>0</v>
      </c>
      <c r="FA35" s="423">
        <f t="shared" si="37"/>
        <v>0</v>
      </c>
      <c r="FB35" s="423">
        <f t="shared" si="38"/>
        <v>0</v>
      </c>
      <c r="FC35" s="423">
        <f t="shared" si="39"/>
        <v>0</v>
      </c>
      <c r="FD35" s="423">
        <f t="shared" si="40"/>
        <v>0</v>
      </c>
      <c r="FE35" s="423">
        <f t="shared" si="41"/>
        <v>0</v>
      </c>
      <c r="FF35" s="423">
        <f t="shared" si="42"/>
        <v>0</v>
      </c>
      <c r="FG35" s="423">
        <f t="shared" si="43"/>
        <v>0</v>
      </c>
      <c r="FH35" s="423">
        <f t="shared" si="66"/>
        <v>0</v>
      </c>
      <c r="FJ35" s="123"/>
      <c r="FK35" s="123"/>
      <c r="FL35" s="517"/>
      <c r="FM35" s="518"/>
      <c r="FN35" s="518"/>
      <c r="FP35" s="518"/>
      <c r="FR35" s="392"/>
      <c r="FS35" s="456" t="e">
        <f>BW39</f>
        <v>#VALUE!</v>
      </c>
      <c r="FT35" s="394"/>
      <c r="FU35" s="394"/>
      <c r="FV35" s="394"/>
      <c r="GB35" s="386">
        <v>16</v>
      </c>
      <c r="GC35" s="430">
        <f t="shared" si="103"/>
        <v>45536</v>
      </c>
      <c r="GD35" s="430">
        <f t="shared" si="104"/>
        <v>45565</v>
      </c>
      <c r="GE35" s="386" t="str">
        <f>IF(AND(GD35&gt;=EXPEDIENTE!$F$25,GC35&lt;=EXPEDIENTE!$F$29),"SI","NO")</f>
        <v>SI</v>
      </c>
      <c r="GF35" s="423">
        <f t="shared" si="67"/>
        <v>0</v>
      </c>
      <c r="GG35" s="423">
        <f t="shared" si="68"/>
        <v>0</v>
      </c>
      <c r="GH35" s="423">
        <f t="shared" si="69"/>
        <v>0</v>
      </c>
      <c r="GI35" s="423">
        <f t="shared" si="70"/>
        <v>0</v>
      </c>
      <c r="GJ35" s="423">
        <f t="shared" si="71"/>
        <v>0</v>
      </c>
      <c r="GK35" s="423">
        <f t="shared" si="72"/>
        <v>0</v>
      </c>
      <c r="GL35" s="423">
        <f t="shared" si="73"/>
        <v>0</v>
      </c>
      <c r="GM35" s="423">
        <f t="shared" si="74"/>
        <v>0</v>
      </c>
      <c r="GN35" s="423">
        <f t="shared" si="75"/>
        <v>0</v>
      </c>
      <c r="GO35" s="423">
        <f t="shared" si="76"/>
        <v>0</v>
      </c>
      <c r="GP35" s="423">
        <f t="shared" si="77"/>
        <v>0</v>
      </c>
      <c r="GQ35" s="423">
        <f t="shared" si="78"/>
        <v>0</v>
      </c>
      <c r="GR35" s="423">
        <f t="shared" si="79"/>
        <v>0</v>
      </c>
      <c r="GS35" s="423">
        <f t="shared" si="80"/>
        <v>0</v>
      </c>
      <c r="GT35" s="423">
        <f t="shared" si="81"/>
        <v>0</v>
      </c>
      <c r="GU35" s="423">
        <f t="shared" si="82"/>
        <v>0</v>
      </c>
      <c r="GV35" s="423">
        <f t="shared" si="83"/>
        <v>0</v>
      </c>
      <c r="GW35" s="423">
        <f t="shared" si="84"/>
        <v>0</v>
      </c>
      <c r="GX35" s="423">
        <f t="shared" si="85"/>
        <v>0</v>
      </c>
      <c r="GY35" s="423">
        <f t="shared" si="86"/>
        <v>0</v>
      </c>
      <c r="GZ35" s="423">
        <f t="shared" si="87"/>
        <v>0</v>
      </c>
      <c r="HA35" s="423">
        <f t="shared" si="88"/>
        <v>0</v>
      </c>
      <c r="HB35" s="423">
        <f t="shared" si="89"/>
        <v>0</v>
      </c>
      <c r="HC35" s="423">
        <f t="shared" si="90"/>
        <v>0</v>
      </c>
      <c r="HD35" s="423">
        <f t="shared" si="91"/>
        <v>0</v>
      </c>
      <c r="HE35" s="423">
        <f t="shared" si="92"/>
        <v>0</v>
      </c>
      <c r="HF35" s="423">
        <f t="shared" si="93"/>
        <v>0</v>
      </c>
      <c r="HG35" s="423">
        <f t="shared" si="94"/>
        <v>0</v>
      </c>
      <c r="HH35" s="423">
        <f t="shared" si="95"/>
        <v>0</v>
      </c>
      <c r="HI35" s="423">
        <f t="shared" si="96"/>
        <v>0</v>
      </c>
      <c r="HJ35" s="423">
        <f t="shared" si="97"/>
        <v>0</v>
      </c>
      <c r="HK35" s="423">
        <f t="shared" si="98"/>
        <v>0</v>
      </c>
      <c r="HL35" s="423">
        <f t="shared" si="99"/>
        <v>0</v>
      </c>
      <c r="HO35" s="123"/>
      <c r="HP35" s="123"/>
      <c r="HQ35" s="517"/>
      <c r="HR35" s="518"/>
      <c r="HS35" s="518"/>
      <c r="HU35" s="518"/>
      <c r="JC35" s="406">
        <v>31</v>
      </c>
      <c r="JD35" s="398">
        <f t="shared" si="100"/>
        <v>12</v>
      </c>
    </row>
    <row r="36" spans="3:264" ht="15.75" customHeight="1" thickBot="1" x14ac:dyDescent="0.3">
      <c r="C36" s="206">
        <v>30</v>
      </c>
      <c r="D36" s="401"/>
      <c r="E36" s="417"/>
      <c r="F36" s="418"/>
      <c r="G36" s="419"/>
      <c r="H36" s="419"/>
      <c r="I36" s="419"/>
      <c r="J36" s="401"/>
      <c r="K36" s="407">
        <f t="shared" si="52"/>
        <v>76</v>
      </c>
      <c r="L36" s="407">
        <f t="shared" si="53"/>
        <v>76</v>
      </c>
      <c r="M36" s="407" t="str">
        <f t="shared" si="54"/>
        <v>X</v>
      </c>
      <c r="Y36" s="422">
        <f t="shared" si="0"/>
        <v>31</v>
      </c>
      <c r="Z36" s="412" t="str">
        <f>IF(Y36="","",IF(EDATE($Z$5,Y36)&gt;EXPEDIENTE!$F$27,"",EDATE($Z$5,Y36)))</f>
        <v/>
      </c>
      <c r="AA36" s="412" t="str">
        <f>IF(Z36="","",IF(YEAR(EXPEDIENTE!$F$25)=YEAR(Z36),Z36,""))</f>
        <v/>
      </c>
      <c r="AB36" s="412" t="str">
        <f>IF(Z36="","",IF(YEAR(EXPEDIENTE!$F$25)+1=YEAR(Z36),Z36,""))</f>
        <v/>
      </c>
      <c r="AC36" s="412" t="str">
        <f>IF(Z36="","",IF(YEAR(EXPEDIENTE!$F$25)+2=YEAR(Z36),Z36,""))</f>
        <v/>
      </c>
      <c r="AD36" s="412" t="str">
        <f>IF(Z36="","",IF(YEAR(EXPEDIENTE!$F$25)+3=YEAR(Z36),Z36,""))</f>
        <v/>
      </c>
      <c r="AG36" s="392"/>
      <c r="AH36" s="1001" t="s">
        <v>189</v>
      </c>
      <c r="AI36" s="1004" t="s">
        <v>190</v>
      </c>
      <c r="AJ36" s="1007" t="s">
        <v>191</v>
      </c>
      <c r="AL36" s="997"/>
      <c r="AM36" s="999"/>
      <c r="AN36" s="969"/>
      <c r="AO36" s="1016"/>
      <c r="AP36" s="997" t="s">
        <v>192</v>
      </c>
      <c r="AQ36" s="999" t="s">
        <v>110</v>
      </c>
      <c r="AR36" s="967" t="s">
        <v>81</v>
      </c>
      <c r="AS36" s="1026" t="s">
        <v>68</v>
      </c>
      <c r="AT36" s="969" t="s">
        <v>69</v>
      </c>
      <c r="AU36" s="967" t="s">
        <v>111</v>
      </c>
      <c r="AV36" s="1025"/>
      <c r="AW36" s="1019"/>
      <c r="AZ36" s="454"/>
      <c r="BA36" s="992" t="e">
        <f>CONCATENATE("P.P. OTRAS NÓMINAS ABONADAS EN ",AZ38)</f>
        <v>#VALUE!</v>
      </c>
      <c r="BB36" s="993"/>
      <c r="BC36" s="993"/>
      <c r="BD36" s="993"/>
      <c r="BE36" s="993"/>
      <c r="BF36" s="993"/>
      <c r="BG36" s="993"/>
      <c r="BH36" s="993"/>
      <c r="BI36" s="994"/>
      <c r="BK36" s="992" t="e">
        <f>CONCATENATE("P.P. OTRAS NÓMINAS ABONADAS EN ",AZ54)</f>
        <v>#VALUE!</v>
      </c>
      <c r="BL36" s="993"/>
      <c r="BM36" s="993"/>
      <c r="BN36" s="993"/>
      <c r="BO36" s="993"/>
      <c r="BP36" s="993"/>
      <c r="BQ36" s="993"/>
      <c r="BR36" s="993"/>
      <c r="BS36" s="994"/>
      <c r="BU36" s="1030" t="s">
        <v>58</v>
      </c>
      <c r="BX36" s="392"/>
      <c r="BY36" s="1001" t="s">
        <v>189</v>
      </c>
      <c r="BZ36" s="1004" t="s">
        <v>190</v>
      </c>
      <c r="CA36" s="1007" t="s">
        <v>191</v>
      </c>
      <c r="CC36" s="997"/>
      <c r="CD36" s="999"/>
      <c r="CE36" s="969"/>
      <c r="CF36" s="1016"/>
      <c r="CG36" s="997" t="s">
        <v>192</v>
      </c>
      <c r="CH36" s="999" t="s">
        <v>110</v>
      </c>
      <c r="CI36" s="967" t="s">
        <v>81</v>
      </c>
      <c r="CJ36" s="1026" t="s">
        <v>68</v>
      </c>
      <c r="CK36" s="969" t="s">
        <v>69</v>
      </c>
      <c r="CL36" s="967" t="s">
        <v>111</v>
      </c>
      <c r="CM36" s="1025"/>
      <c r="CN36" s="1019"/>
      <c r="CQ36" s="454"/>
      <c r="CR36" s="992" t="e">
        <f>CONCATENATE("P.P. OTRAS NÓMINAS ABONADAS EN ",CQ38)</f>
        <v>#VALUE!</v>
      </c>
      <c r="CS36" s="993"/>
      <c r="CT36" s="993"/>
      <c r="CU36" s="993"/>
      <c r="CV36" s="993"/>
      <c r="CW36" s="993"/>
      <c r="CX36" s="993"/>
      <c r="CY36" s="993"/>
      <c r="CZ36" s="994"/>
      <c r="DB36" s="992" t="e">
        <f>CONCATENATE("P.P. OTRAS NÓMINAS ABONADAS EN ",CQ54)</f>
        <v>#VALUE!</v>
      </c>
      <c r="DC36" s="993"/>
      <c r="DD36" s="993"/>
      <c r="DE36" s="993"/>
      <c r="DF36" s="993"/>
      <c r="DG36" s="993"/>
      <c r="DH36" s="993"/>
      <c r="DI36" s="993"/>
      <c r="DJ36" s="994"/>
      <c r="DL36" s="1030" t="s">
        <v>58</v>
      </c>
      <c r="DN36" s="392"/>
      <c r="DO36" s="956" t="s">
        <v>70</v>
      </c>
      <c r="DP36" s="959" t="s">
        <v>202</v>
      </c>
      <c r="DQ36" s="959"/>
      <c r="DR36" s="959"/>
      <c r="DS36" s="960" t="s">
        <v>134</v>
      </c>
      <c r="DT36" s="960" t="s">
        <v>352</v>
      </c>
      <c r="DU36" s="963" t="s">
        <v>353</v>
      </c>
      <c r="DV36" s="966" t="s">
        <v>205</v>
      </c>
      <c r="DX36" s="386">
        <v>17</v>
      </c>
      <c r="DY36" s="430">
        <f t="shared" si="101"/>
        <v>45566</v>
      </c>
      <c r="DZ36" s="430">
        <f t="shared" si="102"/>
        <v>45596</v>
      </c>
      <c r="EA36" s="386" t="str">
        <f>IF(AND(DZ36&gt;=EXPEDIENTE!$F$25,DY36&lt;=EXPEDIENTE!$F$29),"SI","NO")</f>
        <v>SI</v>
      </c>
      <c r="EB36" s="423">
        <f t="shared" si="12"/>
        <v>0</v>
      </c>
      <c r="EC36" s="423">
        <f t="shared" si="13"/>
        <v>0</v>
      </c>
      <c r="ED36" s="423">
        <f t="shared" si="14"/>
        <v>0</v>
      </c>
      <c r="EE36" s="423">
        <f t="shared" si="15"/>
        <v>0</v>
      </c>
      <c r="EF36" s="423">
        <f t="shared" si="16"/>
        <v>0</v>
      </c>
      <c r="EG36" s="423">
        <f t="shared" si="17"/>
        <v>0</v>
      </c>
      <c r="EH36" s="423">
        <f t="shared" si="18"/>
        <v>0</v>
      </c>
      <c r="EI36" s="423">
        <f t="shared" si="19"/>
        <v>0</v>
      </c>
      <c r="EJ36" s="423">
        <f t="shared" si="20"/>
        <v>0</v>
      </c>
      <c r="EK36" s="423">
        <f t="shared" si="21"/>
        <v>0</v>
      </c>
      <c r="EL36" s="423">
        <f t="shared" si="22"/>
        <v>0</v>
      </c>
      <c r="EM36" s="423">
        <f t="shared" si="23"/>
        <v>0</v>
      </c>
      <c r="EN36" s="423">
        <f t="shared" si="24"/>
        <v>0</v>
      </c>
      <c r="EO36" s="423">
        <f t="shared" si="25"/>
        <v>0</v>
      </c>
      <c r="EP36" s="423">
        <f t="shared" si="26"/>
        <v>0</v>
      </c>
      <c r="EQ36" s="423">
        <f t="shared" si="27"/>
        <v>0</v>
      </c>
      <c r="ER36" s="423">
        <f t="shared" si="28"/>
        <v>0</v>
      </c>
      <c r="ES36" s="423">
        <f t="shared" si="29"/>
        <v>0</v>
      </c>
      <c r="ET36" s="423">
        <f t="shared" si="30"/>
        <v>0</v>
      </c>
      <c r="EU36" s="423">
        <f t="shared" si="31"/>
        <v>0</v>
      </c>
      <c r="EV36" s="423">
        <f t="shared" si="32"/>
        <v>0</v>
      </c>
      <c r="EW36" s="423">
        <f t="shared" si="33"/>
        <v>0</v>
      </c>
      <c r="EX36" s="423">
        <f t="shared" si="34"/>
        <v>0</v>
      </c>
      <c r="EY36" s="423">
        <f t="shared" si="35"/>
        <v>0</v>
      </c>
      <c r="EZ36" s="423">
        <f t="shared" si="36"/>
        <v>0</v>
      </c>
      <c r="FA36" s="423">
        <f t="shared" si="37"/>
        <v>0</v>
      </c>
      <c r="FB36" s="423">
        <f t="shared" si="38"/>
        <v>0</v>
      </c>
      <c r="FC36" s="423">
        <f t="shared" si="39"/>
        <v>0</v>
      </c>
      <c r="FD36" s="423">
        <f t="shared" si="40"/>
        <v>0</v>
      </c>
      <c r="FE36" s="423">
        <f t="shared" si="41"/>
        <v>0</v>
      </c>
      <c r="FF36" s="423">
        <f t="shared" si="42"/>
        <v>0</v>
      </c>
      <c r="FG36" s="423">
        <f t="shared" si="43"/>
        <v>0</v>
      </c>
      <c r="FH36" s="423">
        <f t="shared" si="66"/>
        <v>0</v>
      </c>
      <c r="FJ36" s="123"/>
      <c r="FK36" s="123"/>
      <c r="FL36" s="517"/>
      <c r="FM36" s="518"/>
      <c r="FN36" s="518"/>
      <c r="FP36" s="518"/>
      <c r="FR36" s="392"/>
      <c r="FS36" s="956" t="s">
        <v>70</v>
      </c>
      <c r="FT36" s="959" t="s">
        <v>202</v>
      </c>
      <c r="FU36" s="959"/>
      <c r="FV36" s="959"/>
      <c r="FW36" s="960" t="s">
        <v>134</v>
      </c>
      <c r="FX36" s="960" t="s">
        <v>352</v>
      </c>
      <c r="FY36" s="963" t="s">
        <v>353</v>
      </c>
      <c r="FZ36" s="966" t="s">
        <v>205</v>
      </c>
      <c r="GB36" s="386">
        <v>17</v>
      </c>
      <c r="GC36" s="430">
        <f t="shared" si="103"/>
        <v>45566</v>
      </c>
      <c r="GD36" s="430">
        <f t="shared" si="104"/>
        <v>45596</v>
      </c>
      <c r="GE36" s="386" t="str">
        <f>IF(AND(GD36&gt;=EXPEDIENTE!$F$25,GC36&lt;=EXPEDIENTE!$F$29),"SI","NO")</f>
        <v>SI</v>
      </c>
      <c r="GF36" s="423">
        <f t="shared" si="67"/>
        <v>0</v>
      </c>
      <c r="GG36" s="423">
        <f t="shared" si="68"/>
        <v>0</v>
      </c>
      <c r="GH36" s="423">
        <f t="shared" si="69"/>
        <v>0</v>
      </c>
      <c r="GI36" s="423">
        <f t="shared" si="70"/>
        <v>0</v>
      </c>
      <c r="GJ36" s="423">
        <f t="shared" si="71"/>
        <v>0</v>
      </c>
      <c r="GK36" s="423">
        <f t="shared" si="72"/>
        <v>0</v>
      </c>
      <c r="GL36" s="423">
        <f t="shared" si="73"/>
        <v>0</v>
      </c>
      <c r="GM36" s="423">
        <f t="shared" si="74"/>
        <v>0</v>
      </c>
      <c r="GN36" s="423">
        <f t="shared" si="75"/>
        <v>0</v>
      </c>
      <c r="GO36" s="423">
        <f t="shared" si="76"/>
        <v>0</v>
      </c>
      <c r="GP36" s="423">
        <f t="shared" si="77"/>
        <v>0</v>
      </c>
      <c r="GQ36" s="423">
        <f t="shared" si="78"/>
        <v>0</v>
      </c>
      <c r="GR36" s="423">
        <f t="shared" si="79"/>
        <v>0</v>
      </c>
      <c r="GS36" s="423">
        <f t="shared" si="80"/>
        <v>0</v>
      </c>
      <c r="GT36" s="423">
        <f t="shared" si="81"/>
        <v>0</v>
      </c>
      <c r="GU36" s="423">
        <f t="shared" si="82"/>
        <v>0</v>
      </c>
      <c r="GV36" s="423">
        <f t="shared" si="83"/>
        <v>0</v>
      </c>
      <c r="GW36" s="423">
        <f t="shared" si="84"/>
        <v>0</v>
      </c>
      <c r="GX36" s="423">
        <f t="shared" si="85"/>
        <v>0</v>
      </c>
      <c r="GY36" s="423">
        <f t="shared" si="86"/>
        <v>0</v>
      </c>
      <c r="GZ36" s="423">
        <f t="shared" si="87"/>
        <v>0</v>
      </c>
      <c r="HA36" s="423">
        <f t="shared" si="88"/>
        <v>0</v>
      </c>
      <c r="HB36" s="423">
        <f t="shared" si="89"/>
        <v>0</v>
      </c>
      <c r="HC36" s="423">
        <f t="shared" si="90"/>
        <v>0</v>
      </c>
      <c r="HD36" s="423">
        <f t="shared" si="91"/>
        <v>0</v>
      </c>
      <c r="HE36" s="423">
        <f t="shared" si="92"/>
        <v>0</v>
      </c>
      <c r="HF36" s="423">
        <f t="shared" si="93"/>
        <v>0</v>
      </c>
      <c r="HG36" s="423">
        <f t="shared" si="94"/>
        <v>0</v>
      </c>
      <c r="HH36" s="423">
        <f t="shared" si="95"/>
        <v>0</v>
      </c>
      <c r="HI36" s="423">
        <f t="shared" si="96"/>
        <v>0</v>
      </c>
      <c r="HJ36" s="423">
        <f t="shared" si="97"/>
        <v>0</v>
      </c>
      <c r="HK36" s="423">
        <f t="shared" si="98"/>
        <v>0</v>
      </c>
      <c r="HL36" s="423">
        <f t="shared" si="99"/>
        <v>0</v>
      </c>
      <c r="HO36" s="123"/>
      <c r="HP36" s="123"/>
      <c r="HQ36" s="517"/>
      <c r="HR36" s="518"/>
      <c r="HS36" s="518"/>
      <c r="HU36" s="518"/>
      <c r="JC36" s="416">
        <v>32</v>
      </c>
      <c r="JD36" s="398">
        <f t="shared" si="100"/>
        <v>12</v>
      </c>
    </row>
    <row r="37" spans="3:264" ht="15" customHeight="1" thickBot="1" x14ac:dyDescent="0.3">
      <c r="C37" s="206">
        <v>31</v>
      </c>
      <c r="D37" s="401"/>
      <c r="E37" s="417"/>
      <c r="F37" s="418"/>
      <c r="G37" s="419"/>
      <c r="H37" s="419"/>
      <c r="I37" s="419"/>
      <c r="J37" s="401"/>
      <c r="K37" s="407">
        <f t="shared" si="52"/>
        <v>76</v>
      </c>
      <c r="L37" s="407">
        <f t="shared" si="53"/>
        <v>76</v>
      </c>
      <c r="M37" s="407" t="str">
        <f t="shared" si="54"/>
        <v>X</v>
      </c>
      <c r="Y37" s="422">
        <f t="shared" si="0"/>
        <v>32</v>
      </c>
      <c r="Z37" s="412" t="str">
        <f>IF(Y37="","",IF(EDATE($Z$5,Y37)&gt;EXPEDIENTE!$F$27,"",EDATE($Z$5,Y37)))</f>
        <v/>
      </c>
      <c r="AA37" s="412" t="str">
        <f>IF(Z37="","",IF(YEAR(EXPEDIENTE!$F$25)=YEAR(Z37),Z37,""))</f>
        <v/>
      </c>
      <c r="AB37" s="412" t="str">
        <f>IF(Z37="","",IF(YEAR(EXPEDIENTE!$F$25)+1=YEAR(Z37),Z37,""))</f>
        <v/>
      </c>
      <c r="AC37" s="412" t="str">
        <f>IF(Z37="","",IF(YEAR(EXPEDIENTE!$F$25)+2=YEAR(Z37),Z37,""))</f>
        <v/>
      </c>
      <c r="AD37" s="412" t="str">
        <f>IF(Z37="","",IF(YEAR(EXPEDIENTE!$F$25)+3=YEAR(Z37),Z37,""))</f>
        <v/>
      </c>
      <c r="AG37" s="392"/>
      <c r="AH37" s="1002"/>
      <c r="AI37" s="1005"/>
      <c r="AJ37" s="1008"/>
      <c r="AL37" s="997"/>
      <c r="AM37" s="999"/>
      <c r="AN37" s="969"/>
      <c r="AO37" s="1016"/>
      <c r="AP37" s="997"/>
      <c r="AQ37" s="999"/>
      <c r="AR37" s="967"/>
      <c r="AS37" s="1026"/>
      <c r="AT37" s="969"/>
      <c r="AU37" s="967"/>
      <c r="AV37" s="1025"/>
      <c r="AW37" s="1019"/>
      <c r="BA37" s="986">
        <f>'GASTOS EJER. 2'!$C$37</f>
        <v>0</v>
      </c>
      <c r="BB37" s="987">
        <f>'GASTOS EJER. 2'!$C$38</f>
        <v>0</v>
      </c>
      <c r="BC37" s="987">
        <f>'GASTOS EJER. 2'!$C$39</f>
        <v>0</v>
      </c>
      <c r="BD37" s="987">
        <f>'GASTOS EJER. 2'!$C$40</f>
        <v>0</v>
      </c>
      <c r="BE37" s="987">
        <f>'GASTOS EJER. 2'!$C$41</f>
        <v>0</v>
      </c>
      <c r="BF37" s="987">
        <f>'GASTOS EJER. 2'!$C$42</f>
        <v>0</v>
      </c>
      <c r="BG37" s="987">
        <f>'GASTOS EJER. 2'!$C$43</f>
        <v>0</v>
      </c>
      <c r="BH37" s="988">
        <f>'GASTOS EJER. 2'!$C$44</f>
        <v>0</v>
      </c>
      <c r="BI37" s="990" t="s">
        <v>58</v>
      </c>
      <c r="BK37" s="986">
        <f>'GASTOS EJER. 3'!$C$37</f>
        <v>0</v>
      </c>
      <c r="BL37" s="987">
        <f>'GASTOS EJER. 3'!$C$38</f>
        <v>0</v>
      </c>
      <c r="BM37" s="987">
        <f>'GASTOS EJER. 3'!$C$39</f>
        <v>0</v>
      </c>
      <c r="BN37" s="987">
        <f>'GASTOS EJER. 3'!$C$40</f>
        <v>0</v>
      </c>
      <c r="BO37" s="987">
        <f>'GASTOS EJER. 3'!$C$41</f>
        <v>0</v>
      </c>
      <c r="BP37" s="987">
        <f>'GASTOS EJER. 3'!$C$42</f>
        <v>0</v>
      </c>
      <c r="BQ37" s="987">
        <f>'GASTOS EJER. 3'!$C$43</f>
        <v>0</v>
      </c>
      <c r="BR37" s="988">
        <f>'GASTOS EJER. 3'!$C$44</f>
        <v>0</v>
      </c>
      <c r="BS37" s="990" t="s">
        <v>58</v>
      </c>
      <c r="BU37" s="1031"/>
      <c r="BX37" s="392"/>
      <c r="BY37" s="1002"/>
      <c r="BZ37" s="1005"/>
      <c r="CA37" s="1008"/>
      <c r="CC37" s="997"/>
      <c r="CD37" s="999"/>
      <c r="CE37" s="969"/>
      <c r="CF37" s="1016"/>
      <c r="CG37" s="997"/>
      <c r="CH37" s="999"/>
      <c r="CI37" s="967"/>
      <c r="CJ37" s="1026"/>
      <c r="CK37" s="969"/>
      <c r="CL37" s="967"/>
      <c r="CM37" s="1025"/>
      <c r="CN37" s="1019"/>
      <c r="CR37" s="986">
        <f>'GASTOS EJER. 2'!$C$37</f>
        <v>0</v>
      </c>
      <c r="CS37" s="987">
        <f>'GASTOS EJER. 2'!$C$38</f>
        <v>0</v>
      </c>
      <c r="CT37" s="987">
        <f>'GASTOS EJER. 2'!$C$39</f>
        <v>0</v>
      </c>
      <c r="CU37" s="987">
        <f>'GASTOS EJER. 2'!$C$40</f>
        <v>0</v>
      </c>
      <c r="CV37" s="987">
        <f>'GASTOS EJER. 2'!$C$41</f>
        <v>0</v>
      </c>
      <c r="CW37" s="987">
        <f>'GASTOS EJER. 2'!$C$42</f>
        <v>0</v>
      </c>
      <c r="CX37" s="987">
        <f>'GASTOS EJER. 2'!$C$43</f>
        <v>0</v>
      </c>
      <c r="CY37" s="988">
        <f>'GASTOS EJER. 2'!$C$44</f>
        <v>0</v>
      </c>
      <c r="CZ37" s="990" t="s">
        <v>58</v>
      </c>
      <c r="DB37" s="986">
        <f>'GASTOS EJER. 3'!$C$37</f>
        <v>0</v>
      </c>
      <c r="DC37" s="987">
        <f>'GASTOS EJER. 3'!$C$38</f>
        <v>0</v>
      </c>
      <c r="DD37" s="987">
        <f>'GASTOS EJER. 3'!$C$39</f>
        <v>0</v>
      </c>
      <c r="DE37" s="987">
        <f>'GASTOS EJER. 3'!$C$40</f>
        <v>0</v>
      </c>
      <c r="DF37" s="987">
        <f>'GASTOS EJER. 3'!$C$41</f>
        <v>0</v>
      </c>
      <c r="DG37" s="987">
        <f>'GASTOS EJER. 3'!$C$42</f>
        <v>0</v>
      </c>
      <c r="DH37" s="987">
        <f>'GASTOS EJER. 3'!$C$43</f>
        <v>0</v>
      </c>
      <c r="DI37" s="988">
        <f>'GASTOS EJER. 3'!$C$44</f>
        <v>0</v>
      </c>
      <c r="DJ37" s="990" t="s">
        <v>58</v>
      </c>
      <c r="DL37" s="1031"/>
      <c r="DN37" s="392"/>
      <c r="DO37" s="957"/>
      <c r="DP37" s="969" t="s">
        <v>68</v>
      </c>
      <c r="DQ37" s="969" t="s">
        <v>69</v>
      </c>
      <c r="DR37" s="969" t="s">
        <v>111</v>
      </c>
      <c r="DS37" s="961"/>
      <c r="DT37" s="961"/>
      <c r="DU37" s="964"/>
      <c r="DV37" s="967"/>
      <c r="DX37" s="386">
        <v>18</v>
      </c>
      <c r="DY37" s="430">
        <f t="shared" si="101"/>
        <v>45597</v>
      </c>
      <c r="DZ37" s="430">
        <f t="shared" si="102"/>
        <v>45626</v>
      </c>
      <c r="EA37" s="386" t="str">
        <f>IF(AND(DZ37&gt;=EXPEDIENTE!$F$25,DY37&lt;=EXPEDIENTE!$F$29),"SI","NO")</f>
        <v>SI</v>
      </c>
      <c r="EB37" s="423">
        <f t="shared" si="12"/>
        <v>0</v>
      </c>
      <c r="EC37" s="423">
        <f t="shared" si="13"/>
        <v>0</v>
      </c>
      <c r="ED37" s="423">
        <f t="shared" si="14"/>
        <v>0</v>
      </c>
      <c r="EE37" s="423">
        <f t="shared" si="15"/>
        <v>0</v>
      </c>
      <c r="EF37" s="423">
        <f t="shared" si="16"/>
        <v>0</v>
      </c>
      <c r="EG37" s="423">
        <f t="shared" si="17"/>
        <v>0</v>
      </c>
      <c r="EH37" s="423">
        <f t="shared" si="18"/>
        <v>0</v>
      </c>
      <c r="EI37" s="423">
        <f t="shared" si="19"/>
        <v>0</v>
      </c>
      <c r="EJ37" s="423">
        <f t="shared" si="20"/>
        <v>0</v>
      </c>
      <c r="EK37" s="423">
        <f t="shared" si="21"/>
        <v>0</v>
      </c>
      <c r="EL37" s="423">
        <f t="shared" si="22"/>
        <v>0</v>
      </c>
      <c r="EM37" s="423">
        <f t="shared" si="23"/>
        <v>0</v>
      </c>
      <c r="EN37" s="423">
        <f t="shared" si="24"/>
        <v>0</v>
      </c>
      <c r="EO37" s="423">
        <f t="shared" si="25"/>
        <v>0</v>
      </c>
      <c r="EP37" s="423">
        <f t="shared" si="26"/>
        <v>0</v>
      </c>
      <c r="EQ37" s="423">
        <f t="shared" si="27"/>
        <v>0</v>
      </c>
      <c r="ER37" s="423">
        <f t="shared" si="28"/>
        <v>0</v>
      </c>
      <c r="ES37" s="423">
        <f t="shared" si="29"/>
        <v>0</v>
      </c>
      <c r="ET37" s="423">
        <f t="shared" si="30"/>
        <v>0</v>
      </c>
      <c r="EU37" s="423">
        <f t="shared" si="31"/>
        <v>0</v>
      </c>
      <c r="EV37" s="423">
        <f t="shared" si="32"/>
        <v>0</v>
      </c>
      <c r="EW37" s="423">
        <f t="shared" si="33"/>
        <v>0</v>
      </c>
      <c r="EX37" s="423">
        <f t="shared" si="34"/>
        <v>0</v>
      </c>
      <c r="EY37" s="423">
        <f t="shared" si="35"/>
        <v>0</v>
      </c>
      <c r="EZ37" s="423">
        <f t="shared" si="36"/>
        <v>0</v>
      </c>
      <c r="FA37" s="423">
        <f t="shared" si="37"/>
        <v>0</v>
      </c>
      <c r="FB37" s="423">
        <f t="shared" si="38"/>
        <v>0</v>
      </c>
      <c r="FC37" s="423">
        <f t="shared" si="39"/>
        <v>0</v>
      </c>
      <c r="FD37" s="423">
        <f t="shared" si="40"/>
        <v>0</v>
      </c>
      <c r="FE37" s="423">
        <f t="shared" si="41"/>
        <v>0</v>
      </c>
      <c r="FF37" s="423">
        <f t="shared" si="42"/>
        <v>0</v>
      </c>
      <c r="FG37" s="423">
        <f t="shared" si="43"/>
        <v>0</v>
      </c>
      <c r="FH37" s="423">
        <f t="shared" si="66"/>
        <v>0</v>
      </c>
      <c r="FR37" s="392"/>
      <c r="FS37" s="957"/>
      <c r="FT37" s="969" t="s">
        <v>68</v>
      </c>
      <c r="FU37" s="969" t="s">
        <v>69</v>
      </c>
      <c r="FV37" s="969" t="s">
        <v>111</v>
      </c>
      <c r="FW37" s="961"/>
      <c r="FX37" s="961"/>
      <c r="FY37" s="964"/>
      <c r="FZ37" s="967"/>
      <c r="GB37" s="386">
        <v>18</v>
      </c>
      <c r="GC37" s="430">
        <f t="shared" si="103"/>
        <v>45597</v>
      </c>
      <c r="GD37" s="430">
        <f t="shared" si="104"/>
        <v>45626</v>
      </c>
      <c r="GE37" s="386" t="str">
        <f>IF(AND(GD37&gt;=EXPEDIENTE!$F$25,GC37&lt;=EXPEDIENTE!$F$29),"SI","NO")</f>
        <v>SI</v>
      </c>
      <c r="GF37" s="423">
        <f t="shared" si="67"/>
        <v>0</v>
      </c>
      <c r="GG37" s="423">
        <f t="shared" si="68"/>
        <v>0</v>
      </c>
      <c r="GH37" s="423">
        <f t="shared" si="69"/>
        <v>0</v>
      </c>
      <c r="GI37" s="423">
        <f t="shared" si="70"/>
        <v>0</v>
      </c>
      <c r="GJ37" s="423">
        <f t="shared" si="71"/>
        <v>0</v>
      </c>
      <c r="GK37" s="423">
        <f t="shared" si="72"/>
        <v>0</v>
      </c>
      <c r="GL37" s="423">
        <f t="shared" si="73"/>
        <v>0</v>
      </c>
      <c r="GM37" s="423">
        <f t="shared" si="74"/>
        <v>0</v>
      </c>
      <c r="GN37" s="423">
        <f t="shared" si="75"/>
        <v>0</v>
      </c>
      <c r="GO37" s="423">
        <f t="shared" si="76"/>
        <v>0</v>
      </c>
      <c r="GP37" s="423">
        <f t="shared" si="77"/>
        <v>0</v>
      </c>
      <c r="GQ37" s="423">
        <f t="shared" si="78"/>
        <v>0</v>
      </c>
      <c r="GR37" s="423">
        <f t="shared" si="79"/>
        <v>0</v>
      </c>
      <c r="GS37" s="423">
        <f t="shared" si="80"/>
        <v>0</v>
      </c>
      <c r="GT37" s="423">
        <f t="shared" si="81"/>
        <v>0</v>
      </c>
      <c r="GU37" s="423">
        <f t="shared" si="82"/>
        <v>0</v>
      </c>
      <c r="GV37" s="423">
        <f t="shared" si="83"/>
        <v>0</v>
      </c>
      <c r="GW37" s="423">
        <f t="shared" si="84"/>
        <v>0</v>
      </c>
      <c r="GX37" s="423">
        <f t="shared" si="85"/>
        <v>0</v>
      </c>
      <c r="GY37" s="423">
        <f t="shared" si="86"/>
        <v>0</v>
      </c>
      <c r="GZ37" s="423">
        <f t="shared" si="87"/>
        <v>0</v>
      </c>
      <c r="HA37" s="423">
        <f t="shared" si="88"/>
        <v>0</v>
      </c>
      <c r="HB37" s="423">
        <f t="shared" si="89"/>
        <v>0</v>
      </c>
      <c r="HC37" s="423">
        <f t="shared" si="90"/>
        <v>0</v>
      </c>
      <c r="HD37" s="423">
        <f t="shared" si="91"/>
        <v>0</v>
      </c>
      <c r="HE37" s="423">
        <f t="shared" si="92"/>
        <v>0</v>
      </c>
      <c r="HF37" s="423">
        <f t="shared" si="93"/>
        <v>0</v>
      </c>
      <c r="HG37" s="423">
        <f t="shared" si="94"/>
        <v>0</v>
      </c>
      <c r="HH37" s="423">
        <f t="shared" si="95"/>
        <v>0</v>
      </c>
      <c r="HI37" s="423">
        <f t="shared" si="96"/>
        <v>0</v>
      </c>
      <c r="HJ37" s="423">
        <f t="shared" si="97"/>
        <v>0</v>
      </c>
      <c r="HK37" s="423">
        <f t="shared" si="98"/>
        <v>0</v>
      </c>
      <c r="HL37" s="423">
        <f t="shared" si="99"/>
        <v>0</v>
      </c>
      <c r="JC37" s="416">
        <v>33</v>
      </c>
      <c r="JD37" s="398">
        <f t="shared" si="100"/>
        <v>12</v>
      </c>
    </row>
    <row r="38" spans="3:264" ht="15.75" thickBot="1" x14ac:dyDescent="0.3">
      <c r="C38" s="206">
        <v>32</v>
      </c>
      <c r="D38" s="401"/>
      <c r="E38" s="417"/>
      <c r="F38" s="418"/>
      <c r="G38" s="419"/>
      <c r="H38" s="419"/>
      <c r="I38" s="419"/>
      <c r="J38" s="401"/>
      <c r="K38" s="407">
        <f t="shared" si="52"/>
        <v>76</v>
      </c>
      <c r="L38" s="407">
        <f t="shared" si="53"/>
        <v>76</v>
      </c>
      <c r="M38" s="407" t="str">
        <f t="shared" si="54"/>
        <v>X</v>
      </c>
      <c r="Y38" s="422">
        <f t="shared" si="0"/>
        <v>33</v>
      </c>
      <c r="Z38" s="412" t="str">
        <f>IF(Y38="","",IF(EDATE($Z$5,Y38)&gt;EXPEDIENTE!$F$27,"",EDATE($Z$5,Y38)))</f>
        <v/>
      </c>
      <c r="AA38" s="412" t="str">
        <f>IF(Z38="","",IF(YEAR(EXPEDIENTE!$F$25)=YEAR(Z38),Z38,""))</f>
        <v/>
      </c>
      <c r="AB38" s="412" t="str">
        <f>IF(Z38="","",IF(YEAR(EXPEDIENTE!$F$25)+1=YEAR(Z38),Z38,""))</f>
        <v/>
      </c>
      <c r="AC38" s="412" t="str">
        <f>IF(Z38="","",IF(YEAR(EXPEDIENTE!$F$25)+2=YEAR(Z38),Z38,""))</f>
        <v/>
      </c>
      <c r="AD38" s="412" t="str">
        <f>IF(Z38="","",IF(YEAR(EXPEDIENTE!$F$25)+3=YEAR(Z38),Z38,""))</f>
        <v/>
      </c>
      <c r="AG38" s="392"/>
      <c r="AH38" s="1003"/>
      <c r="AI38" s="1006"/>
      <c r="AJ38" s="1009"/>
      <c r="AL38" s="998"/>
      <c r="AM38" s="1000"/>
      <c r="AN38" s="970"/>
      <c r="AO38" s="1017"/>
      <c r="AP38" s="998"/>
      <c r="AQ38" s="1000"/>
      <c r="AR38" s="968"/>
      <c r="AS38" s="1027"/>
      <c r="AT38" s="1028"/>
      <c r="AU38" s="1029"/>
      <c r="AV38" s="458" t="e">
        <f>AF39</f>
        <v>#VALUE!</v>
      </c>
      <c r="AW38" s="1020"/>
      <c r="AZ38" s="413" t="e">
        <f>AF39</f>
        <v>#VALUE!</v>
      </c>
      <c r="BA38" s="958"/>
      <c r="BB38" s="962"/>
      <c r="BC38" s="962"/>
      <c r="BD38" s="962"/>
      <c r="BE38" s="962"/>
      <c r="BF38" s="962"/>
      <c r="BG38" s="962"/>
      <c r="BH38" s="989"/>
      <c r="BI38" s="991"/>
      <c r="BK38" s="958"/>
      <c r="BL38" s="962"/>
      <c r="BM38" s="962"/>
      <c r="BN38" s="962"/>
      <c r="BO38" s="962"/>
      <c r="BP38" s="962"/>
      <c r="BQ38" s="962"/>
      <c r="BR38" s="989"/>
      <c r="BS38" s="991"/>
      <c r="BU38" s="459" t="e">
        <f>AF39</f>
        <v>#VALUE!</v>
      </c>
      <c r="BX38" s="392"/>
      <c r="BY38" s="1003"/>
      <c r="BZ38" s="1006"/>
      <c r="CA38" s="1009"/>
      <c r="CC38" s="998"/>
      <c r="CD38" s="1000"/>
      <c r="CE38" s="970"/>
      <c r="CF38" s="1017"/>
      <c r="CG38" s="998"/>
      <c r="CH38" s="1000"/>
      <c r="CI38" s="968"/>
      <c r="CJ38" s="1027"/>
      <c r="CK38" s="1028"/>
      <c r="CL38" s="1029"/>
      <c r="CM38" s="458" t="e">
        <f>BW39</f>
        <v>#VALUE!</v>
      </c>
      <c r="CN38" s="1020"/>
      <c r="CQ38" s="414" t="e">
        <f>BW39</f>
        <v>#VALUE!</v>
      </c>
      <c r="CR38" s="1021"/>
      <c r="CS38" s="1022"/>
      <c r="CT38" s="1022"/>
      <c r="CU38" s="1022"/>
      <c r="CV38" s="1022"/>
      <c r="CW38" s="1022"/>
      <c r="CX38" s="1022"/>
      <c r="CY38" s="1023"/>
      <c r="CZ38" s="991"/>
      <c r="DB38" s="1021"/>
      <c r="DC38" s="1022"/>
      <c r="DD38" s="1022"/>
      <c r="DE38" s="1022"/>
      <c r="DF38" s="1022"/>
      <c r="DG38" s="1022"/>
      <c r="DH38" s="1022"/>
      <c r="DI38" s="1023"/>
      <c r="DJ38" s="991"/>
      <c r="DL38" s="460" t="e">
        <f>BW39</f>
        <v>#VALUE!</v>
      </c>
      <c r="DN38" s="392"/>
      <c r="DO38" s="958"/>
      <c r="DP38" s="970"/>
      <c r="DQ38" s="970"/>
      <c r="DR38" s="970"/>
      <c r="DS38" s="962"/>
      <c r="DT38" s="962"/>
      <c r="DU38" s="965"/>
      <c r="DV38" s="968"/>
      <c r="DX38" s="386">
        <v>19</v>
      </c>
      <c r="DY38" s="430">
        <f t="shared" si="101"/>
        <v>45627</v>
      </c>
      <c r="DZ38" s="430">
        <f t="shared" si="102"/>
        <v>45657</v>
      </c>
      <c r="EA38" s="386" t="str">
        <f>IF(AND(DZ38&gt;=EXPEDIENTE!$F$25,DY38&lt;=EXPEDIENTE!$F$29),"SI","NO")</f>
        <v>SI</v>
      </c>
      <c r="EB38" s="423">
        <f t="shared" si="12"/>
        <v>0</v>
      </c>
      <c r="EC38" s="423">
        <f t="shared" si="13"/>
        <v>0</v>
      </c>
      <c r="ED38" s="423">
        <f t="shared" si="14"/>
        <v>0</v>
      </c>
      <c r="EE38" s="423">
        <f t="shared" si="15"/>
        <v>0</v>
      </c>
      <c r="EF38" s="423">
        <f t="shared" si="16"/>
        <v>0</v>
      </c>
      <c r="EG38" s="423">
        <f t="shared" si="17"/>
        <v>0</v>
      </c>
      <c r="EH38" s="423">
        <f t="shared" si="18"/>
        <v>0</v>
      </c>
      <c r="EI38" s="423">
        <f t="shared" si="19"/>
        <v>0</v>
      </c>
      <c r="EJ38" s="423">
        <f t="shared" si="20"/>
        <v>0</v>
      </c>
      <c r="EK38" s="423">
        <f t="shared" si="21"/>
        <v>0</v>
      </c>
      <c r="EL38" s="423">
        <f t="shared" si="22"/>
        <v>0</v>
      </c>
      <c r="EM38" s="423">
        <f t="shared" si="23"/>
        <v>0</v>
      </c>
      <c r="EN38" s="423">
        <f t="shared" si="24"/>
        <v>0</v>
      </c>
      <c r="EO38" s="423">
        <f t="shared" si="25"/>
        <v>0</v>
      </c>
      <c r="EP38" s="423">
        <f t="shared" si="26"/>
        <v>0</v>
      </c>
      <c r="EQ38" s="423">
        <f t="shared" si="27"/>
        <v>0</v>
      </c>
      <c r="ER38" s="423">
        <f t="shared" si="28"/>
        <v>0</v>
      </c>
      <c r="ES38" s="423">
        <f t="shared" si="29"/>
        <v>0</v>
      </c>
      <c r="ET38" s="423">
        <f t="shared" si="30"/>
        <v>0</v>
      </c>
      <c r="EU38" s="423">
        <f t="shared" si="31"/>
        <v>0</v>
      </c>
      <c r="EV38" s="423">
        <f t="shared" si="32"/>
        <v>0</v>
      </c>
      <c r="EW38" s="423">
        <f t="shared" si="33"/>
        <v>0</v>
      </c>
      <c r="EX38" s="423">
        <f t="shared" si="34"/>
        <v>0</v>
      </c>
      <c r="EY38" s="423">
        <f t="shared" si="35"/>
        <v>0</v>
      </c>
      <c r="EZ38" s="423">
        <f t="shared" si="36"/>
        <v>0</v>
      </c>
      <c r="FA38" s="423">
        <f t="shared" si="37"/>
        <v>0</v>
      </c>
      <c r="FB38" s="423">
        <f t="shared" si="38"/>
        <v>0</v>
      </c>
      <c r="FC38" s="423">
        <f t="shared" si="39"/>
        <v>0</v>
      </c>
      <c r="FD38" s="423">
        <f t="shared" si="40"/>
        <v>0</v>
      </c>
      <c r="FE38" s="423">
        <f t="shared" si="41"/>
        <v>0</v>
      </c>
      <c r="FF38" s="423">
        <f t="shared" si="42"/>
        <v>0</v>
      </c>
      <c r="FG38" s="423">
        <f t="shared" si="43"/>
        <v>0</v>
      </c>
      <c r="FH38" s="423">
        <f t="shared" si="66"/>
        <v>0</v>
      </c>
      <c r="FJ38" s="461" t="e">
        <f>AZ38</f>
        <v>#VALUE!</v>
      </c>
      <c r="FK38" s="462" t="s">
        <v>76</v>
      </c>
      <c r="FL38" s="463" t="s">
        <v>207</v>
      </c>
      <c r="FM38" s="463" t="s">
        <v>136</v>
      </c>
      <c r="FN38" s="463" t="s">
        <v>193</v>
      </c>
      <c r="FO38" s="463" t="s">
        <v>350</v>
      </c>
      <c r="FP38" s="464" t="s">
        <v>58</v>
      </c>
      <c r="FR38" s="392"/>
      <c r="FS38" s="958"/>
      <c r="FT38" s="970"/>
      <c r="FU38" s="970"/>
      <c r="FV38" s="970"/>
      <c r="FW38" s="962"/>
      <c r="FX38" s="962"/>
      <c r="FY38" s="965"/>
      <c r="FZ38" s="968"/>
      <c r="GB38" s="386">
        <v>19</v>
      </c>
      <c r="GC38" s="430">
        <f t="shared" si="103"/>
        <v>45627</v>
      </c>
      <c r="GD38" s="430">
        <f t="shared" si="104"/>
        <v>45657</v>
      </c>
      <c r="GE38" s="386" t="str">
        <f>IF(AND(GD38&gt;=EXPEDIENTE!$F$25,GC38&lt;=EXPEDIENTE!$F$29),"SI","NO")</f>
        <v>SI</v>
      </c>
      <c r="GF38" s="423">
        <f t="shared" si="67"/>
        <v>0</v>
      </c>
      <c r="GG38" s="423">
        <f t="shared" si="68"/>
        <v>0</v>
      </c>
      <c r="GH38" s="423">
        <f t="shared" si="69"/>
        <v>0</v>
      </c>
      <c r="GI38" s="423">
        <f t="shared" si="70"/>
        <v>0</v>
      </c>
      <c r="GJ38" s="423">
        <f t="shared" si="71"/>
        <v>0</v>
      </c>
      <c r="GK38" s="423">
        <f t="shared" si="72"/>
        <v>0</v>
      </c>
      <c r="GL38" s="423">
        <f t="shared" si="73"/>
        <v>0</v>
      </c>
      <c r="GM38" s="423">
        <f t="shared" si="74"/>
        <v>0</v>
      </c>
      <c r="GN38" s="423">
        <f t="shared" si="75"/>
        <v>0</v>
      </c>
      <c r="GO38" s="423">
        <f t="shared" si="76"/>
        <v>0</v>
      </c>
      <c r="GP38" s="423">
        <f t="shared" si="77"/>
        <v>0</v>
      </c>
      <c r="GQ38" s="423">
        <f t="shared" si="78"/>
        <v>0</v>
      </c>
      <c r="GR38" s="423">
        <f t="shared" si="79"/>
        <v>0</v>
      </c>
      <c r="GS38" s="423">
        <f t="shared" si="80"/>
        <v>0</v>
      </c>
      <c r="GT38" s="423">
        <f t="shared" si="81"/>
        <v>0</v>
      </c>
      <c r="GU38" s="423">
        <f t="shared" si="82"/>
        <v>0</v>
      </c>
      <c r="GV38" s="423">
        <f t="shared" si="83"/>
        <v>0</v>
      </c>
      <c r="GW38" s="423">
        <f t="shared" si="84"/>
        <v>0</v>
      </c>
      <c r="GX38" s="423">
        <f t="shared" si="85"/>
        <v>0</v>
      </c>
      <c r="GY38" s="423">
        <f t="shared" si="86"/>
        <v>0</v>
      </c>
      <c r="GZ38" s="423">
        <f t="shared" si="87"/>
        <v>0</v>
      </c>
      <c r="HA38" s="423">
        <f t="shared" si="88"/>
        <v>0</v>
      </c>
      <c r="HB38" s="423">
        <f t="shared" si="89"/>
        <v>0</v>
      </c>
      <c r="HC38" s="423">
        <f t="shared" si="90"/>
        <v>0</v>
      </c>
      <c r="HD38" s="423">
        <f t="shared" si="91"/>
        <v>0</v>
      </c>
      <c r="HE38" s="423">
        <f t="shared" si="92"/>
        <v>0</v>
      </c>
      <c r="HF38" s="423">
        <f t="shared" si="93"/>
        <v>0</v>
      </c>
      <c r="HG38" s="423">
        <f t="shared" si="94"/>
        <v>0</v>
      </c>
      <c r="HH38" s="423">
        <f t="shared" si="95"/>
        <v>0</v>
      </c>
      <c r="HI38" s="423">
        <f t="shared" si="96"/>
        <v>0</v>
      </c>
      <c r="HJ38" s="423">
        <f t="shared" si="97"/>
        <v>0</v>
      </c>
      <c r="HK38" s="423">
        <f t="shared" si="98"/>
        <v>0</v>
      </c>
      <c r="HL38" s="423">
        <f t="shared" si="99"/>
        <v>0</v>
      </c>
      <c r="HO38" s="465" t="e">
        <f>BW39</f>
        <v>#VALUE!</v>
      </c>
      <c r="HP38" s="462" t="s">
        <v>76</v>
      </c>
      <c r="HQ38" s="463" t="s">
        <v>207</v>
      </c>
      <c r="HR38" s="463" t="s">
        <v>136</v>
      </c>
      <c r="HS38" s="463" t="s">
        <v>193</v>
      </c>
      <c r="HT38" s="463" t="s">
        <v>350</v>
      </c>
      <c r="HU38" s="464" t="s">
        <v>58</v>
      </c>
      <c r="JC38" s="416">
        <v>34</v>
      </c>
      <c r="JD38" s="398">
        <f t="shared" si="100"/>
        <v>12</v>
      </c>
    </row>
    <row r="39" spans="3:264" ht="15.75" thickBot="1" x14ac:dyDescent="0.3">
      <c r="C39" s="206">
        <v>33</v>
      </c>
      <c r="D39" s="401"/>
      <c r="E39" s="417"/>
      <c r="F39" s="418"/>
      <c r="G39" s="419"/>
      <c r="H39" s="419"/>
      <c r="I39" s="419"/>
      <c r="J39" s="401"/>
      <c r="K39" s="407">
        <f t="shared" si="52"/>
        <v>76</v>
      </c>
      <c r="L39" s="407">
        <f t="shared" si="53"/>
        <v>76</v>
      </c>
      <c r="M39" s="407" t="str">
        <f t="shared" si="54"/>
        <v>X</v>
      </c>
      <c r="Y39" s="422">
        <f t="shared" si="0"/>
        <v>34</v>
      </c>
      <c r="Z39" s="412" t="str">
        <f>IF(Y39="","",IF(EDATE($Z$5,Y39)&gt;EXPEDIENTE!$F$27,"",EDATE($Z$5,Y39)))</f>
        <v/>
      </c>
      <c r="AA39" s="412" t="str">
        <f>IF(Z39="","",IF(YEAR(EXPEDIENTE!$F$25)=YEAR(Z39),Z39,""))</f>
        <v/>
      </c>
      <c r="AB39" s="412" t="str">
        <f>IF(Z39="","",IF(YEAR(EXPEDIENTE!$F$25)+1=YEAR(Z39),Z39,""))</f>
        <v/>
      </c>
      <c r="AC39" s="412" t="str">
        <f>IF(Z39="","",IF(YEAR(EXPEDIENTE!$F$25)+2=YEAR(Z39),Z39,""))</f>
        <v/>
      </c>
      <c r="AD39" s="412" t="str">
        <f>IF(Z39="","",IF(YEAR(EXPEDIENTE!$F$25)+3=YEAR(Z39),Z39,""))</f>
        <v/>
      </c>
      <c r="AF39" s="466" t="e">
        <f>IF(YEAR(EXPEDIENTE!$F$29)&gt;=$AF$23+1,$AF$23+1,"")</f>
        <v>#VALUE!</v>
      </c>
      <c r="AG39" s="467">
        <v>9</v>
      </c>
      <c r="AH39" s="484">
        <f>'GASTOS EJER. 2'!M37</f>
        <v>0</v>
      </c>
      <c r="AI39" s="484">
        <f>'GASTOS EJER. 2'!X37</f>
        <v>0</v>
      </c>
      <c r="AJ39" s="470">
        <f>AH39-AI39</f>
        <v>0</v>
      </c>
      <c r="AL39" s="471">
        <f>'GASTOS EJER. 2'!F37+'GASTOS EJER. 2'!L37-'GASTOS EJER. 2'!X37-'GASTOS EJER. 2'!Y37</f>
        <v>0</v>
      </c>
      <c r="AM39" s="472" t="str">
        <f>IF('GASTOS EJER. 2'!AA37="","",'GASTOS EJER. 2'!AA37)</f>
        <v/>
      </c>
      <c r="AN39" s="469">
        <f>'GASTOS EJER. 2'!Y37</f>
        <v>0</v>
      </c>
      <c r="AO39" s="473" t="str">
        <f>IF('GASTOS EJER. 2'!AB37="","",'GASTOS EJER. 2'!AB37)</f>
        <v/>
      </c>
      <c r="AP39" s="474">
        <f>IF(AND(AM39&gt;=EXPEDIENTE!$I$25,AM39&lt;=EXPEDIENTE!$I$29),AL39,0)</f>
        <v>0</v>
      </c>
      <c r="AQ39" s="426">
        <f>IF(AND(AO39&gt;=EXPEDIENTE!$I$25,AO39&lt;=EXPEDIENTE!$I$29),AN39,0)</f>
        <v>0</v>
      </c>
      <c r="AR39" s="470">
        <f>AP39+AQ39</f>
        <v>0</v>
      </c>
      <c r="AS39" s="475" t="str">
        <f>IF('GASTOS EJER. 2'!D37="","",'GASTOS EJER. 2'!D37)</f>
        <v/>
      </c>
      <c r="AT39" s="476" t="str">
        <f>IF('GASTOS EJER. 2'!E37="","",'GASTOS EJER. 2'!E37)</f>
        <v/>
      </c>
      <c r="AU39" s="477">
        <f>IF(OR(AS39="",AT39=""),0,DATEDIF(AS39,AT39,"M")+1)</f>
        <v>0</v>
      </c>
      <c r="AV39" s="478">
        <f t="shared" ref="AV39:AV46" si="170">IF(OR(AS39="",AT39=""),0,IF(YEAR(AS39)&lt;$AV$22,DATEDIF(DATE($AV$22,1,1),AT39,"M")+1,AU39))</f>
        <v>0</v>
      </c>
      <c r="AW39" s="479">
        <f>IF(OR(AS39="",AT39=""),0,ROUND(AR39/AU39,2))</f>
        <v>0</v>
      </c>
      <c r="AY39" s="423">
        <v>1</v>
      </c>
      <c r="AZ39" s="424" t="e">
        <f t="shared" ref="AZ39:AZ50" si="171">IF($AZ$38="","",DATE($AZ$38,AY39,1))</f>
        <v>#VALUE!</v>
      </c>
      <c r="BA39" s="425">
        <f t="shared" ref="BA39:BA50" si="172">IF($AH$39=0,0,IF($BA$37=0,0,IF(AND(AZ39&gt;=$AS$39,AZ39&lt;=$AT$39),$AW$39,0)))</f>
        <v>0</v>
      </c>
      <c r="BB39" s="426">
        <f t="shared" ref="BB39:BB50" si="173">IF($AH$40=0,0,IF($BB$37=0,0,IF(AND(AZ39&gt;=$AS$40,AZ39&lt;=$AT$40),$AW$40,0)))</f>
        <v>0</v>
      </c>
      <c r="BC39" s="426">
        <f t="shared" ref="BC39:BC50" si="174">IF($AH$41=0,0,IF($BC$37=0,0,IF(AND(AZ39&gt;=$AS$41,AZ39&lt;=$AT$41),$AW$41,0)))</f>
        <v>0</v>
      </c>
      <c r="BD39" s="426">
        <f t="shared" ref="BD39:BD50" si="175">IF($AH$42=0,0,IF($BD$37=0,0,IF(AND(AZ39&gt;=$AS$42,AZ39&lt;=$AT$42),$AW$42,0)))</f>
        <v>0</v>
      </c>
      <c r="BE39" s="426">
        <f t="shared" ref="BE39:BE50" si="176">IF($AH$43=0,0,IF($BE$37=0,0,IF(AND(AZ39&gt;=$AS$43,AZ39&lt;=$AT$43),$AW$43,0)))</f>
        <v>0</v>
      </c>
      <c r="BF39" s="426">
        <f>IF($AH$44=0,0,IF($BF$37=0,0,IF(AND(AZ39&gt;=$AS$44,AZ39&lt;=$AT$44),$AW$44,0)))</f>
        <v>0</v>
      </c>
      <c r="BG39" s="426">
        <f t="shared" ref="BG39:BG50" si="177">IF($AH$45=0,0,IF($BG$37=0,0,IF(AND(AZ39&gt;=$AS$45,AZ39&lt;=$AT$45),$AW$45,0)))</f>
        <v>0</v>
      </c>
      <c r="BH39" s="427">
        <f t="shared" ref="BH39:BH50" si="178">IF($AH$46=0,0,IF($BH$37=0,0,IF(AND(AZ39&gt;=$AS$46,AZ39&lt;=$AT$46),$AW$46,0)))</f>
        <v>0</v>
      </c>
      <c r="BI39" s="428">
        <f t="shared" ref="BI39:BI50" si="179">SUM(BA39:BH39)</f>
        <v>0</v>
      </c>
      <c r="BK39" s="425">
        <f>IF($AH$55=0,0,IF($BK$37=0,0,IF(AND(AZ39&gt;=$AS$55,AZ39&lt;=$AT$55),$AW$55,0)))</f>
        <v>0</v>
      </c>
      <c r="BL39" s="426">
        <f>IF($AH$56=0,0,IF($BL$37=0,0,IF(AND(AZ39&gt;=$AS$56,AZ39&lt;=$AT$56),$AW$56,0)))</f>
        <v>0</v>
      </c>
      <c r="BM39" s="426">
        <f>IF($AH$57=0,0,IF($BM$37=0,0,IF(AND(AZ39&gt;=$AS$57,AZ39&lt;=$AT$57),$AW$57,0)))</f>
        <v>0</v>
      </c>
      <c r="BN39" s="426">
        <f>IF($AH$58=0,0,IF($BN$37=0,0,IF(AND(AZ39&gt;=$AS$58,AZ39&lt;=$AT$58),$AW$58,0)))</f>
        <v>0</v>
      </c>
      <c r="BO39" s="426">
        <f>IF($AH$59=0,0,IF($BO$37=0,0,IF(AND(AZ39&gt;=$AS$59,AZ39&lt;=$AT$59),$AW$59,0)))</f>
        <v>0</v>
      </c>
      <c r="BP39" s="426">
        <f>IF($AH$60=0,0,IF($BP$37=0,0,IF(AND(AZ39&gt;=$AS$60,AZ39&lt;=$AT$60),$AW$60,0)))</f>
        <v>0</v>
      </c>
      <c r="BQ39" s="426">
        <f>IF($AH$61=0,0,IF($BQ$37=0,0,IF(AND(AZ39&gt;=$AS$61,AZ39&lt;=$AT$61),$AW$61,0)))</f>
        <v>0</v>
      </c>
      <c r="BR39" s="427">
        <f>IF($AH$62=0,0,IF($BR$37=0,0,IF(AND(AZ39&gt;=$AS$62,AZ39&lt;=$AT$62),$AW$62,0)))</f>
        <v>0</v>
      </c>
      <c r="BS39" s="428">
        <f>SUM(BK39:BR39)</f>
        <v>0</v>
      </c>
      <c r="BU39" s="480">
        <f>BI39+BS39</f>
        <v>0</v>
      </c>
      <c r="BW39" s="481" t="e">
        <f>IF(YEAR(EXPEDIENTE!$I$29)&gt;=$BW$23+1,$BW$23+1,"")</f>
        <v>#VALUE!</v>
      </c>
      <c r="BX39" s="467">
        <v>9</v>
      </c>
      <c r="BY39" s="484">
        <f>'GASTOS EJER. 2'!BN37</f>
        <v>0</v>
      </c>
      <c r="BZ39" s="484">
        <f>'GASTOS EJER. 2'!CM37</f>
        <v>0</v>
      </c>
      <c r="CA39" s="470">
        <f>BY39-BZ39</f>
        <v>0</v>
      </c>
      <c r="CC39" s="471">
        <f>'GASTOS EJER. 2'!AW37+'GASTOS EJER. 2'!BM37-'GASTOS EJER. 2'!CM37-'GASTOS EJER. 2'!CP37</f>
        <v>0</v>
      </c>
      <c r="CD39" s="472" t="str">
        <f>IF('GASTOS EJER. 2'!CT37="","",'GASTOS EJER. 2'!CT37)</f>
        <v/>
      </c>
      <c r="CE39" s="469">
        <f>'GASTOS EJER. 2'!CP37</f>
        <v>0</v>
      </c>
      <c r="CF39" s="473" t="str">
        <f>IF('GASTOS EJER. 2'!CW37="","",'GASTOS EJER. 2'!CW37)</f>
        <v/>
      </c>
      <c r="CG39" s="474">
        <f>IF(AND(CD39&gt;=EXPEDIENTE!$I$25,CD39&lt;=EXPEDIENTE!$I$29),CC39,0)</f>
        <v>0</v>
      </c>
      <c r="CH39" s="426">
        <f>IF(AND(CF39&gt;=EXPEDIENTE!$I$25,CF39&lt;=EXPEDIENTE!$I$29),CE39,0)</f>
        <v>0</v>
      </c>
      <c r="CI39" s="470">
        <f>CG39+CH39</f>
        <v>0</v>
      </c>
      <c r="CJ39" s="475" t="str">
        <f>IF('GASTOS EJER. 2'!AQ37="","",'GASTOS EJER. 2'!AQ37)</f>
        <v/>
      </c>
      <c r="CK39" s="476" t="str">
        <f>IF('GASTOS EJER. 2'!AT37="","",'GASTOS EJER. 2'!AT37)</f>
        <v/>
      </c>
      <c r="CL39" s="477">
        <f>IF(OR(CJ39="",CK39=""),0,DATEDIF(CJ39,CK39,"M")+1)</f>
        <v>0</v>
      </c>
      <c r="CM39" s="478">
        <f t="shared" ref="CM39:CM46" si="180">IF(OR(CJ39="",CK39=""),0,IF(YEAR(CJ39)&lt;$AV$22,DATEDIF(DATE($AV$22,1,1),CK39,"M")+1,CL39))</f>
        <v>0</v>
      </c>
      <c r="CN39" s="479">
        <f>IF(OR(CJ39="",CK39=""),0,ROUND(CI39/CL39,2))</f>
        <v>0</v>
      </c>
      <c r="CP39" s="423">
        <v>1</v>
      </c>
      <c r="CQ39" s="424" t="e">
        <f t="shared" ref="CQ39:CQ50" si="181">IF($AZ$38="","",DATE($AZ$38,CP39,1))</f>
        <v>#VALUE!</v>
      </c>
      <c r="CR39" s="425">
        <f>IF($BY$39=0,0,IF($CR$37=0,0,IF(AND($CQ39&gt;=$CJ$39,$CQ39&lt;=$CK$39),$CN$39,0)))</f>
        <v>0</v>
      </c>
      <c r="CS39" s="426">
        <f>IF($BY$40=0,0,IF($CS$37=0,0,IF(AND($CQ39&gt;=$CJ$40,$CQ39&lt;=$CK$40),$CN$40,0)))</f>
        <v>0</v>
      </c>
      <c r="CT39" s="426">
        <f>IF($BY$41=0,0,IF($CT$37=0,0,IF(AND($CQ39&gt;=$CJ$41,$CQ39&lt;=$CK$41),$CN$41,0)))</f>
        <v>0</v>
      </c>
      <c r="CU39" s="426">
        <f>IF($BY$42=0,0,IF($CU$37=0,0,IF(AND($CQ39&gt;=$CJ$42,$CQ39&lt;=$CK$42),$CN$42,0)))</f>
        <v>0</v>
      </c>
      <c r="CV39" s="426">
        <f>IF($BY$43=0,0,IF($CV$37=0,0,IF(AND($CQ39&gt;=$CJ$43,$CQ39&lt;=$CK$43),$CN$43,0)))</f>
        <v>0</v>
      </c>
      <c r="CW39" s="426">
        <f>IF($BY$44=0,0,IF($CW$37=0,0,IF(AND($CQ39&gt;=$CJ$44,$CQ39&lt;=$CK$44),$CN$44,0)))</f>
        <v>0</v>
      </c>
      <c r="CX39" s="426">
        <f>IF($BY$45=0,0,IF($CX$37=0,0,IF(AND($CQ39&gt;=$CJ$45,$CQ39&lt;=$CK$45),$CN$45,0)))</f>
        <v>0</v>
      </c>
      <c r="CY39" s="427">
        <f>IF($BY$46=0,0,IF($CY$37=0,0,IF(AND($CQ39&gt;=$CJ$46,$CQ39&lt;=$CK$46),$CN$46,0)))</f>
        <v>0</v>
      </c>
      <c r="CZ39" s="428">
        <f t="shared" ref="CZ39:CZ50" si="182">SUM(CR39:CY39)</f>
        <v>0</v>
      </c>
      <c r="DB39" s="425">
        <f>IF($BY$55=0,0,IF($DB$37=0,0,IF(AND($CQ39&gt;=$CJ$55,$CQ39&lt;=$CK$55),$CN$55,0)))</f>
        <v>0</v>
      </c>
      <c r="DC39" s="426">
        <f>IF($BY$56=0,0,IF($DC$37=0,0,IF(AND($CQ39&gt;=$CJ$56,$CQ39&lt;=$CK$56),$CN$56,0)))</f>
        <v>0</v>
      </c>
      <c r="DD39" s="426">
        <f>IF($BY$57=0,0,IF($DD$37=0,0,IF(AND($CQ39&gt;=$CJ$57,$CQ39&lt;=$CK$57),$CN$57,0)))</f>
        <v>0</v>
      </c>
      <c r="DE39" s="426">
        <f>IF($BY$58=0,0,IF($DE$37=0,0,IF(AND($CQ39&gt;=$CJ$58,$CQ39&lt;=$CK$58),$CN$58,0)))</f>
        <v>0</v>
      </c>
      <c r="DF39" s="426">
        <f>IF($BY$59=0,0,IF($DF$37=0,0,IF(AND($CQ39&gt;=$CJ$59,$CQ39&lt;=$CK$59),$CN$59,0)))</f>
        <v>0</v>
      </c>
      <c r="DG39" s="426">
        <f>IF($BY$60=0,0,IF($DG$37=0,0,IF(AND($CQ39&gt;=$CJ$60,$CQ39&lt;=$CK$60),$CN$60,0)))</f>
        <v>0</v>
      </c>
      <c r="DH39" s="426">
        <f>IF($BY$61=0,0,IF($DH$37=0,0,IF(AND($CQ39&gt;=$CJ$61,$CQ39&lt;=$CK$61),$CN$61,0)))</f>
        <v>0</v>
      </c>
      <c r="DI39" s="427">
        <f>IF($BY$62=0,0,IF($DI$37=0,0,IF(AND($CQ39&gt;=$CJ$62,$CQ39&lt;=$CK$62),$CN$62,0)))</f>
        <v>0</v>
      </c>
      <c r="DJ39" s="428">
        <f>SUM(DB39:DI39)</f>
        <v>0</v>
      </c>
      <c r="DL39" s="480">
        <f>CZ39+DJ39</f>
        <v>0</v>
      </c>
      <c r="DN39" s="467">
        <v>9</v>
      </c>
      <c r="DO39" s="482">
        <f>'GASTOS EJER. 2'!$C37</f>
        <v>0</v>
      </c>
      <c r="DP39" s="476" t="str">
        <f>AS39</f>
        <v/>
      </c>
      <c r="DQ39" s="476" t="str">
        <f t="shared" ref="DQ39" si="183">AT39</f>
        <v/>
      </c>
      <c r="DR39" s="483">
        <f t="shared" ref="DR39" si="184">AU39</f>
        <v>0</v>
      </c>
      <c r="DS39" s="484">
        <f>'GASTOS EJER. 2'!X37</f>
        <v>0</v>
      </c>
      <c r="DT39" s="472" t="str">
        <f>IF(DS39=0,"",'GASTOS EJER. 2'!AA37)</f>
        <v/>
      </c>
      <c r="DU39" s="472" t="str">
        <f t="shared" ref="DU39:DU46" si="185">IF(DT39="","",EOMONTH(DATE(YEAR(DT39),MONTH(DT39)+1,1),0))</f>
        <v/>
      </c>
      <c r="DV39" s="470" t="e">
        <f>IF(AND(DU39&gt;=EXPEDIENTE!$F$25,DU39&lt;=EXPEDIENTE!$F$29),ROUNDDOWN(DS39/DR39,2),0)</f>
        <v>#DIV/0!</v>
      </c>
      <c r="DX39" s="386">
        <v>20</v>
      </c>
      <c r="DY39" s="430">
        <f t="shared" si="101"/>
        <v>45658</v>
      </c>
      <c r="DZ39" s="430">
        <f t="shared" si="102"/>
        <v>45688</v>
      </c>
      <c r="EA39" s="386" t="str">
        <f>IF(AND(DZ39&gt;=EXPEDIENTE!$F$25,DY39&lt;=EXPEDIENTE!$F$29),"SI","NO")</f>
        <v>SI</v>
      </c>
      <c r="EB39" s="423">
        <f t="shared" ref="EB39:EB69" si="186">IF(AND($DY39&gt;=$DP$23,$DZ39&lt;=$DQ$23),$DV$23,0)</f>
        <v>0</v>
      </c>
      <c r="EC39" s="423">
        <f t="shared" ref="EC39:EC69" si="187">IF(AND($DY39&gt;=$DP$24,$DZ39&lt;=$DQ$24),$DV$24,0)</f>
        <v>0</v>
      </c>
      <c r="ED39" s="423">
        <f t="shared" ref="ED39:ED69" si="188">IF(AND($DY39&gt;=$DP$25,$DZ39&lt;=$DQ$25),$DV$25,0)</f>
        <v>0</v>
      </c>
      <c r="EE39" s="423">
        <f t="shared" ref="EE39:EE69" si="189">IF(AND($DY39&gt;=$DP$26,$DZ39&lt;=$DQ$26),$DV$26,0)</f>
        <v>0</v>
      </c>
      <c r="EF39" s="423">
        <f t="shared" ref="EF39:EF69" si="190">IF(AND($DY39&gt;=$DP$27,$DZ39&lt;=$DQ$27),$DV$27,0)</f>
        <v>0</v>
      </c>
      <c r="EG39" s="423">
        <f t="shared" ref="EG39:EG69" si="191">IF(AND($DY39&gt;=$DP$28,$DZ39&lt;=$DQ$28),$DV$28,0)</f>
        <v>0</v>
      </c>
      <c r="EH39" s="423">
        <f t="shared" ref="EH39:EH69" si="192">IF(AND($DY39&gt;=$DP$29,$DZ39&lt;=$DQ$29),$DV$29,0)</f>
        <v>0</v>
      </c>
      <c r="EI39" s="423">
        <f t="shared" ref="EI39:EI69" si="193">IF(AND($DY39&gt;=$DP$30,$DZ39&lt;=$DQ$30),$DV$30,0)</f>
        <v>0</v>
      </c>
      <c r="EJ39" s="423">
        <f t="shared" ref="EJ39:EJ69" si="194">IF(AND($DY39&gt;=$DP$39,$DZ39&lt;=$DQ$39),$DV$39,0)</f>
        <v>0</v>
      </c>
      <c r="EK39" s="423">
        <f t="shared" ref="EK39:EK69" si="195">IF(AND($DY39&gt;=$DP$40,$DZ39&lt;=$DQ$40),$DV$40,0)</f>
        <v>0</v>
      </c>
      <c r="EL39" s="423">
        <f t="shared" ref="EL39:EL69" si="196">IF(AND($DY39&gt;=$DP$41,$DZ39&lt;=$DQ$41),$DV$41,0)</f>
        <v>0</v>
      </c>
      <c r="EM39" s="423">
        <f t="shared" ref="EM39:EM69" si="197">IF(AND($DY39&gt;=$DP$42,$DZ39&lt;=$DQ$42),$DV$42,0)</f>
        <v>0</v>
      </c>
      <c r="EN39" s="423">
        <f t="shared" ref="EN39:EN69" si="198">IF(AND($DY39&gt;=$DP$43,$DZ39&lt;=$DQ$43),$DV$43,0)</f>
        <v>0</v>
      </c>
      <c r="EO39" s="423">
        <f t="shared" ref="EO39:EO69" si="199">IF(AND($DY39&gt;=$DP$44,$DZ39&lt;=$DQ$44),$DV$44,0)</f>
        <v>0</v>
      </c>
      <c r="EP39" s="423">
        <f t="shared" ref="EP39:EP69" si="200">IF(AND($DY39&gt;=$DP$45,$DZ39&lt;=$DQ$45),$DV$45,0)</f>
        <v>0</v>
      </c>
      <c r="EQ39" s="423">
        <f t="shared" ref="EQ39:EQ69" si="201">IF(AND($DY39&gt;=$DP$46,$DZ39&lt;=$DQ$46),$DV$46,0)</f>
        <v>0</v>
      </c>
      <c r="ER39" s="423">
        <f t="shared" ref="ER39:ER69" si="202">IF(AND($DY39&gt;=$DP$55,$DZ39&lt;=$DQ$55),$DV$55,0)</f>
        <v>0</v>
      </c>
      <c r="ES39" s="423">
        <f t="shared" ref="ES39:ES69" si="203">IF(AND($DY39&gt;=$DP$56,$DZ39&lt;=$DQ$56),$DV$56,0)</f>
        <v>0</v>
      </c>
      <c r="ET39" s="423">
        <f t="shared" ref="ET39:ET69" si="204">IF(AND($DY39&gt;=$DP$57,$DZ39&lt;=$DQ$57),$DV$57,0)</f>
        <v>0</v>
      </c>
      <c r="EU39" s="423">
        <f t="shared" ref="EU39:EU69" si="205">IF(AND($DY39&gt;=$DP$58,$DZ39&lt;=$DQ$58),$DV$58,0)</f>
        <v>0</v>
      </c>
      <c r="EV39" s="423">
        <f t="shared" ref="EV39:EV69" si="206">IF(AND($DY39&gt;=$DP$59,$DZ39&lt;=$DQ$59),$DV$59,0)</f>
        <v>0</v>
      </c>
      <c r="EW39" s="423">
        <f t="shared" ref="EW39:EW69" si="207">IF(AND($DY39&gt;=$DP$60,$DZ39&lt;=$DQ$60),$DV$60,0)</f>
        <v>0</v>
      </c>
      <c r="EX39" s="423">
        <f t="shared" ref="EX39:EX69" si="208">IF(AND($DY39&gt;=$DP$61,$DZ39&lt;=$DQ$61),$DV$61,0)</f>
        <v>0</v>
      </c>
      <c r="EY39" s="423">
        <f t="shared" ref="EY39:EY69" si="209">IF(AND($DY39&gt;=$DP$62,$DZ39&lt;=$DQ$62),$DV$62,0)</f>
        <v>0</v>
      </c>
      <c r="EZ39" s="423">
        <f t="shared" ref="EZ39:EZ69" si="210">IF(AND($DY39&gt;=$DP$71,$DZ39&lt;=$DQ$71),$DV$71,0)</f>
        <v>0</v>
      </c>
      <c r="FA39" s="423">
        <f t="shared" ref="FA39:FA69" si="211">IF(AND($DY39&gt;=$DP$72,$DZ39&lt;=$DQ$72),$DV$72,0)</f>
        <v>0</v>
      </c>
      <c r="FB39" s="423">
        <f t="shared" ref="FB39:FB69" si="212">IF(AND($DY39&gt;=$DP$73,$DZ39&lt;=$DQ$73),$DV$73,0)</f>
        <v>0</v>
      </c>
      <c r="FC39" s="423">
        <f t="shared" ref="FC39:FC69" si="213">IF(AND($DY39&gt;=$DP$74,$DZ39&lt;=$DQ$74),$DV$74,0)</f>
        <v>0</v>
      </c>
      <c r="FD39" s="423">
        <f t="shared" ref="FD39:FD69" si="214">IF(AND($DY39&gt;=$DP$75,$DZ39&lt;=$DQ$75),$DV$75,0)</f>
        <v>0</v>
      </c>
      <c r="FE39" s="423">
        <f t="shared" ref="FE39:FE69" si="215">IF(AND($DY39&gt;=$DP$76,$DZ39&lt;=$DQ$76),$DV$76,0)</f>
        <v>0</v>
      </c>
      <c r="FF39" s="423">
        <f t="shared" ref="FF39:FF69" si="216">IF(AND($DY39&gt;=$DP$77,$DZ39&lt;=$DQ$77),$DV$77,0)</f>
        <v>0</v>
      </c>
      <c r="FG39" s="423">
        <f t="shared" ref="FG39:FG69" si="217">IF(AND($DY39&gt;=$DP$78,$DZ39&lt;=$DQ$78),$DV$78,0)</f>
        <v>0</v>
      </c>
      <c r="FH39" s="423">
        <f t="shared" si="66"/>
        <v>0</v>
      </c>
      <c r="FJ39" s="120">
        <v>1</v>
      </c>
      <c r="FK39" s="485">
        <f>DATE(YEAR(EXPEDIENTE!$F$25)+1,FJ39,1)</f>
        <v>45292</v>
      </c>
      <c r="FL39" s="485" t="str">
        <f>IF('GASTOS EJER. 2'!I49="","",'GASTOS EJER. 2'!I49)</f>
        <v/>
      </c>
      <c r="FM39" s="486">
        <f>'GASTOS EJER. 2'!X20</f>
        <v>0</v>
      </c>
      <c r="FN39" s="486">
        <f>'GASTOS EJER. 2'!H49</f>
        <v>0</v>
      </c>
      <c r="FO39" s="434">
        <f>VLOOKUP(FK39,$DY$7:$FH$69,36,FALSE)</f>
        <v>0</v>
      </c>
      <c r="FP39" s="486">
        <f t="shared" ref="FP39:FP50" si="218">SUM(FM39:FO39)</f>
        <v>0</v>
      </c>
      <c r="FR39" s="467">
        <v>9</v>
      </c>
      <c r="FS39" s="482">
        <f>'GASTOS EJER. 2'!$C37</f>
        <v>0</v>
      </c>
      <c r="FT39" s="476" t="str">
        <f>CJ39</f>
        <v/>
      </c>
      <c r="FU39" s="476" t="str">
        <f>CK39</f>
        <v/>
      </c>
      <c r="FV39" s="483">
        <f>CL39</f>
        <v>0</v>
      </c>
      <c r="FW39" s="484">
        <f>'GASTOS EJER. 2'!CM37</f>
        <v>0</v>
      </c>
      <c r="FX39" s="472" t="str">
        <f>IF(FW39=0,"",'GASTOS EJER. 2'!CT37)</f>
        <v/>
      </c>
      <c r="FY39" s="472" t="str">
        <f t="shared" ref="FY39:FY46" si="219">IF(FX39="","",EOMONTH(DATE(YEAR(FX39),MONTH(FX39)+1,1),0))</f>
        <v/>
      </c>
      <c r="FZ39" s="470" t="e">
        <f>IF(AND(FY39&gt;=EXPEDIENTE!$F$25,FY39&lt;=EXPEDIENTE!$F$29),ROUNDDOWN(FW39/FV39,2),0)</f>
        <v>#DIV/0!</v>
      </c>
      <c r="GB39" s="386">
        <v>20</v>
      </c>
      <c r="GC39" s="430">
        <f t="shared" si="103"/>
        <v>45658</v>
      </c>
      <c r="GD39" s="430">
        <f t="shared" si="104"/>
        <v>45688</v>
      </c>
      <c r="GE39" s="386" t="str">
        <f>IF(AND(GD39&gt;=EXPEDIENTE!$F$25,GC39&lt;=EXPEDIENTE!$F$29),"SI","NO")</f>
        <v>SI</v>
      </c>
      <c r="GF39" s="423">
        <f t="shared" si="67"/>
        <v>0</v>
      </c>
      <c r="GG39" s="423">
        <f t="shared" si="68"/>
        <v>0</v>
      </c>
      <c r="GH39" s="423">
        <f t="shared" si="69"/>
        <v>0</v>
      </c>
      <c r="GI39" s="423">
        <f t="shared" si="70"/>
        <v>0</v>
      </c>
      <c r="GJ39" s="423">
        <f t="shared" si="71"/>
        <v>0</v>
      </c>
      <c r="GK39" s="423">
        <f t="shared" si="72"/>
        <v>0</v>
      </c>
      <c r="GL39" s="423">
        <f t="shared" si="73"/>
        <v>0</v>
      </c>
      <c r="GM39" s="423">
        <f t="shared" si="74"/>
        <v>0</v>
      </c>
      <c r="GN39" s="423">
        <f t="shared" si="75"/>
        <v>0</v>
      </c>
      <c r="GO39" s="423">
        <f t="shared" si="76"/>
        <v>0</v>
      </c>
      <c r="GP39" s="423">
        <f t="shared" si="77"/>
        <v>0</v>
      </c>
      <c r="GQ39" s="423">
        <f t="shared" si="78"/>
        <v>0</v>
      </c>
      <c r="GR39" s="423">
        <f t="shared" si="79"/>
        <v>0</v>
      </c>
      <c r="GS39" s="423">
        <f t="shared" si="80"/>
        <v>0</v>
      </c>
      <c r="GT39" s="423">
        <f t="shared" si="81"/>
        <v>0</v>
      </c>
      <c r="GU39" s="423">
        <f t="shared" si="82"/>
        <v>0</v>
      </c>
      <c r="GV39" s="423">
        <f t="shared" si="83"/>
        <v>0</v>
      </c>
      <c r="GW39" s="423">
        <f t="shared" si="84"/>
        <v>0</v>
      </c>
      <c r="GX39" s="423">
        <f t="shared" si="85"/>
        <v>0</v>
      </c>
      <c r="GY39" s="423">
        <f t="shared" si="86"/>
        <v>0</v>
      </c>
      <c r="GZ39" s="423">
        <f t="shared" si="87"/>
        <v>0</v>
      </c>
      <c r="HA39" s="423">
        <f t="shared" si="88"/>
        <v>0</v>
      </c>
      <c r="HB39" s="423">
        <f t="shared" si="89"/>
        <v>0</v>
      </c>
      <c r="HC39" s="423">
        <f t="shared" si="90"/>
        <v>0</v>
      </c>
      <c r="HD39" s="423">
        <f t="shared" si="91"/>
        <v>0</v>
      </c>
      <c r="HE39" s="423">
        <f t="shared" si="92"/>
        <v>0</v>
      </c>
      <c r="HF39" s="423">
        <f t="shared" si="93"/>
        <v>0</v>
      </c>
      <c r="HG39" s="423">
        <f t="shared" si="94"/>
        <v>0</v>
      </c>
      <c r="HH39" s="423">
        <f t="shared" si="95"/>
        <v>0</v>
      </c>
      <c r="HI39" s="423">
        <f t="shared" si="96"/>
        <v>0</v>
      </c>
      <c r="HJ39" s="423">
        <f t="shared" si="97"/>
        <v>0</v>
      </c>
      <c r="HK39" s="423">
        <f t="shared" si="98"/>
        <v>0</v>
      </c>
      <c r="HL39" s="423">
        <f t="shared" si="99"/>
        <v>0</v>
      </c>
      <c r="HO39" s="120">
        <v>1</v>
      </c>
      <c r="HP39" s="485">
        <f>DATE(YEAR(EXPEDIENTE!$F$25)+1,HO39,1)</f>
        <v>45292</v>
      </c>
      <c r="HQ39" s="485" t="str">
        <f>IF('GASTOS EJER. 2'!BF49="","",'GASTOS EJER. 2'!BF49)</f>
        <v/>
      </c>
      <c r="HR39" s="486">
        <f>'GASTOS EJER. 2'!CM20</f>
        <v>0</v>
      </c>
      <c r="HS39" s="486">
        <f>'GASTOS EJER. 2'!BA49</f>
        <v>0</v>
      </c>
      <c r="HT39" s="434">
        <f>VLOOKUP(HP39,$GC$7:$HL$69,36,FALSE)</f>
        <v>0</v>
      </c>
      <c r="HU39" s="486">
        <f t="shared" ref="HU39:HU50" si="220">SUM(HR39:HT39)</f>
        <v>0</v>
      </c>
      <c r="JC39" s="442">
        <v>35</v>
      </c>
      <c r="JD39" s="398">
        <f t="shared" si="100"/>
        <v>12</v>
      </c>
    </row>
    <row r="40" spans="3:264" x14ac:dyDescent="0.25">
      <c r="C40" s="206">
        <v>34</v>
      </c>
      <c r="D40" s="401"/>
      <c r="E40" s="417"/>
      <c r="F40" s="418"/>
      <c r="G40" s="419"/>
      <c r="H40" s="419"/>
      <c r="I40" s="419"/>
      <c r="J40" s="401"/>
      <c r="K40" s="407">
        <f t="shared" si="52"/>
        <v>76</v>
      </c>
      <c r="L40" s="407">
        <f t="shared" si="53"/>
        <v>76</v>
      </c>
      <c r="M40" s="407" t="str">
        <f t="shared" si="54"/>
        <v>X</v>
      </c>
      <c r="Y40" s="422">
        <f t="shared" si="0"/>
        <v>35</v>
      </c>
      <c r="Z40" s="412" t="str">
        <f>IF(Y40="","",IF(EDATE($Z$5,Y40)&gt;EXPEDIENTE!$F$27,"",EDATE($Z$5,Y40)))</f>
        <v/>
      </c>
      <c r="AA40" s="412" t="str">
        <f>IF(Z40="","",IF(YEAR(EXPEDIENTE!$F$25)=YEAR(Z40),Z40,""))</f>
        <v/>
      </c>
      <c r="AB40" s="412" t="str">
        <f>IF(Z40="","",IF(YEAR(EXPEDIENTE!$F$25)+1=YEAR(Z40),Z40,""))</f>
        <v/>
      </c>
      <c r="AC40" s="412" t="str">
        <f>IF(Z40="","",IF(YEAR(EXPEDIENTE!$F$25)+2=YEAR(Z40),Z40,""))</f>
        <v/>
      </c>
      <c r="AD40" s="412" t="str">
        <f>IF(Z40="","",IF(YEAR(EXPEDIENTE!$F$25)+3=YEAR(Z40),Z40,""))</f>
        <v/>
      </c>
      <c r="AG40" s="487">
        <v>10</v>
      </c>
      <c r="AH40" s="500">
        <f>'GASTOS EJER. 2'!M38</f>
        <v>0</v>
      </c>
      <c r="AI40" s="500">
        <f>'GASTOS EJER. 2'!X38</f>
        <v>0</v>
      </c>
      <c r="AJ40" s="490">
        <f t="shared" ref="AJ40:AJ46" si="221">AH40-AI40</f>
        <v>0</v>
      </c>
      <c r="AL40" s="491">
        <f>'GASTOS EJER. 2'!F38+'GASTOS EJER. 2'!L38-'GASTOS EJER. 2'!X38-'GASTOS EJER. 2'!Y38</f>
        <v>0</v>
      </c>
      <c r="AM40" s="492" t="str">
        <f>IF('GASTOS EJER. 2'!AA38="","",'GASTOS EJER. 2'!AA38)</f>
        <v/>
      </c>
      <c r="AN40" s="489">
        <f>'GASTOS EJER. 2'!Y38</f>
        <v>0</v>
      </c>
      <c r="AO40" s="493" t="str">
        <f>IF('GASTOS EJER. 2'!AB38="","",'GASTOS EJER. 2'!AB38)</f>
        <v/>
      </c>
      <c r="AP40" s="494">
        <f>IF(AND(AM40&gt;=EXPEDIENTE!$I$25,AM40&lt;=EXPEDIENTE!$I$29),AL40,0)</f>
        <v>0</v>
      </c>
      <c r="AQ40" s="423">
        <f>IF(AND(AO40&gt;=EXPEDIENTE!$I$25,AO40&lt;=EXPEDIENTE!$I$29),AN40,0)</f>
        <v>0</v>
      </c>
      <c r="AR40" s="490">
        <f t="shared" ref="AR40:AR46" si="222">AP40+AQ40</f>
        <v>0</v>
      </c>
      <c r="AS40" s="495" t="str">
        <f>IF('GASTOS EJER. 2'!D38="","",'GASTOS EJER. 2'!D38)</f>
        <v/>
      </c>
      <c r="AT40" s="496" t="str">
        <f>IF('GASTOS EJER. 2'!E38="","",'GASTOS EJER. 2'!E38)</f>
        <v/>
      </c>
      <c r="AU40" s="497">
        <f t="shared" ref="AU40:AU46" si="223">IF(OR(AS40="",AT40=""),0,DATEDIF(AS40,AT40,"M")+1)</f>
        <v>0</v>
      </c>
      <c r="AV40" s="498">
        <f t="shared" si="170"/>
        <v>0</v>
      </c>
      <c r="AW40" s="439">
        <f t="shared" ref="AW40:AW46" si="224">IF(OR(AS40="",AT40=""),0,ROUND(AR40/AU40,2))</f>
        <v>0</v>
      </c>
      <c r="AY40" s="423">
        <v>2</v>
      </c>
      <c r="AZ40" s="424" t="e">
        <f t="shared" si="171"/>
        <v>#VALUE!</v>
      </c>
      <c r="BA40" s="437">
        <f t="shared" si="172"/>
        <v>0</v>
      </c>
      <c r="BB40" s="423">
        <f t="shared" si="173"/>
        <v>0</v>
      </c>
      <c r="BC40" s="423">
        <f t="shared" si="174"/>
        <v>0</v>
      </c>
      <c r="BD40" s="423">
        <f t="shared" si="175"/>
        <v>0</v>
      </c>
      <c r="BE40" s="423">
        <f t="shared" si="176"/>
        <v>0</v>
      </c>
      <c r="BF40" s="423">
        <f t="shared" ref="BF40:BF50" si="225">IF($AH$44=0,0,IF($BF$37=0,0,IF(AND(AZ40&gt;=$AS$44,AZ40&lt;=$AT$44),$AW$44,0)))</f>
        <v>0</v>
      </c>
      <c r="BG40" s="423">
        <f t="shared" si="177"/>
        <v>0</v>
      </c>
      <c r="BH40" s="438">
        <f t="shared" si="178"/>
        <v>0</v>
      </c>
      <c r="BI40" s="436">
        <f t="shared" si="179"/>
        <v>0</v>
      </c>
      <c r="BK40" s="433">
        <f t="shared" ref="BK40:BK50" si="226">IF($AH$55=0,0,IF($BK$37=0,0,IF(AND(AZ40&gt;=$AS$55,AZ40&lt;=$AT$55),$AW$55,0)))</f>
        <v>0</v>
      </c>
      <c r="BL40" s="434">
        <f t="shared" ref="BL40:BL50" si="227">IF($AH$56=0,0,IF($BL$37=0,0,IF(AND(AZ40&gt;=$AS$56,AZ40&lt;=$AT$56),$AW$56,0)))</f>
        <v>0</v>
      </c>
      <c r="BM40" s="434">
        <f t="shared" ref="BM40:BM50" si="228">IF($AH$57=0,0,IF($BM$37=0,0,IF(AND(AZ40&gt;=$AS$57,AZ40&lt;=$AT$57),$AW$57,0)))</f>
        <v>0</v>
      </c>
      <c r="BN40" s="434">
        <f t="shared" ref="BN40:BN50" si="229">IF($AH$58=0,0,IF($BN$37=0,0,IF(AND(AZ40&gt;=$AS$58,AZ40&lt;=$AT$58),$AW$58,0)))</f>
        <v>0</v>
      </c>
      <c r="BO40" s="434">
        <f t="shared" ref="BO40:BO50" si="230">IF($AH$59=0,0,IF($BO$37=0,0,IF(AND(AZ40&gt;=$AS$59,AZ40&lt;=$AT$59),$AW$59,0)))</f>
        <v>0</v>
      </c>
      <c r="BP40" s="434">
        <f t="shared" ref="BP40:BP50" si="231">IF($AH$60=0,0,IF($BP$37=0,0,IF(AND(AZ40&gt;=$AS$60,AZ40&lt;=$AT$60),$AW$60,0)))</f>
        <v>0</v>
      </c>
      <c r="BQ40" s="434">
        <f t="shared" ref="BQ40:BQ50" si="232">IF($AH$61=0,0,IF($BQ$37=0,0,IF(AND(AZ40&gt;=$AS$61,AZ40&lt;=$AT$61),$AW$61,0)))</f>
        <v>0</v>
      </c>
      <c r="BR40" s="435">
        <f t="shared" ref="BR40:BR50" si="233">IF($AH$62=0,0,IF($BR$37=0,0,IF(AND(AZ40&gt;=$AS$62,AZ40&lt;=$AT$62),$AW$62,0)))</f>
        <v>0</v>
      </c>
      <c r="BS40" s="436">
        <f t="shared" ref="BS40:BS50" si="234">SUM(BK40:BR40)</f>
        <v>0</v>
      </c>
      <c r="BU40" s="436">
        <f t="shared" ref="BU40:BU50" si="235">BI40+BS40</f>
        <v>0</v>
      </c>
      <c r="BX40" s="487">
        <v>10</v>
      </c>
      <c r="BY40" s="500">
        <f>'GASTOS EJER. 2'!BN38</f>
        <v>0</v>
      </c>
      <c r="BZ40" s="500">
        <f>'GASTOS EJER. 2'!CM38</f>
        <v>0</v>
      </c>
      <c r="CA40" s="490">
        <f t="shared" ref="CA40:CA46" si="236">BY40-BZ40</f>
        <v>0</v>
      </c>
      <c r="CC40" s="491">
        <f>'GASTOS EJER. 2'!AW38+'GASTOS EJER. 2'!BM38-'GASTOS EJER. 2'!CM38-'GASTOS EJER. 2'!CP38</f>
        <v>0</v>
      </c>
      <c r="CD40" s="492" t="str">
        <f>IF('GASTOS EJER. 2'!CT38="","",'GASTOS EJER. 2'!CT38)</f>
        <v/>
      </c>
      <c r="CE40" s="489">
        <f>'GASTOS EJER. 2'!CP38</f>
        <v>0</v>
      </c>
      <c r="CF40" s="493" t="str">
        <f>IF('GASTOS EJER. 2'!CW38="","",'GASTOS EJER. 2'!CW38)</f>
        <v/>
      </c>
      <c r="CG40" s="494">
        <f>IF(AND(CD40&gt;=EXPEDIENTE!$I$25,CD40&lt;=EXPEDIENTE!$I$29),CC40,0)</f>
        <v>0</v>
      </c>
      <c r="CH40" s="423">
        <f>IF(AND(CF40&gt;=EXPEDIENTE!$I$25,CF40&lt;=EXPEDIENTE!$I$29),CE40,0)</f>
        <v>0</v>
      </c>
      <c r="CI40" s="490">
        <f t="shared" ref="CI40:CI46" si="237">CG40+CH40</f>
        <v>0</v>
      </c>
      <c r="CJ40" s="495" t="str">
        <f>IF('GASTOS EJER. 2'!AQ38="","",'GASTOS EJER. 2'!AQ38)</f>
        <v/>
      </c>
      <c r="CK40" s="496" t="str">
        <f>IF('GASTOS EJER. 2'!AT38="","",'GASTOS EJER. 2'!AT38)</f>
        <v/>
      </c>
      <c r="CL40" s="497">
        <f t="shared" ref="CL40:CL46" si="238">IF(OR(CJ40="",CK40=""),0,DATEDIF(CJ40,CK40,"M")+1)</f>
        <v>0</v>
      </c>
      <c r="CM40" s="498">
        <f t="shared" si="180"/>
        <v>0</v>
      </c>
      <c r="CN40" s="439">
        <f t="shared" ref="CN40:CN46" si="239">IF(OR(CJ40="",CK40=""),0,ROUND(CI40/CL40,2))</f>
        <v>0</v>
      </c>
      <c r="CP40" s="423">
        <v>2</v>
      </c>
      <c r="CQ40" s="424" t="e">
        <f t="shared" si="181"/>
        <v>#VALUE!</v>
      </c>
      <c r="CR40" s="437">
        <f t="shared" ref="CR40:CR49" si="240">IF($BY$39=0,0,IF($CR$37=0,0,IF(AND($CQ40&gt;=$CJ$39,$CQ40&lt;=$CK$39),$CN$39,0)))</f>
        <v>0</v>
      </c>
      <c r="CS40" s="423">
        <f t="shared" ref="CS40:CS50" si="241">IF($BY$40=0,0,IF($CS$37=0,0,IF(AND($CQ40&gt;=$CJ$40,$CQ40&lt;=$CK$40),$CN$40,0)))</f>
        <v>0</v>
      </c>
      <c r="CT40" s="423">
        <f t="shared" ref="CT40:CT50" si="242">IF($BY$41=0,0,IF($CT$37=0,0,IF(AND($CQ40&gt;=$CJ$41,$CQ40&lt;=$CK$41),$CN$41,0)))</f>
        <v>0</v>
      </c>
      <c r="CU40" s="423">
        <f t="shared" ref="CU40:CU50" si="243">IF($BY$42=0,0,IF($CU$37=0,0,IF(AND($CQ40&gt;=$CJ$42,$CQ40&lt;=$CK$42),$CN$42,0)))</f>
        <v>0</v>
      </c>
      <c r="CV40" s="423">
        <f t="shared" ref="CV40:CV50" si="244">IF($BY$43=0,0,IF($CV$37=0,0,IF(AND($CQ40&gt;=$CJ$43,$CQ40&lt;=$CK$43),$CN$43,0)))</f>
        <v>0</v>
      </c>
      <c r="CW40" s="423">
        <f t="shared" ref="CW40:CW50" si="245">IF($BY$44=0,0,IF($CW$37=0,0,IF(AND($CQ40&gt;=$CJ$44,$CQ40&lt;=$CK$44),$CN$44,0)))</f>
        <v>0</v>
      </c>
      <c r="CX40" s="423">
        <f t="shared" ref="CX40:CX50" si="246">IF($BY$45=0,0,IF($CX$37=0,0,IF(AND($CQ40&gt;=$CJ$45,$CQ40&lt;=$CK$45),$CN$45,0)))</f>
        <v>0</v>
      </c>
      <c r="CY40" s="438">
        <f t="shared" ref="CY40:CY50" si="247">IF($BY$46=0,0,IF($CY$37=0,0,IF(AND($CQ40&gt;=$CJ$46,$CQ40&lt;=$CK$46),$CN$46,0)))</f>
        <v>0</v>
      </c>
      <c r="CZ40" s="436">
        <f t="shared" si="182"/>
        <v>0</v>
      </c>
      <c r="DB40" s="437">
        <f t="shared" ref="DB40:DB49" si="248">IF($BY$55=0,0,IF($DB$37=0,0,IF(AND($CQ40&gt;=$CJ$55,$CQ40&lt;=$CK$55),$CN$55,0)))</f>
        <v>0</v>
      </c>
      <c r="DC40" s="423">
        <f t="shared" ref="DC40:DC50" si="249">IF($BY$56=0,0,IF($DC$37=0,0,IF(AND($CQ40&gt;=$CJ$56,$CQ40&lt;=$CK$56),$CN$56,0)))</f>
        <v>0</v>
      </c>
      <c r="DD40" s="423">
        <f t="shared" ref="DD40:DD50" si="250">IF($BY$57=0,0,IF($DD$37=0,0,IF(AND($CQ40&gt;=$CJ$57,$CQ40&lt;=$CK$57),$CN$57,0)))</f>
        <v>0</v>
      </c>
      <c r="DE40" s="423">
        <f t="shared" ref="DE40:DE50" si="251">IF($BY$58=0,0,IF($DE$37=0,0,IF(AND($CQ40&gt;=$CJ$58,$CQ40&lt;=$CK$58),$CN$58,0)))</f>
        <v>0</v>
      </c>
      <c r="DF40" s="423">
        <f t="shared" ref="DF40:DF50" si="252">IF($BY$59=0,0,IF($DF$37=0,0,IF(AND($CQ40&gt;=$CJ$59,$CQ40&lt;=$CK$59),$CN$59,0)))</f>
        <v>0</v>
      </c>
      <c r="DG40" s="423">
        <f t="shared" ref="DG40:DG50" si="253">IF($BY$60=0,0,IF($DG$37=0,0,IF(AND($CQ40&gt;=$CJ$60,$CQ40&lt;=$CK$60),$CN$60,0)))</f>
        <v>0</v>
      </c>
      <c r="DH40" s="423">
        <f t="shared" ref="DH40:DH50" si="254">IF($BY$61=0,0,IF($DH$37=0,0,IF(AND($CQ40&gt;=$CJ$61,$CQ40&lt;=$CK$61),$CN$61,0)))</f>
        <v>0</v>
      </c>
      <c r="DI40" s="438">
        <f t="shared" ref="DI40:DI50" si="255">IF($BY$62=0,0,IF($DI$37=0,0,IF(AND($CQ40&gt;=$CJ$62,$CQ40&lt;=$CK$62),$CN$62,0)))</f>
        <v>0</v>
      </c>
      <c r="DJ40" s="436">
        <f t="shared" ref="DJ40:DJ50" si="256">SUM(DB40:DI40)</f>
        <v>0</v>
      </c>
      <c r="DL40" s="436">
        <f t="shared" ref="DL40:DL50" si="257">CZ40+DJ40</f>
        <v>0</v>
      </c>
      <c r="DN40" s="487">
        <v>10</v>
      </c>
      <c r="DO40" s="499">
        <f>'GASTOS EJER. 2'!$C38</f>
        <v>0</v>
      </c>
      <c r="DP40" s="496" t="str">
        <f t="shared" ref="DP40:DP46" si="258">AS40</f>
        <v/>
      </c>
      <c r="DQ40" s="496" t="str">
        <f t="shared" ref="DQ40:DQ46" si="259">AT40</f>
        <v/>
      </c>
      <c r="DR40" s="386">
        <f t="shared" ref="DR40:DR46" si="260">AU40</f>
        <v>0</v>
      </c>
      <c r="DS40" s="500">
        <f>'GASTOS EJER. 2'!X38</f>
        <v>0</v>
      </c>
      <c r="DT40" s="492" t="str">
        <f>IF(DS40=0,"",'GASTOS EJER. 2'!AA38)</f>
        <v/>
      </c>
      <c r="DU40" s="492" t="str">
        <f t="shared" si="185"/>
        <v/>
      </c>
      <c r="DV40" s="490" t="e">
        <f>IF(AND(DU40&gt;=EXPEDIENTE!$F$25,DU40&lt;=EXPEDIENTE!$F$29),ROUNDDOWN(DS40/DR40,2),0)</f>
        <v>#DIV/0!</v>
      </c>
      <c r="DX40" s="386">
        <v>21</v>
      </c>
      <c r="DY40" s="430">
        <f t="shared" si="101"/>
        <v>45689</v>
      </c>
      <c r="DZ40" s="430">
        <f t="shared" si="102"/>
        <v>45716</v>
      </c>
      <c r="EA40" s="386" t="str">
        <f>IF(AND(DZ40&gt;=EXPEDIENTE!$F$25,DY40&lt;=EXPEDIENTE!$F$29),"SI","NO")</f>
        <v>SI</v>
      </c>
      <c r="EB40" s="423">
        <f t="shared" si="186"/>
        <v>0</v>
      </c>
      <c r="EC40" s="423">
        <f t="shared" si="187"/>
        <v>0</v>
      </c>
      <c r="ED40" s="423">
        <f t="shared" si="188"/>
        <v>0</v>
      </c>
      <c r="EE40" s="423">
        <f t="shared" si="189"/>
        <v>0</v>
      </c>
      <c r="EF40" s="423">
        <f t="shared" si="190"/>
        <v>0</v>
      </c>
      <c r="EG40" s="423">
        <f t="shared" si="191"/>
        <v>0</v>
      </c>
      <c r="EH40" s="423">
        <f t="shared" si="192"/>
        <v>0</v>
      </c>
      <c r="EI40" s="423">
        <f t="shared" si="193"/>
        <v>0</v>
      </c>
      <c r="EJ40" s="423">
        <f t="shared" si="194"/>
        <v>0</v>
      </c>
      <c r="EK40" s="423">
        <f t="shared" si="195"/>
        <v>0</v>
      </c>
      <c r="EL40" s="423">
        <f t="shared" si="196"/>
        <v>0</v>
      </c>
      <c r="EM40" s="423">
        <f t="shared" si="197"/>
        <v>0</v>
      </c>
      <c r="EN40" s="423">
        <f t="shared" si="198"/>
        <v>0</v>
      </c>
      <c r="EO40" s="423">
        <f t="shared" si="199"/>
        <v>0</v>
      </c>
      <c r="EP40" s="423">
        <f t="shared" si="200"/>
        <v>0</v>
      </c>
      <c r="EQ40" s="423">
        <f t="shared" si="201"/>
        <v>0</v>
      </c>
      <c r="ER40" s="423">
        <f t="shared" si="202"/>
        <v>0</v>
      </c>
      <c r="ES40" s="423">
        <f t="shared" si="203"/>
        <v>0</v>
      </c>
      <c r="ET40" s="423">
        <f t="shared" si="204"/>
        <v>0</v>
      </c>
      <c r="EU40" s="423">
        <f t="shared" si="205"/>
        <v>0</v>
      </c>
      <c r="EV40" s="423">
        <f t="shared" si="206"/>
        <v>0</v>
      </c>
      <c r="EW40" s="423">
        <f t="shared" si="207"/>
        <v>0</v>
      </c>
      <c r="EX40" s="423">
        <f t="shared" si="208"/>
        <v>0</v>
      </c>
      <c r="EY40" s="423">
        <f t="shared" si="209"/>
        <v>0</v>
      </c>
      <c r="EZ40" s="423">
        <f t="shared" si="210"/>
        <v>0</v>
      </c>
      <c r="FA40" s="423">
        <f t="shared" si="211"/>
        <v>0</v>
      </c>
      <c r="FB40" s="423">
        <f t="shared" si="212"/>
        <v>0</v>
      </c>
      <c r="FC40" s="423">
        <f t="shared" si="213"/>
        <v>0</v>
      </c>
      <c r="FD40" s="423">
        <f t="shared" si="214"/>
        <v>0</v>
      </c>
      <c r="FE40" s="423">
        <f t="shared" si="215"/>
        <v>0</v>
      </c>
      <c r="FF40" s="423">
        <f t="shared" si="216"/>
        <v>0</v>
      </c>
      <c r="FG40" s="423">
        <f t="shared" si="217"/>
        <v>0</v>
      </c>
      <c r="FH40" s="423">
        <f t="shared" si="66"/>
        <v>0</v>
      </c>
      <c r="FJ40" s="120">
        <v>2</v>
      </c>
      <c r="FK40" s="492">
        <f>DATE(YEAR(EXPEDIENTE!$F$25)+1,FJ40,1)</f>
        <v>45323</v>
      </c>
      <c r="FL40" s="492" t="str">
        <f>IF('GASTOS EJER. 2'!I50="","",'GASTOS EJER. 2'!I50)</f>
        <v/>
      </c>
      <c r="FM40" s="500">
        <f>'GASTOS EJER. 2'!X21</f>
        <v>0</v>
      </c>
      <c r="FN40" s="500">
        <f>'GASTOS EJER. 2'!H50</f>
        <v>0</v>
      </c>
      <c r="FO40" s="423">
        <f t="shared" ref="FO40:FO50" si="261">VLOOKUP(FK40,$DY$7:$FH$69,36,FALSE)</f>
        <v>0</v>
      </c>
      <c r="FP40" s="500">
        <f t="shared" si="218"/>
        <v>0</v>
      </c>
      <c r="FR40" s="487">
        <v>10</v>
      </c>
      <c r="FS40" s="499">
        <f>'GASTOS EJER. 2'!$C38</f>
        <v>0</v>
      </c>
      <c r="FT40" s="496" t="str">
        <f t="shared" ref="FT40:FT46" si="262">CJ40</f>
        <v/>
      </c>
      <c r="FU40" s="496" t="str">
        <f t="shared" ref="FU40:FU46" si="263">CK40</f>
        <v/>
      </c>
      <c r="FV40" s="386">
        <f t="shared" ref="FV40:FV46" si="264">CL40</f>
        <v>0</v>
      </c>
      <c r="FW40" s="500">
        <f>'GASTOS EJER. 2'!CM38</f>
        <v>0</v>
      </c>
      <c r="FX40" s="492" t="str">
        <f>IF(FW40=0,"",'GASTOS EJER. 2'!CT38)</f>
        <v/>
      </c>
      <c r="FY40" s="492" t="str">
        <f t="shared" si="219"/>
        <v/>
      </c>
      <c r="FZ40" s="490" t="e">
        <f>IF(AND(FY40&gt;=EXPEDIENTE!$F$25,FY40&lt;=EXPEDIENTE!$F$29),ROUNDDOWN(FW40/FV40,2),0)</f>
        <v>#DIV/0!</v>
      </c>
      <c r="GB40" s="386">
        <v>21</v>
      </c>
      <c r="GC40" s="430">
        <f t="shared" si="103"/>
        <v>45689</v>
      </c>
      <c r="GD40" s="430">
        <f t="shared" si="104"/>
        <v>45716</v>
      </c>
      <c r="GE40" s="386" t="str">
        <f>IF(AND(GD40&gt;=EXPEDIENTE!$F$25,GC40&lt;=EXPEDIENTE!$F$29),"SI","NO")</f>
        <v>SI</v>
      </c>
      <c r="GF40" s="423">
        <f t="shared" si="67"/>
        <v>0</v>
      </c>
      <c r="GG40" s="423">
        <f t="shared" si="68"/>
        <v>0</v>
      </c>
      <c r="GH40" s="423">
        <f t="shared" si="69"/>
        <v>0</v>
      </c>
      <c r="GI40" s="423">
        <f t="shared" si="70"/>
        <v>0</v>
      </c>
      <c r="GJ40" s="423">
        <f t="shared" si="71"/>
        <v>0</v>
      </c>
      <c r="GK40" s="423">
        <f t="shared" si="72"/>
        <v>0</v>
      </c>
      <c r="GL40" s="423">
        <f t="shared" si="73"/>
        <v>0</v>
      </c>
      <c r="GM40" s="423">
        <f t="shared" si="74"/>
        <v>0</v>
      </c>
      <c r="GN40" s="423">
        <f t="shared" si="75"/>
        <v>0</v>
      </c>
      <c r="GO40" s="423">
        <f t="shared" si="76"/>
        <v>0</v>
      </c>
      <c r="GP40" s="423">
        <f t="shared" si="77"/>
        <v>0</v>
      </c>
      <c r="GQ40" s="423">
        <f t="shared" si="78"/>
        <v>0</v>
      </c>
      <c r="GR40" s="423">
        <f t="shared" si="79"/>
        <v>0</v>
      </c>
      <c r="GS40" s="423">
        <f t="shared" si="80"/>
        <v>0</v>
      </c>
      <c r="GT40" s="423">
        <f t="shared" si="81"/>
        <v>0</v>
      </c>
      <c r="GU40" s="423">
        <f t="shared" si="82"/>
        <v>0</v>
      </c>
      <c r="GV40" s="423">
        <f t="shared" si="83"/>
        <v>0</v>
      </c>
      <c r="GW40" s="423">
        <f t="shared" si="84"/>
        <v>0</v>
      </c>
      <c r="GX40" s="423">
        <f t="shared" si="85"/>
        <v>0</v>
      </c>
      <c r="GY40" s="423">
        <f t="shared" si="86"/>
        <v>0</v>
      </c>
      <c r="GZ40" s="423">
        <f t="shared" si="87"/>
        <v>0</v>
      </c>
      <c r="HA40" s="423">
        <f t="shared" si="88"/>
        <v>0</v>
      </c>
      <c r="HB40" s="423">
        <f t="shared" si="89"/>
        <v>0</v>
      </c>
      <c r="HC40" s="423">
        <f t="shared" si="90"/>
        <v>0</v>
      </c>
      <c r="HD40" s="423">
        <f t="shared" si="91"/>
        <v>0</v>
      </c>
      <c r="HE40" s="423">
        <f t="shared" si="92"/>
        <v>0</v>
      </c>
      <c r="HF40" s="423">
        <f t="shared" si="93"/>
        <v>0</v>
      </c>
      <c r="HG40" s="423">
        <f t="shared" si="94"/>
        <v>0</v>
      </c>
      <c r="HH40" s="423">
        <f t="shared" si="95"/>
        <v>0</v>
      </c>
      <c r="HI40" s="423">
        <f t="shared" si="96"/>
        <v>0</v>
      </c>
      <c r="HJ40" s="423">
        <f t="shared" si="97"/>
        <v>0</v>
      </c>
      <c r="HK40" s="423">
        <f t="shared" si="98"/>
        <v>0</v>
      </c>
      <c r="HL40" s="423">
        <f t="shared" si="99"/>
        <v>0</v>
      </c>
      <c r="HO40" s="120">
        <v>2</v>
      </c>
      <c r="HP40" s="492">
        <f>DATE(YEAR(EXPEDIENTE!$F$25)+1,HO40,1)</f>
        <v>45323</v>
      </c>
      <c r="HQ40" s="492" t="str">
        <f>IF('GASTOS EJER. 2'!BF50="","",'GASTOS EJER. 2'!BF50)</f>
        <v/>
      </c>
      <c r="HR40" s="500">
        <f>'GASTOS EJER. 2'!CM21</f>
        <v>0</v>
      </c>
      <c r="HS40" s="500">
        <f>'GASTOS EJER. 2'!BA50</f>
        <v>0</v>
      </c>
      <c r="HT40" s="423">
        <f t="shared" ref="HT40:HT50" si="265">VLOOKUP(HP40,$GC$7:$HL$69,36,FALSE)</f>
        <v>0</v>
      </c>
      <c r="HU40" s="500">
        <f t="shared" si="220"/>
        <v>0</v>
      </c>
      <c r="JC40" s="406">
        <v>36</v>
      </c>
      <c r="JD40" s="398">
        <f t="shared" si="100"/>
        <v>14</v>
      </c>
    </row>
    <row r="41" spans="3:264" x14ac:dyDescent="0.25">
      <c r="C41" s="206">
        <v>35</v>
      </c>
      <c r="D41" s="401"/>
      <c r="E41" s="417"/>
      <c r="F41" s="418"/>
      <c r="G41" s="419"/>
      <c r="H41" s="419"/>
      <c r="I41" s="419"/>
      <c r="J41" s="401"/>
      <c r="K41" s="407">
        <f t="shared" si="52"/>
        <v>76</v>
      </c>
      <c r="L41" s="407">
        <f t="shared" si="53"/>
        <v>76</v>
      </c>
      <c r="M41" s="407" t="str">
        <f t="shared" si="54"/>
        <v>X</v>
      </c>
      <c r="Y41" s="422">
        <f t="shared" si="0"/>
        <v>36</v>
      </c>
      <c r="Z41" s="412" t="str">
        <f>IF(Y41="","",IF(EDATE($Z$5,Y41)&gt;EXPEDIENTE!$F$27,"",EDATE($Z$5,Y41)))</f>
        <v/>
      </c>
      <c r="AA41" s="412" t="str">
        <f>IF(Z41="","",IF(YEAR(EXPEDIENTE!$F$25)=YEAR(Z41),Z41,""))</f>
        <v/>
      </c>
      <c r="AB41" s="412" t="str">
        <f>IF(Z41="","",IF(YEAR(EXPEDIENTE!$F$25)+1=YEAR(Z41),Z41,""))</f>
        <v/>
      </c>
      <c r="AC41" s="412" t="str">
        <f>IF(Z41="","",IF(YEAR(EXPEDIENTE!$F$25)+2=YEAR(Z41),Z41,""))</f>
        <v/>
      </c>
      <c r="AD41" s="412" t="str">
        <f>IF(Z41="","",IF(YEAR(EXPEDIENTE!$F$25)+3=YEAR(Z41),Z41,""))</f>
        <v/>
      </c>
      <c r="AG41" s="487">
        <v>11</v>
      </c>
      <c r="AH41" s="500">
        <f>'GASTOS EJER. 2'!M39</f>
        <v>0</v>
      </c>
      <c r="AI41" s="500">
        <f>'GASTOS EJER. 2'!X39</f>
        <v>0</v>
      </c>
      <c r="AJ41" s="490">
        <f t="shared" si="221"/>
        <v>0</v>
      </c>
      <c r="AL41" s="491">
        <f>'GASTOS EJER. 2'!F39+'GASTOS EJER. 2'!L39-'GASTOS EJER. 2'!X39-'GASTOS EJER. 2'!Y39</f>
        <v>0</v>
      </c>
      <c r="AM41" s="492" t="str">
        <f>IF('GASTOS EJER. 2'!AA39="","",'GASTOS EJER. 2'!AA39)</f>
        <v/>
      </c>
      <c r="AN41" s="489">
        <f>'GASTOS EJER. 2'!Y39</f>
        <v>0</v>
      </c>
      <c r="AO41" s="493" t="str">
        <f>IF('GASTOS EJER. 2'!AB39="","",'GASTOS EJER. 2'!AB39)</f>
        <v/>
      </c>
      <c r="AP41" s="494">
        <f>IF(AND(AM41&gt;=EXPEDIENTE!$I$25,AM41&lt;=EXPEDIENTE!$I$29),AL41,0)</f>
        <v>0</v>
      </c>
      <c r="AQ41" s="423">
        <f>IF(AND(AO41&gt;=EXPEDIENTE!$I$25,AO41&lt;=EXPEDIENTE!$I$29),AN41,0)</f>
        <v>0</v>
      </c>
      <c r="AR41" s="490">
        <f t="shared" si="222"/>
        <v>0</v>
      </c>
      <c r="AS41" s="495" t="str">
        <f>IF('GASTOS EJER. 2'!D39="","",'GASTOS EJER. 2'!D39)</f>
        <v/>
      </c>
      <c r="AT41" s="496" t="str">
        <f>IF('GASTOS EJER. 2'!E39="","",'GASTOS EJER. 2'!E39)</f>
        <v/>
      </c>
      <c r="AU41" s="497">
        <f t="shared" si="223"/>
        <v>0</v>
      </c>
      <c r="AV41" s="498">
        <f t="shared" si="170"/>
        <v>0</v>
      </c>
      <c r="AW41" s="439">
        <f t="shared" si="224"/>
        <v>0</v>
      </c>
      <c r="AY41" s="423">
        <v>3</v>
      </c>
      <c r="AZ41" s="424" t="e">
        <f t="shared" si="171"/>
        <v>#VALUE!</v>
      </c>
      <c r="BA41" s="437">
        <f t="shared" si="172"/>
        <v>0</v>
      </c>
      <c r="BB41" s="423">
        <f t="shared" si="173"/>
        <v>0</v>
      </c>
      <c r="BC41" s="423">
        <f t="shared" si="174"/>
        <v>0</v>
      </c>
      <c r="BD41" s="423">
        <f t="shared" si="175"/>
        <v>0</v>
      </c>
      <c r="BE41" s="423">
        <f t="shared" si="176"/>
        <v>0</v>
      </c>
      <c r="BF41" s="423">
        <f t="shared" si="225"/>
        <v>0</v>
      </c>
      <c r="BG41" s="423">
        <f t="shared" si="177"/>
        <v>0</v>
      </c>
      <c r="BH41" s="438">
        <f t="shared" si="178"/>
        <v>0</v>
      </c>
      <c r="BI41" s="436">
        <f t="shared" si="179"/>
        <v>0</v>
      </c>
      <c r="BK41" s="433">
        <f t="shared" si="226"/>
        <v>0</v>
      </c>
      <c r="BL41" s="434">
        <f t="shared" si="227"/>
        <v>0</v>
      </c>
      <c r="BM41" s="434">
        <f t="shared" si="228"/>
        <v>0</v>
      </c>
      <c r="BN41" s="434">
        <f t="shared" si="229"/>
        <v>0</v>
      </c>
      <c r="BO41" s="434">
        <f t="shared" si="230"/>
        <v>0</v>
      </c>
      <c r="BP41" s="434">
        <f t="shared" si="231"/>
        <v>0</v>
      </c>
      <c r="BQ41" s="434">
        <f t="shared" si="232"/>
        <v>0</v>
      </c>
      <c r="BR41" s="435">
        <f t="shared" si="233"/>
        <v>0</v>
      </c>
      <c r="BS41" s="436">
        <f t="shared" si="234"/>
        <v>0</v>
      </c>
      <c r="BU41" s="436">
        <f t="shared" si="235"/>
        <v>0</v>
      </c>
      <c r="BX41" s="487">
        <v>11</v>
      </c>
      <c r="BY41" s="500">
        <f>'GASTOS EJER. 2'!BN39</f>
        <v>0</v>
      </c>
      <c r="BZ41" s="500">
        <f>'GASTOS EJER. 2'!CM39</f>
        <v>0</v>
      </c>
      <c r="CA41" s="490">
        <f t="shared" si="236"/>
        <v>0</v>
      </c>
      <c r="CC41" s="491">
        <f>'GASTOS EJER. 2'!AW39+'GASTOS EJER. 2'!BM39-'GASTOS EJER. 2'!CM39-'GASTOS EJER. 2'!CP39</f>
        <v>0</v>
      </c>
      <c r="CD41" s="492" t="str">
        <f>IF('GASTOS EJER. 2'!CT39="","",'GASTOS EJER. 2'!CT39)</f>
        <v/>
      </c>
      <c r="CE41" s="489">
        <f>'GASTOS EJER. 2'!CP39</f>
        <v>0</v>
      </c>
      <c r="CF41" s="493" t="str">
        <f>IF('GASTOS EJER. 2'!CW39="","",'GASTOS EJER. 2'!CW39)</f>
        <v/>
      </c>
      <c r="CG41" s="494">
        <f>IF(AND(CD41&gt;=EXPEDIENTE!$I$25,CD41&lt;=EXPEDIENTE!$I$29),CC41,0)</f>
        <v>0</v>
      </c>
      <c r="CH41" s="423">
        <f>IF(AND(CF41&gt;=EXPEDIENTE!$I$25,CF41&lt;=EXPEDIENTE!$I$29),CE41,0)</f>
        <v>0</v>
      </c>
      <c r="CI41" s="490">
        <f t="shared" si="237"/>
        <v>0</v>
      </c>
      <c r="CJ41" s="495" t="str">
        <f>IF('GASTOS EJER. 2'!AQ39="","",'GASTOS EJER. 2'!AQ39)</f>
        <v/>
      </c>
      <c r="CK41" s="496" t="str">
        <f>IF('GASTOS EJER. 2'!AT39="","",'GASTOS EJER. 2'!AT39)</f>
        <v/>
      </c>
      <c r="CL41" s="497">
        <f t="shared" si="238"/>
        <v>0</v>
      </c>
      <c r="CM41" s="498">
        <f t="shared" si="180"/>
        <v>0</v>
      </c>
      <c r="CN41" s="439">
        <f t="shared" si="239"/>
        <v>0</v>
      </c>
      <c r="CP41" s="423">
        <v>3</v>
      </c>
      <c r="CQ41" s="424" t="e">
        <f t="shared" si="181"/>
        <v>#VALUE!</v>
      </c>
      <c r="CR41" s="437">
        <f t="shared" si="240"/>
        <v>0</v>
      </c>
      <c r="CS41" s="423">
        <f t="shared" si="241"/>
        <v>0</v>
      </c>
      <c r="CT41" s="423">
        <f t="shared" si="242"/>
        <v>0</v>
      </c>
      <c r="CU41" s="423">
        <f t="shared" si="243"/>
        <v>0</v>
      </c>
      <c r="CV41" s="423">
        <f t="shared" si="244"/>
        <v>0</v>
      </c>
      <c r="CW41" s="423">
        <f t="shared" si="245"/>
        <v>0</v>
      </c>
      <c r="CX41" s="423">
        <f t="shared" si="246"/>
        <v>0</v>
      </c>
      <c r="CY41" s="438">
        <f t="shared" si="247"/>
        <v>0</v>
      </c>
      <c r="CZ41" s="436">
        <f t="shared" si="182"/>
        <v>0</v>
      </c>
      <c r="DB41" s="437">
        <f t="shared" si="248"/>
        <v>0</v>
      </c>
      <c r="DC41" s="423">
        <f t="shared" si="249"/>
        <v>0</v>
      </c>
      <c r="DD41" s="423">
        <f t="shared" si="250"/>
        <v>0</v>
      </c>
      <c r="DE41" s="423">
        <f t="shared" si="251"/>
        <v>0</v>
      </c>
      <c r="DF41" s="423">
        <f t="shared" si="252"/>
        <v>0</v>
      </c>
      <c r="DG41" s="423">
        <f t="shared" si="253"/>
        <v>0</v>
      </c>
      <c r="DH41" s="423">
        <f t="shared" si="254"/>
        <v>0</v>
      </c>
      <c r="DI41" s="438">
        <f t="shared" si="255"/>
        <v>0</v>
      </c>
      <c r="DJ41" s="436">
        <f t="shared" si="256"/>
        <v>0</v>
      </c>
      <c r="DL41" s="436">
        <f t="shared" si="257"/>
        <v>0</v>
      </c>
      <c r="DN41" s="487">
        <v>11</v>
      </c>
      <c r="DO41" s="499">
        <f>'GASTOS EJER. 2'!$C39</f>
        <v>0</v>
      </c>
      <c r="DP41" s="496" t="str">
        <f t="shared" si="258"/>
        <v/>
      </c>
      <c r="DQ41" s="496" t="str">
        <f t="shared" si="259"/>
        <v/>
      </c>
      <c r="DR41" s="386">
        <f t="shared" si="260"/>
        <v>0</v>
      </c>
      <c r="DS41" s="500">
        <f>'GASTOS EJER. 2'!X39</f>
        <v>0</v>
      </c>
      <c r="DT41" s="492" t="str">
        <f>IF(DS41=0,"",'GASTOS EJER. 2'!AA39)</f>
        <v/>
      </c>
      <c r="DU41" s="492" t="str">
        <f t="shared" si="185"/>
        <v/>
      </c>
      <c r="DV41" s="490" t="e">
        <f>IF(AND(DU41&gt;=EXPEDIENTE!$F$25,DU41&lt;=EXPEDIENTE!$F$29),ROUNDDOWN(DS41/DR41,2),0)</f>
        <v>#DIV/0!</v>
      </c>
      <c r="DX41" s="386">
        <v>22</v>
      </c>
      <c r="DY41" s="430">
        <f t="shared" si="101"/>
        <v>45717</v>
      </c>
      <c r="DZ41" s="430">
        <f t="shared" si="102"/>
        <v>45747</v>
      </c>
      <c r="EA41" s="386" t="str">
        <f>IF(AND(DZ41&gt;=EXPEDIENTE!$F$25,DY41&lt;=EXPEDIENTE!$F$29),"SI","NO")</f>
        <v>SI</v>
      </c>
      <c r="EB41" s="423">
        <f t="shared" si="186"/>
        <v>0</v>
      </c>
      <c r="EC41" s="423">
        <f t="shared" si="187"/>
        <v>0</v>
      </c>
      <c r="ED41" s="423">
        <f t="shared" si="188"/>
        <v>0</v>
      </c>
      <c r="EE41" s="423">
        <f t="shared" si="189"/>
        <v>0</v>
      </c>
      <c r="EF41" s="423">
        <f t="shared" si="190"/>
        <v>0</v>
      </c>
      <c r="EG41" s="423">
        <f t="shared" si="191"/>
        <v>0</v>
      </c>
      <c r="EH41" s="423">
        <f t="shared" si="192"/>
        <v>0</v>
      </c>
      <c r="EI41" s="423">
        <f t="shared" si="193"/>
        <v>0</v>
      </c>
      <c r="EJ41" s="423">
        <f t="shared" si="194"/>
        <v>0</v>
      </c>
      <c r="EK41" s="423">
        <f t="shared" si="195"/>
        <v>0</v>
      </c>
      <c r="EL41" s="423">
        <f t="shared" si="196"/>
        <v>0</v>
      </c>
      <c r="EM41" s="423">
        <f t="shared" si="197"/>
        <v>0</v>
      </c>
      <c r="EN41" s="423">
        <f t="shared" si="198"/>
        <v>0</v>
      </c>
      <c r="EO41" s="423">
        <f t="shared" si="199"/>
        <v>0</v>
      </c>
      <c r="EP41" s="423">
        <f t="shared" si="200"/>
        <v>0</v>
      </c>
      <c r="EQ41" s="423">
        <f t="shared" si="201"/>
        <v>0</v>
      </c>
      <c r="ER41" s="423">
        <f t="shared" si="202"/>
        <v>0</v>
      </c>
      <c r="ES41" s="423">
        <f t="shared" si="203"/>
        <v>0</v>
      </c>
      <c r="ET41" s="423">
        <f t="shared" si="204"/>
        <v>0</v>
      </c>
      <c r="EU41" s="423">
        <f t="shared" si="205"/>
        <v>0</v>
      </c>
      <c r="EV41" s="423">
        <f t="shared" si="206"/>
        <v>0</v>
      </c>
      <c r="EW41" s="423">
        <f t="shared" si="207"/>
        <v>0</v>
      </c>
      <c r="EX41" s="423">
        <f t="shared" si="208"/>
        <v>0</v>
      </c>
      <c r="EY41" s="423">
        <f t="shared" si="209"/>
        <v>0</v>
      </c>
      <c r="EZ41" s="423">
        <f t="shared" si="210"/>
        <v>0</v>
      </c>
      <c r="FA41" s="423">
        <f t="shared" si="211"/>
        <v>0</v>
      </c>
      <c r="FB41" s="423">
        <f t="shared" si="212"/>
        <v>0</v>
      </c>
      <c r="FC41" s="423">
        <f t="shared" si="213"/>
        <v>0</v>
      </c>
      <c r="FD41" s="423">
        <f t="shared" si="214"/>
        <v>0</v>
      </c>
      <c r="FE41" s="423">
        <f t="shared" si="215"/>
        <v>0</v>
      </c>
      <c r="FF41" s="423">
        <f t="shared" si="216"/>
        <v>0</v>
      </c>
      <c r="FG41" s="423">
        <f t="shared" si="217"/>
        <v>0</v>
      </c>
      <c r="FH41" s="423">
        <f t="shared" si="66"/>
        <v>0</v>
      </c>
      <c r="FJ41" s="120">
        <v>3</v>
      </c>
      <c r="FK41" s="492">
        <f>DATE(YEAR(EXPEDIENTE!$F$25)+1,FJ41,1)</f>
        <v>45352</v>
      </c>
      <c r="FL41" s="492" t="str">
        <f>IF('GASTOS EJER. 2'!I51="","",'GASTOS EJER. 2'!I51)</f>
        <v/>
      </c>
      <c r="FM41" s="500">
        <f>'GASTOS EJER. 2'!X22</f>
        <v>0</v>
      </c>
      <c r="FN41" s="500">
        <f>'GASTOS EJER. 2'!H51</f>
        <v>0</v>
      </c>
      <c r="FO41" s="423">
        <f t="shared" si="261"/>
        <v>0</v>
      </c>
      <c r="FP41" s="500">
        <f t="shared" si="218"/>
        <v>0</v>
      </c>
      <c r="FR41" s="487">
        <v>11</v>
      </c>
      <c r="FS41" s="499">
        <f>'GASTOS EJER. 2'!$C39</f>
        <v>0</v>
      </c>
      <c r="FT41" s="496" t="str">
        <f t="shared" si="262"/>
        <v/>
      </c>
      <c r="FU41" s="496" t="str">
        <f t="shared" si="263"/>
        <v/>
      </c>
      <c r="FV41" s="386">
        <f t="shared" si="264"/>
        <v>0</v>
      </c>
      <c r="FW41" s="500">
        <f>'GASTOS EJER. 2'!CM39</f>
        <v>0</v>
      </c>
      <c r="FX41" s="492" t="str">
        <f>IF(FW41=0,"",'GASTOS EJER. 2'!CT39)</f>
        <v/>
      </c>
      <c r="FY41" s="492" t="str">
        <f t="shared" si="219"/>
        <v/>
      </c>
      <c r="FZ41" s="490" t="e">
        <f>IF(AND(FY41&gt;=EXPEDIENTE!$F$25,FY41&lt;=EXPEDIENTE!$F$29),ROUNDDOWN(FW41/FV41,2),0)</f>
        <v>#DIV/0!</v>
      </c>
      <c r="GB41" s="386">
        <v>22</v>
      </c>
      <c r="GC41" s="430">
        <f t="shared" si="103"/>
        <v>45717</v>
      </c>
      <c r="GD41" s="430">
        <f t="shared" si="104"/>
        <v>45747</v>
      </c>
      <c r="GE41" s="386" t="str">
        <f>IF(AND(GD41&gt;=EXPEDIENTE!$F$25,GC41&lt;=EXPEDIENTE!$F$29),"SI","NO")</f>
        <v>SI</v>
      </c>
      <c r="GF41" s="423">
        <f t="shared" si="67"/>
        <v>0</v>
      </c>
      <c r="GG41" s="423">
        <f t="shared" si="68"/>
        <v>0</v>
      </c>
      <c r="GH41" s="423">
        <f t="shared" si="69"/>
        <v>0</v>
      </c>
      <c r="GI41" s="423">
        <f t="shared" si="70"/>
        <v>0</v>
      </c>
      <c r="GJ41" s="423">
        <f t="shared" si="71"/>
        <v>0</v>
      </c>
      <c r="GK41" s="423">
        <f t="shared" si="72"/>
        <v>0</v>
      </c>
      <c r="GL41" s="423">
        <f t="shared" si="73"/>
        <v>0</v>
      </c>
      <c r="GM41" s="423">
        <f t="shared" si="74"/>
        <v>0</v>
      </c>
      <c r="GN41" s="423">
        <f t="shared" si="75"/>
        <v>0</v>
      </c>
      <c r="GO41" s="423">
        <f t="shared" si="76"/>
        <v>0</v>
      </c>
      <c r="GP41" s="423">
        <f t="shared" si="77"/>
        <v>0</v>
      </c>
      <c r="GQ41" s="423">
        <f t="shared" si="78"/>
        <v>0</v>
      </c>
      <c r="GR41" s="423">
        <f t="shared" si="79"/>
        <v>0</v>
      </c>
      <c r="GS41" s="423">
        <f t="shared" si="80"/>
        <v>0</v>
      </c>
      <c r="GT41" s="423">
        <f t="shared" si="81"/>
        <v>0</v>
      </c>
      <c r="GU41" s="423">
        <f t="shared" si="82"/>
        <v>0</v>
      </c>
      <c r="GV41" s="423">
        <f t="shared" si="83"/>
        <v>0</v>
      </c>
      <c r="GW41" s="423">
        <f t="shared" si="84"/>
        <v>0</v>
      </c>
      <c r="GX41" s="423">
        <f t="shared" si="85"/>
        <v>0</v>
      </c>
      <c r="GY41" s="423">
        <f t="shared" si="86"/>
        <v>0</v>
      </c>
      <c r="GZ41" s="423">
        <f t="shared" si="87"/>
        <v>0</v>
      </c>
      <c r="HA41" s="423">
        <f t="shared" si="88"/>
        <v>0</v>
      </c>
      <c r="HB41" s="423">
        <f t="shared" si="89"/>
        <v>0</v>
      </c>
      <c r="HC41" s="423">
        <f t="shared" si="90"/>
        <v>0</v>
      </c>
      <c r="HD41" s="423">
        <f t="shared" si="91"/>
        <v>0</v>
      </c>
      <c r="HE41" s="423">
        <f t="shared" si="92"/>
        <v>0</v>
      </c>
      <c r="HF41" s="423">
        <f t="shared" si="93"/>
        <v>0</v>
      </c>
      <c r="HG41" s="423">
        <f t="shared" si="94"/>
        <v>0</v>
      </c>
      <c r="HH41" s="423">
        <f t="shared" si="95"/>
        <v>0</v>
      </c>
      <c r="HI41" s="423">
        <f t="shared" si="96"/>
        <v>0</v>
      </c>
      <c r="HJ41" s="423">
        <f t="shared" si="97"/>
        <v>0</v>
      </c>
      <c r="HK41" s="423">
        <f t="shared" si="98"/>
        <v>0</v>
      </c>
      <c r="HL41" s="423">
        <f t="shared" si="99"/>
        <v>0</v>
      </c>
      <c r="HO41" s="120">
        <v>3</v>
      </c>
      <c r="HP41" s="492">
        <f>DATE(YEAR(EXPEDIENTE!$F$25)+1,HO41,1)</f>
        <v>45352</v>
      </c>
      <c r="HQ41" s="492" t="str">
        <f>IF('GASTOS EJER. 2'!BF51="","",'GASTOS EJER. 2'!BF51)</f>
        <v/>
      </c>
      <c r="HR41" s="500">
        <f>'GASTOS EJER. 2'!CM22</f>
        <v>0</v>
      </c>
      <c r="HS41" s="500">
        <f>'GASTOS EJER. 2'!BA51</f>
        <v>0</v>
      </c>
      <c r="HT41" s="423">
        <f t="shared" si="265"/>
        <v>0</v>
      </c>
      <c r="HU41" s="500">
        <f t="shared" si="220"/>
        <v>0</v>
      </c>
      <c r="JC41" s="416">
        <v>37</v>
      </c>
      <c r="JD41" s="398">
        <f t="shared" si="100"/>
        <v>14</v>
      </c>
    </row>
    <row r="42" spans="3:264" x14ac:dyDescent="0.25">
      <c r="C42" s="206">
        <v>36</v>
      </c>
      <c r="D42" s="401"/>
      <c r="E42" s="417"/>
      <c r="F42" s="418"/>
      <c r="G42" s="419"/>
      <c r="H42" s="419"/>
      <c r="I42" s="419"/>
      <c r="J42" s="401"/>
      <c r="K42" s="407">
        <f t="shared" si="52"/>
        <v>76</v>
      </c>
      <c r="L42" s="407">
        <f t="shared" si="53"/>
        <v>76</v>
      </c>
      <c r="M42" s="407" t="str">
        <f t="shared" si="54"/>
        <v>X</v>
      </c>
      <c r="Y42" s="422">
        <f t="shared" si="0"/>
        <v>37</v>
      </c>
      <c r="Z42" s="412" t="str">
        <f>IF(Y42="","",IF(EDATE($Z$5,Y42)&gt;EXPEDIENTE!$F$27,"",EDATE($Z$5,Y42)))</f>
        <v/>
      </c>
      <c r="AA42" s="412" t="str">
        <f>IF(Z42="","",IF(YEAR(EXPEDIENTE!$F$25)=YEAR(Z42),Z42,""))</f>
        <v/>
      </c>
      <c r="AB42" s="412" t="str">
        <f>IF(Z42="","",IF(YEAR(EXPEDIENTE!$F$25)+1=YEAR(Z42),Z42,""))</f>
        <v/>
      </c>
      <c r="AC42" s="412" t="str">
        <f>IF(Z42="","",IF(YEAR(EXPEDIENTE!$F$25)+2=YEAR(Z42),Z42,""))</f>
        <v/>
      </c>
      <c r="AD42" s="412" t="str">
        <f>IF(Z42="","",IF(YEAR(EXPEDIENTE!$F$25)+3=YEAR(Z42),Z42,""))</f>
        <v/>
      </c>
      <c r="AG42" s="487">
        <v>12</v>
      </c>
      <c r="AH42" s="500">
        <f>'GASTOS EJER. 2'!M40</f>
        <v>0</v>
      </c>
      <c r="AI42" s="500">
        <f>'GASTOS EJER. 2'!X40</f>
        <v>0</v>
      </c>
      <c r="AJ42" s="490">
        <f t="shared" si="221"/>
        <v>0</v>
      </c>
      <c r="AL42" s="491">
        <f>'GASTOS EJER. 2'!F40+'GASTOS EJER. 2'!L40-'GASTOS EJER. 2'!X40-'GASTOS EJER. 2'!Y40</f>
        <v>0</v>
      </c>
      <c r="AM42" s="492" t="str">
        <f>IF('GASTOS EJER. 2'!AA40="","",'GASTOS EJER. 2'!AA40)</f>
        <v/>
      </c>
      <c r="AN42" s="489">
        <f>'GASTOS EJER. 2'!Y40</f>
        <v>0</v>
      </c>
      <c r="AO42" s="493" t="str">
        <f>IF('GASTOS EJER. 2'!AB40="","",'GASTOS EJER. 2'!AB40)</f>
        <v/>
      </c>
      <c r="AP42" s="494">
        <f>IF(AND(AM42&gt;=EXPEDIENTE!$I$25,AM42&lt;=EXPEDIENTE!$I$29),AL42,0)</f>
        <v>0</v>
      </c>
      <c r="AQ42" s="423">
        <f>IF(AND(AO42&gt;=EXPEDIENTE!$I$25,AO42&lt;=EXPEDIENTE!$I$29),AN42,0)</f>
        <v>0</v>
      </c>
      <c r="AR42" s="490">
        <f t="shared" si="222"/>
        <v>0</v>
      </c>
      <c r="AS42" s="495" t="str">
        <f>IF('GASTOS EJER. 2'!D40="","",'GASTOS EJER. 2'!D40)</f>
        <v/>
      </c>
      <c r="AT42" s="496" t="str">
        <f>IF('GASTOS EJER. 2'!E40="","",'GASTOS EJER. 2'!E40)</f>
        <v/>
      </c>
      <c r="AU42" s="497">
        <f t="shared" si="223"/>
        <v>0</v>
      </c>
      <c r="AV42" s="498">
        <f t="shared" si="170"/>
        <v>0</v>
      </c>
      <c r="AW42" s="439">
        <f t="shared" si="224"/>
        <v>0</v>
      </c>
      <c r="AY42" s="423">
        <v>4</v>
      </c>
      <c r="AZ42" s="424" t="e">
        <f t="shared" si="171"/>
        <v>#VALUE!</v>
      </c>
      <c r="BA42" s="437">
        <f t="shared" si="172"/>
        <v>0</v>
      </c>
      <c r="BB42" s="423">
        <f t="shared" si="173"/>
        <v>0</v>
      </c>
      <c r="BC42" s="423">
        <f t="shared" si="174"/>
        <v>0</v>
      </c>
      <c r="BD42" s="423">
        <f t="shared" si="175"/>
        <v>0</v>
      </c>
      <c r="BE42" s="423">
        <f t="shared" si="176"/>
        <v>0</v>
      </c>
      <c r="BF42" s="423">
        <f t="shared" si="225"/>
        <v>0</v>
      </c>
      <c r="BG42" s="423">
        <f t="shared" si="177"/>
        <v>0</v>
      </c>
      <c r="BH42" s="438">
        <f t="shared" si="178"/>
        <v>0</v>
      </c>
      <c r="BI42" s="436">
        <f t="shared" si="179"/>
        <v>0</v>
      </c>
      <c r="BK42" s="433">
        <f t="shared" si="226"/>
        <v>0</v>
      </c>
      <c r="BL42" s="434">
        <f t="shared" si="227"/>
        <v>0</v>
      </c>
      <c r="BM42" s="434">
        <f t="shared" si="228"/>
        <v>0</v>
      </c>
      <c r="BN42" s="434">
        <f t="shared" si="229"/>
        <v>0</v>
      </c>
      <c r="BO42" s="434">
        <f t="shared" si="230"/>
        <v>0</v>
      </c>
      <c r="BP42" s="434">
        <f t="shared" si="231"/>
        <v>0</v>
      </c>
      <c r="BQ42" s="434">
        <f t="shared" si="232"/>
        <v>0</v>
      </c>
      <c r="BR42" s="435">
        <f t="shared" si="233"/>
        <v>0</v>
      </c>
      <c r="BS42" s="436">
        <f t="shared" si="234"/>
        <v>0</v>
      </c>
      <c r="BU42" s="436">
        <f t="shared" si="235"/>
        <v>0</v>
      </c>
      <c r="BX42" s="487">
        <v>12</v>
      </c>
      <c r="BY42" s="500">
        <f>'GASTOS EJER. 2'!BN40</f>
        <v>0</v>
      </c>
      <c r="BZ42" s="500">
        <f>'GASTOS EJER. 2'!CM40</f>
        <v>0</v>
      </c>
      <c r="CA42" s="490">
        <f t="shared" si="236"/>
        <v>0</v>
      </c>
      <c r="CC42" s="491">
        <f>'GASTOS EJER. 2'!AW40+'GASTOS EJER. 2'!BM40-'GASTOS EJER. 2'!CM40-'GASTOS EJER. 2'!CP40</f>
        <v>0</v>
      </c>
      <c r="CD42" s="492" t="str">
        <f>IF('GASTOS EJER. 2'!CT40="","",'GASTOS EJER. 2'!CT40)</f>
        <v/>
      </c>
      <c r="CE42" s="489">
        <f>'GASTOS EJER. 2'!CP40</f>
        <v>0</v>
      </c>
      <c r="CF42" s="493" t="str">
        <f>IF('GASTOS EJER. 2'!CW40="","",'GASTOS EJER. 2'!CW40)</f>
        <v/>
      </c>
      <c r="CG42" s="494">
        <f>IF(AND(CD42&gt;=EXPEDIENTE!$I$25,CD42&lt;=EXPEDIENTE!$I$29),CC42,0)</f>
        <v>0</v>
      </c>
      <c r="CH42" s="423">
        <f>IF(AND(CF42&gt;=EXPEDIENTE!$I$25,CF42&lt;=EXPEDIENTE!$I$29),CE42,0)</f>
        <v>0</v>
      </c>
      <c r="CI42" s="490">
        <f t="shared" si="237"/>
        <v>0</v>
      </c>
      <c r="CJ42" s="495" t="str">
        <f>IF('GASTOS EJER. 2'!AQ40="","",'GASTOS EJER. 2'!AQ40)</f>
        <v/>
      </c>
      <c r="CK42" s="496" t="str">
        <f>IF('GASTOS EJER. 2'!AT40="","",'GASTOS EJER. 2'!AT40)</f>
        <v/>
      </c>
      <c r="CL42" s="497">
        <f t="shared" si="238"/>
        <v>0</v>
      </c>
      <c r="CM42" s="498">
        <f t="shared" si="180"/>
        <v>0</v>
      </c>
      <c r="CN42" s="439">
        <f t="shared" si="239"/>
        <v>0</v>
      </c>
      <c r="CP42" s="423">
        <v>4</v>
      </c>
      <c r="CQ42" s="424" t="e">
        <f t="shared" si="181"/>
        <v>#VALUE!</v>
      </c>
      <c r="CR42" s="437">
        <f t="shared" si="240"/>
        <v>0</v>
      </c>
      <c r="CS42" s="423">
        <f t="shared" si="241"/>
        <v>0</v>
      </c>
      <c r="CT42" s="423">
        <f t="shared" si="242"/>
        <v>0</v>
      </c>
      <c r="CU42" s="423">
        <f t="shared" si="243"/>
        <v>0</v>
      </c>
      <c r="CV42" s="423">
        <f t="shared" si="244"/>
        <v>0</v>
      </c>
      <c r="CW42" s="423">
        <f t="shared" si="245"/>
        <v>0</v>
      </c>
      <c r="CX42" s="423">
        <f t="shared" si="246"/>
        <v>0</v>
      </c>
      <c r="CY42" s="438">
        <f t="shared" si="247"/>
        <v>0</v>
      </c>
      <c r="CZ42" s="436">
        <f t="shared" si="182"/>
        <v>0</v>
      </c>
      <c r="DB42" s="437">
        <f t="shared" si="248"/>
        <v>0</v>
      </c>
      <c r="DC42" s="423">
        <f t="shared" si="249"/>
        <v>0</v>
      </c>
      <c r="DD42" s="423">
        <f t="shared" si="250"/>
        <v>0</v>
      </c>
      <c r="DE42" s="423">
        <f t="shared" si="251"/>
        <v>0</v>
      </c>
      <c r="DF42" s="423">
        <f t="shared" si="252"/>
        <v>0</v>
      </c>
      <c r="DG42" s="423">
        <f t="shared" si="253"/>
        <v>0</v>
      </c>
      <c r="DH42" s="423">
        <f t="shared" si="254"/>
        <v>0</v>
      </c>
      <c r="DI42" s="438">
        <f t="shared" si="255"/>
        <v>0</v>
      </c>
      <c r="DJ42" s="436">
        <f t="shared" si="256"/>
        <v>0</v>
      </c>
      <c r="DL42" s="436">
        <f t="shared" si="257"/>
        <v>0</v>
      </c>
      <c r="DN42" s="487">
        <v>12</v>
      </c>
      <c r="DO42" s="499">
        <f>'GASTOS EJER. 2'!$C40</f>
        <v>0</v>
      </c>
      <c r="DP42" s="496" t="str">
        <f t="shared" si="258"/>
        <v/>
      </c>
      <c r="DQ42" s="496" t="str">
        <f t="shared" si="259"/>
        <v/>
      </c>
      <c r="DR42" s="386">
        <f t="shared" si="260"/>
        <v>0</v>
      </c>
      <c r="DS42" s="500">
        <f>'GASTOS EJER. 2'!X40</f>
        <v>0</v>
      </c>
      <c r="DT42" s="492" t="str">
        <f>IF(DS42=0,"",'GASTOS EJER. 2'!AA40)</f>
        <v/>
      </c>
      <c r="DU42" s="492" t="str">
        <f t="shared" si="185"/>
        <v/>
      </c>
      <c r="DV42" s="490" t="e">
        <f>IF(AND(DU42&gt;=EXPEDIENTE!$F$25,DU42&lt;=EXPEDIENTE!$F$29),ROUNDDOWN(DS42/DR42,2),0)</f>
        <v>#DIV/0!</v>
      </c>
      <c r="DX42" s="386">
        <v>23</v>
      </c>
      <c r="DY42" s="430">
        <f t="shared" si="101"/>
        <v>45748</v>
      </c>
      <c r="DZ42" s="430">
        <f t="shared" si="102"/>
        <v>45777</v>
      </c>
      <c r="EA42" s="386" t="str">
        <f>IF(AND(DZ42&gt;=EXPEDIENTE!$F$25,DY42&lt;=EXPEDIENTE!$F$29),"SI","NO")</f>
        <v>SI</v>
      </c>
      <c r="EB42" s="423">
        <f t="shared" si="186"/>
        <v>0</v>
      </c>
      <c r="EC42" s="423">
        <f t="shared" si="187"/>
        <v>0</v>
      </c>
      <c r="ED42" s="423">
        <f t="shared" si="188"/>
        <v>0</v>
      </c>
      <c r="EE42" s="423">
        <f t="shared" si="189"/>
        <v>0</v>
      </c>
      <c r="EF42" s="423">
        <f t="shared" si="190"/>
        <v>0</v>
      </c>
      <c r="EG42" s="423">
        <f t="shared" si="191"/>
        <v>0</v>
      </c>
      <c r="EH42" s="423">
        <f t="shared" si="192"/>
        <v>0</v>
      </c>
      <c r="EI42" s="423">
        <f t="shared" si="193"/>
        <v>0</v>
      </c>
      <c r="EJ42" s="423">
        <f t="shared" si="194"/>
        <v>0</v>
      </c>
      <c r="EK42" s="423">
        <f t="shared" si="195"/>
        <v>0</v>
      </c>
      <c r="EL42" s="423">
        <f t="shared" si="196"/>
        <v>0</v>
      </c>
      <c r="EM42" s="423">
        <f t="shared" si="197"/>
        <v>0</v>
      </c>
      <c r="EN42" s="423">
        <f t="shared" si="198"/>
        <v>0</v>
      </c>
      <c r="EO42" s="423">
        <f t="shared" si="199"/>
        <v>0</v>
      </c>
      <c r="EP42" s="423">
        <f t="shared" si="200"/>
        <v>0</v>
      </c>
      <c r="EQ42" s="423">
        <f t="shared" si="201"/>
        <v>0</v>
      </c>
      <c r="ER42" s="423">
        <f t="shared" si="202"/>
        <v>0</v>
      </c>
      <c r="ES42" s="423">
        <f t="shared" si="203"/>
        <v>0</v>
      </c>
      <c r="ET42" s="423">
        <f t="shared" si="204"/>
        <v>0</v>
      </c>
      <c r="EU42" s="423">
        <f t="shared" si="205"/>
        <v>0</v>
      </c>
      <c r="EV42" s="423">
        <f t="shared" si="206"/>
        <v>0</v>
      </c>
      <c r="EW42" s="423">
        <f t="shared" si="207"/>
        <v>0</v>
      </c>
      <c r="EX42" s="423">
        <f t="shared" si="208"/>
        <v>0</v>
      </c>
      <c r="EY42" s="423">
        <f t="shared" si="209"/>
        <v>0</v>
      </c>
      <c r="EZ42" s="423">
        <f t="shared" si="210"/>
        <v>0</v>
      </c>
      <c r="FA42" s="423">
        <f t="shared" si="211"/>
        <v>0</v>
      </c>
      <c r="FB42" s="423">
        <f t="shared" si="212"/>
        <v>0</v>
      </c>
      <c r="FC42" s="423">
        <f t="shared" si="213"/>
        <v>0</v>
      </c>
      <c r="FD42" s="423">
        <f t="shared" si="214"/>
        <v>0</v>
      </c>
      <c r="FE42" s="423">
        <f t="shared" si="215"/>
        <v>0</v>
      </c>
      <c r="FF42" s="423">
        <f t="shared" si="216"/>
        <v>0</v>
      </c>
      <c r="FG42" s="423">
        <f t="shared" si="217"/>
        <v>0</v>
      </c>
      <c r="FH42" s="423">
        <f t="shared" si="66"/>
        <v>0</v>
      </c>
      <c r="FJ42" s="120">
        <v>4</v>
      </c>
      <c r="FK42" s="492">
        <f>DATE(YEAR(EXPEDIENTE!$F$25)+1,FJ42,1)</f>
        <v>45383</v>
      </c>
      <c r="FL42" s="492" t="str">
        <f>IF('GASTOS EJER. 2'!I52="","",'GASTOS EJER. 2'!I52)</f>
        <v/>
      </c>
      <c r="FM42" s="500">
        <f>'GASTOS EJER. 2'!X23</f>
        <v>0</v>
      </c>
      <c r="FN42" s="500">
        <f>'GASTOS EJER. 2'!H52</f>
        <v>0</v>
      </c>
      <c r="FO42" s="423">
        <f t="shared" si="261"/>
        <v>0</v>
      </c>
      <c r="FP42" s="500">
        <f t="shared" si="218"/>
        <v>0</v>
      </c>
      <c r="FR42" s="487">
        <v>12</v>
      </c>
      <c r="FS42" s="499">
        <f>'GASTOS EJER. 2'!$C40</f>
        <v>0</v>
      </c>
      <c r="FT42" s="496" t="str">
        <f t="shared" si="262"/>
        <v/>
      </c>
      <c r="FU42" s="496" t="str">
        <f t="shared" si="263"/>
        <v/>
      </c>
      <c r="FV42" s="386">
        <f t="shared" si="264"/>
        <v>0</v>
      </c>
      <c r="FW42" s="500">
        <f>'GASTOS EJER. 2'!CM40</f>
        <v>0</v>
      </c>
      <c r="FX42" s="492" t="str">
        <f>IF(FW42=0,"",'GASTOS EJER. 2'!CT40)</f>
        <v/>
      </c>
      <c r="FY42" s="492" t="str">
        <f t="shared" si="219"/>
        <v/>
      </c>
      <c r="FZ42" s="490" t="e">
        <f>IF(AND(FY42&gt;=EXPEDIENTE!$F$25,FY42&lt;=EXPEDIENTE!$F$29),ROUNDDOWN(FW42/FV42,2),0)</f>
        <v>#DIV/0!</v>
      </c>
      <c r="GB42" s="386">
        <v>23</v>
      </c>
      <c r="GC42" s="430">
        <f t="shared" si="103"/>
        <v>45748</v>
      </c>
      <c r="GD42" s="430">
        <f t="shared" si="104"/>
        <v>45777</v>
      </c>
      <c r="GE42" s="386" t="str">
        <f>IF(AND(GD42&gt;=EXPEDIENTE!$F$25,GC42&lt;=EXPEDIENTE!$F$29),"SI","NO")</f>
        <v>SI</v>
      </c>
      <c r="GF42" s="423">
        <f t="shared" si="67"/>
        <v>0</v>
      </c>
      <c r="GG42" s="423">
        <f t="shared" si="68"/>
        <v>0</v>
      </c>
      <c r="GH42" s="423">
        <f t="shared" si="69"/>
        <v>0</v>
      </c>
      <c r="GI42" s="423">
        <f t="shared" si="70"/>
        <v>0</v>
      </c>
      <c r="GJ42" s="423">
        <f t="shared" si="71"/>
        <v>0</v>
      </c>
      <c r="GK42" s="423">
        <f t="shared" si="72"/>
        <v>0</v>
      </c>
      <c r="GL42" s="423">
        <f t="shared" si="73"/>
        <v>0</v>
      </c>
      <c r="GM42" s="423">
        <f t="shared" si="74"/>
        <v>0</v>
      </c>
      <c r="GN42" s="423">
        <f t="shared" si="75"/>
        <v>0</v>
      </c>
      <c r="GO42" s="423">
        <f t="shared" si="76"/>
        <v>0</v>
      </c>
      <c r="GP42" s="423">
        <f t="shared" si="77"/>
        <v>0</v>
      </c>
      <c r="GQ42" s="423">
        <f t="shared" si="78"/>
        <v>0</v>
      </c>
      <c r="GR42" s="423">
        <f t="shared" si="79"/>
        <v>0</v>
      </c>
      <c r="GS42" s="423">
        <f t="shared" si="80"/>
        <v>0</v>
      </c>
      <c r="GT42" s="423">
        <f t="shared" si="81"/>
        <v>0</v>
      </c>
      <c r="GU42" s="423">
        <f t="shared" si="82"/>
        <v>0</v>
      </c>
      <c r="GV42" s="423">
        <f t="shared" si="83"/>
        <v>0</v>
      </c>
      <c r="GW42" s="423">
        <f t="shared" si="84"/>
        <v>0</v>
      </c>
      <c r="GX42" s="423">
        <f t="shared" si="85"/>
        <v>0</v>
      </c>
      <c r="GY42" s="423">
        <f t="shared" si="86"/>
        <v>0</v>
      </c>
      <c r="GZ42" s="423">
        <f t="shared" si="87"/>
        <v>0</v>
      </c>
      <c r="HA42" s="423">
        <f t="shared" si="88"/>
        <v>0</v>
      </c>
      <c r="HB42" s="423">
        <f t="shared" si="89"/>
        <v>0</v>
      </c>
      <c r="HC42" s="423">
        <f t="shared" si="90"/>
        <v>0</v>
      </c>
      <c r="HD42" s="423">
        <f t="shared" si="91"/>
        <v>0</v>
      </c>
      <c r="HE42" s="423">
        <f t="shared" si="92"/>
        <v>0</v>
      </c>
      <c r="HF42" s="423">
        <f t="shared" si="93"/>
        <v>0</v>
      </c>
      <c r="HG42" s="423">
        <f t="shared" si="94"/>
        <v>0</v>
      </c>
      <c r="HH42" s="423">
        <f t="shared" si="95"/>
        <v>0</v>
      </c>
      <c r="HI42" s="423">
        <f t="shared" si="96"/>
        <v>0</v>
      </c>
      <c r="HJ42" s="423">
        <f t="shared" si="97"/>
        <v>0</v>
      </c>
      <c r="HK42" s="423">
        <f t="shared" si="98"/>
        <v>0</v>
      </c>
      <c r="HL42" s="423">
        <f t="shared" si="99"/>
        <v>0</v>
      </c>
      <c r="HO42" s="120">
        <v>4</v>
      </c>
      <c r="HP42" s="492">
        <f>DATE(YEAR(EXPEDIENTE!$F$25)+1,HO42,1)</f>
        <v>45383</v>
      </c>
      <c r="HQ42" s="492" t="str">
        <f>IF('GASTOS EJER. 2'!BF52="","",'GASTOS EJER. 2'!BF52)</f>
        <v/>
      </c>
      <c r="HR42" s="500">
        <f>'GASTOS EJER. 2'!CM23</f>
        <v>0</v>
      </c>
      <c r="HS42" s="500">
        <f>'GASTOS EJER. 2'!BA52</f>
        <v>0</v>
      </c>
      <c r="HT42" s="423">
        <f t="shared" si="265"/>
        <v>0</v>
      </c>
      <c r="HU42" s="500">
        <f t="shared" si="220"/>
        <v>0</v>
      </c>
      <c r="JC42" s="416">
        <v>38</v>
      </c>
      <c r="JD42" s="398">
        <f t="shared" si="100"/>
        <v>14</v>
      </c>
    </row>
    <row r="43" spans="3:264" x14ac:dyDescent="0.25">
      <c r="C43" s="206">
        <v>37</v>
      </c>
      <c r="D43" s="401"/>
      <c r="E43" s="417"/>
      <c r="F43" s="418"/>
      <c r="G43" s="419"/>
      <c r="H43" s="419"/>
      <c r="I43" s="419"/>
      <c r="J43" s="401"/>
      <c r="K43" s="407">
        <f t="shared" si="52"/>
        <v>76</v>
      </c>
      <c r="L43" s="407">
        <f t="shared" si="53"/>
        <v>76</v>
      </c>
      <c r="M43" s="407" t="str">
        <f t="shared" si="54"/>
        <v>X</v>
      </c>
      <c r="Y43" s="422">
        <f t="shared" si="0"/>
        <v>38</v>
      </c>
      <c r="Z43" s="412" t="str">
        <f>IF(Y43="","",IF(EDATE($Z$5,Y43)&gt;EXPEDIENTE!$F$27,"",EDATE($Z$5,Y43)))</f>
        <v/>
      </c>
      <c r="AA43" s="412" t="str">
        <f>IF(Z43="","",IF(YEAR(EXPEDIENTE!$F$25)=YEAR(Z43),Z43,""))</f>
        <v/>
      </c>
      <c r="AB43" s="412" t="str">
        <f>IF(Z43="","",IF(YEAR(EXPEDIENTE!$F$25)+1=YEAR(Z43),Z43,""))</f>
        <v/>
      </c>
      <c r="AC43" s="412" t="str">
        <f>IF(Z43="","",IF(YEAR(EXPEDIENTE!$F$25)+2=YEAR(Z43),Z43,""))</f>
        <v/>
      </c>
      <c r="AD43" s="412" t="str">
        <f>IF(Z43="","",IF(YEAR(EXPEDIENTE!$F$25)+3=YEAR(Z43),Z43,""))</f>
        <v/>
      </c>
      <c r="AG43" s="487">
        <v>13</v>
      </c>
      <c r="AH43" s="500">
        <f>'GASTOS EJER. 2'!M41</f>
        <v>0</v>
      </c>
      <c r="AI43" s="500">
        <f>'GASTOS EJER. 2'!X41</f>
        <v>0</v>
      </c>
      <c r="AJ43" s="490">
        <f t="shared" si="221"/>
        <v>0</v>
      </c>
      <c r="AL43" s="491">
        <f>'GASTOS EJER. 2'!F41+'GASTOS EJER. 2'!L41-'GASTOS EJER. 2'!X41-'GASTOS EJER. 2'!Y41</f>
        <v>0</v>
      </c>
      <c r="AM43" s="492" t="str">
        <f>IF('GASTOS EJER. 2'!AA41="","",'GASTOS EJER. 2'!AA41)</f>
        <v/>
      </c>
      <c r="AN43" s="489">
        <f>'GASTOS EJER. 2'!Y41</f>
        <v>0</v>
      </c>
      <c r="AO43" s="493" t="str">
        <f>IF('GASTOS EJER. 2'!AB41="","",'GASTOS EJER. 2'!AB41)</f>
        <v/>
      </c>
      <c r="AP43" s="494">
        <f>IF(AND(AM43&gt;=EXPEDIENTE!$I$25,AM43&lt;=EXPEDIENTE!$I$29),AL43,0)</f>
        <v>0</v>
      </c>
      <c r="AQ43" s="423">
        <f>IF(AND(AO43&gt;=EXPEDIENTE!$I$25,AO43&lt;=EXPEDIENTE!$I$29),AN43,0)</f>
        <v>0</v>
      </c>
      <c r="AR43" s="490">
        <f t="shared" si="222"/>
        <v>0</v>
      </c>
      <c r="AS43" s="495" t="str">
        <f>IF('GASTOS EJER. 2'!D41="","",'GASTOS EJER. 2'!D41)</f>
        <v/>
      </c>
      <c r="AT43" s="496" t="str">
        <f>IF('GASTOS EJER. 2'!E41="","",'GASTOS EJER. 2'!E41)</f>
        <v/>
      </c>
      <c r="AU43" s="497">
        <f t="shared" si="223"/>
        <v>0</v>
      </c>
      <c r="AV43" s="498">
        <f t="shared" si="170"/>
        <v>0</v>
      </c>
      <c r="AW43" s="439">
        <f t="shared" si="224"/>
        <v>0</v>
      </c>
      <c r="AY43" s="423">
        <v>5</v>
      </c>
      <c r="AZ43" s="424" t="e">
        <f t="shared" si="171"/>
        <v>#VALUE!</v>
      </c>
      <c r="BA43" s="437">
        <f t="shared" si="172"/>
        <v>0</v>
      </c>
      <c r="BB43" s="423">
        <f t="shared" si="173"/>
        <v>0</v>
      </c>
      <c r="BC43" s="423">
        <f t="shared" si="174"/>
        <v>0</v>
      </c>
      <c r="BD43" s="423">
        <f t="shared" si="175"/>
        <v>0</v>
      </c>
      <c r="BE43" s="423">
        <f t="shared" si="176"/>
        <v>0</v>
      </c>
      <c r="BF43" s="423">
        <f t="shared" si="225"/>
        <v>0</v>
      </c>
      <c r="BG43" s="423">
        <f t="shared" si="177"/>
        <v>0</v>
      </c>
      <c r="BH43" s="438">
        <f t="shared" si="178"/>
        <v>0</v>
      </c>
      <c r="BI43" s="436">
        <f t="shared" si="179"/>
        <v>0</v>
      </c>
      <c r="BK43" s="433">
        <f t="shared" si="226"/>
        <v>0</v>
      </c>
      <c r="BL43" s="434">
        <f t="shared" si="227"/>
        <v>0</v>
      </c>
      <c r="BM43" s="434">
        <f t="shared" si="228"/>
        <v>0</v>
      </c>
      <c r="BN43" s="434">
        <f t="shared" si="229"/>
        <v>0</v>
      </c>
      <c r="BO43" s="434">
        <f t="shared" si="230"/>
        <v>0</v>
      </c>
      <c r="BP43" s="434">
        <f t="shared" si="231"/>
        <v>0</v>
      </c>
      <c r="BQ43" s="434">
        <f t="shared" si="232"/>
        <v>0</v>
      </c>
      <c r="BR43" s="435">
        <f t="shared" si="233"/>
        <v>0</v>
      </c>
      <c r="BS43" s="436">
        <f t="shared" si="234"/>
        <v>0</v>
      </c>
      <c r="BU43" s="436">
        <f t="shared" si="235"/>
        <v>0</v>
      </c>
      <c r="BX43" s="487">
        <v>13</v>
      </c>
      <c r="BY43" s="500">
        <f>'GASTOS EJER. 2'!BN41</f>
        <v>0</v>
      </c>
      <c r="BZ43" s="500">
        <f>'GASTOS EJER. 2'!CM41</f>
        <v>0</v>
      </c>
      <c r="CA43" s="490">
        <f t="shared" si="236"/>
        <v>0</v>
      </c>
      <c r="CC43" s="491">
        <f>'GASTOS EJER. 2'!AW41+'GASTOS EJER. 2'!BM41-'GASTOS EJER. 2'!CM41-'GASTOS EJER. 2'!CP41</f>
        <v>0</v>
      </c>
      <c r="CD43" s="492" t="str">
        <f>IF('GASTOS EJER. 2'!CT41="","",'GASTOS EJER. 2'!CT41)</f>
        <v/>
      </c>
      <c r="CE43" s="489">
        <f>'GASTOS EJER. 2'!CP41</f>
        <v>0</v>
      </c>
      <c r="CF43" s="493" t="str">
        <f>IF('GASTOS EJER. 2'!CW41="","",'GASTOS EJER. 2'!CW41)</f>
        <v/>
      </c>
      <c r="CG43" s="494">
        <f>IF(AND(CD43&gt;=EXPEDIENTE!$I$25,CD43&lt;=EXPEDIENTE!$I$29),CC43,0)</f>
        <v>0</v>
      </c>
      <c r="CH43" s="423">
        <f>IF(AND(CF43&gt;=EXPEDIENTE!$I$25,CF43&lt;=EXPEDIENTE!$I$29),CE43,0)</f>
        <v>0</v>
      </c>
      <c r="CI43" s="490">
        <f t="shared" si="237"/>
        <v>0</v>
      </c>
      <c r="CJ43" s="495" t="str">
        <f>IF('GASTOS EJER. 2'!AQ41="","",'GASTOS EJER. 2'!AQ41)</f>
        <v/>
      </c>
      <c r="CK43" s="496" t="str">
        <f>IF('GASTOS EJER. 2'!AT41="","",'GASTOS EJER. 2'!AT41)</f>
        <v/>
      </c>
      <c r="CL43" s="497">
        <f t="shared" si="238"/>
        <v>0</v>
      </c>
      <c r="CM43" s="498">
        <f t="shared" si="180"/>
        <v>0</v>
      </c>
      <c r="CN43" s="439">
        <f t="shared" si="239"/>
        <v>0</v>
      </c>
      <c r="CP43" s="423">
        <v>5</v>
      </c>
      <c r="CQ43" s="424" t="e">
        <f t="shared" si="181"/>
        <v>#VALUE!</v>
      </c>
      <c r="CR43" s="437">
        <f t="shared" si="240"/>
        <v>0</v>
      </c>
      <c r="CS43" s="423">
        <f t="shared" si="241"/>
        <v>0</v>
      </c>
      <c r="CT43" s="423">
        <f t="shared" si="242"/>
        <v>0</v>
      </c>
      <c r="CU43" s="423">
        <f t="shared" si="243"/>
        <v>0</v>
      </c>
      <c r="CV43" s="423">
        <f t="shared" si="244"/>
        <v>0</v>
      </c>
      <c r="CW43" s="423">
        <f t="shared" si="245"/>
        <v>0</v>
      </c>
      <c r="CX43" s="423">
        <f t="shared" si="246"/>
        <v>0</v>
      </c>
      <c r="CY43" s="438">
        <f t="shared" si="247"/>
        <v>0</v>
      </c>
      <c r="CZ43" s="436">
        <f t="shared" si="182"/>
        <v>0</v>
      </c>
      <c r="DB43" s="437">
        <f t="shared" si="248"/>
        <v>0</v>
      </c>
      <c r="DC43" s="423">
        <f t="shared" si="249"/>
        <v>0</v>
      </c>
      <c r="DD43" s="423">
        <f t="shared" si="250"/>
        <v>0</v>
      </c>
      <c r="DE43" s="423">
        <f t="shared" si="251"/>
        <v>0</v>
      </c>
      <c r="DF43" s="423">
        <f t="shared" si="252"/>
        <v>0</v>
      </c>
      <c r="DG43" s="423">
        <f t="shared" si="253"/>
        <v>0</v>
      </c>
      <c r="DH43" s="423">
        <f t="shared" si="254"/>
        <v>0</v>
      </c>
      <c r="DI43" s="438">
        <f t="shared" si="255"/>
        <v>0</v>
      </c>
      <c r="DJ43" s="436">
        <f t="shared" si="256"/>
        <v>0</v>
      </c>
      <c r="DL43" s="436">
        <f t="shared" si="257"/>
        <v>0</v>
      </c>
      <c r="DN43" s="487">
        <v>13</v>
      </c>
      <c r="DO43" s="499">
        <f>'GASTOS EJER. 2'!$C41</f>
        <v>0</v>
      </c>
      <c r="DP43" s="496" t="str">
        <f t="shared" si="258"/>
        <v/>
      </c>
      <c r="DQ43" s="496" t="str">
        <f t="shared" si="259"/>
        <v/>
      </c>
      <c r="DR43" s="386">
        <f t="shared" si="260"/>
        <v>0</v>
      </c>
      <c r="DS43" s="500">
        <f>'GASTOS EJER. 2'!X41</f>
        <v>0</v>
      </c>
      <c r="DT43" s="492" t="str">
        <f>IF(DS43=0,"",'GASTOS EJER. 2'!AA41)</f>
        <v/>
      </c>
      <c r="DU43" s="492" t="str">
        <f t="shared" si="185"/>
        <v/>
      </c>
      <c r="DV43" s="490" t="e">
        <f>IF(AND(DU43&gt;=EXPEDIENTE!$F$25,DU43&lt;=EXPEDIENTE!$F$29),ROUNDDOWN(DS43/DR43,2),0)</f>
        <v>#DIV/0!</v>
      </c>
      <c r="DX43" s="386">
        <v>24</v>
      </c>
      <c r="DY43" s="430">
        <f t="shared" si="101"/>
        <v>45778</v>
      </c>
      <c r="DZ43" s="430">
        <f t="shared" si="102"/>
        <v>45808</v>
      </c>
      <c r="EA43" s="386" t="str">
        <f>IF(AND(DZ43&gt;=EXPEDIENTE!$F$25,DY43&lt;=EXPEDIENTE!$F$29),"SI","NO")</f>
        <v>SI</v>
      </c>
      <c r="EB43" s="423">
        <f t="shared" si="186"/>
        <v>0</v>
      </c>
      <c r="EC43" s="423">
        <f t="shared" si="187"/>
        <v>0</v>
      </c>
      <c r="ED43" s="423">
        <f t="shared" si="188"/>
        <v>0</v>
      </c>
      <c r="EE43" s="423">
        <f t="shared" si="189"/>
        <v>0</v>
      </c>
      <c r="EF43" s="423">
        <f t="shared" si="190"/>
        <v>0</v>
      </c>
      <c r="EG43" s="423">
        <f t="shared" si="191"/>
        <v>0</v>
      </c>
      <c r="EH43" s="423">
        <f t="shared" si="192"/>
        <v>0</v>
      </c>
      <c r="EI43" s="423">
        <f t="shared" si="193"/>
        <v>0</v>
      </c>
      <c r="EJ43" s="423">
        <f t="shared" si="194"/>
        <v>0</v>
      </c>
      <c r="EK43" s="423">
        <f t="shared" si="195"/>
        <v>0</v>
      </c>
      <c r="EL43" s="423">
        <f t="shared" si="196"/>
        <v>0</v>
      </c>
      <c r="EM43" s="423">
        <f t="shared" si="197"/>
        <v>0</v>
      </c>
      <c r="EN43" s="423">
        <f t="shared" si="198"/>
        <v>0</v>
      </c>
      <c r="EO43" s="423">
        <f t="shared" si="199"/>
        <v>0</v>
      </c>
      <c r="EP43" s="423">
        <f t="shared" si="200"/>
        <v>0</v>
      </c>
      <c r="EQ43" s="423">
        <f t="shared" si="201"/>
        <v>0</v>
      </c>
      <c r="ER43" s="423">
        <f t="shared" si="202"/>
        <v>0</v>
      </c>
      <c r="ES43" s="423">
        <f t="shared" si="203"/>
        <v>0</v>
      </c>
      <c r="ET43" s="423">
        <f t="shared" si="204"/>
        <v>0</v>
      </c>
      <c r="EU43" s="423">
        <f t="shared" si="205"/>
        <v>0</v>
      </c>
      <c r="EV43" s="423">
        <f t="shared" si="206"/>
        <v>0</v>
      </c>
      <c r="EW43" s="423">
        <f t="shared" si="207"/>
        <v>0</v>
      </c>
      <c r="EX43" s="423">
        <f t="shared" si="208"/>
        <v>0</v>
      </c>
      <c r="EY43" s="423">
        <f t="shared" si="209"/>
        <v>0</v>
      </c>
      <c r="EZ43" s="423">
        <f t="shared" si="210"/>
        <v>0</v>
      </c>
      <c r="FA43" s="423">
        <f t="shared" si="211"/>
        <v>0</v>
      </c>
      <c r="FB43" s="423">
        <f t="shared" si="212"/>
        <v>0</v>
      </c>
      <c r="FC43" s="423">
        <f t="shared" si="213"/>
        <v>0</v>
      </c>
      <c r="FD43" s="423">
        <f t="shared" si="214"/>
        <v>0</v>
      </c>
      <c r="FE43" s="423">
        <f t="shared" si="215"/>
        <v>0</v>
      </c>
      <c r="FF43" s="423">
        <f t="shared" si="216"/>
        <v>0</v>
      </c>
      <c r="FG43" s="423">
        <f t="shared" si="217"/>
        <v>0</v>
      </c>
      <c r="FH43" s="423">
        <f t="shared" si="66"/>
        <v>0</v>
      </c>
      <c r="FJ43" s="120">
        <v>5</v>
      </c>
      <c r="FK43" s="492">
        <f>DATE(YEAR(EXPEDIENTE!$F$25)+1,FJ43,1)</f>
        <v>45413</v>
      </c>
      <c r="FL43" s="492" t="str">
        <f>IF('GASTOS EJER. 2'!I53="","",'GASTOS EJER. 2'!I53)</f>
        <v/>
      </c>
      <c r="FM43" s="500">
        <f>'GASTOS EJER. 2'!X24</f>
        <v>0</v>
      </c>
      <c r="FN43" s="500">
        <f>'GASTOS EJER. 2'!H53</f>
        <v>0</v>
      </c>
      <c r="FO43" s="423">
        <f t="shared" si="261"/>
        <v>0</v>
      </c>
      <c r="FP43" s="500">
        <f t="shared" si="218"/>
        <v>0</v>
      </c>
      <c r="FR43" s="487">
        <v>13</v>
      </c>
      <c r="FS43" s="499">
        <f>'GASTOS EJER. 2'!$C41</f>
        <v>0</v>
      </c>
      <c r="FT43" s="496" t="str">
        <f t="shared" si="262"/>
        <v/>
      </c>
      <c r="FU43" s="496" t="str">
        <f t="shared" si="263"/>
        <v/>
      </c>
      <c r="FV43" s="386">
        <f t="shared" si="264"/>
        <v>0</v>
      </c>
      <c r="FW43" s="500">
        <f>'GASTOS EJER. 2'!CM41</f>
        <v>0</v>
      </c>
      <c r="FX43" s="492" t="str">
        <f>IF(FW43=0,"",'GASTOS EJER. 2'!CT41)</f>
        <v/>
      </c>
      <c r="FY43" s="492" t="str">
        <f t="shared" si="219"/>
        <v/>
      </c>
      <c r="FZ43" s="490" t="e">
        <f>IF(AND(FY43&gt;=EXPEDIENTE!$F$25,FY43&lt;=EXPEDIENTE!$F$29),ROUNDDOWN(FW43/FV43,2),0)</f>
        <v>#DIV/0!</v>
      </c>
      <c r="GB43" s="386">
        <v>24</v>
      </c>
      <c r="GC43" s="430">
        <f t="shared" si="103"/>
        <v>45778</v>
      </c>
      <c r="GD43" s="430">
        <f t="shared" si="104"/>
        <v>45808</v>
      </c>
      <c r="GE43" s="386" t="str">
        <f>IF(AND(GD43&gt;=EXPEDIENTE!$F$25,GC43&lt;=EXPEDIENTE!$F$29),"SI","NO")</f>
        <v>SI</v>
      </c>
      <c r="GF43" s="423">
        <f t="shared" si="67"/>
        <v>0</v>
      </c>
      <c r="GG43" s="423">
        <f t="shared" si="68"/>
        <v>0</v>
      </c>
      <c r="GH43" s="423">
        <f t="shared" si="69"/>
        <v>0</v>
      </c>
      <c r="GI43" s="423">
        <f t="shared" si="70"/>
        <v>0</v>
      </c>
      <c r="GJ43" s="423">
        <f t="shared" si="71"/>
        <v>0</v>
      </c>
      <c r="GK43" s="423">
        <f t="shared" si="72"/>
        <v>0</v>
      </c>
      <c r="GL43" s="423">
        <f t="shared" si="73"/>
        <v>0</v>
      </c>
      <c r="GM43" s="423">
        <f t="shared" si="74"/>
        <v>0</v>
      </c>
      <c r="GN43" s="423">
        <f t="shared" si="75"/>
        <v>0</v>
      </c>
      <c r="GO43" s="423">
        <f t="shared" si="76"/>
        <v>0</v>
      </c>
      <c r="GP43" s="423">
        <f t="shared" si="77"/>
        <v>0</v>
      </c>
      <c r="GQ43" s="423">
        <f t="shared" si="78"/>
        <v>0</v>
      </c>
      <c r="GR43" s="423">
        <f t="shared" si="79"/>
        <v>0</v>
      </c>
      <c r="GS43" s="423">
        <f t="shared" si="80"/>
        <v>0</v>
      </c>
      <c r="GT43" s="423">
        <f t="shared" si="81"/>
        <v>0</v>
      </c>
      <c r="GU43" s="423">
        <f t="shared" si="82"/>
        <v>0</v>
      </c>
      <c r="GV43" s="423">
        <f t="shared" si="83"/>
        <v>0</v>
      </c>
      <c r="GW43" s="423">
        <f t="shared" si="84"/>
        <v>0</v>
      </c>
      <c r="GX43" s="423">
        <f t="shared" si="85"/>
        <v>0</v>
      </c>
      <c r="GY43" s="423">
        <f t="shared" si="86"/>
        <v>0</v>
      </c>
      <c r="GZ43" s="423">
        <f t="shared" si="87"/>
        <v>0</v>
      </c>
      <c r="HA43" s="423">
        <f t="shared" si="88"/>
        <v>0</v>
      </c>
      <c r="HB43" s="423">
        <f t="shared" si="89"/>
        <v>0</v>
      </c>
      <c r="HC43" s="423">
        <f t="shared" si="90"/>
        <v>0</v>
      </c>
      <c r="HD43" s="423">
        <f t="shared" si="91"/>
        <v>0</v>
      </c>
      <c r="HE43" s="423">
        <f t="shared" si="92"/>
        <v>0</v>
      </c>
      <c r="HF43" s="423">
        <f t="shared" si="93"/>
        <v>0</v>
      </c>
      <c r="HG43" s="423">
        <f t="shared" si="94"/>
        <v>0</v>
      </c>
      <c r="HH43" s="423">
        <f t="shared" si="95"/>
        <v>0</v>
      </c>
      <c r="HI43" s="423">
        <f t="shared" si="96"/>
        <v>0</v>
      </c>
      <c r="HJ43" s="423">
        <f t="shared" si="97"/>
        <v>0</v>
      </c>
      <c r="HK43" s="423">
        <f t="shared" si="98"/>
        <v>0</v>
      </c>
      <c r="HL43" s="423">
        <f t="shared" si="99"/>
        <v>0</v>
      </c>
      <c r="HO43" s="120">
        <v>5</v>
      </c>
      <c r="HP43" s="492">
        <f>DATE(YEAR(EXPEDIENTE!$F$25)+1,HO43,1)</f>
        <v>45413</v>
      </c>
      <c r="HQ43" s="492" t="str">
        <f>IF('GASTOS EJER. 2'!BF53="","",'GASTOS EJER. 2'!BF53)</f>
        <v/>
      </c>
      <c r="HR43" s="500">
        <f>'GASTOS EJER. 2'!CM24</f>
        <v>0</v>
      </c>
      <c r="HS43" s="500">
        <f>'GASTOS EJER. 2'!BA53</f>
        <v>0</v>
      </c>
      <c r="HT43" s="423">
        <f t="shared" si="265"/>
        <v>0</v>
      </c>
      <c r="HU43" s="500">
        <f t="shared" si="220"/>
        <v>0</v>
      </c>
      <c r="JC43" s="416">
        <v>39</v>
      </c>
      <c r="JD43" s="398">
        <f t="shared" si="100"/>
        <v>14</v>
      </c>
    </row>
    <row r="44" spans="3:264" x14ac:dyDescent="0.25">
      <c r="C44" s="206">
        <v>38</v>
      </c>
      <c r="D44" s="401"/>
      <c r="E44" s="417"/>
      <c r="F44" s="418"/>
      <c r="G44" s="419"/>
      <c r="H44" s="419"/>
      <c r="I44" s="419"/>
      <c r="J44" s="401"/>
      <c r="K44" s="407">
        <f t="shared" si="52"/>
        <v>76</v>
      </c>
      <c r="L44" s="407">
        <f t="shared" si="53"/>
        <v>76</v>
      </c>
      <c r="M44" s="407" t="str">
        <f t="shared" si="54"/>
        <v>X</v>
      </c>
      <c r="Y44" s="422">
        <f t="shared" si="0"/>
        <v>39</v>
      </c>
      <c r="Z44" s="412" t="str">
        <f>IF(Y44="","",IF(EDATE($Z$5,Y44)&gt;EXPEDIENTE!$F$27,"",EDATE($Z$5,Y44)))</f>
        <v/>
      </c>
      <c r="AA44" s="412" t="str">
        <f>IF(Z44="","",IF(YEAR(EXPEDIENTE!$F$25)=YEAR(Z44),Z44,""))</f>
        <v/>
      </c>
      <c r="AB44" s="412" t="str">
        <f>IF(Z44="","",IF(YEAR(EXPEDIENTE!$F$25)+1=YEAR(Z44),Z44,""))</f>
        <v/>
      </c>
      <c r="AC44" s="412" t="str">
        <f>IF(Z44="","",IF(YEAR(EXPEDIENTE!$F$25)+2=YEAR(Z44),Z44,""))</f>
        <v/>
      </c>
      <c r="AD44" s="412" t="str">
        <f>IF(Z44="","",IF(YEAR(EXPEDIENTE!$F$25)+3=YEAR(Z44),Z44,""))</f>
        <v/>
      </c>
      <c r="AG44" s="487">
        <v>14</v>
      </c>
      <c r="AH44" s="500">
        <f>'GASTOS EJER. 2'!M42</f>
        <v>0</v>
      </c>
      <c r="AI44" s="500">
        <f>'GASTOS EJER. 2'!X42</f>
        <v>0</v>
      </c>
      <c r="AJ44" s="490">
        <f t="shared" si="221"/>
        <v>0</v>
      </c>
      <c r="AL44" s="491">
        <f>'GASTOS EJER. 2'!F42+'GASTOS EJER. 2'!L42-'GASTOS EJER. 2'!X42-'GASTOS EJER. 2'!Y42</f>
        <v>0</v>
      </c>
      <c r="AM44" s="492" t="str">
        <f>IF('GASTOS EJER. 2'!AA42="","",'GASTOS EJER. 2'!AA42)</f>
        <v/>
      </c>
      <c r="AN44" s="489">
        <f>'GASTOS EJER. 2'!Y42</f>
        <v>0</v>
      </c>
      <c r="AO44" s="493" t="str">
        <f>IF('GASTOS EJER. 2'!AB42="","",'GASTOS EJER. 2'!AB42)</f>
        <v/>
      </c>
      <c r="AP44" s="494">
        <f>IF(AND(AM44&gt;=EXPEDIENTE!$I$25,AM44&lt;=EXPEDIENTE!$I$29),AL44,0)</f>
        <v>0</v>
      </c>
      <c r="AQ44" s="423">
        <f>IF(AND(AO44&gt;=EXPEDIENTE!$I$25,AO44&lt;=EXPEDIENTE!$I$29),AN44,0)</f>
        <v>0</v>
      </c>
      <c r="AR44" s="490">
        <f t="shared" si="222"/>
        <v>0</v>
      </c>
      <c r="AS44" s="495" t="str">
        <f>IF('GASTOS EJER. 2'!D42="","",'GASTOS EJER. 2'!D42)</f>
        <v/>
      </c>
      <c r="AT44" s="496" t="str">
        <f>IF('GASTOS EJER. 2'!E42="","",'GASTOS EJER. 2'!E42)</f>
        <v/>
      </c>
      <c r="AU44" s="497">
        <f t="shared" si="223"/>
        <v>0</v>
      </c>
      <c r="AV44" s="498">
        <f t="shared" si="170"/>
        <v>0</v>
      </c>
      <c r="AW44" s="439">
        <f t="shared" si="224"/>
        <v>0</v>
      </c>
      <c r="AY44" s="423">
        <v>6</v>
      </c>
      <c r="AZ44" s="424" t="e">
        <f t="shared" si="171"/>
        <v>#VALUE!</v>
      </c>
      <c r="BA44" s="437">
        <f t="shared" si="172"/>
        <v>0</v>
      </c>
      <c r="BB44" s="423">
        <f t="shared" si="173"/>
        <v>0</v>
      </c>
      <c r="BC44" s="423">
        <f t="shared" si="174"/>
        <v>0</v>
      </c>
      <c r="BD44" s="423">
        <f t="shared" si="175"/>
        <v>0</v>
      </c>
      <c r="BE44" s="423">
        <f t="shared" si="176"/>
        <v>0</v>
      </c>
      <c r="BF44" s="423">
        <f t="shared" si="225"/>
        <v>0</v>
      </c>
      <c r="BG44" s="423">
        <f t="shared" si="177"/>
        <v>0</v>
      </c>
      <c r="BH44" s="438">
        <f t="shared" si="178"/>
        <v>0</v>
      </c>
      <c r="BI44" s="436">
        <f t="shared" si="179"/>
        <v>0</v>
      </c>
      <c r="BK44" s="433">
        <f t="shared" si="226"/>
        <v>0</v>
      </c>
      <c r="BL44" s="434">
        <f t="shared" si="227"/>
        <v>0</v>
      </c>
      <c r="BM44" s="434">
        <f t="shared" si="228"/>
        <v>0</v>
      </c>
      <c r="BN44" s="434">
        <f t="shared" si="229"/>
        <v>0</v>
      </c>
      <c r="BO44" s="434">
        <f t="shared" si="230"/>
        <v>0</v>
      </c>
      <c r="BP44" s="434">
        <f t="shared" si="231"/>
        <v>0</v>
      </c>
      <c r="BQ44" s="434">
        <f t="shared" si="232"/>
        <v>0</v>
      </c>
      <c r="BR44" s="435">
        <f t="shared" si="233"/>
        <v>0</v>
      </c>
      <c r="BS44" s="436">
        <f t="shared" si="234"/>
        <v>0</v>
      </c>
      <c r="BU44" s="436">
        <f t="shared" si="235"/>
        <v>0</v>
      </c>
      <c r="BX44" s="487">
        <v>14</v>
      </c>
      <c r="BY44" s="500">
        <f>'GASTOS EJER. 2'!BN42</f>
        <v>0</v>
      </c>
      <c r="BZ44" s="500">
        <f>'GASTOS EJER. 2'!CM42</f>
        <v>0</v>
      </c>
      <c r="CA44" s="490">
        <f t="shared" si="236"/>
        <v>0</v>
      </c>
      <c r="CC44" s="491">
        <f>'GASTOS EJER. 2'!AW42+'GASTOS EJER. 2'!BM42-'GASTOS EJER. 2'!CM42-'GASTOS EJER. 2'!CP42</f>
        <v>0</v>
      </c>
      <c r="CD44" s="492" t="str">
        <f>IF('GASTOS EJER. 2'!CT42="","",'GASTOS EJER. 2'!CT42)</f>
        <v/>
      </c>
      <c r="CE44" s="489">
        <f>'GASTOS EJER. 2'!CP42</f>
        <v>0</v>
      </c>
      <c r="CF44" s="493" t="str">
        <f>IF('GASTOS EJER. 2'!CW42="","",'GASTOS EJER. 2'!CW42)</f>
        <v/>
      </c>
      <c r="CG44" s="494">
        <f>IF(AND(CD44&gt;=EXPEDIENTE!$I$25,CD44&lt;=EXPEDIENTE!$I$29),CC44,0)</f>
        <v>0</v>
      </c>
      <c r="CH44" s="423">
        <f>IF(AND(CF44&gt;=EXPEDIENTE!$I$25,CF44&lt;=EXPEDIENTE!$I$29),CE44,0)</f>
        <v>0</v>
      </c>
      <c r="CI44" s="490">
        <f t="shared" si="237"/>
        <v>0</v>
      </c>
      <c r="CJ44" s="495" t="str">
        <f>IF('GASTOS EJER. 2'!AQ42="","",'GASTOS EJER. 2'!AQ42)</f>
        <v/>
      </c>
      <c r="CK44" s="496" t="str">
        <f>IF('GASTOS EJER. 2'!AT42="","",'GASTOS EJER. 2'!AT42)</f>
        <v/>
      </c>
      <c r="CL44" s="497">
        <f t="shared" si="238"/>
        <v>0</v>
      </c>
      <c r="CM44" s="498">
        <f t="shared" si="180"/>
        <v>0</v>
      </c>
      <c r="CN44" s="439">
        <f t="shared" si="239"/>
        <v>0</v>
      </c>
      <c r="CP44" s="423">
        <v>6</v>
      </c>
      <c r="CQ44" s="424" t="e">
        <f t="shared" si="181"/>
        <v>#VALUE!</v>
      </c>
      <c r="CR44" s="437">
        <f t="shared" si="240"/>
        <v>0</v>
      </c>
      <c r="CS44" s="423">
        <f t="shared" si="241"/>
        <v>0</v>
      </c>
      <c r="CT44" s="423">
        <f t="shared" si="242"/>
        <v>0</v>
      </c>
      <c r="CU44" s="423">
        <f t="shared" si="243"/>
        <v>0</v>
      </c>
      <c r="CV44" s="423">
        <f t="shared" si="244"/>
        <v>0</v>
      </c>
      <c r="CW44" s="423">
        <f t="shared" si="245"/>
        <v>0</v>
      </c>
      <c r="CX44" s="423">
        <f t="shared" si="246"/>
        <v>0</v>
      </c>
      <c r="CY44" s="438">
        <f t="shared" si="247"/>
        <v>0</v>
      </c>
      <c r="CZ44" s="436">
        <f t="shared" si="182"/>
        <v>0</v>
      </c>
      <c r="DB44" s="437">
        <f t="shared" si="248"/>
        <v>0</v>
      </c>
      <c r="DC44" s="423">
        <f t="shared" si="249"/>
        <v>0</v>
      </c>
      <c r="DD44" s="423">
        <f t="shared" si="250"/>
        <v>0</v>
      </c>
      <c r="DE44" s="423">
        <f t="shared" si="251"/>
        <v>0</v>
      </c>
      <c r="DF44" s="423">
        <f t="shared" si="252"/>
        <v>0</v>
      </c>
      <c r="DG44" s="423">
        <f t="shared" si="253"/>
        <v>0</v>
      </c>
      <c r="DH44" s="423">
        <f t="shared" si="254"/>
        <v>0</v>
      </c>
      <c r="DI44" s="438">
        <f t="shared" si="255"/>
        <v>0</v>
      </c>
      <c r="DJ44" s="436">
        <f t="shared" si="256"/>
        <v>0</v>
      </c>
      <c r="DL44" s="436">
        <f t="shared" si="257"/>
        <v>0</v>
      </c>
      <c r="DN44" s="487">
        <v>14</v>
      </c>
      <c r="DO44" s="499">
        <f>'GASTOS EJER. 2'!$C42</f>
        <v>0</v>
      </c>
      <c r="DP44" s="496" t="str">
        <f t="shared" si="258"/>
        <v/>
      </c>
      <c r="DQ44" s="496" t="str">
        <f t="shared" si="259"/>
        <v/>
      </c>
      <c r="DR44" s="386">
        <f t="shared" si="260"/>
        <v>0</v>
      </c>
      <c r="DS44" s="500">
        <f>'GASTOS EJER. 2'!X42</f>
        <v>0</v>
      </c>
      <c r="DT44" s="492" t="str">
        <f>IF(DS44=0,"",'GASTOS EJER. 2'!AA42)</f>
        <v/>
      </c>
      <c r="DU44" s="492" t="str">
        <f t="shared" si="185"/>
        <v/>
      </c>
      <c r="DV44" s="490" t="e">
        <f>IF(AND(DU44&gt;=EXPEDIENTE!$F$25,DU44&lt;=EXPEDIENTE!$F$29),ROUNDDOWN(DS44/DR44,2),0)</f>
        <v>#DIV/0!</v>
      </c>
      <c r="DX44" s="386">
        <v>25</v>
      </c>
      <c r="DY44" s="430">
        <f t="shared" si="101"/>
        <v>45809</v>
      </c>
      <c r="DZ44" s="430">
        <f t="shared" si="102"/>
        <v>45838</v>
      </c>
      <c r="EA44" s="386" t="str">
        <f>IF(AND(DZ44&gt;=EXPEDIENTE!$F$25,DY44&lt;=EXPEDIENTE!$F$29),"SI","NO")</f>
        <v>SI</v>
      </c>
      <c r="EB44" s="423">
        <f t="shared" si="186"/>
        <v>0</v>
      </c>
      <c r="EC44" s="423">
        <f t="shared" si="187"/>
        <v>0</v>
      </c>
      <c r="ED44" s="423">
        <f t="shared" si="188"/>
        <v>0</v>
      </c>
      <c r="EE44" s="423">
        <f t="shared" si="189"/>
        <v>0</v>
      </c>
      <c r="EF44" s="423">
        <f t="shared" si="190"/>
        <v>0</v>
      </c>
      <c r="EG44" s="423">
        <f t="shared" si="191"/>
        <v>0</v>
      </c>
      <c r="EH44" s="423">
        <f t="shared" si="192"/>
        <v>0</v>
      </c>
      <c r="EI44" s="423">
        <f t="shared" si="193"/>
        <v>0</v>
      </c>
      <c r="EJ44" s="423">
        <f t="shared" si="194"/>
        <v>0</v>
      </c>
      <c r="EK44" s="423">
        <f t="shared" si="195"/>
        <v>0</v>
      </c>
      <c r="EL44" s="423">
        <f t="shared" si="196"/>
        <v>0</v>
      </c>
      <c r="EM44" s="423">
        <f t="shared" si="197"/>
        <v>0</v>
      </c>
      <c r="EN44" s="423">
        <f t="shared" si="198"/>
        <v>0</v>
      </c>
      <c r="EO44" s="423">
        <f t="shared" si="199"/>
        <v>0</v>
      </c>
      <c r="EP44" s="423">
        <f t="shared" si="200"/>
        <v>0</v>
      </c>
      <c r="EQ44" s="423">
        <f t="shared" si="201"/>
        <v>0</v>
      </c>
      <c r="ER44" s="423">
        <f t="shared" si="202"/>
        <v>0</v>
      </c>
      <c r="ES44" s="423">
        <f t="shared" si="203"/>
        <v>0</v>
      </c>
      <c r="ET44" s="423">
        <f t="shared" si="204"/>
        <v>0</v>
      </c>
      <c r="EU44" s="423">
        <f t="shared" si="205"/>
        <v>0</v>
      </c>
      <c r="EV44" s="423">
        <f t="shared" si="206"/>
        <v>0</v>
      </c>
      <c r="EW44" s="423">
        <f t="shared" si="207"/>
        <v>0</v>
      </c>
      <c r="EX44" s="423">
        <f t="shared" si="208"/>
        <v>0</v>
      </c>
      <c r="EY44" s="423">
        <f t="shared" si="209"/>
        <v>0</v>
      </c>
      <c r="EZ44" s="423">
        <f t="shared" si="210"/>
        <v>0</v>
      </c>
      <c r="FA44" s="423">
        <f t="shared" si="211"/>
        <v>0</v>
      </c>
      <c r="FB44" s="423">
        <f t="shared" si="212"/>
        <v>0</v>
      </c>
      <c r="FC44" s="423">
        <f t="shared" si="213"/>
        <v>0</v>
      </c>
      <c r="FD44" s="423">
        <f t="shared" si="214"/>
        <v>0</v>
      </c>
      <c r="FE44" s="423">
        <f t="shared" si="215"/>
        <v>0</v>
      </c>
      <c r="FF44" s="423">
        <f t="shared" si="216"/>
        <v>0</v>
      </c>
      <c r="FG44" s="423">
        <f t="shared" si="217"/>
        <v>0</v>
      </c>
      <c r="FH44" s="423">
        <f t="shared" si="66"/>
        <v>0</v>
      </c>
      <c r="FJ44" s="120">
        <v>6</v>
      </c>
      <c r="FK44" s="492">
        <f>DATE(YEAR(EXPEDIENTE!$F$25)+1,FJ44,1)</f>
        <v>45444</v>
      </c>
      <c r="FL44" s="492" t="str">
        <f>IF('GASTOS EJER. 2'!I54="","",'GASTOS EJER. 2'!I54)</f>
        <v/>
      </c>
      <c r="FM44" s="500">
        <f>'GASTOS EJER. 2'!X25</f>
        <v>0</v>
      </c>
      <c r="FN44" s="500">
        <f>'GASTOS EJER. 2'!H54</f>
        <v>0</v>
      </c>
      <c r="FO44" s="423">
        <f t="shared" si="261"/>
        <v>0</v>
      </c>
      <c r="FP44" s="500">
        <f t="shared" si="218"/>
        <v>0</v>
      </c>
      <c r="FR44" s="487">
        <v>14</v>
      </c>
      <c r="FS44" s="499">
        <f>'GASTOS EJER. 2'!$C42</f>
        <v>0</v>
      </c>
      <c r="FT44" s="496" t="str">
        <f t="shared" si="262"/>
        <v/>
      </c>
      <c r="FU44" s="496" t="str">
        <f t="shared" si="263"/>
        <v/>
      </c>
      <c r="FV44" s="386">
        <f t="shared" si="264"/>
        <v>0</v>
      </c>
      <c r="FW44" s="500">
        <f>'GASTOS EJER. 2'!CM42</f>
        <v>0</v>
      </c>
      <c r="FX44" s="492" t="str">
        <f>IF(FW44=0,"",'GASTOS EJER. 2'!CT42)</f>
        <v/>
      </c>
      <c r="FY44" s="492" t="str">
        <f t="shared" si="219"/>
        <v/>
      </c>
      <c r="FZ44" s="490" t="e">
        <f>IF(AND(FY44&gt;=EXPEDIENTE!$F$25,FY44&lt;=EXPEDIENTE!$F$29),ROUNDDOWN(FW44/FV44,2),0)</f>
        <v>#DIV/0!</v>
      </c>
      <c r="GB44" s="386">
        <v>25</v>
      </c>
      <c r="GC44" s="430">
        <f t="shared" si="103"/>
        <v>45809</v>
      </c>
      <c r="GD44" s="430">
        <f t="shared" si="104"/>
        <v>45838</v>
      </c>
      <c r="GE44" s="386" t="str">
        <f>IF(AND(GD44&gt;=EXPEDIENTE!$F$25,GC44&lt;=EXPEDIENTE!$F$29),"SI","NO")</f>
        <v>SI</v>
      </c>
      <c r="GF44" s="423">
        <f t="shared" si="67"/>
        <v>0</v>
      </c>
      <c r="GG44" s="423">
        <f t="shared" si="68"/>
        <v>0</v>
      </c>
      <c r="GH44" s="423">
        <f t="shared" si="69"/>
        <v>0</v>
      </c>
      <c r="GI44" s="423">
        <f t="shared" si="70"/>
        <v>0</v>
      </c>
      <c r="GJ44" s="423">
        <f t="shared" si="71"/>
        <v>0</v>
      </c>
      <c r="GK44" s="423">
        <f t="shared" si="72"/>
        <v>0</v>
      </c>
      <c r="GL44" s="423">
        <f t="shared" si="73"/>
        <v>0</v>
      </c>
      <c r="GM44" s="423">
        <f t="shared" si="74"/>
        <v>0</v>
      </c>
      <c r="GN44" s="423">
        <f t="shared" si="75"/>
        <v>0</v>
      </c>
      <c r="GO44" s="423">
        <f t="shared" si="76"/>
        <v>0</v>
      </c>
      <c r="GP44" s="423">
        <f t="shared" si="77"/>
        <v>0</v>
      </c>
      <c r="GQ44" s="423">
        <f t="shared" si="78"/>
        <v>0</v>
      </c>
      <c r="GR44" s="423">
        <f t="shared" si="79"/>
        <v>0</v>
      </c>
      <c r="GS44" s="423">
        <f t="shared" si="80"/>
        <v>0</v>
      </c>
      <c r="GT44" s="423">
        <f t="shared" si="81"/>
        <v>0</v>
      </c>
      <c r="GU44" s="423">
        <f t="shared" si="82"/>
        <v>0</v>
      </c>
      <c r="GV44" s="423">
        <f t="shared" si="83"/>
        <v>0</v>
      </c>
      <c r="GW44" s="423">
        <f t="shared" si="84"/>
        <v>0</v>
      </c>
      <c r="GX44" s="423">
        <f t="shared" si="85"/>
        <v>0</v>
      </c>
      <c r="GY44" s="423">
        <f t="shared" si="86"/>
        <v>0</v>
      </c>
      <c r="GZ44" s="423">
        <f t="shared" si="87"/>
        <v>0</v>
      </c>
      <c r="HA44" s="423">
        <f t="shared" si="88"/>
        <v>0</v>
      </c>
      <c r="HB44" s="423">
        <f t="shared" si="89"/>
        <v>0</v>
      </c>
      <c r="HC44" s="423">
        <f t="shared" si="90"/>
        <v>0</v>
      </c>
      <c r="HD44" s="423">
        <f t="shared" si="91"/>
        <v>0</v>
      </c>
      <c r="HE44" s="423">
        <f t="shared" si="92"/>
        <v>0</v>
      </c>
      <c r="HF44" s="423">
        <f t="shared" si="93"/>
        <v>0</v>
      </c>
      <c r="HG44" s="423">
        <f t="shared" si="94"/>
        <v>0</v>
      </c>
      <c r="HH44" s="423">
        <f t="shared" si="95"/>
        <v>0</v>
      </c>
      <c r="HI44" s="423">
        <f t="shared" si="96"/>
        <v>0</v>
      </c>
      <c r="HJ44" s="423">
        <f t="shared" si="97"/>
        <v>0</v>
      </c>
      <c r="HK44" s="423">
        <f t="shared" si="98"/>
        <v>0</v>
      </c>
      <c r="HL44" s="423">
        <f t="shared" si="99"/>
        <v>0</v>
      </c>
      <c r="HO44" s="120">
        <v>6</v>
      </c>
      <c r="HP44" s="492">
        <f>DATE(YEAR(EXPEDIENTE!$F$25)+1,HO44,1)</f>
        <v>45444</v>
      </c>
      <c r="HQ44" s="492" t="str">
        <f>IF('GASTOS EJER. 2'!BF54="","",'GASTOS EJER. 2'!BF54)</f>
        <v/>
      </c>
      <c r="HR44" s="500">
        <f>'GASTOS EJER. 2'!CM25</f>
        <v>0</v>
      </c>
      <c r="HS44" s="500">
        <f>'GASTOS EJER. 2'!BA54</f>
        <v>0</v>
      </c>
      <c r="HT44" s="423">
        <f t="shared" si="265"/>
        <v>0</v>
      </c>
      <c r="HU44" s="500">
        <f t="shared" si="220"/>
        <v>0</v>
      </c>
      <c r="JC44" s="442">
        <v>40</v>
      </c>
      <c r="JD44" s="398">
        <f t="shared" si="100"/>
        <v>14</v>
      </c>
    </row>
    <row r="45" spans="3:264" x14ac:dyDescent="0.25">
      <c r="C45" s="206">
        <v>39</v>
      </c>
      <c r="D45" s="401"/>
      <c r="E45" s="417"/>
      <c r="F45" s="418"/>
      <c r="G45" s="419"/>
      <c r="H45" s="419"/>
      <c r="I45" s="419"/>
      <c r="J45" s="401"/>
      <c r="K45" s="407">
        <f t="shared" si="52"/>
        <v>76</v>
      </c>
      <c r="L45" s="407">
        <f t="shared" si="53"/>
        <v>76</v>
      </c>
      <c r="M45" s="407" t="str">
        <f t="shared" si="54"/>
        <v>X</v>
      </c>
      <c r="Y45" s="422">
        <f t="shared" si="0"/>
        <v>40</v>
      </c>
      <c r="Z45" s="412" t="str">
        <f>IF(Y45="","",IF(EDATE($Z$5,Y45)&gt;EXPEDIENTE!$F$27,"",EDATE($Z$5,Y45)))</f>
        <v/>
      </c>
      <c r="AA45" s="412" t="str">
        <f>IF(Z45="","",IF(YEAR(EXPEDIENTE!$F$25)=YEAR(Z45),Z45,""))</f>
        <v/>
      </c>
      <c r="AB45" s="412" t="str">
        <f>IF(Z45="","",IF(YEAR(EXPEDIENTE!$F$25)+1=YEAR(Z45),Z45,""))</f>
        <v/>
      </c>
      <c r="AC45" s="412" t="str">
        <f>IF(Z45="","",IF(YEAR(EXPEDIENTE!$F$25)+2=YEAR(Z45),Z45,""))</f>
        <v/>
      </c>
      <c r="AD45" s="412" t="str">
        <f>IF(Z45="","",IF(YEAR(EXPEDIENTE!$F$25)+3=YEAR(Z45),Z45,""))</f>
        <v/>
      </c>
      <c r="AG45" s="487">
        <v>15</v>
      </c>
      <c r="AH45" s="500">
        <f>'GASTOS EJER. 2'!M43</f>
        <v>0</v>
      </c>
      <c r="AI45" s="500">
        <f>'GASTOS EJER. 2'!X43</f>
        <v>0</v>
      </c>
      <c r="AJ45" s="490">
        <f t="shared" si="221"/>
        <v>0</v>
      </c>
      <c r="AL45" s="491">
        <f>'GASTOS EJER. 2'!F43+'GASTOS EJER. 2'!L43-'GASTOS EJER. 2'!X43-'GASTOS EJER. 2'!Y43</f>
        <v>0</v>
      </c>
      <c r="AM45" s="492" t="str">
        <f>IF('GASTOS EJER. 2'!AA43="","",'GASTOS EJER. 2'!AA43)</f>
        <v/>
      </c>
      <c r="AN45" s="489">
        <f>'GASTOS EJER. 2'!Y43</f>
        <v>0</v>
      </c>
      <c r="AO45" s="493" t="str">
        <f>IF('GASTOS EJER. 2'!AB43="","",'GASTOS EJER. 2'!AB43)</f>
        <v/>
      </c>
      <c r="AP45" s="494">
        <f>IF(AND(AM45&gt;=EXPEDIENTE!$I$25,AM45&lt;=EXPEDIENTE!$I$29),AL45,0)</f>
        <v>0</v>
      </c>
      <c r="AQ45" s="423">
        <f>IF(AND(AO45&gt;=EXPEDIENTE!$I$25,AO45&lt;=EXPEDIENTE!$I$29),AN45,0)</f>
        <v>0</v>
      </c>
      <c r="AR45" s="490">
        <f t="shared" si="222"/>
        <v>0</v>
      </c>
      <c r="AS45" s="495" t="str">
        <f>IF('GASTOS EJER. 2'!D43="","",'GASTOS EJER. 2'!D43)</f>
        <v/>
      </c>
      <c r="AT45" s="496" t="str">
        <f>IF('GASTOS EJER. 2'!E43="","",'GASTOS EJER. 2'!E43)</f>
        <v/>
      </c>
      <c r="AU45" s="497">
        <f t="shared" si="223"/>
        <v>0</v>
      </c>
      <c r="AV45" s="498">
        <f t="shared" si="170"/>
        <v>0</v>
      </c>
      <c r="AW45" s="439">
        <f t="shared" si="224"/>
        <v>0</v>
      </c>
      <c r="AY45" s="423">
        <v>7</v>
      </c>
      <c r="AZ45" s="424" t="e">
        <f t="shared" si="171"/>
        <v>#VALUE!</v>
      </c>
      <c r="BA45" s="437">
        <f t="shared" si="172"/>
        <v>0</v>
      </c>
      <c r="BB45" s="423">
        <f t="shared" si="173"/>
        <v>0</v>
      </c>
      <c r="BC45" s="423">
        <f t="shared" si="174"/>
        <v>0</v>
      </c>
      <c r="BD45" s="423">
        <f t="shared" si="175"/>
        <v>0</v>
      </c>
      <c r="BE45" s="423">
        <f t="shared" si="176"/>
        <v>0</v>
      </c>
      <c r="BF45" s="423">
        <f t="shared" si="225"/>
        <v>0</v>
      </c>
      <c r="BG45" s="423">
        <f t="shared" si="177"/>
        <v>0</v>
      </c>
      <c r="BH45" s="438">
        <f t="shared" si="178"/>
        <v>0</v>
      </c>
      <c r="BI45" s="436">
        <f t="shared" si="179"/>
        <v>0</v>
      </c>
      <c r="BK45" s="433">
        <f t="shared" si="226"/>
        <v>0</v>
      </c>
      <c r="BL45" s="434">
        <f t="shared" si="227"/>
        <v>0</v>
      </c>
      <c r="BM45" s="434">
        <f t="shared" si="228"/>
        <v>0</v>
      </c>
      <c r="BN45" s="434">
        <f t="shared" si="229"/>
        <v>0</v>
      </c>
      <c r="BO45" s="434">
        <f t="shared" si="230"/>
        <v>0</v>
      </c>
      <c r="BP45" s="434">
        <f t="shared" si="231"/>
        <v>0</v>
      </c>
      <c r="BQ45" s="434">
        <f t="shared" si="232"/>
        <v>0</v>
      </c>
      <c r="BR45" s="435">
        <f t="shared" si="233"/>
        <v>0</v>
      </c>
      <c r="BS45" s="436">
        <f t="shared" si="234"/>
        <v>0</v>
      </c>
      <c r="BU45" s="436">
        <f t="shared" si="235"/>
        <v>0</v>
      </c>
      <c r="BX45" s="487">
        <v>15</v>
      </c>
      <c r="BY45" s="500">
        <f>'GASTOS EJER. 2'!BN43</f>
        <v>0</v>
      </c>
      <c r="BZ45" s="500">
        <f>'GASTOS EJER. 2'!CM43</f>
        <v>0</v>
      </c>
      <c r="CA45" s="490">
        <f t="shared" si="236"/>
        <v>0</v>
      </c>
      <c r="CC45" s="491">
        <f>'GASTOS EJER. 2'!AW43+'GASTOS EJER. 2'!BM43-'GASTOS EJER. 2'!CM43-'GASTOS EJER. 2'!CP43</f>
        <v>0</v>
      </c>
      <c r="CD45" s="492" t="str">
        <f>IF('GASTOS EJER. 2'!CT43="","",'GASTOS EJER. 2'!CT43)</f>
        <v/>
      </c>
      <c r="CE45" s="489">
        <f>'GASTOS EJER. 2'!CP43</f>
        <v>0</v>
      </c>
      <c r="CF45" s="493" t="str">
        <f>IF('GASTOS EJER. 2'!CW43="","",'GASTOS EJER. 2'!CW43)</f>
        <v/>
      </c>
      <c r="CG45" s="494">
        <f>IF(AND(CD45&gt;=EXPEDIENTE!$I$25,CD45&lt;=EXPEDIENTE!$I$29),CC45,0)</f>
        <v>0</v>
      </c>
      <c r="CH45" s="423">
        <f>IF(AND(CF45&gt;=EXPEDIENTE!$I$25,CF45&lt;=EXPEDIENTE!$I$29),CE45,0)</f>
        <v>0</v>
      </c>
      <c r="CI45" s="490">
        <f t="shared" si="237"/>
        <v>0</v>
      </c>
      <c r="CJ45" s="495" t="str">
        <f>IF('GASTOS EJER. 2'!AQ43="","",'GASTOS EJER. 2'!AQ43)</f>
        <v/>
      </c>
      <c r="CK45" s="496" t="str">
        <f>IF('GASTOS EJER. 2'!AT43="","",'GASTOS EJER. 2'!AT43)</f>
        <v/>
      </c>
      <c r="CL45" s="497">
        <f t="shared" si="238"/>
        <v>0</v>
      </c>
      <c r="CM45" s="498">
        <f t="shared" si="180"/>
        <v>0</v>
      </c>
      <c r="CN45" s="439">
        <f t="shared" si="239"/>
        <v>0</v>
      </c>
      <c r="CP45" s="423">
        <v>7</v>
      </c>
      <c r="CQ45" s="424" t="e">
        <f t="shared" si="181"/>
        <v>#VALUE!</v>
      </c>
      <c r="CR45" s="437">
        <f t="shared" si="240"/>
        <v>0</v>
      </c>
      <c r="CS45" s="423">
        <f t="shared" si="241"/>
        <v>0</v>
      </c>
      <c r="CT45" s="423">
        <f t="shared" si="242"/>
        <v>0</v>
      </c>
      <c r="CU45" s="423">
        <f t="shared" si="243"/>
        <v>0</v>
      </c>
      <c r="CV45" s="423">
        <f t="shared" si="244"/>
        <v>0</v>
      </c>
      <c r="CW45" s="423">
        <f t="shared" si="245"/>
        <v>0</v>
      </c>
      <c r="CX45" s="423">
        <f t="shared" si="246"/>
        <v>0</v>
      </c>
      <c r="CY45" s="438">
        <f t="shared" si="247"/>
        <v>0</v>
      </c>
      <c r="CZ45" s="436">
        <f t="shared" si="182"/>
        <v>0</v>
      </c>
      <c r="DB45" s="437">
        <f t="shared" si="248"/>
        <v>0</v>
      </c>
      <c r="DC45" s="423">
        <f t="shared" si="249"/>
        <v>0</v>
      </c>
      <c r="DD45" s="423">
        <f t="shared" si="250"/>
        <v>0</v>
      </c>
      <c r="DE45" s="423">
        <f t="shared" si="251"/>
        <v>0</v>
      </c>
      <c r="DF45" s="423">
        <f t="shared" si="252"/>
        <v>0</v>
      </c>
      <c r="DG45" s="423">
        <f t="shared" si="253"/>
        <v>0</v>
      </c>
      <c r="DH45" s="423">
        <f t="shared" si="254"/>
        <v>0</v>
      </c>
      <c r="DI45" s="438">
        <f t="shared" si="255"/>
        <v>0</v>
      </c>
      <c r="DJ45" s="436">
        <f t="shared" si="256"/>
        <v>0</v>
      </c>
      <c r="DL45" s="436">
        <f t="shared" si="257"/>
        <v>0</v>
      </c>
      <c r="DN45" s="487">
        <v>15</v>
      </c>
      <c r="DO45" s="499">
        <f>'GASTOS EJER. 2'!$C43</f>
        <v>0</v>
      </c>
      <c r="DP45" s="496" t="str">
        <f t="shared" si="258"/>
        <v/>
      </c>
      <c r="DQ45" s="496" t="str">
        <f t="shared" si="259"/>
        <v/>
      </c>
      <c r="DR45" s="386">
        <f t="shared" si="260"/>
        <v>0</v>
      </c>
      <c r="DS45" s="500">
        <f>'GASTOS EJER. 2'!X43</f>
        <v>0</v>
      </c>
      <c r="DT45" s="492" t="str">
        <f>IF(DS45=0,"",'GASTOS EJER. 2'!AA43)</f>
        <v/>
      </c>
      <c r="DU45" s="492" t="str">
        <f t="shared" si="185"/>
        <v/>
      </c>
      <c r="DV45" s="490" t="e">
        <f>IF(AND(DU45&gt;=EXPEDIENTE!$F$25,DU45&lt;=EXPEDIENTE!$F$29),ROUNDDOWN(DS45/DR45,2),0)</f>
        <v>#DIV/0!</v>
      </c>
      <c r="DX45" s="386">
        <v>26</v>
      </c>
      <c r="DY45" s="430">
        <f t="shared" si="101"/>
        <v>45839</v>
      </c>
      <c r="DZ45" s="430">
        <f t="shared" si="102"/>
        <v>45869</v>
      </c>
      <c r="EA45" s="386" t="str">
        <f>IF(AND(DZ45&gt;=EXPEDIENTE!$F$25,DY45&lt;=EXPEDIENTE!$F$29),"SI","NO")</f>
        <v>SI</v>
      </c>
      <c r="EB45" s="423">
        <f t="shared" si="186"/>
        <v>0</v>
      </c>
      <c r="EC45" s="423">
        <f t="shared" si="187"/>
        <v>0</v>
      </c>
      <c r="ED45" s="423">
        <f t="shared" si="188"/>
        <v>0</v>
      </c>
      <c r="EE45" s="423">
        <f t="shared" si="189"/>
        <v>0</v>
      </c>
      <c r="EF45" s="423">
        <f t="shared" si="190"/>
        <v>0</v>
      </c>
      <c r="EG45" s="423">
        <f t="shared" si="191"/>
        <v>0</v>
      </c>
      <c r="EH45" s="423">
        <f t="shared" si="192"/>
        <v>0</v>
      </c>
      <c r="EI45" s="423">
        <f t="shared" si="193"/>
        <v>0</v>
      </c>
      <c r="EJ45" s="423">
        <f t="shared" si="194"/>
        <v>0</v>
      </c>
      <c r="EK45" s="423">
        <f t="shared" si="195"/>
        <v>0</v>
      </c>
      <c r="EL45" s="423">
        <f t="shared" si="196"/>
        <v>0</v>
      </c>
      <c r="EM45" s="423">
        <f t="shared" si="197"/>
        <v>0</v>
      </c>
      <c r="EN45" s="423">
        <f t="shared" si="198"/>
        <v>0</v>
      </c>
      <c r="EO45" s="423">
        <f t="shared" si="199"/>
        <v>0</v>
      </c>
      <c r="EP45" s="423">
        <f t="shared" si="200"/>
        <v>0</v>
      </c>
      <c r="EQ45" s="423">
        <f t="shared" si="201"/>
        <v>0</v>
      </c>
      <c r="ER45" s="423">
        <f t="shared" si="202"/>
        <v>0</v>
      </c>
      <c r="ES45" s="423">
        <f t="shared" si="203"/>
        <v>0</v>
      </c>
      <c r="ET45" s="423">
        <f t="shared" si="204"/>
        <v>0</v>
      </c>
      <c r="EU45" s="423">
        <f t="shared" si="205"/>
        <v>0</v>
      </c>
      <c r="EV45" s="423">
        <f t="shared" si="206"/>
        <v>0</v>
      </c>
      <c r="EW45" s="423">
        <f t="shared" si="207"/>
        <v>0</v>
      </c>
      <c r="EX45" s="423">
        <f t="shared" si="208"/>
        <v>0</v>
      </c>
      <c r="EY45" s="423">
        <f t="shared" si="209"/>
        <v>0</v>
      </c>
      <c r="EZ45" s="423">
        <f t="shared" si="210"/>
        <v>0</v>
      </c>
      <c r="FA45" s="423">
        <f t="shared" si="211"/>
        <v>0</v>
      </c>
      <c r="FB45" s="423">
        <f t="shared" si="212"/>
        <v>0</v>
      </c>
      <c r="FC45" s="423">
        <f t="shared" si="213"/>
        <v>0</v>
      </c>
      <c r="FD45" s="423">
        <f t="shared" si="214"/>
        <v>0</v>
      </c>
      <c r="FE45" s="423">
        <f t="shared" si="215"/>
        <v>0</v>
      </c>
      <c r="FF45" s="423">
        <f t="shared" si="216"/>
        <v>0</v>
      </c>
      <c r="FG45" s="423">
        <f t="shared" si="217"/>
        <v>0</v>
      </c>
      <c r="FH45" s="423">
        <f t="shared" si="66"/>
        <v>0</v>
      </c>
      <c r="FJ45" s="120">
        <v>7</v>
      </c>
      <c r="FK45" s="492">
        <f>DATE(YEAR(EXPEDIENTE!$F$25)+1,FJ45,1)</f>
        <v>45474</v>
      </c>
      <c r="FL45" s="492" t="str">
        <f>IF('GASTOS EJER. 2'!I55="","",'GASTOS EJER. 2'!I55)</f>
        <v/>
      </c>
      <c r="FM45" s="500">
        <f>'GASTOS EJER. 2'!X26</f>
        <v>0</v>
      </c>
      <c r="FN45" s="500">
        <f>'GASTOS EJER. 2'!H55</f>
        <v>0</v>
      </c>
      <c r="FO45" s="423">
        <f t="shared" si="261"/>
        <v>0</v>
      </c>
      <c r="FP45" s="500">
        <f t="shared" si="218"/>
        <v>0</v>
      </c>
      <c r="FR45" s="487">
        <v>15</v>
      </c>
      <c r="FS45" s="499">
        <f>'GASTOS EJER. 2'!$C43</f>
        <v>0</v>
      </c>
      <c r="FT45" s="496" t="str">
        <f t="shared" si="262"/>
        <v/>
      </c>
      <c r="FU45" s="496" t="str">
        <f t="shared" si="263"/>
        <v/>
      </c>
      <c r="FV45" s="386">
        <f t="shared" si="264"/>
        <v>0</v>
      </c>
      <c r="FW45" s="500">
        <f>'GASTOS EJER. 2'!CM43</f>
        <v>0</v>
      </c>
      <c r="FX45" s="492" t="str">
        <f>IF(FW45=0,"",'GASTOS EJER. 2'!CT43)</f>
        <v/>
      </c>
      <c r="FY45" s="492" t="str">
        <f t="shared" si="219"/>
        <v/>
      </c>
      <c r="FZ45" s="490" t="e">
        <f>IF(AND(FY45&gt;=EXPEDIENTE!$F$25,FY45&lt;=EXPEDIENTE!$F$29),ROUNDDOWN(FW45/FV45,2),0)</f>
        <v>#DIV/0!</v>
      </c>
      <c r="GB45" s="386">
        <v>26</v>
      </c>
      <c r="GC45" s="430">
        <f t="shared" si="103"/>
        <v>45839</v>
      </c>
      <c r="GD45" s="430">
        <f t="shared" si="104"/>
        <v>45869</v>
      </c>
      <c r="GE45" s="386" t="str">
        <f>IF(AND(GD45&gt;=EXPEDIENTE!$F$25,GC45&lt;=EXPEDIENTE!$F$29),"SI","NO")</f>
        <v>SI</v>
      </c>
      <c r="GF45" s="423">
        <f t="shared" si="67"/>
        <v>0</v>
      </c>
      <c r="GG45" s="423">
        <f t="shared" si="68"/>
        <v>0</v>
      </c>
      <c r="GH45" s="423">
        <f t="shared" si="69"/>
        <v>0</v>
      </c>
      <c r="GI45" s="423">
        <f t="shared" si="70"/>
        <v>0</v>
      </c>
      <c r="GJ45" s="423">
        <f t="shared" si="71"/>
        <v>0</v>
      </c>
      <c r="GK45" s="423">
        <f t="shared" si="72"/>
        <v>0</v>
      </c>
      <c r="GL45" s="423">
        <f t="shared" si="73"/>
        <v>0</v>
      </c>
      <c r="GM45" s="423">
        <f t="shared" si="74"/>
        <v>0</v>
      </c>
      <c r="GN45" s="423">
        <f t="shared" si="75"/>
        <v>0</v>
      </c>
      <c r="GO45" s="423">
        <f t="shared" si="76"/>
        <v>0</v>
      </c>
      <c r="GP45" s="423">
        <f t="shared" si="77"/>
        <v>0</v>
      </c>
      <c r="GQ45" s="423">
        <f t="shared" si="78"/>
        <v>0</v>
      </c>
      <c r="GR45" s="423">
        <f t="shared" si="79"/>
        <v>0</v>
      </c>
      <c r="GS45" s="423">
        <f t="shared" si="80"/>
        <v>0</v>
      </c>
      <c r="GT45" s="423">
        <f t="shared" si="81"/>
        <v>0</v>
      </c>
      <c r="GU45" s="423">
        <f t="shared" si="82"/>
        <v>0</v>
      </c>
      <c r="GV45" s="423">
        <f t="shared" si="83"/>
        <v>0</v>
      </c>
      <c r="GW45" s="423">
        <f t="shared" si="84"/>
        <v>0</v>
      </c>
      <c r="GX45" s="423">
        <f t="shared" si="85"/>
        <v>0</v>
      </c>
      <c r="GY45" s="423">
        <f t="shared" si="86"/>
        <v>0</v>
      </c>
      <c r="GZ45" s="423">
        <f t="shared" si="87"/>
        <v>0</v>
      </c>
      <c r="HA45" s="423">
        <f t="shared" si="88"/>
        <v>0</v>
      </c>
      <c r="HB45" s="423">
        <f t="shared" si="89"/>
        <v>0</v>
      </c>
      <c r="HC45" s="423">
        <f t="shared" si="90"/>
        <v>0</v>
      </c>
      <c r="HD45" s="423">
        <f t="shared" si="91"/>
        <v>0</v>
      </c>
      <c r="HE45" s="423">
        <f t="shared" si="92"/>
        <v>0</v>
      </c>
      <c r="HF45" s="423">
        <f t="shared" si="93"/>
        <v>0</v>
      </c>
      <c r="HG45" s="423">
        <f t="shared" si="94"/>
        <v>0</v>
      </c>
      <c r="HH45" s="423">
        <f t="shared" si="95"/>
        <v>0</v>
      </c>
      <c r="HI45" s="423">
        <f t="shared" si="96"/>
        <v>0</v>
      </c>
      <c r="HJ45" s="423">
        <f t="shared" si="97"/>
        <v>0</v>
      </c>
      <c r="HK45" s="423">
        <f t="shared" si="98"/>
        <v>0</v>
      </c>
      <c r="HL45" s="423">
        <f t="shared" si="99"/>
        <v>0</v>
      </c>
      <c r="HO45" s="120">
        <v>7</v>
      </c>
      <c r="HP45" s="492">
        <f>DATE(YEAR(EXPEDIENTE!$F$25)+1,HO45,1)</f>
        <v>45474</v>
      </c>
      <c r="HQ45" s="492" t="str">
        <f>IF('GASTOS EJER. 2'!BF55="","",'GASTOS EJER. 2'!BF55)</f>
        <v/>
      </c>
      <c r="HR45" s="500">
        <f>'GASTOS EJER. 2'!CM26</f>
        <v>0</v>
      </c>
      <c r="HS45" s="500">
        <f>'GASTOS EJER. 2'!BA55</f>
        <v>0</v>
      </c>
      <c r="HT45" s="423">
        <f t="shared" si="265"/>
        <v>0</v>
      </c>
      <c r="HU45" s="500">
        <f t="shared" si="220"/>
        <v>0</v>
      </c>
      <c r="JC45" s="406">
        <v>41</v>
      </c>
      <c r="JD45" s="398">
        <f t="shared" si="100"/>
        <v>16</v>
      </c>
    </row>
    <row r="46" spans="3:264" ht="15.75" thickBot="1" x14ac:dyDescent="0.3">
      <c r="C46" s="206">
        <v>40</v>
      </c>
      <c r="D46" s="401"/>
      <c r="E46" s="417"/>
      <c r="F46" s="418"/>
      <c r="G46" s="419"/>
      <c r="H46" s="419"/>
      <c r="I46" s="419"/>
      <c r="J46" s="401"/>
      <c r="K46" s="407">
        <f t="shared" si="52"/>
        <v>76</v>
      </c>
      <c r="L46" s="407">
        <f t="shared" si="53"/>
        <v>76</v>
      </c>
      <c r="M46" s="407" t="str">
        <f t="shared" si="54"/>
        <v>X</v>
      </c>
      <c r="Y46" s="422">
        <f t="shared" si="0"/>
        <v>41</v>
      </c>
      <c r="Z46" s="412" t="str">
        <f>IF(Y46="","",IF(EDATE($Z$5,Y46)&gt;EXPEDIENTE!$F$27,"",EDATE($Z$5,Y46)))</f>
        <v/>
      </c>
      <c r="AA46" s="412" t="str">
        <f>IF(Z46="","",IF(YEAR(EXPEDIENTE!$F$25)=YEAR(Z46),Z46,""))</f>
        <v/>
      </c>
      <c r="AB46" s="412" t="str">
        <f>IF(Z46="","",IF(YEAR(EXPEDIENTE!$F$25)+1=YEAR(Z46),Z46,""))</f>
        <v/>
      </c>
      <c r="AC46" s="412" t="str">
        <f>IF(Z46="","",IF(YEAR(EXPEDIENTE!$F$25)+2=YEAR(Z46),Z46,""))</f>
        <v/>
      </c>
      <c r="AD46" s="412" t="str">
        <f>IF(Z46="","",IF(YEAR(EXPEDIENTE!$F$25)+3=YEAR(Z46),Z46,""))</f>
        <v/>
      </c>
      <c r="AG46" s="501">
        <v>16</v>
      </c>
      <c r="AH46" s="515">
        <f>'GASTOS EJER. 2'!M44</f>
        <v>0</v>
      </c>
      <c r="AI46" s="515">
        <f>'GASTOS EJER. 2'!X44</f>
        <v>0</v>
      </c>
      <c r="AJ46" s="504">
        <f t="shared" si="221"/>
        <v>0</v>
      </c>
      <c r="AL46" s="505">
        <f>'GASTOS EJER. 2'!F44+'GASTOS EJER. 2'!L44-'GASTOS EJER. 2'!X44-'GASTOS EJER. 2'!Y44</f>
        <v>0</v>
      </c>
      <c r="AM46" s="506" t="str">
        <f>IF('GASTOS EJER. 2'!AA44="","",'GASTOS EJER. 2'!AA44)</f>
        <v/>
      </c>
      <c r="AN46" s="503">
        <f>'GASTOS EJER. 2'!Y44</f>
        <v>0</v>
      </c>
      <c r="AO46" s="507" t="str">
        <f>IF('GASTOS EJER. 2'!AB44="","",'GASTOS EJER. 2'!AB44)</f>
        <v/>
      </c>
      <c r="AP46" s="508">
        <f>IF(AND(AM46&gt;=EXPEDIENTE!$I$25,AM46&lt;=EXPEDIENTE!$I$29),AL46,0)</f>
        <v>0</v>
      </c>
      <c r="AQ46" s="451">
        <f>IF(AND(AO46&gt;=EXPEDIENTE!$I$25,AO46&lt;=EXPEDIENTE!$I$29),AN46,0)</f>
        <v>0</v>
      </c>
      <c r="AR46" s="504">
        <f t="shared" si="222"/>
        <v>0</v>
      </c>
      <c r="AS46" s="509" t="str">
        <f>IF('GASTOS EJER. 2'!D44="","",'GASTOS EJER. 2'!D44)</f>
        <v/>
      </c>
      <c r="AT46" s="510" t="str">
        <f>IF('GASTOS EJER. 2'!E44="","",'GASTOS EJER. 2'!E44)</f>
        <v/>
      </c>
      <c r="AU46" s="511">
        <f t="shared" si="223"/>
        <v>0</v>
      </c>
      <c r="AV46" s="512">
        <f t="shared" si="170"/>
        <v>0</v>
      </c>
      <c r="AW46" s="453">
        <f t="shared" si="224"/>
        <v>0</v>
      </c>
      <c r="AY46" s="423">
        <v>8</v>
      </c>
      <c r="AZ46" s="424" t="e">
        <f t="shared" si="171"/>
        <v>#VALUE!</v>
      </c>
      <c r="BA46" s="437">
        <f t="shared" si="172"/>
        <v>0</v>
      </c>
      <c r="BB46" s="423">
        <f t="shared" si="173"/>
        <v>0</v>
      </c>
      <c r="BC46" s="423">
        <f t="shared" si="174"/>
        <v>0</v>
      </c>
      <c r="BD46" s="423">
        <f t="shared" si="175"/>
        <v>0</v>
      </c>
      <c r="BE46" s="423">
        <f t="shared" si="176"/>
        <v>0</v>
      </c>
      <c r="BF46" s="423">
        <f t="shared" si="225"/>
        <v>0</v>
      </c>
      <c r="BG46" s="423">
        <f t="shared" si="177"/>
        <v>0</v>
      </c>
      <c r="BH46" s="438">
        <f t="shared" si="178"/>
        <v>0</v>
      </c>
      <c r="BI46" s="436">
        <f t="shared" si="179"/>
        <v>0</v>
      </c>
      <c r="BK46" s="433">
        <f t="shared" si="226"/>
        <v>0</v>
      </c>
      <c r="BL46" s="434">
        <f t="shared" si="227"/>
        <v>0</v>
      </c>
      <c r="BM46" s="434">
        <f t="shared" si="228"/>
        <v>0</v>
      </c>
      <c r="BN46" s="434">
        <f t="shared" si="229"/>
        <v>0</v>
      </c>
      <c r="BO46" s="434">
        <f t="shared" si="230"/>
        <v>0</v>
      </c>
      <c r="BP46" s="434">
        <f t="shared" si="231"/>
        <v>0</v>
      </c>
      <c r="BQ46" s="434">
        <f t="shared" si="232"/>
        <v>0</v>
      </c>
      <c r="BR46" s="435">
        <f t="shared" si="233"/>
        <v>0</v>
      </c>
      <c r="BS46" s="436">
        <f t="shared" si="234"/>
        <v>0</v>
      </c>
      <c r="BU46" s="436">
        <f t="shared" si="235"/>
        <v>0</v>
      </c>
      <c r="BX46" s="501">
        <v>16</v>
      </c>
      <c r="BY46" s="515">
        <f>'GASTOS EJER. 2'!BN44</f>
        <v>0</v>
      </c>
      <c r="BZ46" s="515">
        <f>'GASTOS EJER. 2'!CM44</f>
        <v>0</v>
      </c>
      <c r="CA46" s="504">
        <f t="shared" si="236"/>
        <v>0</v>
      </c>
      <c r="CC46" s="505">
        <f>'GASTOS EJER. 2'!AW44+'GASTOS EJER. 2'!BM44-'GASTOS EJER. 2'!CM44-'GASTOS EJER. 2'!CP44</f>
        <v>0</v>
      </c>
      <c r="CD46" s="506" t="str">
        <f>IF('GASTOS EJER. 2'!CT44="","",'GASTOS EJER. 2'!CT44)</f>
        <v/>
      </c>
      <c r="CE46" s="503">
        <f>'GASTOS EJER. 2'!CP44</f>
        <v>0</v>
      </c>
      <c r="CF46" s="507" t="str">
        <f>IF('GASTOS EJER. 2'!CW44="","",'GASTOS EJER. 2'!CW44)</f>
        <v/>
      </c>
      <c r="CG46" s="508">
        <f>IF(AND(CD46&gt;=EXPEDIENTE!$I$25,CD46&lt;=EXPEDIENTE!$I$29),CC46,0)</f>
        <v>0</v>
      </c>
      <c r="CH46" s="451">
        <f>IF(AND(CF46&gt;=EXPEDIENTE!$I$25,CF46&lt;=EXPEDIENTE!$I$29),CE46,0)</f>
        <v>0</v>
      </c>
      <c r="CI46" s="504">
        <f t="shared" si="237"/>
        <v>0</v>
      </c>
      <c r="CJ46" s="509" t="str">
        <f>IF('GASTOS EJER. 2'!AQ44="","",'GASTOS EJER. 2'!AQ44)</f>
        <v/>
      </c>
      <c r="CK46" s="510" t="str">
        <f>IF('GASTOS EJER. 2'!AT44="","",'GASTOS EJER. 2'!AT44)</f>
        <v/>
      </c>
      <c r="CL46" s="511">
        <f t="shared" si="238"/>
        <v>0</v>
      </c>
      <c r="CM46" s="512">
        <f t="shared" si="180"/>
        <v>0</v>
      </c>
      <c r="CN46" s="453">
        <f t="shared" si="239"/>
        <v>0</v>
      </c>
      <c r="CP46" s="423">
        <v>8</v>
      </c>
      <c r="CQ46" s="424" t="e">
        <f t="shared" si="181"/>
        <v>#VALUE!</v>
      </c>
      <c r="CR46" s="437">
        <f t="shared" si="240"/>
        <v>0</v>
      </c>
      <c r="CS46" s="423">
        <f t="shared" si="241"/>
        <v>0</v>
      </c>
      <c r="CT46" s="423">
        <f t="shared" si="242"/>
        <v>0</v>
      </c>
      <c r="CU46" s="423">
        <f t="shared" si="243"/>
        <v>0</v>
      </c>
      <c r="CV46" s="423">
        <f t="shared" si="244"/>
        <v>0</v>
      </c>
      <c r="CW46" s="423">
        <f t="shared" si="245"/>
        <v>0</v>
      </c>
      <c r="CX46" s="423">
        <f t="shared" si="246"/>
        <v>0</v>
      </c>
      <c r="CY46" s="438">
        <f t="shared" si="247"/>
        <v>0</v>
      </c>
      <c r="CZ46" s="436">
        <f t="shared" si="182"/>
        <v>0</v>
      </c>
      <c r="DB46" s="437">
        <f t="shared" si="248"/>
        <v>0</v>
      </c>
      <c r="DC46" s="423">
        <f t="shared" si="249"/>
        <v>0</v>
      </c>
      <c r="DD46" s="423">
        <f t="shared" si="250"/>
        <v>0</v>
      </c>
      <c r="DE46" s="423">
        <f t="shared" si="251"/>
        <v>0</v>
      </c>
      <c r="DF46" s="423">
        <f t="shared" si="252"/>
        <v>0</v>
      </c>
      <c r="DG46" s="423">
        <f t="shared" si="253"/>
        <v>0</v>
      </c>
      <c r="DH46" s="423">
        <f t="shared" si="254"/>
        <v>0</v>
      </c>
      <c r="DI46" s="438">
        <f t="shared" si="255"/>
        <v>0</v>
      </c>
      <c r="DJ46" s="436">
        <f t="shared" si="256"/>
        <v>0</v>
      </c>
      <c r="DL46" s="436">
        <f t="shared" si="257"/>
        <v>0</v>
      </c>
      <c r="DN46" s="501">
        <v>16</v>
      </c>
      <c r="DO46" s="513">
        <f>'GASTOS EJER. 2'!$C44</f>
        <v>0</v>
      </c>
      <c r="DP46" s="510" t="str">
        <f t="shared" si="258"/>
        <v/>
      </c>
      <c r="DQ46" s="510" t="str">
        <f t="shared" si="259"/>
        <v/>
      </c>
      <c r="DR46" s="514">
        <f t="shared" si="260"/>
        <v>0</v>
      </c>
      <c r="DS46" s="515">
        <f>'GASTOS EJER. 2'!X44</f>
        <v>0</v>
      </c>
      <c r="DT46" s="506" t="str">
        <f>IF(DS46=0,"",'GASTOS EJER. 2'!AA44)</f>
        <v/>
      </c>
      <c r="DU46" s="506" t="str">
        <f t="shared" si="185"/>
        <v/>
      </c>
      <c r="DV46" s="504" t="e">
        <f>IF(AND(DU46&gt;=EXPEDIENTE!$F$25,DU46&lt;=EXPEDIENTE!$F$29),ROUNDDOWN(DS46/DR46,2),0)</f>
        <v>#DIV/0!</v>
      </c>
      <c r="DX46" s="386">
        <v>27</v>
      </c>
      <c r="DY46" s="430">
        <f t="shared" si="101"/>
        <v>45870</v>
      </c>
      <c r="DZ46" s="430">
        <f t="shared" si="102"/>
        <v>45900</v>
      </c>
      <c r="EA46" s="386" t="str">
        <f>IF(AND(DZ46&gt;=EXPEDIENTE!$F$25,DY46&lt;=EXPEDIENTE!$F$29),"SI","NO")</f>
        <v>SI</v>
      </c>
      <c r="EB46" s="423">
        <f t="shared" si="186"/>
        <v>0</v>
      </c>
      <c r="EC46" s="423">
        <f t="shared" si="187"/>
        <v>0</v>
      </c>
      <c r="ED46" s="423">
        <f t="shared" si="188"/>
        <v>0</v>
      </c>
      <c r="EE46" s="423">
        <f t="shared" si="189"/>
        <v>0</v>
      </c>
      <c r="EF46" s="423">
        <f t="shared" si="190"/>
        <v>0</v>
      </c>
      <c r="EG46" s="423">
        <f t="shared" si="191"/>
        <v>0</v>
      </c>
      <c r="EH46" s="423">
        <f t="shared" si="192"/>
        <v>0</v>
      </c>
      <c r="EI46" s="423">
        <f t="shared" si="193"/>
        <v>0</v>
      </c>
      <c r="EJ46" s="423">
        <f t="shared" si="194"/>
        <v>0</v>
      </c>
      <c r="EK46" s="423">
        <f t="shared" si="195"/>
        <v>0</v>
      </c>
      <c r="EL46" s="423">
        <f t="shared" si="196"/>
        <v>0</v>
      </c>
      <c r="EM46" s="423">
        <f t="shared" si="197"/>
        <v>0</v>
      </c>
      <c r="EN46" s="423">
        <f t="shared" si="198"/>
        <v>0</v>
      </c>
      <c r="EO46" s="423">
        <f t="shared" si="199"/>
        <v>0</v>
      </c>
      <c r="EP46" s="423">
        <f t="shared" si="200"/>
        <v>0</v>
      </c>
      <c r="EQ46" s="423">
        <f t="shared" si="201"/>
        <v>0</v>
      </c>
      <c r="ER46" s="423">
        <f t="shared" si="202"/>
        <v>0</v>
      </c>
      <c r="ES46" s="423">
        <f t="shared" si="203"/>
        <v>0</v>
      </c>
      <c r="ET46" s="423">
        <f t="shared" si="204"/>
        <v>0</v>
      </c>
      <c r="EU46" s="423">
        <f t="shared" si="205"/>
        <v>0</v>
      </c>
      <c r="EV46" s="423">
        <f t="shared" si="206"/>
        <v>0</v>
      </c>
      <c r="EW46" s="423">
        <f t="shared" si="207"/>
        <v>0</v>
      </c>
      <c r="EX46" s="423">
        <f t="shared" si="208"/>
        <v>0</v>
      </c>
      <c r="EY46" s="423">
        <f t="shared" si="209"/>
        <v>0</v>
      </c>
      <c r="EZ46" s="423">
        <f t="shared" si="210"/>
        <v>0</v>
      </c>
      <c r="FA46" s="423">
        <f t="shared" si="211"/>
        <v>0</v>
      </c>
      <c r="FB46" s="423">
        <f t="shared" si="212"/>
        <v>0</v>
      </c>
      <c r="FC46" s="423">
        <f t="shared" si="213"/>
        <v>0</v>
      </c>
      <c r="FD46" s="423">
        <f t="shared" si="214"/>
        <v>0</v>
      </c>
      <c r="FE46" s="423">
        <f t="shared" si="215"/>
        <v>0</v>
      </c>
      <c r="FF46" s="423">
        <f t="shared" si="216"/>
        <v>0</v>
      </c>
      <c r="FG46" s="423">
        <f t="shared" si="217"/>
        <v>0</v>
      </c>
      <c r="FH46" s="423">
        <f t="shared" si="66"/>
        <v>0</v>
      </c>
      <c r="FJ46" s="120">
        <v>8</v>
      </c>
      <c r="FK46" s="492">
        <f>DATE(YEAR(EXPEDIENTE!$F$25)+1,FJ46,1)</f>
        <v>45505</v>
      </c>
      <c r="FL46" s="492" t="str">
        <f>IF('GASTOS EJER. 2'!I56="","",'GASTOS EJER. 2'!I56)</f>
        <v/>
      </c>
      <c r="FM46" s="500">
        <f>'GASTOS EJER. 2'!X27</f>
        <v>0</v>
      </c>
      <c r="FN46" s="500">
        <f>'GASTOS EJER. 2'!H56</f>
        <v>0</v>
      </c>
      <c r="FO46" s="423">
        <f t="shared" si="261"/>
        <v>0</v>
      </c>
      <c r="FP46" s="500">
        <f t="shared" si="218"/>
        <v>0</v>
      </c>
      <c r="FR46" s="501">
        <v>16</v>
      </c>
      <c r="FS46" s="513">
        <f>'GASTOS EJER. 2'!$C44</f>
        <v>0</v>
      </c>
      <c r="FT46" s="510" t="str">
        <f t="shared" si="262"/>
        <v/>
      </c>
      <c r="FU46" s="510" t="str">
        <f t="shared" si="263"/>
        <v/>
      </c>
      <c r="FV46" s="514">
        <f t="shared" si="264"/>
        <v>0</v>
      </c>
      <c r="FW46" s="515">
        <f>'GASTOS EJER. 2'!CM44</f>
        <v>0</v>
      </c>
      <c r="FX46" s="506" t="str">
        <f>IF(FW46=0,"",'GASTOS EJER. 2'!CT44)</f>
        <v/>
      </c>
      <c r="FY46" s="506" t="str">
        <f t="shared" si="219"/>
        <v/>
      </c>
      <c r="FZ46" s="504" t="e">
        <f>IF(AND(FY46&gt;=EXPEDIENTE!$F$25,FY46&lt;=EXPEDIENTE!$F$29),ROUNDDOWN(FW46/FV46,2),0)</f>
        <v>#DIV/0!</v>
      </c>
      <c r="GB46" s="386">
        <v>27</v>
      </c>
      <c r="GC46" s="430">
        <f t="shared" si="103"/>
        <v>45870</v>
      </c>
      <c r="GD46" s="430">
        <f t="shared" si="104"/>
        <v>45900</v>
      </c>
      <c r="GE46" s="386" t="str">
        <f>IF(AND(GD46&gt;=EXPEDIENTE!$F$25,GC46&lt;=EXPEDIENTE!$F$29),"SI","NO")</f>
        <v>SI</v>
      </c>
      <c r="GF46" s="423">
        <f t="shared" si="67"/>
        <v>0</v>
      </c>
      <c r="GG46" s="423">
        <f t="shared" si="68"/>
        <v>0</v>
      </c>
      <c r="GH46" s="423">
        <f t="shared" si="69"/>
        <v>0</v>
      </c>
      <c r="GI46" s="423">
        <f t="shared" si="70"/>
        <v>0</v>
      </c>
      <c r="GJ46" s="423">
        <f t="shared" si="71"/>
        <v>0</v>
      </c>
      <c r="GK46" s="423">
        <f t="shared" si="72"/>
        <v>0</v>
      </c>
      <c r="GL46" s="423">
        <f t="shared" si="73"/>
        <v>0</v>
      </c>
      <c r="GM46" s="423">
        <f t="shared" si="74"/>
        <v>0</v>
      </c>
      <c r="GN46" s="423">
        <f t="shared" si="75"/>
        <v>0</v>
      </c>
      <c r="GO46" s="423">
        <f t="shared" si="76"/>
        <v>0</v>
      </c>
      <c r="GP46" s="423">
        <f t="shared" si="77"/>
        <v>0</v>
      </c>
      <c r="GQ46" s="423">
        <f t="shared" si="78"/>
        <v>0</v>
      </c>
      <c r="GR46" s="423">
        <f t="shared" si="79"/>
        <v>0</v>
      </c>
      <c r="GS46" s="423">
        <f t="shared" si="80"/>
        <v>0</v>
      </c>
      <c r="GT46" s="423">
        <f t="shared" si="81"/>
        <v>0</v>
      </c>
      <c r="GU46" s="423">
        <f t="shared" si="82"/>
        <v>0</v>
      </c>
      <c r="GV46" s="423">
        <f t="shared" si="83"/>
        <v>0</v>
      </c>
      <c r="GW46" s="423">
        <f t="shared" si="84"/>
        <v>0</v>
      </c>
      <c r="GX46" s="423">
        <f t="shared" si="85"/>
        <v>0</v>
      </c>
      <c r="GY46" s="423">
        <f t="shared" si="86"/>
        <v>0</v>
      </c>
      <c r="GZ46" s="423">
        <f t="shared" si="87"/>
        <v>0</v>
      </c>
      <c r="HA46" s="423">
        <f t="shared" si="88"/>
        <v>0</v>
      </c>
      <c r="HB46" s="423">
        <f t="shared" si="89"/>
        <v>0</v>
      </c>
      <c r="HC46" s="423">
        <f t="shared" si="90"/>
        <v>0</v>
      </c>
      <c r="HD46" s="423">
        <f t="shared" si="91"/>
        <v>0</v>
      </c>
      <c r="HE46" s="423">
        <f t="shared" si="92"/>
        <v>0</v>
      </c>
      <c r="HF46" s="423">
        <f t="shared" si="93"/>
        <v>0</v>
      </c>
      <c r="HG46" s="423">
        <f t="shared" si="94"/>
        <v>0</v>
      </c>
      <c r="HH46" s="423">
        <f t="shared" si="95"/>
        <v>0</v>
      </c>
      <c r="HI46" s="423">
        <f t="shared" si="96"/>
        <v>0</v>
      </c>
      <c r="HJ46" s="423">
        <f t="shared" si="97"/>
        <v>0</v>
      </c>
      <c r="HK46" s="423">
        <f t="shared" si="98"/>
        <v>0</v>
      </c>
      <c r="HL46" s="423">
        <f t="shared" si="99"/>
        <v>0</v>
      </c>
      <c r="HO46" s="120">
        <v>8</v>
      </c>
      <c r="HP46" s="492">
        <f>DATE(YEAR(EXPEDIENTE!$F$25)+1,HO46,1)</f>
        <v>45505</v>
      </c>
      <c r="HQ46" s="492" t="str">
        <f>IF('GASTOS EJER. 2'!BF56="","",'GASTOS EJER. 2'!BF56)</f>
        <v/>
      </c>
      <c r="HR46" s="500">
        <f>'GASTOS EJER. 2'!CM27</f>
        <v>0</v>
      </c>
      <c r="HS46" s="500">
        <f>'GASTOS EJER. 2'!BA56</f>
        <v>0</v>
      </c>
      <c r="HT46" s="423">
        <f t="shared" si="265"/>
        <v>0</v>
      </c>
      <c r="HU46" s="500">
        <f t="shared" si="220"/>
        <v>0</v>
      </c>
      <c r="JC46" s="416">
        <v>42</v>
      </c>
      <c r="JD46" s="398">
        <f t="shared" si="100"/>
        <v>16</v>
      </c>
    </row>
    <row r="47" spans="3:264" x14ac:dyDescent="0.25">
      <c r="C47" s="206">
        <v>41</v>
      </c>
      <c r="D47" s="401"/>
      <c r="E47" s="417"/>
      <c r="F47" s="418"/>
      <c r="G47" s="419"/>
      <c r="H47" s="419"/>
      <c r="I47" s="419"/>
      <c r="J47" s="401"/>
      <c r="K47" s="407">
        <f t="shared" si="52"/>
        <v>76</v>
      </c>
      <c r="L47" s="407">
        <f t="shared" si="53"/>
        <v>76</v>
      </c>
      <c r="M47" s="407" t="str">
        <f t="shared" si="54"/>
        <v>X</v>
      </c>
      <c r="Y47" s="422">
        <f t="shared" si="0"/>
        <v>42</v>
      </c>
      <c r="Z47" s="412" t="str">
        <f>IF(Y47="","",IF(EDATE($Z$5,Y47)&gt;EXPEDIENTE!$F$27,"",EDATE($Z$5,Y47)))</f>
        <v/>
      </c>
      <c r="AA47" s="412" t="str">
        <f>IF(Z47="","",IF(YEAR(EXPEDIENTE!$F$25)=YEAR(Z47),Z47,""))</f>
        <v/>
      </c>
      <c r="AB47" s="412" t="str">
        <f>IF(Z47="","",IF(YEAR(EXPEDIENTE!$F$25)+1=YEAR(Z47),Z47,""))</f>
        <v/>
      </c>
      <c r="AC47" s="412" t="str">
        <f>IF(Z47="","",IF(YEAR(EXPEDIENTE!$F$25)+2=YEAR(Z47),Z47,""))</f>
        <v/>
      </c>
      <c r="AD47" s="412" t="str">
        <f>IF(Z47="","",IF(YEAR(EXPEDIENTE!$F$25)+3=YEAR(Z47),Z47,""))</f>
        <v/>
      </c>
      <c r="AG47" s="392"/>
      <c r="AH47" s="392"/>
      <c r="AI47" s="392"/>
      <c r="AJ47" s="392"/>
      <c r="AK47" s="392"/>
      <c r="AL47" s="392"/>
      <c r="AM47" s="392"/>
      <c r="AN47" s="392"/>
      <c r="AO47" s="392"/>
      <c r="AP47" s="392"/>
      <c r="AQ47" s="392"/>
      <c r="AR47" s="392"/>
      <c r="AS47" s="392"/>
      <c r="AT47" s="392"/>
      <c r="AU47" s="392"/>
      <c r="AV47" s="392"/>
      <c r="AW47" s="392"/>
      <c r="AY47" s="423">
        <v>9</v>
      </c>
      <c r="AZ47" s="424" t="e">
        <f t="shared" si="171"/>
        <v>#VALUE!</v>
      </c>
      <c r="BA47" s="437">
        <f t="shared" si="172"/>
        <v>0</v>
      </c>
      <c r="BB47" s="423">
        <f t="shared" si="173"/>
        <v>0</v>
      </c>
      <c r="BC47" s="423">
        <f t="shared" si="174"/>
        <v>0</v>
      </c>
      <c r="BD47" s="423">
        <f t="shared" si="175"/>
        <v>0</v>
      </c>
      <c r="BE47" s="423">
        <f t="shared" si="176"/>
        <v>0</v>
      </c>
      <c r="BF47" s="423">
        <f t="shared" si="225"/>
        <v>0</v>
      </c>
      <c r="BG47" s="423">
        <f t="shared" si="177"/>
        <v>0</v>
      </c>
      <c r="BH47" s="438">
        <f t="shared" si="178"/>
        <v>0</v>
      </c>
      <c r="BI47" s="436">
        <f t="shared" si="179"/>
        <v>0</v>
      </c>
      <c r="BK47" s="433">
        <f t="shared" si="226"/>
        <v>0</v>
      </c>
      <c r="BL47" s="434">
        <f t="shared" si="227"/>
        <v>0</v>
      </c>
      <c r="BM47" s="434">
        <f t="shared" si="228"/>
        <v>0</v>
      </c>
      <c r="BN47" s="434">
        <f t="shared" si="229"/>
        <v>0</v>
      </c>
      <c r="BO47" s="434">
        <f t="shared" si="230"/>
        <v>0</v>
      </c>
      <c r="BP47" s="434">
        <f t="shared" si="231"/>
        <v>0</v>
      </c>
      <c r="BQ47" s="434">
        <f t="shared" si="232"/>
        <v>0</v>
      </c>
      <c r="BR47" s="435">
        <f t="shared" si="233"/>
        <v>0</v>
      </c>
      <c r="BS47" s="436">
        <f t="shared" si="234"/>
        <v>0</v>
      </c>
      <c r="BU47" s="436">
        <f t="shared" si="235"/>
        <v>0</v>
      </c>
      <c r="BX47" s="392"/>
      <c r="BY47" s="392"/>
      <c r="BZ47" s="392"/>
      <c r="CA47" s="392"/>
      <c r="CB47" s="392"/>
      <c r="CC47" s="392"/>
      <c r="CD47" s="392"/>
      <c r="CE47" s="392"/>
      <c r="CF47" s="392"/>
      <c r="CG47" s="392"/>
      <c r="CH47" s="392"/>
      <c r="CI47" s="392"/>
      <c r="CJ47" s="392"/>
      <c r="CK47" s="392"/>
      <c r="CL47" s="392"/>
      <c r="CM47" s="392"/>
      <c r="CN47" s="392"/>
      <c r="CP47" s="423">
        <v>9</v>
      </c>
      <c r="CQ47" s="424" t="e">
        <f t="shared" si="181"/>
        <v>#VALUE!</v>
      </c>
      <c r="CR47" s="437">
        <f t="shared" si="240"/>
        <v>0</v>
      </c>
      <c r="CS47" s="423">
        <f t="shared" si="241"/>
        <v>0</v>
      </c>
      <c r="CT47" s="423">
        <f t="shared" si="242"/>
        <v>0</v>
      </c>
      <c r="CU47" s="423">
        <f t="shared" si="243"/>
        <v>0</v>
      </c>
      <c r="CV47" s="423">
        <f t="shared" si="244"/>
        <v>0</v>
      </c>
      <c r="CW47" s="423">
        <f t="shared" si="245"/>
        <v>0</v>
      </c>
      <c r="CX47" s="423">
        <f t="shared" si="246"/>
        <v>0</v>
      </c>
      <c r="CY47" s="438">
        <f t="shared" si="247"/>
        <v>0</v>
      </c>
      <c r="CZ47" s="436">
        <f t="shared" si="182"/>
        <v>0</v>
      </c>
      <c r="DB47" s="437">
        <f t="shared" si="248"/>
        <v>0</v>
      </c>
      <c r="DC47" s="423">
        <f t="shared" si="249"/>
        <v>0</v>
      </c>
      <c r="DD47" s="423">
        <f t="shared" si="250"/>
        <v>0</v>
      </c>
      <c r="DE47" s="423">
        <f t="shared" si="251"/>
        <v>0</v>
      </c>
      <c r="DF47" s="423">
        <f t="shared" si="252"/>
        <v>0</v>
      </c>
      <c r="DG47" s="423">
        <f t="shared" si="253"/>
        <v>0</v>
      </c>
      <c r="DH47" s="423">
        <f t="shared" si="254"/>
        <v>0</v>
      </c>
      <c r="DI47" s="438">
        <f t="shared" si="255"/>
        <v>0</v>
      </c>
      <c r="DJ47" s="436">
        <f t="shared" si="256"/>
        <v>0</v>
      </c>
      <c r="DL47" s="436">
        <f t="shared" si="257"/>
        <v>0</v>
      </c>
      <c r="DN47" s="392"/>
      <c r="DX47" s="386">
        <v>28</v>
      </c>
      <c r="DY47" s="430">
        <f t="shared" si="101"/>
        <v>45901</v>
      </c>
      <c r="DZ47" s="430">
        <f t="shared" si="102"/>
        <v>45930</v>
      </c>
      <c r="EA47" s="386" t="str">
        <f>IF(AND(DZ47&gt;=EXPEDIENTE!$F$25,DY47&lt;=EXPEDIENTE!$F$29),"SI","NO")</f>
        <v>SI</v>
      </c>
      <c r="EB47" s="423">
        <f t="shared" si="186"/>
        <v>0</v>
      </c>
      <c r="EC47" s="423">
        <f t="shared" si="187"/>
        <v>0</v>
      </c>
      <c r="ED47" s="423">
        <f t="shared" si="188"/>
        <v>0</v>
      </c>
      <c r="EE47" s="423">
        <f t="shared" si="189"/>
        <v>0</v>
      </c>
      <c r="EF47" s="423">
        <f t="shared" si="190"/>
        <v>0</v>
      </c>
      <c r="EG47" s="423">
        <f t="shared" si="191"/>
        <v>0</v>
      </c>
      <c r="EH47" s="423">
        <f t="shared" si="192"/>
        <v>0</v>
      </c>
      <c r="EI47" s="423">
        <f t="shared" si="193"/>
        <v>0</v>
      </c>
      <c r="EJ47" s="423">
        <f t="shared" si="194"/>
        <v>0</v>
      </c>
      <c r="EK47" s="423">
        <f t="shared" si="195"/>
        <v>0</v>
      </c>
      <c r="EL47" s="423">
        <f t="shared" si="196"/>
        <v>0</v>
      </c>
      <c r="EM47" s="423">
        <f t="shared" si="197"/>
        <v>0</v>
      </c>
      <c r="EN47" s="423">
        <f t="shared" si="198"/>
        <v>0</v>
      </c>
      <c r="EO47" s="423">
        <f t="shared" si="199"/>
        <v>0</v>
      </c>
      <c r="EP47" s="423">
        <f t="shared" si="200"/>
        <v>0</v>
      </c>
      <c r="EQ47" s="423">
        <f t="shared" si="201"/>
        <v>0</v>
      </c>
      <c r="ER47" s="423">
        <f t="shared" si="202"/>
        <v>0</v>
      </c>
      <c r="ES47" s="423">
        <f t="shared" si="203"/>
        <v>0</v>
      </c>
      <c r="ET47" s="423">
        <f t="shared" si="204"/>
        <v>0</v>
      </c>
      <c r="EU47" s="423">
        <f t="shared" si="205"/>
        <v>0</v>
      </c>
      <c r="EV47" s="423">
        <f t="shared" si="206"/>
        <v>0</v>
      </c>
      <c r="EW47" s="423">
        <f t="shared" si="207"/>
        <v>0</v>
      </c>
      <c r="EX47" s="423">
        <f t="shared" si="208"/>
        <v>0</v>
      </c>
      <c r="EY47" s="423">
        <f t="shared" si="209"/>
        <v>0</v>
      </c>
      <c r="EZ47" s="423">
        <f t="shared" si="210"/>
        <v>0</v>
      </c>
      <c r="FA47" s="423">
        <f t="shared" si="211"/>
        <v>0</v>
      </c>
      <c r="FB47" s="423">
        <f t="shared" si="212"/>
        <v>0</v>
      </c>
      <c r="FC47" s="423">
        <f t="shared" si="213"/>
        <v>0</v>
      </c>
      <c r="FD47" s="423">
        <f t="shared" si="214"/>
        <v>0</v>
      </c>
      <c r="FE47" s="423">
        <f t="shared" si="215"/>
        <v>0</v>
      </c>
      <c r="FF47" s="423">
        <f t="shared" si="216"/>
        <v>0</v>
      </c>
      <c r="FG47" s="423">
        <f t="shared" si="217"/>
        <v>0</v>
      </c>
      <c r="FH47" s="423">
        <f t="shared" si="66"/>
        <v>0</v>
      </c>
      <c r="FJ47" s="120">
        <v>9</v>
      </c>
      <c r="FK47" s="492">
        <f>DATE(YEAR(EXPEDIENTE!$F$25)+1,FJ47,1)</f>
        <v>45536</v>
      </c>
      <c r="FL47" s="492" t="str">
        <f>IF('GASTOS EJER. 2'!I57="","",'GASTOS EJER. 2'!I57)</f>
        <v/>
      </c>
      <c r="FM47" s="500">
        <f>'GASTOS EJER. 2'!X28</f>
        <v>0</v>
      </c>
      <c r="FN47" s="500">
        <f>'GASTOS EJER. 2'!H57</f>
        <v>0</v>
      </c>
      <c r="FO47" s="423">
        <f t="shared" si="261"/>
        <v>0</v>
      </c>
      <c r="FP47" s="500">
        <f t="shared" si="218"/>
        <v>0</v>
      </c>
      <c r="FR47" s="392"/>
      <c r="GB47" s="386">
        <v>28</v>
      </c>
      <c r="GC47" s="430">
        <f t="shared" si="103"/>
        <v>45901</v>
      </c>
      <c r="GD47" s="430">
        <f t="shared" si="104"/>
        <v>45930</v>
      </c>
      <c r="GE47" s="386" t="str">
        <f>IF(AND(GD47&gt;=EXPEDIENTE!$F$25,GC47&lt;=EXPEDIENTE!$F$29),"SI","NO")</f>
        <v>SI</v>
      </c>
      <c r="GF47" s="423">
        <f t="shared" si="67"/>
        <v>0</v>
      </c>
      <c r="GG47" s="423">
        <f t="shared" si="68"/>
        <v>0</v>
      </c>
      <c r="GH47" s="423">
        <f t="shared" si="69"/>
        <v>0</v>
      </c>
      <c r="GI47" s="423">
        <f t="shared" si="70"/>
        <v>0</v>
      </c>
      <c r="GJ47" s="423">
        <f t="shared" si="71"/>
        <v>0</v>
      </c>
      <c r="GK47" s="423">
        <f t="shared" si="72"/>
        <v>0</v>
      </c>
      <c r="GL47" s="423">
        <f t="shared" si="73"/>
        <v>0</v>
      </c>
      <c r="GM47" s="423">
        <f t="shared" si="74"/>
        <v>0</v>
      </c>
      <c r="GN47" s="423">
        <f t="shared" si="75"/>
        <v>0</v>
      </c>
      <c r="GO47" s="423">
        <f t="shared" si="76"/>
        <v>0</v>
      </c>
      <c r="GP47" s="423">
        <f t="shared" si="77"/>
        <v>0</v>
      </c>
      <c r="GQ47" s="423">
        <f t="shared" si="78"/>
        <v>0</v>
      </c>
      <c r="GR47" s="423">
        <f t="shared" si="79"/>
        <v>0</v>
      </c>
      <c r="GS47" s="423">
        <f t="shared" si="80"/>
        <v>0</v>
      </c>
      <c r="GT47" s="423">
        <f t="shared" si="81"/>
        <v>0</v>
      </c>
      <c r="GU47" s="423">
        <f t="shared" si="82"/>
        <v>0</v>
      </c>
      <c r="GV47" s="423">
        <f t="shared" si="83"/>
        <v>0</v>
      </c>
      <c r="GW47" s="423">
        <f t="shared" si="84"/>
        <v>0</v>
      </c>
      <c r="GX47" s="423">
        <f t="shared" si="85"/>
        <v>0</v>
      </c>
      <c r="GY47" s="423">
        <f t="shared" si="86"/>
        <v>0</v>
      </c>
      <c r="GZ47" s="423">
        <f t="shared" si="87"/>
        <v>0</v>
      </c>
      <c r="HA47" s="423">
        <f t="shared" si="88"/>
        <v>0</v>
      </c>
      <c r="HB47" s="423">
        <f t="shared" si="89"/>
        <v>0</v>
      </c>
      <c r="HC47" s="423">
        <f t="shared" si="90"/>
        <v>0</v>
      </c>
      <c r="HD47" s="423">
        <f t="shared" si="91"/>
        <v>0</v>
      </c>
      <c r="HE47" s="423">
        <f t="shared" si="92"/>
        <v>0</v>
      </c>
      <c r="HF47" s="423">
        <f t="shared" si="93"/>
        <v>0</v>
      </c>
      <c r="HG47" s="423">
        <f t="shared" si="94"/>
        <v>0</v>
      </c>
      <c r="HH47" s="423">
        <f t="shared" si="95"/>
        <v>0</v>
      </c>
      <c r="HI47" s="423">
        <f t="shared" si="96"/>
        <v>0</v>
      </c>
      <c r="HJ47" s="423">
        <f t="shared" si="97"/>
        <v>0</v>
      </c>
      <c r="HK47" s="423">
        <f t="shared" si="98"/>
        <v>0</v>
      </c>
      <c r="HL47" s="423">
        <f t="shared" si="99"/>
        <v>0</v>
      </c>
      <c r="HO47" s="120">
        <v>9</v>
      </c>
      <c r="HP47" s="492">
        <f>DATE(YEAR(EXPEDIENTE!$F$25)+1,HO47,1)</f>
        <v>45536</v>
      </c>
      <c r="HQ47" s="492" t="str">
        <f>IF('GASTOS EJER. 2'!BF57="","",'GASTOS EJER. 2'!BF57)</f>
        <v/>
      </c>
      <c r="HR47" s="500">
        <f>'GASTOS EJER. 2'!CM28</f>
        <v>0</v>
      </c>
      <c r="HS47" s="500">
        <f>'GASTOS EJER. 2'!BA57</f>
        <v>0</v>
      </c>
      <c r="HT47" s="423">
        <f t="shared" si="265"/>
        <v>0</v>
      </c>
      <c r="HU47" s="500">
        <f t="shared" si="220"/>
        <v>0</v>
      </c>
      <c r="JC47" s="416">
        <v>43</v>
      </c>
      <c r="JD47" s="398">
        <f t="shared" si="100"/>
        <v>16</v>
      </c>
    </row>
    <row r="48" spans="3:264" x14ac:dyDescent="0.25">
      <c r="C48" s="206">
        <v>42</v>
      </c>
      <c r="D48" s="401"/>
      <c r="E48" s="417"/>
      <c r="F48" s="418"/>
      <c r="G48" s="419"/>
      <c r="H48" s="419"/>
      <c r="I48" s="419"/>
      <c r="J48" s="401"/>
      <c r="K48" s="407">
        <f t="shared" si="52"/>
        <v>76</v>
      </c>
      <c r="L48" s="407">
        <f t="shared" si="53"/>
        <v>76</v>
      </c>
      <c r="M48" s="407" t="str">
        <f t="shared" si="54"/>
        <v>X</v>
      </c>
      <c r="Y48" s="422">
        <f t="shared" si="0"/>
        <v>43</v>
      </c>
      <c r="Z48" s="412" t="str">
        <f>IF(Y48="","",IF(EDATE($Z$5,Y48)&gt;EXPEDIENTE!$F$27,"",EDATE($Z$5,Y48)))</f>
        <v/>
      </c>
      <c r="AA48" s="412" t="str">
        <f>IF(Z48="","",IF(YEAR(EXPEDIENTE!$F$25)=YEAR(Z48),Z48,""))</f>
        <v/>
      </c>
      <c r="AB48" s="412" t="str">
        <f>IF(Z48="","",IF(YEAR(EXPEDIENTE!$F$25)+1=YEAR(Z48),Z48,""))</f>
        <v/>
      </c>
      <c r="AC48" s="412" t="str">
        <f>IF(Z48="","",IF(YEAR(EXPEDIENTE!$F$25)+2=YEAR(Z48),Z48,""))</f>
        <v/>
      </c>
      <c r="AD48" s="412" t="str">
        <f>IF(Z48="","",IF(YEAR(EXPEDIENTE!$F$25)+3=YEAR(Z48),Z48,""))</f>
        <v/>
      </c>
      <c r="AG48" s="392"/>
      <c r="AH48" s="392"/>
      <c r="AI48" s="392"/>
      <c r="AJ48" s="392"/>
      <c r="AK48" s="392"/>
      <c r="AL48" s="392"/>
      <c r="AM48" s="392"/>
      <c r="AN48" s="392"/>
      <c r="AO48" s="392"/>
      <c r="AP48" s="392"/>
      <c r="AQ48" s="392"/>
      <c r="AR48" s="392"/>
      <c r="AS48" s="392"/>
      <c r="AT48" s="392"/>
      <c r="AU48" s="392"/>
      <c r="AV48" s="392"/>
      <c r="AW48" s="392"/>
      <c r="AY48" s="423">
        <v>10</v>
      </c>
      <c r="AZ48" s="424" t="e">
        <f t="shared" si="171"/>
        <v>#VALUE!</v>
      </c>
      <c r="BA48" s="437">
        <f t="shared" si="172"/>
        <v>0</v>
      </c>
      <c r="BB48" s="423">
        <f t="shared" si="173"/>
        <v>0</v>
      </c>
      <c r="BC48" s="423">
        <f t="shared" si="174"/>
        <v>0</v>
      </c>
      <c r="BD48" s="423">
        <f t="shared" si="175"/>
        <v>0</v>
      </c>
      <c r="BE48" s="423">
        <f t="shared" si="176"/>
        <v>0</v>
      </c>
      <c r="BF48" s="423">
        <f t="shared" si="225"/>
        <v>0</v>
      </c>
      <c r="BG48" s="423">
        <f t="shared" si="177"/>
        <v>0</v>
      </c>
      <c r="BH48" s="438">
        <f t="shared" si="178"/>
        <v>0</v>
      </c>
      <c r="BI48" s="436">
        <f t="shared" si="179"/>
        <v>0</v>
      </c>
      <c r="BK48" s="433">
        <f t="shared" si="226"/>
        <v>0</v>
      </c>
      <c r="BL48" s="434">
        <f t="shared" si="227"/>
        <v>0</v>
      </c>
      <c r="BM48" s="434">
        <f t="shared" si="228"/>
        <v>0</v>
      </c>
      <c r="BN48" s="434">
        <f t="shared" si="229"/>
        <v>0</v>
      </c>
      <c r="BO48" s="434">
        <f t="shared" si="230"/>
        <v>0</v>
      </c>
      <c r="BP48" s="434">
        <f t="shared" si="231"/>
        <v>0</v>
      </c>
      <c r="BQ48" s="434">
        <f t="shared" si="232"/>
        <v>0</v>
      </c>
      <c r="BR48" s="435">
        <f t="shared" si="233"/>
        <v>0</v>
      </c>
      <c r="BS48" s="436">
        <f t="shared" si="234"/>
        <v>0</v>
      </c>
      <c r="BU48" s="436">
        <f t="shared" si="235"/>
        <v>0</v>
      </c>
      <c r="BX48" s="392"/>
      <c r="BY48" s="392"/>
      <c r="BZ48" s="392"/>
      <c r="CA48" s="392"/>
      <c r="CB48" s="392"/>
      <c r="CC48" s="392"/>
      <c r="CD48" s="392"/>
      <c r="CE48" s="392"/>
      <c r="CF48" s="392"/>
      <c r="CG48" s="392"/>
      <c r="CH48" s="392"/>
      <c r="CI48" s="392"/>
      <c r="CJ48" s="392"/>
      <c r="CK48" s="392"/>
      <c r="CL48" s="392"/>
      <c r="CM48" s="392"/>
      <c r="CN48" s="392"/>
      <c r="CP48" s="423">
        <v>10</v>
      </c>
      <c r="CQ48" s="424" t="e">
        <f t="shared" si="181"/>
        <v>#VALUE!</v>
      </c>
      <c r="CR48" s="437">
        <f t="shared" si="240"/>
        <v>0</v>
      </c>
      <c r="CS48" s="423">
        <f t="shared" si="241"/>
        <v>0</v>
      </c>
      <c r="CT48" s="423">
        <f t="shared" si="242"/>
        <v>0</v>
      </c>
      <c r="CU48" s="423">
        <f t="shared" si="243"/>
        <v>0</v>
      </c>
      <c r="CV48" s="423">
        <f t="shared" si="244"/>
        <v>0</v>
      </c>
      <c r="CW48" s="423">
        <f t="shared" si="245"/>
        <v>0</v>
      </c>
      <c r="CX48" s="423">
        <f t="shared" si="246"/>
        <v>0</v>
      </c>
      <c r="CY48" s="438">
        <f t="shared" si="247"/>
        <v>0</v>
      </c>
      <c r="CZ48" s="436">
        <f t="shared" si="182"/>
        <v>0</v>
      </c>
      <c r="DB48" s="437">
        <f t="shared" si="248"/>
        <v>0</v>
      </c>
      <c r="DC48" s="423">
        <f t="shared" si="249"/>
        <v>0</v>
      </c>
      <c r="DD48" s="423">
        <f t="shared" si="250"/>
        <v>0</v>
      </c>
      <c r="DE48" s="423">
        <f t="shared" si="251"/>
        <v>0</v>
      </c>
      <c r="DF48" s="423">
        <f t="shared" si="252"/>
        <v>0</v>
      </c>
      <c r="DG48" s="423">
        <f t="shared" si="253"/>
        <v>0</v>
      </c>
      <c r="DH48" s="423">
        <f t="shared" si="254"/>
        <v>0</v>
      </c>
      <c r="DI48" s="438">
        <f t="shared" si="255"/>
        <v>0</v>
      </c>
      <c r="DJ48" s="436">
        <f t="shared" si="256"/>
        <v>0</v>
      </c>
      <c r="DL48" s="436">
        <f t="shared" si="257"/>
        <v>0</v>
      </c>
      <c r="DN48" s="392"/>
      <c r="DX48" s="386">
        <v>29</v>
      </c>
      <c r="DY48" s="430">
        <f t="shared" si="101"/>
        <v>45931</v>
      </c>
      <c r="DZ48" s="430">
        <f t="shared" si="102"/>
        <v>45961</v>
      </c>
      <c r="EA48" s="386" t="str">
        <f>IF(AND(DZ48&gt;=EXPEDIENTE!$F$25,DY48&lt;=EXPEDIENTE!$F$29),"SI","NO")</f>
        <v>SI</v>
      </c>
      <c r="EB48" s="423">
        <f t="shared" si="186"/>
        <v>0</v>
      </c>
      <c r="EC48" s="423">
        <f t="shared" si="187"/>
        <v>0</v>
      </c>
      <c r="ED48" s="423">
        <f t="shared" si="188"/>
        <v>0</v>
      </c>
      <c r="EE48" s="423">
        <f t="shared" si="189"/>
        <v>0</v>
      </c>
      <c r="EF48" s="423">
        <f t="shared" si="190"/>
        <v>0</v>
      </c>
      <c r="EG48" s="423">
        <f t="shared" si="191"/>
        <v>0</v>
      </c>
      <c r="EH48" s="423">
        <f t="shared" si="192"/>
        <v>0</v>
      </c>
      <c r="EI48" s="423">
        <f t="shared" si="193"/>
        <v>0</v>
      </c>
      <c r="EJ48" s="423">
        <f t="shared" si="194"/>
        <v>0</v>
      </c>
      <c r="EK48" s="423">
        <f t="shared" si="195"/>
        <v>0</v>
      </c>
      <c r="EL48" s="423">
        <f t="shared" si="196"/>
        <v>0</v>
      </c>
      <c r="EM48" s="423">
        <f t="shared" si="197"/>
        <v>0</v>
      </c>
      <c r="EN48" s="423">
        <f t="shared" si="198"/>
        <v>0</v>
      </c>
      <c r="EO48" s="423">
        <f t="shared" si="199"/>
        <v>0</v>
      </c>
      <c r="EP48" s="423">
        <f t="shared" si="200"/>
        <v>0</v>
      </c>
      <c r="EQ48" s="423">
        <f t="shared" si="201"/>
        <v>0</v>
      </c>
      <c r="ER48" s="423">
        <f t="shared" si="202"/>
        <v>0</v>
      </c>
      <c r="ES48" s="423">
        <f t="shared" si="203"/>
        <v>0</v>
      </c>
      <c r="ET48" s="423">
        <f t="shared" si="204"/>
        <v>0</v>
      </c>
      <c r="EU48" s="423">
        <f t="shared" si="205"/>
        <v>0</v>
      </c>
      <c r="EV48" s="423">
        <f t="shared" si="206"/>
        <v>0</v>
      </c>
      <c r="EW48" s="423">
        <f t="shared" si="207"/>
        <v>0</v>
      </c>
      <c r="EX48" s="423">
        <f t="shared" si="208"/>
        <v>0</v>
      </c>
      <c r="EY48" s="423">
        <f t="shared" si="209"/>
        <v>0</v>
      </c>
      <c r="EZ48" s="423">
        <f t="shared" si="210"/>
        <v>0</v>
      </c>
      <c r="FA48" s="423">
        <f t="shared" si="211"/>
        <v>0</v>
      </c>
      <c r="FB48" s="423">
        <f t="shared" si="212"/>
        <v>0</v>
      </c>
      <c r="FC48" s="423">
        <f t="shared" si="213"/>
        <v>0</v>
      </c>
      <c r="FD48" s="423">
        <f t="shared" si="214"/>
        <v>0</v>
      </c>
      <c r="FE48" s="423">
        <f t="shared" si="215"/>
        <v>0</v>
      </c>
      <c r="FF48" s="423">
        <f t="shared" si="216"/>
        <v>0</v>
      </c>
      <c r="FG48" s="423">
        <f t="shared" si="217"/>
        <v>0</v>
      </c>
      <c r="FH48" s="423">
        <f t="shared" si="66"/>
        <v>0</v>
      </c>
      <c r="FJ48" s="120">
        <v>10</v>
      </c>
      <c r="FK48" s="492">
        <f>DATE(YEAR(EXPEDIENTE!$F$25)+1,FJ48,1)</f>
        <v>45566</v>
      </c>
      <c r="FL48" s="492" t="str">
        <f>IF('GASTOS EJER. 2'!I58="","",'GASTOS EJER. 2'!I58)</f>
        <v/>
      </c>
      <c r="FM48" s="500">
        <f>'GASTOS EJER. 2'!X29</f>
        <v>0</v>
      </c>
      <c r="FN48" s="500">
        <f>'GASTOS EJER. 2'!H58</f>
        <v>0</v>
      </c>
      <c r="FO48" s="423">
        <f t="shared" si="261"/>
        <v>0</v>
      </c>
      <c r="FP48" s="500">
        <f t="shared" si="218"/>
        <v>0</v>
      </c>
      <c r="FR48" s="392"/>
      <c r="GB48" s="386">
        <v>29</v>
      </c>
      <c r="GC48" s="430">
        <f t="shared" si="103"/>
        <v>45931</v>
      </c>
      <c r="GD48" s="430">
        <f t="shared" si="104"/>
        <v>45961</v>
      </c>
      <c r="GE48" s="386" t="str">
        <f>IF(AND(GD48&gt;=EXPEDIENTE!$F$25,GC48&lt;=EXPEDIENTE!$F$29),"SI","NO")</f>
        <v>SI</v>
      </c>
      <c r="GF48" s="423">
        <f t="shared" si="67"/>
        <v>0</v>
      </c>
      <c r="GG48" s="423">
        <f t="shared" si="68"/>
        <v>0</v>
      </c>
      <c r="GH48" s="423">
        <f t="shared" si="69"/>
        <v>0</v>
      </c>
      <c r="GI48" s="423">
        <f t="shared" si="70"/>
        <v>0</v>
      </c>
      <c r="GJ48" s="423">
        <f t="shared" si="71"/>
        <v>0</v>
      </c>
      <c r="GK48" s="423">
        <f t="shared" si="72"/>
        <v>0</v>
      </c>
      <c r="GL48" s="423">
        <f t="shared" si="73"/>
        <v>0</v>
      </c>
      <c r="GM48" s="423">
        <f t="shared" si="74"/>
        <v>0</v>
      </c>
      <c r="GN48" s="423">
        <f t="shared" si="75"/>
        <v>0</v>
      </c>
      <c r="GO48" s="423">
        <f t="shared" si="76"/>
        <v>0</v>
      </c>
      <c r="GP48" s="423">
        <f t="shared" si="77"/>
        <v>0</v>
      </c>
      <c r="GQ48" s="423">
        <f t="shared" si="78"/>
        <v>0</v>
      </c>
      <c r="GR48" s="423">
        <f t="shared" si="79"/>
        <v>0</v>
      </c>
      <c r="GS48" s="423">
        <f t="shared" si="80"/>
        <v>0</v>
      </c>
      <c r="GT48" s="423">
        <f t="shared" si="81"/>
        <v>0</v>
      </c>
      <c r="GU48" s="423">
        <f t="shared" si="82"/>
        <v>0</v>
      </c>
      <c r="GV48" s="423">
        <f t="shared" si="83"/>
        <v>0</v>
      </c>
      <c r="GW48" s="423">
        <f t="shared" si="84"/>
        <v>0</v>
      </c>
      <c r="GX48" s="423">
        <f t="shared" si="85"/>
        <v>0</v>
      </c>
      <c r="GY48" s="423">
        <f t="shared" si="86"/>
        <v>0</v>
      </c>
      <c r="GZ48" s="423">
        <f t="shared" si="87"/>
        <v>0</v>
      </c>
      <c r="HA48" s="423">
        <f t="shared" si="88"/>
        <v>0</v>
      </c>
      <c r="HB48" s="423">
        <f t="shared" si="89"/>
        <v>0</v>
      </c>
      <c r="HC48" s="423">
        <f t="shared" si="90"/>
        <v>0</v>
      </c>
      <c r="HD48" s="423">
        <f t="shared" si="91"/>
        <v>0</v>
      </c>
      <c r="HE48" s="423">
        <f t="shared" si="92"/>
        <v>0</v>
      </c>
      <c r="HF48" s="423">
        <f t="shared" si="93"/>
        <v>0</v>
      </c>
      <c r="HG48" s="423">
        <f t="shared" si="94"/>
        <v>0</v>
      </c>
      <c r="HH48" s="423">
        <f t="shared" si="95"/>
        <v>0</v>
      </c>
      <c r="HI48" s="423">
        <f t="shared" si="96"/>
        <v>0</v>
      </c>
      <c r="HJ48" s="423">
        <f t="shared" si="97"/>
        <v>0</v>
      </c>
      <c r="HK48" s="423">
        <f t="shared" si="98"/>
        <v>0</v>
      </c>
      <c r="HL48" s="423">
        <f t="shared" si="99"/>
        <v>0</v>
      </c>
      <c r="HO48" s="120">
        <v>10</v>
      </c>
      <c r="HP48" s="492">
        <f>DATE(YEAR(EXPEDIENTE!$F$25)+1,HO48,1)</f>
        <v>45566</v>
      </c>
      <c r="HQ48" s="492" t="str">
        <f>IF('GASTOS EJER. 2'!BF58="","",'GASTOS EJER. 2'!BF58)</f>
        <v/>
      </c>
      <c r="HR48" s="500">
        <f>'GASTOS EJER. 2'!CM29</f>
        <v>0</v>
      </c>
      <c r="HS48" s="500">
        <f>'GASTOS EJER. 2'!BA58</f>
        <v>0</v>
      </c>
      <c r="HT48" s="423">
        <f t="shared" si="265"/>
        <v>0</v>
      </c>
      <c r="HU48" s="500">
        <f t="shared" si="220"/>
        <v>0</v>
      </c>
      <c r="JC48" s="416">
        <v>44</v>
      </c>
      <c r="JD48" s="398">
        <f t="shared" si="100"/>
        <v>16</v>
      </c>
    </row>
    <row r="49" spans="3:264" x14ac:dyDescent="0.25">
      <c r="C49" s="206">
        <v>43</v>
      </c>
      <c r="D49" s="401"/>
      <c r="E49" s="417"/>
      <c r="F49" s="418"/>
      <c r="G49" s="419"/>
      <c r="H49" s="419"/>
      <c r="I49" s="419"/>
      <c r="J49" s="401"/>
      <c r="K49" s="407">
        <f t="shared" si="52"/>
        <v>76</v>
      </c>
      <c r="L49" s="407">
        <f t="shared" si="53"/>
        <v>76</v>
      </c>
      <c r="M49" s="407" t="str">
        <f t="shared" si="54"/>
        <v>X</v>
      </c>
      <c r="Y49" s="422">
        <f t="shared" si="0"/>
        <v>44</v>
      </c>
      <c r="Z49" s="412" t="str">
        <f>IF(Y49="","",IF(EDATE($Z$5,Y49)&gt;EXPEDIENTE!$F$27,"",EDATE($Z$5,Y49)))</f>
        <v/>
      </c>
      <c r="AA49" s="412" t="str">
        <f>IF(Z49="","",IF(YEAR(EXPEDIENTE!$F$25)=YEAR(Z49),Z49,""))</f>
        <v/>
      </c>
      <c r="AB49" s="412" t="str">
        <f>IF(Z49="","",IF(YEAR(EXPEDIENTE!$F$25)+1=YEAR(Z49),Z49,""))</f>
        <v/>
      </c>
      <c r="AC49" s="412" t="str">
        <f>IF(Z49="","",IF(YEAR(EXPEDIENTE!$F$25)+2=YEAR(Z49),Z49,""))</f>
        <v/>
      </c>
      <c r="AD49" s="412" t="str">
        <f>IF(Z49="","",IF(YEAR(EXPEDIENTE!$F$25)+3=YEAR(Z49),Z49,""))</f>
        <v/>
      </c>
      <c r="AG49" s="392"/>
      <c r="AH49" s="392"/>
      <c r="AI49" s="392"/>
      <c r="AJ49" s="392"/>
      <c r="AK49" s="392"/>
      <c r="AL49" s="392"/>
      <c r="AM49" s="392"/>
      <c r="AN49" s="392"/>
      <c r="AO49" s="392"/>
      <c r="AP49" s="392"/>
      <c r="AQ49" s="392"/>
      <c r="AR49" s="392"/>
      <c r="AS49" s="392"/>
      <c r="AT49" s="392"/>
      <c r="AU49" s="392"/>
      <c r="AV49" s="392"/>
      <c r="AW49" s="392"/>
      <c r="AY49" s="423">
        <v>11</v>
      </c>
      <c r="AZ49" s="424" t="e">
        <f t="shared" si="171"/>
        <v>#VALUE!</v>
      </c>
      <c r="BA49" s="437">
        <f t="shared" si="172"/>
        <v>0</v>
      </c>
      <c r="BB49" s="423">
        <f t="shared" si="173"/>
        <v>0</v>
      </c>
      <c r="BC49" s="423">
        <f t="shared" si="174"/>
        <v>0</v>
      </c>
      <c r="BD49" s="423">
        <f t="shared" si="175"/>
        <v>0</v>
      </c>
      <c r="BE49" s="423">
        <f t="shared" si="176"/>
        <v>0</v>
      </c>
      <c r="BF49" s="423">
        <f t="shared" si="225"/>
        <v>0</v>
      </c>
      <c r="BG49" s="423">
        <f t="shared" si="177"/>
        <v>0</v>
      </c>
      <c r="BH49" s="438">
        <f t="shared" si="178"/>
        <v>0</v>
      </c>
      <c r="BI49" s="436">
        <f t="shared" si="179"/>
        <v>0</v>
      </c>
      <c r="BK49" s="433">
        <f t="shared" si="226"/>
        <v>0</v>
      </c>
      <c r="BL49" s="434">
        <f t="shared" si="227"/>
        <v>0</v>
      </c>
      <c r="BM49" s="434">
        <f t="shared" si="228"/>
        <v>0</v>
      </c>
      <c r="BN49" s="434">
        <f t="shared" si="229"/>
        <v>0</v>
      </c>
      <c r="BO49" s="434">
        <f t="shared" si="230"/>
        <v>0</v>
      </c>
      <c r="BP49" s="434">
        <f t="shared" si="231"/>
        <v>0</v>
      </c>
      <c r="BQ49" s="434">
        <f t="shared" si="232"/>
        <v>0</v>
      </c>
      <c r="BR49" s="435">
        <f t="shared" si="233"/>
        <v>0</v>
      </c>
      <c r="BS49" s="436">
        <f t="shared" si="234"/>
        <v>0</v>
      </c>
      <c r="BU49" s="436">
        <f t="shared" si="235"/>
        <v>0</v>
      </c>
      <c r="BX49" s="392"/>
      <c r="BY49" s="392"/>
      <c r="BZ49" s="392"/>
      <c r="CA49" s="392"/>
      <c r="CB49" s="392"/>
      <c r="CC49" s="392"/>
      <c r="CD49" s="392"/>
      <c r="CE49" s="392"/>
      <c r="CF49" s="392"/>
      <c r="CG49" s="392"/>
      <c r="CH49" s="392"/>
      <c r="CI49" s="392"/>
      <c r="CJ49" s="392"/>
      <c r="CK49" s="392"/>
      <c r="CL49" s="392"/>
      <c r="CM49" s="392"/>
      <c r="CN49" s="392"/>
      <c r="CP49" s="423">
        <v>11</v>
      </c>
      <c r="CQ49" s="424" t="e">
        <f t="shared" si="181"/>
        <v>#VALUE!</v>
      </c>
      <c r="CR49" s="437">
        <f t="shared" si="240"/>
        <v>0</v>
      </c>
      <c r="CS49" s="423">
        <f t="shared" si="241"/>
        <v>0</v>
      </c>
      <c r="CT49" s="423">
        <f t="shared" si="242"/>
        <v>0</v>
      </c>
      <c r="CU49" s="423">
        <f t="shared" si="243"/>
        <v>0</v>
      </c>
      <c r="CV49" s="423">
        <f t="shared" si="244"/>
        <v>0</v>
      </c>
      <c r="CW49" s="423">
        <f t="shared" si="245"/>
        <v>0</v>
      </c>
      <c r="CX49" s="423">
        <f t="shared" si="246"/>
        <v>0</v>
      </c>
      <c r="CY49" s="438">
        <f t="shared" si="247"/>
        <v>0</v>
      </c>
      <c r="CZ49" s="436">
        <f t="shared" si="182"/>
        <v>0</v>
      </c>
      <c r="DB49" s="437">
        <f t="shared" si="248"/>
        <v>0</v>
      </c>
      <c r="DC49" s="423">
        <f t="shared" si="249"/>
        <v>0</v>
      </c>
      <c r="DD49" s="423">
        <f t="shared" si="250"/>
        <v>0</v>
      </c>
      <c r="DE49" s="423">
        <f t="shared" si="251"/>
        <v>0</v>
      </c>
      <c r="DF49" s="423">
        <f t="shared" si="252"/>
        <v>0</v>
      </c>
      <c r="DG49" s="423">
        <f t="shared" si="253"/>
        <v>0</v>
      </c>
      <c r="DH49" s="423">
        <f t="shared" si="254"/>
        <v>0</v>
      </c>
      <c r="DI49" s="438">
        <f t="shared" si="255"/>
        <v>0</v>
      </c>
      <c r="DJ49" s="436">
        <f t="shared" si="256"/>
        <v>0</v>
      </c>
      <c r="DL49" s="436">
        <f t="shared" si="257"/>
        <v>0</v>
      </c>
      <c r="DN49" s="392"/>
      <c r="DX49" s="386">
        <v>30</v>
      </c>
      <c r="DY49" s="430">
        <f t="shared" si="101"/>
        <v>45962</v>
      </c>
      <c r="DZ49" s="430">
        <f t="shared" si="102"/>
        <v>45991</v>
      </c>
      <c r="EA49" s="386" t="str">
        <f>IF(AND(DZ49&gt;=EXPEDIENTE!$F$25,DY49&lt;=EXPEDIENTE!$F$29),"SI","NO")</f>
        <v>SI</v>
      </c>
      <c r="EB49" s="423">
        <f t="shared" si="186"/>
        <v>0</v>
      </c>
      <c r="EC49" s="423">
        <f t="shared" si="187"/>
        <v>0</v>
      </c>
      <c r="ED49" s="423">
        <f t="shared" si="188"/>
        <v>0</v>
      </c>
      <c r="EE49" s="423">
        <f t="shared" si="189"/>
        <v>0</v>
      </c>
      <c r="EF49" s="423">
        <f t="shared" si="190"/>
        <v>0</v>
      </c>
      <c r="EG49" s="423">
        <f t="shared" si="191"/>
        <v>0</v>
      </c>
      <c r="EH49" s="423">
        <f t="shared" si="192"/>
        <v>0</v>
      </c>
      <c r="EI49" s="423">
        <f t="shared" si="193"/>
        <v>0</v>
      </c>
      <c r="EJ49" s="423">
        <f t="shared" si="194"/>
        <v>0</v>
      </c>
      <c r="EK49" s="423">
        <f t="shared" si="195"/>
        <v>0</v>
      </c>
      <c r="EL49" s="423">
        <f t="shared" si="196"/>
        <v>0</v>
      </c>
      <c r="EM49" s="423">
        <f t="shared" si="197"/>
        <v>0</v>
      </c>
      <c r="EN49" s="423">
        <f t="shared" si="198"/>
        <v>0</v>
      </c>
      <c r="EO49" s="423">
        <f t="shared" si="199"/>
        <v>0</v>
      </c>
      <c r="EP49" s="423">
        <f t="shared" si="200"/>
        <v>0</v>
      </c>
      <c r="EQ49" s="423">
        <f t="shared" si="201"/>
        <v>0</v>
      </c>
      <c r="ER49" s="423">
        <f t="shared" si="202"/>
        <v>0</v>
      </c>
      <c r="ES49" s="423">
        <f t="shared" si="203"/>
        <v>0</v>
      </c>
      <c r="ET49" s="423">
        <f t="shared" si="204"/>
        <v>0</v>
      </c>
      <c r="EU49" s="423">
        <f t="shared" si="205"/>
        <v>0</v>
      </c>
      <c r="EV49" s="423">
        <f t="shared" si="206"/>
        <v>0</v>
      </c>
      <c r="EW49" s="423">
        <f t="shared" si="207"/>
        <v>0</v>
      </c>
      <c r="EX49" s="423">
        <f t="shared" si="208"/>
        <v>0</v>
      </c>
      <c r="EY49" s="423">
        <f t="shared" si="209"/>
        <v>0</v>
      </c>
      <c r="EZ49" s="423">
        <f t="shared" si="210"/>
        <v>0</v>
      </c>
      <c r="FA49" s="423">
        <f t="shared" si="211"/>
        <v>0</v>
      </c>
      <c r="FB49" s="423">
        <f t="shared" si="212"/>
        <v>0</v>
      </c>
      <c r="FC49" s="423">
        <f t="shared" si="213"/>
        <v>0</v>
      </c>
      <c r="FD49" s="423">
        <f t="shared" si="214"/>
        <v>0</v>
      </c>
      <c r="FE49" s="423">
        <f t="shared" si="215"/>
        <v>0</v>
      </c>
      <c r="FF49" s="423">
        <f t="shared" si="216"/>
        <v>0</v>
      </c>
      <c r="FG49" s="423">
        <f t="shared" si="217"/>
        <v>0</v>
      </c>
      <c r="FH49" s="423">
        <f t="shared" si="66"/>
        <v>0</v>
      </c>
      <c r="FJ49" s="120">
        <v>11</v>
      </c>
      <c r="FK49" s="492">
        <f>DATE(YEAR(EXPEDIENTE!$F$25)+1,FJ49,1)</f>
        <v>45597</v>
      </c>
      <c r="FL49" s="492" t="str">
        <f>IF('GASTOS EJER. 2'!I59="","",'GASTOS EJER. 2'!I59)</f>
        <v/>
      </c>
      <c r="FM49" s="500">
        <f>'GASTOS EJER. 2'!X30</f>
        <v>0</v>
      </c>
      <c r="FN49" s="500">
        <f>'GASTOS EJER. 2'!H59</f>
        <v>0</v>
      </c>
      <c r="FO49" s="423">
        <f t="shared" si="261"/>
        <v>0</v>
      </c>
      <c r="FP49" s="500">
        <f t="shared" si="218"/>
        <v>0</v>
      </c>
      <c r="FR49" s="392"/>
      <c r="GB49" s="386">
        <v>30</v>
      </c>
      <c r="GC49" s="430">
        <f t="shared" si="103"/>
        <v>45962</v>
      </c>
      <c r="GD49" s="430">
        <f t="shared" si="104"/>
        <v>45991</v>
      </c>
      <c r="GE49" s="386" t="str">
        <f>IF(AND(GD49&gt;=EXPEDIENTE!$F$25,GC49&lt;=EXPEDIENTE!$F$29),"SI","NO")</f>
        <v>SI</v>
      </c>
      <c r="GF49" s="423">
        <f t="shared" si="67"/>
        <v>0</v>
      </c>
      <c r="GG49" s="423">
        <f t="shared" si="68"/>
        <v>0</v>
      </c>
      <c r="GH49" s="423">
        <f t="shared" si="69"/>
        <v>0</v>
      </c>
      <c r="GI49" s="423">
        <f t="shared" si="70"/>
        <v>0</v>
      </c>
      <c r="GJ49" s="423">
        <f t="shared" si="71"/>
        <v>0</v>
      </c>
      <c r="GK49" s="423">
        <f t="shared" si="72"/>
        <v>0</v>
      </c>
      <c r="GL49" s="423">
        <f t="shared" si="73"/>
        <v>0</v>
      </c>
      <c r="GM49" s="423">
        <f t="shared" si="74"/>
        <v>0</v>
      </c>
      <c r="GN49" s="423">
        <f t="shared" si="75"/>
        <v>0</v>
      </c>
      <c r="GO49" s="423">
        <f t="shared" si="76"/>
        <v>0</v>
      </c>
      <c r="GP49" s="423">
        <f t="shared" si="77"/>
        <v>0</v>
      </c>
      <c r="GQ49" s="423">
        <f t="shared" si="78"/>
        <v>0</v>
      </c>
      <c r="GR49" s="423">
        <f t="shared" si="79"/>
        <v>0</v>
      </c>
      <c r="GS49" s="423">
        <f t="shared" si="80"/>
        <v>0</v>
      </c>
      <c r="GT49" s="423">
        <f t="shared" si="81"/>
        <v>0</v>
      </c>
      <c r="GU49" s="423">
        <f t="shared" si="82"/>
        <v>0</v>
      </c>
      <c r="GV49" s="423">
        <f t="shared" si="83"/>
        <v>0</v>
      </c>
      <c r="GW49" s="423">
        <f t="shared" si="84"/>
        <v>0</v>
      </c>
      <c r="GX49" s="423">
        <f t="shared" si="85"/>
        <v>0</v>
      </c>
      <c r="GY49" s="423">
        <f t="shared" si="86"/>
        <v>0</v>
      </c>
      <c r="GZ49" s="423">
        <f t="shared" si="87"/>
        <v>0</v>
      </c>
      <c r="HA49" s="423">
        <f t="shared" si="88"/>
        <v>0</v>
      </c>
      <c r="HB49" s="423">
        <f t="shared" si="89"/>
        <v>0</v>
      </c>
      <c r="HC49" s="423">
        <f t="shared" si="90"/>
        <v>0</v>
      </c>
      <c r="HD49" s="423">
        <f t="shared" si="91"/>
        <v>0</v>
      </c>
      <c r="HE49" s="423">
        <f t="shared" si="92"/>
        <v>0</v>
      </c>
      <c r="HF49" s="423">
        <f t="shared" si="93"/>
        <v>0</v>
      </c>
      <c r="HG49" s="423">
        <f t="shared" si="94"/>
        <v>0</v>
      </c>
      <c r="HH49" s="423">
        <f t="shared" si="95"/>
        <v>0</v>
      </c>
      <c r="HI49" s="423">
        <f t="shared" si="96"/>
        <v>0</v>
      </c>
      <c r="HJ49" s="423">
        <f t="shared" si="97"/>
        <v>0</v>
      </c>
      <c r="HK49" s="423">
        <f t="shared" si="98"/>
        <v>0</v>
      </c>
      <c r="HL49" s="423">
        <f t="shared" si="99"/>
        <v>0</v>
      </c>
      <c r="HO49" s="120">
        <v>11</v>
      </c>
      <c r="HP49" s="492">
        <f>DATE(YEAR(EXPEDIENTE!$F$25)+1,HO49,1)</f>
        <v>45597</v>
      </c>
      <c r="HQ49" s="492" t="str">
        <f>IF('GASTOS EJER. 2'!BF59="","",'GASTOS EJER. 2'!BF59)</f>
        <v/>
      </c>
      <c r="HR49" s="500">
        <f>'GASTOS EJER. 2'!CM30</f>
        <v>0</v>
      </c>
      <c r="HS49" s="500">
        <f>'GASTOS EJER. 2'!BA59</f>
        <v>0</v>
      </c>
      <c r="HT49" s="423">
        <f t="shared" si="265"/>
        <v>0</v>
      </c>
      <c r="HU49" s="500">
        <f t="shared" si="220"/>
        <v>0</v>
      </c>
      <c r="JC49" s="442">
        <v>45</v>
      </c>
      <c r="JD49" s="398">
        <f t="shared" si="100"/>
        <v>16</v>
      </c>
    </row>
    <row r="50" spans="3:264" ht="15.75" thickBot="1" x14ac:dyDescent="0.3">
      <c r="C50" s="206">
        <v>44</v>
      </c>
      <c r="D50" s="401"/>
      <c r="E50" s="417"/>
      <c r="F50" s="418"/>
      <c r="G50" s="419"/>
      <c r="H50" s="419"/>
      <c r="I50" s="419"/>
      <c r="J50" s="401"/>
      <c r="K50" s="407">
        <f t="shared" si="52"/>
        <v>76</v>
      </c>
      <c r="L50" s="407">
        <f t="shared" si="53"/>
        <v>76</v>
      </c>
      <c r="M50" s="407" t="str">
        <f t="shared" si="54"/>
        <v>X</v>
      </c>
      <c r="Y50" s="422">
        <f t="shared" si="0"/>
        <v>45</v>
      </c>
      <c r="Z50" s="412" t="str">
        <f>IF(Y50="","",IF(EDATE($Z$5,Y50)&gt;EXPEDIENTE!$F$27,"",EDATE($Z$5,Y50)))</f>
        <v/>
      </c>
      <c r="AA50" s="412" t="str">
        <f>IF(Z50="","",IF(YEAR(EXPEDIENTE!$F$25)=YEAR(Z50),Z50,""))</f>
        <v/>
      </c>
      <c r="AB50" s="412" t="str">
        <f>IF(Z50="","",IF(YEAR(EXPEDIENTE!$F$25)+1=YEAR(Z50),Z50,""))</f>
        <v/>
      </c>
      <c r="AC50" s="412" t="str">
        <f>IF(Z50="","",IF(YEAR(EXPEDIENTE!$F$25)+2=YEAR(Z50),Z50,""))</f>
        <v/>
      </c>
      <c r="AD50" s="412" t="str">
        <f>IF(Z50="","",IF(YEAR(EXPEDIENTE!$F$25)+3=YEAR(Z50),Z50,""))</f>
        <v/>
      </c>
      <c r="AG50" s="392"/>
      <c r="AH50" s="392"/>
      <c r="AI50" s="392"/>
      <c r="AJ50" s="392"/>
      <c r="AK50" s="392"/>
      <c r="AL50" s="392"/>
      <c r="AM50" s="392"/>
      <c r="AN50" s="392"/>
      <c r="AO50" s="392"/>
      <c r="AP50" s="392"/>
      <c r="AQ50" s="392"/>
      <c r="AR50" s="392"/>
      <c r="AS50" s="392"/>
      <c r="AT50" s="392"/>
      <c r="AU50" s="392"/>
      <c r="AV50" s="392"/>
      <c r="AW50" s="392"/>
      <c r="AY50" s="423">
        <v>12</v>
      </c>
      <c r="AZ50" s="424" t="e">
        <f t="shared" si="171"/>
        <v>#VALUE!</v>
      </c>
      <c r="BA50" s="450">
        <f t="shared" si="172"/>
        <v>0</v>
      </c>
      <c r="BB50" s="451">
        <f t="shared" si="173"/>
        <v>0</v>
      </c>
      <c r="BC50" s="451">
        <f t="shared" si="174"/>
        <v>0</v>
      </c>
      <c r="BD50" s="451">
        <f t="shared" si="175"/>
        <v>0</v>
      </c>
      <c r="BE50" s="451">
        <f t="shared" si="176"/>
        <v>0</v>
      </c>
      <c r="BF50" s="451">
        <f t="shared" si="225"/>
        <v>0</v>
      </c>
      <c r="BG50" s="451">
        <f t="shared" si="177"/>
        <v>0</v>
      </c>
      <c r="BH50" s="452">
        <f t="shared" si="178"/>
        <v>0</v>
      </c>
      <c r="BI50" s="449">
        <f t="shared" si="179"/>
        <v>0</v>
      </c>
      <c r="BK50" s="446">
        <f t="shared" si="226"/>
        <v>0</v>
      </c>
      <c r="BL50" s="447">
        <f t="shared" si="227"/>
        <v>0</v>
      </c>
      <c r="BM50" s="447">
        <f t="shared" si="228"/>
        <v>0</v>
      </c>
      <c r="BN50" s="447">
        <f t="shared" si="229"/>
        <v>0</v>
      </c>
      <c r="BO50" s="447">
        <f t="shared" si="230"/>
        <v>0</v>
      </c>
      <c r="BP50" s="447">
        <f t="shared" si="231"/>
        <v>0</v>
      </c>
      <c r="BQ50" s="447">
        <f t="shared" si="232"/>
        <v>0</v>
      </c>
      <c r="BR50" s="448">
        <f t="shared" si="233"/>
        <v>0</v>
      </c>
      <c r="BS50" s="449">
        <f t="shared" si="234"/>
        <v>0</v>
      </c>
      <c r="BU50" s="449">
        <f t="shared" si="235"/>
        <v>0</v>
      </c>
      <c r="BX50" s="392"/>
      <c r="BY50" s="392"/>
      <c r="BZ50" s="392"/>
      <c r="CA50" s="392"/>
      <c r="CB50" s="392"/>
      <c r="CC50" s="392"/>
      <c r="CD50" s="392"/>
      <c r="CE50" s="392"/>
      <c r="CF50" s="392"/>
      <c r="CG50" s="392"/>
      <c r="CH50" s="392"/>
      <c r="CI50" s="392"/>
      <c r="CJ50" s="392"/>
      <c r="CK50" s="392"/>
      <c r="CL50" s="392"/>
      <c r="CM50" s="392"/>
      <c r="CN50" s="392"/>
      <c r="CP50" s="423">
        <v>12</v>
      </c>
      <c r="CQ50" s="424" t="e">
        <f t="shared" si="181"/>
        <v>#VALUE!</v>
      </c>
      <c r="CR50" s="450">
        <f>IF($BY$39=0,0,IF($CR$37=0,0,IF(AND($CQ50&gt;=$CJ$39,$CQ50&lt;=$CK$39),$CN$39,0)))</f>
        <v>0</v>
      </c>
      <c r="CS50" s="451">
        <f t="shared" si="241"/>
        <v>0</v>
      </c>
      <c r="CT50" s="451">
        <f t="shared" si="242"/>
        <v>0</v>
      </c>
      <c r="CU50" s="451">
        <f t="shared" si="243"/>
        <v>0</v>
      </c>
      <c r="CV50" s="451">
        <f t="shared" si="244"/>
        <v>0</v>
      </c>
      <c r="CW50" s="451">
        <f t="shared" si="245"/>
        <v>0</v>
      </c>
      <c r="CX50" s="451">
        <f t="shared" si="246"/>
        <v>0</v>
      </c>
      <c r="CY50" s="452">
        <f t="shared" si="247"/>
        <v>0</v>
      </c>
      <c r="CZ50" s="449">
        <f t="shared" si="182"/>
        <v>0</v>
      </c>
      <c r="DB50" s="450">
        <f>IF($BY$55=0,0,IF($DB$37=0,0,IF(AND($CQ50&gt;=$CJ$55,$CQ50&lt;=$CK$55),$CN$55,0)))</f>
        <v>0</v>
      </c>
      <c r="DC50" s="451">
        <f t="shared" si="249"/>
        <v>0</v>
      </c>
      <c r="DD50" s="451">
        <f t="shared" si="250"/>
        <v>0</v>
      </c>
      <c r="DE50" s="451">
        <f t="shared" si="251"/>
        <v>0</v>
      </c>
      <c r="DF50" s="451">
        <f t="shared" si="252"/>
        <v>0</v>
      </c>
      <c r="DG50" s="451">
        <f t="shared" si="253"/>
        <v>0</v>
      </c>
      <c r="DH50" s="451">
        <f t="shared" si="254"/>
        <v>0</v>
      </c>
      <c r="DI50" s="452">
        <f t="shared" si="255"/>
        <v>0</v>
      </c>
      <c r="DJ50" s="449">
        <f t="shared" si="256"/>
        <v>0</v>
      </c>
      <c r="DL50" s="449">
        <f t="shared" si="257"/>
        <v>0</v>
      </c>
      <c r="DN50" s="392"/>
      <c r="DX50" s="386">
        <v>31</v>
      </c>
      <c r="DY50" s="430">
        <f t="shared" si="101"/>
        <v>45992</v>
      </c>
      <c r="DZ50" s="430">
        <f t="shared" si="102"/>
        <v>46022</v>
      </c>
      <c r="EA50" s="386" t="str">
        <f>IF(AND(DZ50&gt;=EXPEDIENTE!$F$25,DY50&lt;=EXPEDIENTE!$F$29),"SI","NO")</f>
        <v>SI</v>
      </c>
      <c r="EB50" s="423">
        <f t="shared" si="186"/>
        <v>0</v>
      </c>
      <c r="EC50" s="423">
        <f t="shared" si="187"/>
        <v>0</v>
      </c>
      <c r="ED50" s="423">
        <f t="shared" si="188"/>
        <v>0</v>
      </c>
      <c r="EE50" s="423">
        <f t="shared" si="189"/>
        <v>0</v>
      </c>
      <c r="EF50" s="423">
        <f t="shared" si="190"/>
        <v>0</v>
      </c>
      <c r="EG50" s="423">
        <f t="shared" si="191"/>
        <v>0</v>
      </c>
      <c r="EH50" s="423">
        <f t="shared" si="192"/>
        <v>0</v>
      </c>
      <c r="EI50" s="423">
        <f t="shared" si="193"/>
        <v>0</v>
      </c>
      <c r="EJ50" s="423">
        <f t="shared" si="194"/>
        <v>0</v>
      </c>
      <c r="EK50" s="423">
        <f t="shared" si="195"/>
        <v>0</v>
      </c>
      <c r="EL50" s="423">
        <f t="shared" si="196"/>
        <v>0</v>
      </c>
      <c r="EM50" s="423">
        <f t="shared" si="197"/>
        <v>0</v>
      </c>
      <c r="EN50" s="423">
        <f t="shared" si="198"/>
        <v>0</v>
      </c>
      <c r="EO50" s="423">
        <f t="shared" si="199"/>
        <v>0</v>
      </c>
      <c r="EP50" s="423">
        <f t="shared" si="200"/>
        <v>0</v>
      </c>
      <c r="EQ50" s="423">
        <f t="shared" si="201"/>
        <v>0</v>
      </c>
      <c r="ER50" s="423">
        <f t="shared" si="202"/>
        <v>0</v>
      </c>
      <c r="ES50" s="423">
        <f t="shared" si="203"/>
        <v>0</v>
      </c>
      <c r="ET50" s="423">
        <f t="shared" si="204"/>
        <v>0</v>
      </c>
      <c r="EU50" s="423">
        <f t="shared" si="205"/>
        <v>0</v>
      </c>
      <c r="EV50" s="423">
        <f t="shared" si="206"/>
        <v>0</v>
      </c>
      <c r="EW50" s="423">
        <f t="shared" si="207"/>
        <v>0</v>
      </c>
      <c r="EX50" s="423">
        <f t="shared" si="208"/>
        <v>0</v>
      </c>
      <c r="EY50" s="423">
        <f t="shared" si="209"/>
        <v>0</v>
      </c>
      <c r="EZ50" s="423">
        <f t="shared" si="210"/>
        <v>0</v>
      </c>
      <c r="FA50" s="423">
        <f t="shared" si="211"/>
        <v>0</v>
      </c>
      <c r="FB50" s="423">
        <f t="shared" si="212"/>
        <v>0</v>
      </c>
      <c r="FC50" s="423">
        <f t="shared" si="213"/>
        <v>0</v>
      </c>
      <c r="FD50" s="423">
        <f t="shared" si="214"/>
        <v>0</v>
      </c>
      <c r="FE50" s="423">
        <f t="shared" si="215"/>
        <v>0</v>
      </c>
      <c r="FF50" s="423">
        <f t="shared" si="216"/>
        <v>0</v>
      </c>
      <c r="FG50" s="423">
        <f t="shared" si="217"/>
        <v>0</v>
      </c>
      <c r="FH50" s="423">
        <f t="shared" si="66"/>
        <v>0</v>
      </c>
      <c r="FJ50" s="120">
        <v>12</v>
      </c>
      <c r="FK50" s="492">
        <f>DATE(YEAR(EXPEDIENTE!$F$25)+1,FJ50,1)</f>
        <v>45627</v>
      </c>
      <c r="FL50" s="492" t="str">
        <f>IF('GASTOS EJER. 2'!I60="","",'GASTOS EJER. 2'!I60)</f>
        <v/>
      </c>
      <c r="FM50" s="500">
        <f>'GASTOS EJER. 2'!X31</f>
        <v>0</v>
      </c>
      <c r="FN50" s="500">
        <f>'GASTOS EJER. 2'!H60</f>
        <v>0</v>
      </c>
      <c r="FO50" s="423">
        <f t="shared" si="261"/>
        <v>0</v>
      </c>
      <c r="FP50" s="500">
        <f t="shared" si="218"/>
        <v>0</v>
      </c>
      <c r="FR50" s="392"/>
      <c r="GB50" s="386">
        <v>31</v>
      </c>
      <c r="GC50" s="430">
        <f t="shared" si="103"/>
        <v>45992</v>
      </c>
      <c r="GD50" s="430">
        <f t="shared" si="104"/>
        <v>46022</v>
      </c>
      <c r="GE50" s="386" t="str">
        <f>IF(AND(GD50&gt;=EXPEDIENTE!$F$25,GC50&lt;=EXPEDIENTE!$F$29),"SI","NO")</f>
        <v>SI</v>
      </c>
      <c r="GF50" s="423">
        <f t="shared" si="67"/>
        <v>0</v>
      </c>
      <c r="GG50" s="423">
        <f t="shared" si="68"/>
        <v>0</v>
      </c>
      <c r="GH50" s="423">
        <f t="shared" si="69"/>
        <v>0</v>
      </c>
      <c r="GI50" s="423">
        <f t="shared" si="70"/>
        <v>0</v>
      </c>
      <c r="GJ50" s="423">
        <f t="shared" si="71"/>
        <v>0</v>
      </c>
      <c r="GK50" s="423">
        <f t="shared" si="72"/>
        <v>0</v>
      </c>
      <c r="GL50" s="423">
        <f t="shared" si="73"/>
        <v>0</v>
      </c>
      <c r="GM50" s="423">
        <f t="shared" si="74"/>
        <v>0</v>
      </c>
      <c r="GN50" s="423">
        <f t="shared" si="75"/>
        <v>0</v>
      </c>
      <c r="GO50" s="423">
        <f t="shared" si="76"/>
        <v>0</v>
      </c>
      <c r="GP50" s="423">
        <f t="shared" si="77"/>
        <v>0</v>
      </c>
      <c r="GQ50" s="423">
        <f t="shared" si="78"/>
        <v>0</v>
      </c>
      <c r="GR50" s="423">
        <f t="shared" si="79"/>
        <v>0</v>
      </c>
      <c r="GS50" s="423">
        <f t="shared" si="80"/>
        <v>0</v>
      </c>
      <c r="GT50" s="423">
        <f t="shared" si="81"/>
        <v>0</v>
      </c>
      <c r="GU50" s="423">
        <f t="shared" si="82"/>
        <v>0</v>
      </c>
      <c r="GV50" s="423">
        <f t="shared" si="83"/>
        <v>0</v>
      </c>
      <c r="GW50" s="423">
        <f t="shared" si="84"/>
        <v>0</v>
      </c>
      <c r="GX50" s="423">
        <f t="shared" si="85"/>
        <v>0</v>
      </c>
      <c r="GY50" s="423">
        <f t="shared" si="86"/>
        <v>0</v>
      </c>
      <c r="GZ50" s="423">
        <f t="shared" si="87"/>
        <v>0</v>
      </c>
      <c r="HA50" s="423">
        <f t="shared" si="88"/>
        <v>0</v>
      </c>
      <c r="HB50" s="423">
        <f t="shared" si="89"/>
        <v>0</v>
      </c>
      <c r="HC50" s="423">
        <f t="shared" si="90"/>
        <v>0</v>
      </c>
      <c r="HD50" s="423">
        <f t="shared" si="91"/>
        <v>0</v>
      </c>
      <c r="HE50" s="423">
        <f t="shared" si="92"/>
        <v>0</v>
      </c>
      <c r="HF50" s="423">
        <f t="shared" si="93"/>
        <v>0</v>
      </c>
      <c r="HG50" s="423">
        <f t="shared" si="94"/>
        <v>0</v>
      </c>
      <c r="HH50" s="423">
        <f t="shared" si="95"/>
        <v>0</v>
      </c>
      <c r="HI50" s="423">
        <f t="shared" si="96"/>
        <v>0</v>
      </c>
      <c r="HJ50" s="423">
        <f t="shared" si="97"/>
        <v>0</v>
      </c>
      <c r="HK50" s="423">
        <f t="shared" si="98"/>
        <v>0</v>
      </c>
      <c r="HL50" s="423">
        <f t="shared" si="99"/>
        <v>0</v>
      </c>
      <c r="HO50" s="120">
        <v>12</v>
      </c>
      <c r="HP50" s="492">
        <f>DATE(YEAR(EXPEDIENTE!$F$25)+1,HO50,1)</f>
        <v>45627</v>
      </c>
      <c r="HQ50" s="492" t="str">
        <f>IF('GASTOS EJER. 2'!BF60="","",'GASTOS EJER. 2'!BF60)</f>
        <v/>
      </c>
      <c r="HR50" s="500">
        <f>'GASTOS EJER. 2'!CM31</f>
        <v>0</v>
      </c>
      <c r="HS50" s="500">
        <f>'GASTOS EJER. 2'!BA60</f>
        <v>0</v>
      </c>
      <c r="HT50" s="423">
        <f t="shared" si="265"/>
        <v>0</v>
      </c>
      <c r="HU50" s="500">
        <f t="shared" si="220"/>
        <v>0</v>
      </c>
      <c r="JC50" s="406">
        <v>46</v>
      </c>
      <c r="JD50" s="398">
        <f t="shared" si="100"/>
        <v>18</v>
      </c>
    </row>
    <row r="51" spans="3:264" ht="15.75" customHeight="1" thickBot="1" x14ac:dyDescent="0.3">
      <c r="C51" s="206">
        <v>45</v>
      </c>
      <c r="D51" s="401"/>
      <c r="E51" s="417"/>
      <c r="F51" s="418"/>
      <c r="G51" s="419"/>
      <c r="H51" s="419"/>
      <c r="I51" s="419"/>
      <c r="J51" s="401"/>
      <c r="K51" s="407">
        <f t="shared" si="52"/>
        <v>76</v>
      </c>
      <c r="L51" s="407">
        <f t="shared" si="53"/>
        <v>76</v>
      </c>
      <c r="M51" s="407" t="str">
        <f t="shared" si="54"/>
        <v>X</v>
      </c>
      <c r="Y51" s="422">
        <f t="shared" si="0"/>
        <v>46</v>
      </c>
      <c r="Z51" s="412" t="str">
        <f>IF(Y51="","",IF(EDATE($Z$5,Y51)&gt;EXPEDIENTE!$F$27,"",EDATE($Z$5,Y51)))</f>
        <v/>
      </c>
      <c r="AA51" s="412" t="str">
        <f>IF(Z51="","",IF(YEAR(EXPEDIENTE!$F$25)=YEAR(Z51),Z51,""))</f>
        <v/>
      </c>
      <c r="AB51" s="412" t="str">
        <f>IF(Z51="","",IF(YEAR(EXPEDIENTE!$F$25)+1=YEAR(Z51),Z51,""))</f>
        <v/>
      </c>
      <c r="AC51" s="412" t="str">
        <f>IF(Z51="","",IF(YEAR(EXPEDIENTE!$F$25)+2=YEAR(Z51),Z51,""))</f>
        <v/>
      </c>
      <c r="AD51" s="412" t="str">
        <f>IF(Z51="","",IF(YEAR(EXPEDIENTE!$F$25)+3=YEAR(Z51),Z51,""))</f>
        <v/>
      </c>
      <c r="AG51" s="392"/>
      <c r="AL51" s="1012" t="s">
        <v>348</v>
      </c>
      <c r="AM51" s="1013" t="s">
        <v>64</v>
      </c>
      <c r="AN51" s="1014" t="s">
        <v>71</v>
      </c>
      <c r="AO51" s="1015" t="s">
        <v>203</v>
      </c>
      <c r="AP51" s="1010" t="s">
        <v>109</v>
      </c>
      <c r="AQ51" s="959"/>
      <c r="AR51" s="1011"/>
      <c r="AS51" s="1010" t="s">
        <v>202</v>
      </c>
      <c r="AT51" s="959"/>
      <c r="AU51" s="1011"/>
      <c r="AV51" s="1024" t="s">
        <v>204</v>
      </c>
      <c r="AW51" s="1018" t="s">
        <v>205</v>
      </c>
      <c r="AZ51" s="454"/>
      <c r="BX51" s="392"/>
      <c r="CC51" s="1012" t="s">
        <v>348</v>
      </c>
      <c r="CD51" s="1013" t="s">
        <v>64</v>
      </c>
      <c r="CE51" s="1014" t="s">
        <v>71</v>
      </c>
      <c r="CF51" s="1015" t="s">
        <v>203</v>
      </c>
      <c r="CG51" s="1010" t="s">
        <v>109</v>
      </c>
      <c r="CH51" s="959"/>
      <c r="CI51" s="1011"/>
      <c r="CJ51" s="1010" t="s">
        <v>202</v>
      </c>
      <c r="CK51" s="959"/>
      <c r="CL51" s="1011"/>
      <c r="CM51" s="1024" t="s">
        <v>204</v>
      </c>
      <c r="CN51" s="1018" t="s">
        <v>205</v>
      </c>
      <c r="CQ51" s="454"/>
      <c r="DN51" s="392"/>
      <c r="DO51" s="516" t="e">
        <f>AF55</f>
        <v>#VALUE!</v>
      </c>
      <c r="DP51" s="394"/>
      <c r="DQ51" s="394"/>
      <c r="DR51" s="394"/>
      <c r="DX51" s="386">
        <v>32</v>
      </c>
      <c r="DY51" s="430">
        <f t="shared" si="101"/>
        <v>46023</v>
      </c>
      <c r="DZ51" s="430">
        <f t="shared" si="102"/>
        <v>46053</v>
      </c>
      <c r="EA51" s="386" t="str">
        <f>IF(AND(DZ51&gt;=EXPEDIENTE!$F$25,DY51&lt;=EXPEDIENTE!$F$29),"SI","NO")</f>
        <v>SI</v>
      </c>
      <c r="EB51" s="423">
        <f t="shared" si="186"/>
        <v>0</v>
      </c>
      <c r="EC51" s="423">
        <f t="shared" si="187"/>
        <v>0</v>
      </c>
      <c r="ED51" s="423">
        <f t="shared" si="188"/>
        <v>0</v>
      </c>
      <c r="EE51" s="423">
        <f t="shared" si="189"/>
        <v>0</v>
      </c>
      <c r="EF51" s="423">
        <f t="shared" si="190"/>
        <v>0</v>
      </c>
      <c r="EG51" s="423">
        <f t="shared" si="191"/>
        <v>0</v>
      </c>
      <c r="EH51" s="423">
        <f t="shared" si="192"/>
        <v>0</v>
      </c>
      <c r="EI51" s="423">
        <f t="shared" si="193"/>
        <v>0</v>
      </c>
      <c r="EJ51" s="423">
        <f t="shared" si="194"/>
        <v>0</v>
      </c>
      <c r="EK51" s="423">
        <f t="shared" si="195"/>
        <v>0</v>
      </c>
      <c r="EL51" s="423">
        <f t="shared" si="196"/>
        <v>0</v>
      </c>
      <c r="EM51" s="423">
        <f t="shared" si="197"/>
        <v>0</v>
      </c>
      <c r="EN51" s="423">
        <f t="shared" si="198"/>
        <v>0</v>
      </c>
      <c r="EO51" s="423">
        <f t="shared" si="199"/>
        <v>0</v>
      </c>
      <c r="EP51" s="423">
        <f t="shared" si="200"/>
        <v>0</v>
      </c>
      <c r="EQ51" s="423">
        <f t="shared" si="201"/>
        <v>0</v>
      </c>
      <c r="ER51" s="423">
        <f t="shared" si="202"/>
        <v>0</v>
      </c>
      <c r="ES51" s="423">
        <f t="shared" si="203"/>
        <v>0</v>
      </c>
      <c r="ET51" s="423">
        <f t="shared" si="204"/>
        <v>0</v>
      </c>
      <c r="EU51" s="423">
        <f t="shared" si="205"/>
        <v>0</v>
      </c>
      <c r="EV51" s="423">
        <f t="shared" si="206"/>
        <v>0</v>
      </c>
      <c r="EW51" s="423">
        <f t="shared" si="207"/>
        <v>0</v>
      </c>
      <c r="EX51" s="423">
        <f t="shared" si="208"/>
        <v>0</v>
      </c>
      <c r="EY51" s="423">
        <f t="shared" si="209"/>
        <v>0</v>
      </c>
      <c r="EZ51" s="423">
        <f t="shared" si="210"/>
        <v>0</v>
      </c>
      <c r="FA51" s="423">
        <f t="shared" si="211"/>
        <v>0</v>
      </c>
      <c r="FB51" s="423">
        <f t="shared" si="212"/>
        <v>0</v>
      </c>
      <c r="FC51" s="423">
        <f t="shared" si="213"/>
        <v>0</v>
      </c>
      <c r="FD51" s="423">
        <f t="shared" si="214"/>
        <v>0</v>
      </c>
      <c r="FE51" s="423">
        <f t="shared" si="215"/>
        <v>0</v>
      </c>
      <c r="FF51" s="423">
        <f t="shared" si="216"/>
        <v>0</v>
      </c>
      <c r="FG51" s="423">
        <f t="shared" si="217"/>
        <v>0</v>
      </c>
      <c r="FH51" s="423">
        <f t="shared" si="66"/>
        <v>0</v>
      </c>
      <c r="FJ51" s="123"/>
      <c r="FK51" s="517"/>
      <c r="FL51" s="517"/>
      <c r="FM51" s="518"/>
      <c r="FN51" s="518"/>
      <c r="FP51" s="518"/>
      <c r="FR51" s="392"/>
      <c r="FS51" s="456" t="e">
        <f>BW55</f>
        <v>#VALUE!</v>
      </c>
      <c r="FT51" s="394"/>
      <c r="FU51" s="394"/>
      <c r="FV51" s="394"/>
      <c r="GB51" s="386">
        <v>32</v>
      </c>
      <c r="GC51" s="430">
        <f t="shared" si="103"/>
        <v>46023</v>
      </c>
      <c r="GD51" s="430">
        <f t="shared" si="104"/>
        <v>46053</v>
      </c>
      <c r="GE51" s="386" t="str">
        <f>IF(AND(GD51&gt;=EXPEDIENTE!$F$25,GC51&lt;=EXPEDIENTE!$F$29),"SI","NO")</f>
        <v>SI</v>
      </c>
      <c r="GF51" s="423">
        <f t="shared" si="67"/>
        <v>0</v>
      </c>
      <c r="GG51" s="423">
        <f t="shared" si="68"/>
        <v>0</v>
      </c>
      <c r="GH51" s="423">
        <f t="shared" si="69"/>
        <v>0</v>
      </c>
      <c r="GI51" s="423">
        <f t="shared" si="70"/>
        <v>0</v>
      </c>
      <c r="GJ51" s="423">
        <f t="shared" si="71"/>
        <v>0</v>
      </c>
      <c r="GK51" s="423">
        <f t="shared" si="72"/>
        <v>0</v>
      </c>
      <c r="GL51" s="423">
        <f t="shared" si="73"/>
        <v>0</v>
      </c>
      <c r="GM51" s="423">
        <f t="shared" si="74"/>
        <v>0</v>
      </c>
      <c r="GN51" s="423">
        <f t="shared" si="75"/>
        <v>0</v>
      </c>
      <c r="GO51" s="423">
        <f t="shared" si="76"/>
        <v>0</v>
      </c>
      <c r="GP51" s="423">
        <f t="shared" si="77"/>
        <v>0</v>
      </c>
      <c r="GQ51" s="423">
        <f t="shared" si="78"/>
        <v>0</v>
      </c>
      <c r="GR51" s="423">
        <f t="shared" si="79"/>
        <v>0</v>
      </c>
      <c r="GS51" s="423">
        <f t="shared" si="80"/>
        <v>0</v>
      </c>
      <c r="GT51" s="423">
        <f t="shared" si="81"/>
        <v>0</v>
      </c>
      <c r="GU51" s="423">
        <f t="shared" si="82"/>
        <v>0</v>
      </c>
      <c r="GV51" s="423">
        <f t="shared" si="83"/>
        <v>0</v>
      </c>
      <c r="GW51" s="423">
        <f t="shared" si="84"/>
        <v>0</v>
      </c>
      <c r="GX51" s="423">
        <f t="shared" si="85"/>
        <v>0</v>
      </c>
      <c r="GY51" s="423">
        <f t="shared" si="86"/>
        <v>0</v>
      </c>
      <c r="GZ51" s="423">
        <f t="shared" si="87"/>
        <v>0</v>
      </c>
      <c r="HA51" s="423">
        <f t="shared" si="88"/>
        <v>0</v>
      </c>
      <c r="HB51" s="423">
        <f t="shared" si="89"/>
        <v>0</v>
      </c>
      <c r="HC51" s="423">
        <f t="shared" si="90"/>
        <v>0</v>
      </c>
      <c r="HD51" s="423">
        <f t="shared" si="91"/>
        <v>0</v>
      </c>
      <c r="HE51" s="423">
        <f t="shared" si="92"/>
        <v>0</v>
      </c>
      <c r="HF51" s="423">
        <f t="shared" si="93"/>
        <v>0</v>
      </c>
      <c r="HG51" s="423">
        <f t="shared" si="94"/>
        <v>0</v>
      </c>
      <c r="HH51" s="423">
        <f t="shared" si="95"/>
        <v>0</v>
      </c>
      <c r="HI51" s="423">
        <f t="shared" si="96"/>
        <v>0</v>
      </c>
      <c r="HJ51" s="423">
        <f t="shared" si="97"/>
        <v>0</v>
      </c>
      <c r="HK51" s="423">
        <f t="shared" si="98"/>
        <v>0</v>
      </c>
      <c r="HL51" s="423">
        <f t="shared" si="99"/>
        <v>0</v>
      </c>
      <c r="HO51" s="123"/>
      <c r="HP51" s="517"/>
      <c r="HQ51" s="517"/>
      <c r="HR51" s="518"/>
      <c r="HS51" s="518"/>
      <c r="HU51" s="518"/>
      <c r="JC51" s="416">
        <v>47</v>
      </c>
      <c r="JD51" s="398">
        <f t="shared" si="100"/>
        <v>18</v>
      </c>
    </row>
    <row r="52" spans="3:264" ht="15.75" thickBot="1" x14ac:dyDescent="0.3">
      <c r="C52" s="206">
        <v>46</v>
      </c>
      <c r="D52" s="401"/>
      <c r="E52" s="417"/>
      <c r="F52" s="418"/>
      <c r="G52" s="419"/>
      <c r="H52" s="419"/>
      <c r="I52" s="419"/>
      <c r="J52" s="401"/>
      <c r="K52" s="407">
        <f t="shared" si="52"/>
        <v>76</v>
      </c>
      <c r="L52" s="407">
        <f t="shared" si="53"/>
        <v>76</v>
      </c>
      <c r="M52" s="407" t="str">
        <f t="shared" si="54"/>
        <v>X</v>
      </c>
      <c r="Y52" s="422">
        <f t="shared" si="0"/>
        <v>47</v>
      </c>
      <c r="Z52" s="412" t="str">
        <f>IF(Y52="","",IF(EDATE($Z$5,Y52)&gt;EXPEDIENTE!$F$27,"",EDATE($Z$5,Y52)))</f>
        <v/>
      </c>
      <c r="AA52" s="412" t="str">
        <f>IF(Z52="","",IF(YEAR(EXPEDIENTE!$F$25)=YEAR(Z52),Z52,""))</f>
        <v/>
      </c>
      <c r="AB52" s="412" t="str">
        <f>IF(Z52="","",IF(YEAR(EXPEDIENTE!$F$25)+1=YEAR(Z52),Z52,""))</f>
        <v/>
      </c>
      <c r="AC52" s="412" t="str">
        <f>IF(Z52="","",IF(YEAR(EXPEDIENTE!$F$25)+2=YEAR(Z52),Z52,""))</f>
        <v/>
      </c>
      <c r="AD52" s="412" t="str">
        <f>IF(Z52="","",IF(YEAR(EXPEDIENTE!$F$25)+3=YEAR(Z52),Z52,""))</f>
        <v/>
      </c>
      <c r="AG52" s="392"/>
      <c r="AH52" s="1001" t="s">
        <v>189</v>
      </c>
      <c r="AI52" s="1004" t="s">
        <v>190</v>
      </c>
      <c r="AJ52" s="1007" t="s">
        <v>191</v>
      </c>
      <c r="AL52" s="997"/>
      <c r="AM52" s="999"/>
      <c r="AN52" s="969"/>
      <c r="AO52" s="1016"/>
      <c r="AP52" s="997" t="s">
        <v>192</v>
      </c>
      <c r="AQ52" s="999" t="s">
        <v>110</v>
      </c>
      <c r="AR52" s="967" t="s">
        <v>81</v>
      </c>
      <c r="AS52" s="1026" t="s">
        <v>68</v>
      </c>
      <c r="AT52" s="969" t="s">
        <v>69</v>
      </c>
      <c r="AU52" s="967" t="s">
        <v>111</v>
      </c>
      <c r="AV52" s="1025"/>
      <c r="AW52" s="1019"/>
      <c r="AZ52" s="454"/>
      <c r="BA52" s="992" t="e">
        <f>CONCATENATE("P.P. OTRAS NÓMINAS ABONADAS EN ",AZ54)</f>
        <v>#VALUE!</v>
      </c>
      <c r="BB52" s="993"/>
      <c r="BC52" s="993"/>
      <c r="BD52" s="993"/>
      <c r="BE52" s="993"/>
      <c r="BF52" s="993"/>
      <c r="BG52" s="993"/>
      <c r="BH52" s="993"/>
      <c r="BI52" s="994"/>
      <c r="BK52" s="992" t="e">
        <f>CONCATENATE("P.P. OTRAS NÓMINAS ABONADAS EN ",AZ70)</f>
        <v>#VALUE!</v>
      </c>
      <c r="BL52" s="993"/>
      <c r="BM52" s="993"/>
      <c r="BN52" s="993"/>
      <c r="BO52" s="993"/>
      <c r="BP52" s="993"/>
      <c r="BQ52" s="993"/>
      <c r="BR52" s="993"/>
      <c r="BS52" s="994"/>
      <c r="BU52" s="1030" t="s">
        <v>58</v>
      </c>
      <c r="BX52" s="392"/>
      <c r="BY52" s="1001" t="s">
        <v>189</v>
      </c>
      <c r="BZ52" s="1004" t="s">
        <v>190</v>
      </c>
      <c r="CA52" s="1007" t="s">
        <v>191</v>
      </c>
      <c r="CC52" s="997"/>
      <c r="CD52" s="999"/>
      <c r="CE52" s="969"/>
      <c r="CF52" s="1016"/>
      <c r="CG52" s="997" t="s">
        <v>192</v>
      </c>
      <c r="CH52" s="999" t="s">
        <v>110</v>
      </c>
      <c r="CI52" s="967" t="s">
        <v>81</v>
      </c>
      <c r="CJ52" s="1026" t="s">
        <v>68</v>
      </c>
      <c r="CK52" s="969" t="s">
        <v>69</v>
      </c>
      <c r="CL52" s="967" t="s">
        <v>111</v>
      </c>
      <c r="CM52" s="1025"/>
      <c r="CN52" s="1019"/>
      <c r="CQ52" s="454"/>
      <c r="CR52" s="992" t="e">
        <f>CONCATENATE("P.P. OTRAS NÓMINAS ABONADAS EN ",CQ54)</f>
        <v>#VALUE!</v>
      </c>
      <c r="CS52" s="993"/>
      <c r="CT52" s="993"/>
      <c r="CU52" s="993"/>
      <c r="CV52" s="993"/>
      <c r="CW52" s="993"/>
      <c r="CX52" s="993"/>
      <c r="CY52" s="993"/>
      <c r="CZ52" s="994"/>
      <c r="DB52" s="992" t="e">
        <f>CONCATENATE("P.P. OTRAS NÓMINAS ABONADAS EN ",CQ70)</f>
        <v>#VALUE!</v>
      </c>
      <c r="DC52" s="993"/>
      <c r="DD52" s="993"/>
      <c r="DE52" s="993"/>
      <c r="DF52" s="993"/>
      <c r="DG52" s="993"/>
      <c r="DH52" s="993"/>
      <c r="DI52" s="993"/>
      <c r="DJ52" s="994"/>
      <c r="DL52" s="1030" t="s">
        <v>58</v>
      </c>
      <c r="DN52" s="392"/>
      <c r="DO52" s="956" t="s">
        <v>70</v>
      </c>
      <c r="DP52" s="959" t="s">
        <v>202</v>
      </c>
      <c r="DQ52" s="959"/>
      <c r="DR52" s="959"/>
      <c r="DS52" s="960" t="s">
        <v>134</v>
      </c>
      <c r="DT52" s="960" t="s">
        <v>352</v>
      </c>
      <c r="DU52" s="963" t="s">
        <v>353</v>
      </c>
      <c r="DV52" s="966" t="s">
        <v>205</v>
      </c>
      <c r="DX52" s="386">
        <v>33</v>
      </c>
      <c r="DY52" s="430">
        <f t="shared" si="101"/>
        <v>46054</v>
      </c>
      <c r="DZ52" s="430">
        <f t="shared" si="102"/>
        <v>46081</v>
      </c>
      <c r="EA52" s="386" t="str">
        <f>IF(AND(DZ52&gt;=EXPEDIENTE!$F$25,DY52&lt;=EXPEDIENTE!$F$29),"SI","NO")</f>
        <v>SI</v>
      </c>
      <c r="EB52" s="423">
        <f t="shared" si="186"/>
        <v>0</v>
      </c>
      <c r="EC52" s="423">
        <f t="shared" si="187"/>
        <v>0</v>
      </c>
      <c r="ED52" s="423">
        <f t="shared" si="188"/>
        <v>0</v>
      </c>
      <c r="EE52" s="423">
        <f t="shared" si="189"/>
        <v>0</v>
      </c>
      <c r="EF52" s="423">
        <f t="shared" si="190"/>
        <v>0</v>
      </c>
      <c r="EG52" s="423">
        <f t="shared" si="191"/>
        <v>0</v>
      </c>
      <c r="EH52" s="423">
        <f t="shared" si="192"/>
        <v>0</v>
      </c>
      <c r="EI52" s="423">
        <f t="shared" si="193"/>
        <v>0</v>
      </c>
      <c r="EJ52" s="423">
        <f t="shared" si="194"/>
        <v>0</v>
      </c>
      <c r="EK52" s="423">
        <f t="shared" si="195"/>
        <v>0</v>
      </c>
      <c r="EL52" s="423">
        <f t="shared" si="196"/>
        <v>0</v>
      </c>
      <c r="EM52" s="423">
        <f t="shared" si="197"/>
        <v>0</v>
      </c>
      <c r="EN52" s="423">
        <f t="shared" si="198"/>
        <v>0</v>
      </c>
      <c r="EO52" s="423">
        <f t="shared" si="199"/>
        <v>0</v>
      </c>
      <c r="EP52" s="423">
        <f t="shared" si="200"/>
        <v>0</v>
      </c>
      <c r="EQ52" s="423">
        <f t="shared" si="201"/>
        <v>0</v>
      </c>
      <c r="ER52" s="423">
        <f t="shared" si="202"/>
        <v>0</v>
      </c>
      <c r="ES52" s="423">
        <f t="shared" si="203"/>
        <v>0</v>
      </c>
      <c r="ET52" s="423">
        <f t="shared" si="204"/>
        <v>0</v>
      </c>
      <c r="EU52" s="423">
        <f t="shared" si="205"/>
        <v>0</v>
      </c>
      <c r="EV52" s="423">
        <f t="shared" si="206"/>
        <v>0</v>
      </c>
      <c r="EW52" s="423">
        <f t="shared" si="207"/>
        <v>0</v>
      </c>
      <c r="EX52" s="423">
        <f t="shared" si="208"/>
        <v>0</v>
      </c>
      <c r="EY52" s="423">
        <f t="shared" si="209"/>
        <v>0</v>
      </c>
      <c r="EZ52" s="423">
        <f t="shared" si="210"/>
        <v>0</v>
      </c>
      <c r="FA52" s="423">
        <f t="shared" si="211"/>
        <v>0</v>
      </c>
      <c r="FB52" s="423">
        <f t="shared" si="212"/>
        <v>0</v>
      </c>
      <c r="FC52" s="423">
        <f t="shared" si="213"/>
        <v>0</v>
      </c>
      <c r="FD52" s="423">
        <f t="shared" si="214"/>
        <v>0</v>
      </c>
      <c r="FE52" s="423">
        <f t="shared" si="215"/>
        <v>0</v>
      </c>
      <c r="FF52" s="423">
        <f t="shared" si="216"/>
        <v>0</v>
      </c>
      <c r="FG52" s="423">
        <f t="shared" si="217"/>
        <v>0</v>
      </c>
      <c r="FH52" s="423">
        <f t="shared" si="66"/>
        <v>0</v>
      </c>
      <c r="FJ52" s="123"/>
      <c r="FK52" s="517"/>
      <c r="FL52" s="517"/>
      <c r="FM52" s="518"/>
      <c r="FN52" s="518"/>
      <c r="FP52" s="518"/>
      <c r="FR52" s="392"/>
      <c r="FS52" s="956" t="s">
        <v>70</v>
      </c>
      <c r="FT52" s="959" t="s">
        <v>202</v>
      </c>
      <c r="FU52" s="959"/>
      <c r="FV52" s="959"/>
      <c r="FW52" s="960" t="s">
        <v>134</v>
      </c>
      <c r="FX52" s="960" t="s">
        <v>352</v>
      </c>
      <c r="FY52" s="963" t="s">
        <v>353</v>
      </c>
      <c r="FZ52" s="966" t="s">
        <v>205</v>
      </c>
      <c r="GB52" s="386">
        <v>33</v>
      </c>
      <c r="GC52" s="430">
        <f t="shared" si="103"/>
        <v>46054</v>
      </c>
      <c r="GD52" s="430">
        <f t="shared" si="104"/>
        <v>46081</v>
      </c>
      <c r="GE52" s="386" t="str">
        <f>IF(AND(GD52&gt;=EXPEDIENTE!$F$25,GC52&lt;=EXPEDIENTE!$F$29),"SI","NO")</f>
        <v>SI</v>
      </c>
      <c r="GF52" s="423">
        <f t="shared" si="67"/>
        <v>0</v>
      </c>
      <c r="GG52" s="423">
        <f t="shared" si="68"/>
        <v>0</v>
      </c>
      <c r="GH52" s="423">
        <f t="shared" si="69"/>
        <v>0</v>
      </c>
      <c r="GI52" s="423">
        <f t="shared" si="70"/>
        <v>0</v>
      </c>
      <c r="GJ52" s="423">
        <f t="shared" si="71"/>
        <v>0</v>
      </c>
      <c r="GK52" s="423">
        <f t="shared" si="72"/>
        <v>0</v>
      </c>
      <c r="GL52" s="423">
        <f t="shared" si="73"/>
        <v>0</v>
      </c>
      <c r="GM52" s="423">
        <f t="shared" si="74"/>
        <v>0</v>
      </c>
      <c r="GN52" s="423">
        <f t="shared" si="75"/>
        <v>0</v>
      </c>
      <c r="GO52" s="423">
        <f t="shared" si="76"/>
        <v>0</v>
      </c>
      <c r="GP52" s="423">
        <f t="shared" si="77"/>
        <v>0</v>
      </c>
      <c r="GQ52" s="423">
        <f t="shared" si="78"/>
        <v>0</v>
      </c>
      <c r="GR52" s="423">
        <f t="shared" si="79"/>
        <v>0</v>
      </c>
      <c r="GS52" s="423">
        <f t="shared" si="80"/>
        <v>0</v>
      </c>
      <c r="GT52" s="423">
        <f t="shared" si="81"/>
        <v>0</v>
      </c>
      <c r="GU52" s="423">
        <f t="shared" si="82"/>
        <v>0</v>
      </c>
      <c r="GV52" s="423">
        <f t="shared" si="83"/>
        <v>0</v>
      </c>
      <c r="GW52" s="423">
        <f t="shared" si="84"/>
        <v>0</v>
      </c>
      <c r="GX52" s="423">
        <f t="shared" si="85"/>
        <v>0</v>
      </c>
      <c r="GY52" s="423">
        <f t="shared" si="86"/>
        <v>0</v>
      </c>
      <c r="GZ52" s="423">
        <f t="shared" si="87"/>
        <v>0</v>
      </c>
      <c r="HA52" s="423">
        <f t="shared" si="88"/>
        <v>0</v>
      </c>
      <c r="HB52" s="423">
        <f t="shared" si="89"/>
        <v>0</v>
      </c>
      <c r="HC52" s="423">
        <f t="shared" si="90"/>
        <v>0</v>
      </c>
      <c r="HD52" s="423">
        <f t="shared" si="91"/>
        <v>0</v>
      </c>
      <c r="HE52" s="423">
        <f t="shared" si="92"/>
        <v>0</v>
      </c>
      <c r="HF52" s="423">
        <f t="shared" si="93"/>
        <v>0</v>
      </c>
      <c r="HG52" s="423">
        <f t="shared" si="94"/>
        <v>0</v>
      </c>
      <c r="HH52" s="423">
        <f t="shared" si="95"/>
        <v>0</v>
      </c>
      <c r="HI52" s="423">
        <f t="shared" si="96"/>
        <v>0</v>
      </c>
      <c r="HJ52" s="423">
        <f t="shared" si="97"/>
        <v>0</v>
      </c>
      <c r="HK52" s="423">
        <f t="shared" si="98"/>
        <v>0</v>
      </c>
      <c r="HL52" s="423">
        <f t="shared" si="99"/>
        <v>0</v>
      </c>
      <c r="HO52" s="123"/>
      <c r="HP52" s="517"/>
      <c r="HQ52" s="517"/>
      <c r="HR52" s="518"/>
      <c r="HS52" s="518"/>
      <c r="HU52" s="518"/>
      <c r="JC52" s="416">
        <v>48</v>
      </c>
      <c r="JD52" s="398">
        <f t="shared" si="100"/>
        <v>18</v>
      </c>
    </row>
    <row r="53" spans="3:264" ht="15" customHeight="1" thickBot="1" x14ac:dyDescent="0.3">
      <c r="C53" s="206">
        <v>47</v>
      </c>
      <c r="D53" s="401"/>
      <c r="E53" s="417"/>
      <c r="F53" s="418"/>
      <c r="G53" s="419"/>
      <c r="H53" s="419"/>
      <c r="I53" s="419"/>
      <c r="J53" s="401"/>
      <c r="K53" s="407">
        <f t="shared" si="52"/>
        <v>76</v>
      </c>
      <c r="L53" s="407">
        <f t="shared" si="53"/>
        <v>76</v>
      </c>
      <c r="M53" s="407" t="str">
        <f t="shared" si="54"/>
        <v>X</v>
      </c>
      <c r="Y53" s="422">
        <f t="shared" si="0"/>
        <v>48</v>
      </c>
      <c r="Z53" s="442"/>
      <c r="AA53" s="519" t="str">
        <f>IF(YEAR(EXPEDIENTE!$F$25)=YEAR(Z53),Z53,"")</f>
        <v/>
      </c>
      <c r="AB53" s="520"/>
      <c r="AC53" s="519" t="str">
        <f>IF(YEAR(EXPEDIENTE!$F$25)+2=YEAR(Z53),Z53,"")</f>
        <v/>
      </c>
      <c r="AD53" s="519" t="str">
        <f>IF(YEAR(EXPEDIENTE!$F$25)+3=YEAR(Z53),Z53,"")</f>
        <v/>
      </c>
      <c r="AG53" s="392"/>
      <c r="AH53" s="1002"/>
      <c r="AI53" s="1005"/>
      <c r="AJ53" s="1008"/>
      <c r="AL53" s="997"/>
      <c r="AM53" s="999"/>
      <c r="AN53" s="969"/>
      <c r="AO53" s="1016"/>
      <c r="AP53" s="997"/>
      <c r="AQ53" s="999"/>
      <c r="AR53" s="967"/>
      <c r="AS53" s="1026"/>
      <c r="AT53" s="969"/>
      <c r="AU53" s="967"/>
      <c r="AV53" s="1025"/>
      <c r="AW53" s="1019"/>
      <c r="BA53" s="986">
        <f>'GASTOS EJER. 3'!$C$37</f>
        <v>0</v>
      </c>
      <c r="BB53" s="987">
        <f>'GASTOS EJER. 3'!$C$38</f>
        <v>0</v>
      </c>
      <c r="BC53" s="987">
        <f>'GASTOS EJER. 3'!$C$39</f>
        <v>0</v>
      </c>
      <c r="BD53" s="987">
        <f>'GASTOS EJER. 3'!$C$40</f>
        <v>0</v>
      </c>
      <c r="BE53" s="987">
        <f>'GASTOS EJER. 3'!$C$41</f>
        <v>0</v>
      </c>
      <c r="BF53" s="987">
        <f>'GASTOS EJER. 3'!$C$42</f>
        <v>0</v>
      </c>
      <c r="BG53" s="987">
        <f>'GASTOS EJER. 3'!$C$43</f>
        <v>0</v>
      </c>
      <c r="BH53" s="988">
        <f>'GASTOS EJER. 3'!$C$44</f>
        <v>0</v>
      </c>
      <c r="BI53" s="990" t="s">
        <v>58</v>
      </c>
      <c r="BK53" s="986">
        <f>'GASTOS EJER. 4'!$C$37</f>
        <v>0</v>
      </c>
      <c r="BL53" s="987">
        <f>'GASTOS EJER. 4'!$C$38</f>
        <v>0</v>
      </c>
      <c r="BM53" s="987">
        <f>'GASTOS EJER. 4'!$C$39</f>
        <v>0</v>
      </c>
      <c r="BN53" s="987">
        <f>'GASTOS EJER. 4'!$C$40</f>
        <v>0</v>
      </c>
      <c r="BO53" s="987">
        <f>'GASTOS EJER. 4'!$C$41</f>
        <v>0</v>
      </c>
      <c r="BP53" s="987">
        <f>'GASTOS EJER. 4'!$C$42</f>
        <v>0</v>
      </c>
      <c r="BQ53" s="987">
        <f>'GASTOS EJER. 4'!$C$43</f>
        <v>0</v>
      </c>
      <c r="BR53" s="988">
        <f>'GASTOS EJER. 4'!$C$44</f>
        <v>0</v>
      </c>
      <c r="BS53" s="990" t="s">
        <v>58</v>
      </c>
      <c r="BU53" s="1031"/>
      <c r="BX53" s="392"/>
      <c r="BY53" s="1002"/>
      <c r="BZ53" s="1005"/>
      <c r="CA53" s="1008"/>
      <c r="CC53" s="997"/>
      <c r="CD53" s="999"/>
      <c r="CE53" s="969"/>
      <c r="CF53" s="1016"/>
      <c r="CG53" s="997"/>
      <c r="CH53" s="999"/>
      <c r="CI53" s="967"/>
      <c r="CJ53" s="1026"/>
      <c r="CK53" s="969"/>
      <c r="CL53" s="967"/>
      <c r="CM53" s="1025"/>
      <c r="CN53" s="1019"/>
      <c r="CR53" s="986">
        <f>'GASTOS EJER. 3'!$C$37</f>
        <v>0</v>
      </c>
      <c r="CS53" s="987">
        <f>'GASTOS EJER. 3'!$C$38</f>
        <v>0</v>
      </c>
      <c r="CT53" s="987">
        <f>'GASTOS EJER. 3'!$C$39</f>
        <v>0</v>
      </c>
      <c r="CU53" s="987">
        <f>'GASTOS EJER. 3'!$C$40</f>
        <v>0</v>
      </c>
      <c r="CV53" s="987">
        <f>'GASTOS EJER. 3'!$C$41</f>
        <v>0</v>
      </c>
      <c r="CW53" s="987">
        <f>'GASTOS EJER. 3'!$C$42</f>
        <v>0</v>
      </c>
      <c r="CX53" s="987">
        <f>'GASTOS EJER. 3'!$C$43</f>
        <v>0</v>
      </c>
      <c r="CY53" s="988">
        <f>'GASTOS EJER. 3'!$C$44</f>
        <v>0</v>
      </c>
      <c r="CZ53" s="990" t="s">
        <v>58</v>
      </c>
      <c r="DB53" s="986">
        <f>'GASTOS EJER. 4'!$C$37</f>
        <v>0</v>
      </c>
      <c r="DC53" s="987">
        <f>'GASTOS EJER. 4'!$C$38</f>
        <v>0</v>
      </c>
      <c r="DD53" s="987">
        <f>'GASTOS EJER. 4'!$C$39</f>
        <v>0</v>
      </c>
      <c r="DE53" s="987">
        <f>'GASTOS EJER. 4'!$C$40</f>
        <v>0</v>
      </c>
      <c r="DF53" s="987">
        <f>'GASTOS EJER. 4'!$C$41</f>
        <v>0</v>
      </c>
      <c r="DG53" s="987">
        <f>'GASTOS EJER. 4'!$C$42</f>
        <v>0</v>
      </c>
      <c r="DH53" s="987">
        <f>'GASTOS EJER. 4'!$C$43</f>
        <v>0</v>
      </c>
      <c r="DI53" s="988">
        <f>'GASTOS EJER. 4'!$C$44</f>
        <v>0</v>
      </c>
      <c r="DJ53" s="990" t="s">
        <v>58</v>
      </c>
      <c r="DL53" s="1031"/>
      <c r="DN53" s="392"/>
      <c r="DO53" s="957"/>
      <c r="DP53" s="969" t="s">
        <v>68</v>
      </c>
      <c r="DQ53" s="969" t="s">
        <v>69</v>
      </c>
      <c r="DR53" s="969" t="s">
        <v>111</v>
      </c>
      <c r="DS53" s="961"/>
      <c r="DT53" s="961"/>
      <c r="DU53" s="964"/>
      <c r="DV53" s="967"/>
      <c r="DX53" s="386">
        <v>34</v>
      </c>
      <c r="DY53" s="430">
        <f t="shared" si="101"/>
        <v>46082</v>
      </c>
      <c r="DZ53" s="430">
        <f t="shared" si="102"/>
        <v>46112</v>
      </c>
      <c r="EA53" s="386" t="str">
        <f>IF(AND(DZ53&gt;=EXPEDIENTE!$F$25,DY53&lt;=EXPEDIENTE!$F$29),"SI","NO")</f>
        <v>SI</v>
      </c>
      <c r="EB53" s="423">
        <f t="shared" si="186"/>
        <v>0</v>
      </c>
      <c r="EC53" s="423">
        <f t="shared" si="187"/>
        <v>0</v>
      </c>
      <c r="ED53" s="423">
        <f t="shared" si="188"/>
        <v>0</v>
      </c>
      <c r="EE53" s="423">
        <f t="shared" si="189"/>
        <v>0</v>
      </c>
      <c r="EF53" s="423">
        <f t="shared" si="190"/>
        <v>0</v>
      </c>
      <c r="EG53" s="423">
        <f t="shared" si="191"/>
        <v>0</v>
      </c>
      <c r="EH53" s="423">
        <f t="shared" si="192"/>
        <v>0</v>
      </c>
      <c r="EI53" s="423">
        <f t="shared" si="193"/>
        <v>0</v>
      </c>
      <c r="EJ53" s="423">
        <f t="shared" si="194"/>
        <v>0</v>
      </c>
      <c r="EK53" s="423">
        <f t="shared" si="195"/>
        <v>0</v>
      </c>
      <c r="EL53" s="423">
        <f t="shared" si="196"/>
        <v>0</v>
      </c>
      <c r="EM53" s="423">
        <f t="shared" si="197"/>
        <v>0</v>
      </c>
      <c r="EN53" s="423">
        <f t="shared" si="198"/>
        <v>0</v>
      </c>
      <c r="EO53" s="423">
        <f t="shared" si="199"/>
        <v>0</v>
      </c>
      <c r="EP53" s="423">
        <f t="shared" si="200"/>
        <v>0</v>
      </c>
      <c r="EQ53" s="423">
        <f t="shared" si="201"/>
        <v>0</v>
      </c>
      <c r="ER53" s="423">
        <f t="shared" si="202"/>
        <v>0</v>
      </c>
      <c r="ES53" s="423">
        <f t="shared" si="203"/>
        <v>0</v>
      </c>
      <c r="ET53" s="423">
        <f t="shared" si="204"/>
        <v>0</v>
      </c>
      <c r="EU53" s="423">
        <f t="shared" si="205"/>
        <v>0</v>
      </c>
      <c r="EV53" s="423">
        <f t="shared" si="206"/>
        <v>0</v>
      </c>
      <c r="EW53" s="423">
        <f t="shared" si="207"/>
        <v>0</v>
      </c>
      <c r="EX53" s="423">
        <f t="shared" si="208"/>
        <v>0</v>
      </c>
      <c r="EY53" s="423">
        <f t="shared" si="209"/>
        <v>0</v>
      </c>
      <c r="EZ53" s="423">
        <f t="shared" si="210"/>
        <v>0</v>
      </c>
      <c r="FA53" s="423">
        <f t="shared" si="211"/>
        <v>0</v>
      </c>
      <c r="FB53" s="423">
        <f t="shared" si="212"/>
        <v>0</v>
      </c>
      <c r="FC53" s="423">
        <f t="shared" si="213"/>
        <v>0</v>
      </c>
      <c r="FD53" s="423">
        <f t="shared" si="214"/>
        <v>0</v>
      </c>
      <c r="FE53" s="423">
        <f t="shared" si="215"/>
        <v>0</v>
      </c>
      <c r="FF53" s="423">
        <f t="shared" si="216"/>
        <v>0</v>
      </c>
      <c r="FG53" s="423">
        <f t="shared" si="217"/>
        <v>0</v>
      </c>
      <c r="FH53" s="423">
        <f t="shared" si="66"/>
        <v>0</v>
      </c>
      <c r="FR53" s="392"/>
      <c r="FS53" s="957"/>
      <c r="FT53" s="969" t="s">
        <v>68</v>
      </c>
      <c r="FU53" s="969" t="s">
        <v>69</v>
      </c>
      <c r="FV53" s="969" t="s">
        <v>111</v>
      </c>
      <c r="FW53" s="961"/>
      <c r="FX53" s="961"/>
      <c r="FY53" s="964"/>
      <c r="FZ53" s="967"/>
      <c r="GB53" s="386">
        <v>34</v>
      </c>
      <c r="GC53" s="430">
        <f t="shared" si="103"/>
        <v>46082</v>
      </c>
      <c r="GD53" s="430">
        <f t="shared" si="104"/>
        <v>46112</v>
      </c>
      <c r="GE53" s="386" t="str">
        <f>IF(AND(GD53&gt;=EXPEDIENTE!$F$25,GC53&lt;=EXPEDIENTE!$F$29),"SI","NO")</f>
        <v>SI</v>
      </c>
      <c r="GF53" s="423">
        <f t="shared" si="67"/>
        <v>0</v>
      </c>
      <c r="GG53" s="423">
        <f t="shared" si="68"/>
        <v>0</v>
      </c>
      <c r="GH53" s="423">
        <f t="shared" si="69"/>
        <v>0</v>
      </c>
      <c r="GI53" s="423">
        <f t="shared" si="70"/>
        <v>0</v>
      </c>
      <c r="GJ53" s="423">
        <f t="shared" si="71"/>
        <v>0</v>
      </c>
      <c r="GK53" s="423">
        <f t="shared" si="72"/>
        <v>0</v>
      </c>
      <c r="GL53" s="423">
        <f t="shared" si="73"/>
        <v>0</v>
      </c>
      <c r="GM53" s="423">
        <f t="shared" si="74"/>
        <v>0</v>
      </c>
      <c r="GN53" s="423">
        <f t="shared" si="75"/>
        <v>0</v>
      </c>
      <c r="GO53" s="423">
        <f t="shared" si="76"/>
        <v>0</v>
      </c>
      <c r="GP53" s="423">
        <f t="shared" si="77"/>
        <v>0</v>
      </c>
      <c r="GQ53" s="423">
        <f t="shared" si="78"/>
        <v>0</v>
      </c>
      <c r="GR53" s="423">
        <f t="shared" si="79"/>
        <v>0</v>
      </c>
      <c r="GS53" s="423">
        <f t="shared" si="80"/>
        <v>0</v>
      </c>
      <c r="GT53" s="423">
        <f t="shared" si="81"/>
        <v>0</v>
      </c>
      <c r="GU53" s="423">
        <f t="shared" si="82"/>
        <v>0</v>
      </c>
      <c r="GV53" s="423">
        <f t="shared" si="83"/>
        <v>0</v>
      </c>
      <c r="GW53" s="423">
        <f t="shared" si="84"/>
        <v>0</v>
      </c>
      <c r="GX53" s="423">
        <f t="shared" si="85"/>
        <v>0</v>
      </c>
      <c r="GY53" s="423">
        <f t="shared" si="86"/>
        <v>0</v>
      </c>
      <c r="GZ53" s="423">
        <f t="shared" si="87"/>
        <v>0</v>
      </c>
      <c r="HA53" s="423">
        <f t="shared" si="88"/>
        <v>0</v>
      </c>
      <c r="HB53" s="423">
        <f t="shared" si="89"/>
        <v>0</v>
      </c>
      <c r="HC53" s="423">
        <f t="shared" si="90"/>
        <v>0</v>
      </c>
      <c r="HD53" s="423">
        <f t="shared" si="91"/>
        <v>0</v>
      </c>
      <c r="HE53" s="423">
        <f t="shared" si="92"/>
        <v>0</v>
      </c>
      <c r="HF53" s="423">
        <f t="shared" si="93"/>
        <v>0</v>
      </c>
      <c r="HG53" s="423">
        <f t="shared" si="94"/>
        <v>0</v>
      </c>
      <c r="HH53" s="423">
        <f t="shared" si="95"/>
        <v>0</v>
      </c>
      <c r="HI53" s="423">
        <f t="shared" si="96"/>
        <v>0</v>
      </c>
      <c r="HJ53" s="423">
        <f t="shared" si="97"/>
        <v>0</v>
      </c>
      <c r="HK53" s="423">
        <f t="shared" si="98"/>
        <v>0</v>
      </c>
      <c r="HL53" s="423">
        <f t="shared" si="99"/>
        <v>0</v>
      </c>
      <c r="JC53" s="416">
        <v>49</v>
      </c>
      <c r="JD53" s="398">
        <f t="shared" si="100"/>
        <v>18</v>
      </c>
    </row>
    <row r="54" spans="3:264" ht="15.75" thickBot="1" x14ac:dyDescent="0.3">
      <c r="C54" s="206">
        <v>48</v>
      </c>
      <c r="D54" s="401"/>
      <c r="E54" s="417"/>
      <c r="F54" s="418"/>
      <c r="G54" s="419"/>
      <c r="H54" s="419"/>
      <c r="I54" s="419"/>
      <c r="J54" s="401"/>
      <c r="K54" s="407">
        <f t="shared" si="52"/>
        <v>76</v>
      </c>
      <c r="L54" s="407">
        <f t="shared" si="53"/>
        <v>76</v>
      </c>
      <c r="M54" s="407" t="str">
        <f t="shared" si="54"/>
        <v>X</v>
      </c>
      <c r="AG54" s="392"/>
      <c r="AH54" s="1003"/>
      <c r="AI54" s="1006"/>
      <c r="AJ54" s="1009"/>
      <c r="AL54" s="998"/>
      <c r="AM54" s="1000"/>
      <c r="AN54" s="970"/>
      <c r="AO54" s="1017"/>
      <c r="AP54" s="998"/>
      <c r="AQ54" s="1000"/>
      <c r="AR54" s="968"/>
      <c r="AS54" s="1027"/>
      <c r="AT54" s="1028"/>
      <c r="AU54" s="1029"/>
      <c r="AV54" s="458" t="e">
        <f>AF55</f>
        <v>#VALUE!</v>
      </c>
      <c r="AW54" s="1020"/>
      <c r="AZ54" s="413" t="e">
        <f>AF55</f>
        <v>#VALUE!</v>
      </c>
      <c r="BA54" s="958"/>
      <c r="BB54" s="962"/>
      <c r="BC54" s="962"/>
      <c r="BD54" s="962"/>
      <c r="BE54" s="962"/>
      <c r="BF54" s="962"/>
      <c r="BG54" s="962"/>
      <c r="BH54" s="989"/>
      <c r="BI54" s="991"/>
      <c r="BK54" s="958"/>
      <c r="BL54" s="962"/>
      <c r="BM54" s="962"/>
      <c r="BN54" s="962"/>
      <c r="BO54" s="962"/>
      <c r="BP54" s="962"/>
      <c r="BQ54" s="962"/>
      <c r="BR54" s="989"/>
      <c r="BS54" s="991"/>
      <c r="BU54" s="459" t="e">
        <f>AF55</f>
        <v>#VALUE!</v>
      </c>
      <c r="BX54" s="392"/>
      <c r="BY54" s="1003"/>
      <c r="BZ54" s="1006"/>
      <c r="CA54" s="1009"/>
      <c r="CC54" s="998"/>
      <c r="CD54" s="1000"/>
      <c r="CE54" s="970"/>
      <c r="CF54" s="1017"/>
      <c r="CG54" s="998"/>
      <c r="CH54" s="1000"/>
      <c r="CI54" s="968"/>
      <c r="CJ54" s="1027"/>
      <c r="CK54" s="1028"/>
      <c r="CL54" s="1029"/>
      <c r="CM54" s="458" t="e">
        <f>BW55</f>
        <v>#VALUE!</v>
      </c>
      <c r="CN54" s="1020"/>
      <c r="CQ54" s="414" t="e">
        <f>BW55</f>
        <v>#VALUE!</v>
      </c>
      <c r="CR54" s="1021"/>
      <c r="CS54" s="1022"/>
      <c r="CT54" s="1022"/>
      <c r="CU54" s="1022"/>
      <c r="CV54" s="1022"/>
      <c r="CW54" s="1022"/>
      <c r="CX54" s="1022"/>
      <c r="CY54" s="1023"/>
      <c r="CZ54" s="991"/>
      <c r="DB54" s="1021"/>
      <c r="DC54" s="1022"/>
      <c r="DD54" s="1022"/>
      <c r="DE54" s="1022"/>
      <c r="DF54" s="1022"/>
      <c r="DG54" s="1022"/>
      <c r="DH54" s="1022"/>
      <c r="DI54" s="1023"/>
      <c r="DJ54" s="991"/>
      <c r="DL54" s="460" t="e">
        <f>BW55</f>
        <v>#VALUE!</v>
      </c>
      <c r="DN54" s="392"/>
      <c r="DO54" s="958"/>
      <c r="DP54" s="970"/>
      <c r="DQ54" s="970"/>
      <c r="DR54" s="970"/>
      <c r="DS54" s="962"/>
      <c r="DT54" s="962"/>
      <c r="DU54" s="965"/>
      <c r="DV54" s="968"/>
      <c r="DX54" s="386">
        <v>35</v>
      </c>
      <c r="DY54" s="430">
        <f t="shared" si="101"/>
        <v>46113</v>
      </c>
      <c r="DZ54" s="430">
        <f t="shared" si="102"/>
        <v>46142</v>
      </c>
      <c r="EA54" s="386" t="str">
        <f>IF(AND(DZ54&gt;=EXPEDIENTE!$F$25,DY54&lt;=EXPEDIENTE!$F$29),"SI","NO")</f>
        <v>SI</v>
      </c>
      <c r="EB54" s="423">
        <f t="shared" si="186"/>
        <v>0</v>
      </c>
      <c r="EC54" s="423">
        <f t="shared" si="187"/>
        <v>0</v>
      </c>
      <c r="ED54" s="423">
        <f t="shared" si="188"/>
        <v>0</v>
      </c>
      <c r="EE54" s="423">
        <f t="shared" si="189"/>
        <v>0</v>
      </c>
      <c r="EF54" s="423">
        <f t="shared" si="190"/>
        <v>0</v>
      </c>
      <c r="EG54" s="423">
        <f t="shared" si="191"/>
        <v>0</v>
      </c>
      <c r="EH54" s="423">
        <f t="shared" si="192"/>
        <v>0</v>
      </c>
      <c r="EI54" s="423">
        <f t="shared" si="193"/>
        <v>0</v>
      </c>
      <c r="EJ54" s="423">
        <f t="shared" si="194"/>
        <v>0</v>
      </c>
      <c r="EK54" s="423">
        <f t="shared" si="195"/>
        <v>0</v>
      </c>
      <c r="EL54" s="423">
        <f t="shared" si="196"/>
        <v>0</v>
      </c>
      <c r="EM54" s="423">
        <f t="shared" si="197"/>
        <v>0</v>
      </c>
      <c r="EN54" s="423">
        <f t="shared" si="198"/>
        <v>0</v>
      </c>
      <c r="EO54" s="423">
        <f t="shared" si="199"/>
        <v>0</v>
      </c>
      <c r="EP54" s="423">
        <f t="shared" si="200"/>
        <v>0</v>
      </c>
      <c r="EQ54" s="423">
        <f t="shared" si="201"/>
        <v>0</v>
      </c>
      <c r="ER54" s="423">
        <f t="shared" si="202"/>
        <v>0</v>
      </c>
      <c r="ES54" s="423">
        <f t="shared" si="203"/>
        <v>0</v>
      </c>
      <c r="ET54" s="423">
        <f t="shared" si="204"/>
        <v>0</v>
      </c>
      <c r="EU54" s="423">
        <f t="shared" si="205"/>
        <v>0</v>
      </c>
      <c r="EV54" s="423">
        <f t="shared" si="206"/>
        <v>0</v>
      </c>
      <c r="EW54" s="423">
        <f t="shared" si="207"/>
        <v>0</v>
      </c>
      <c r="EX54" s="423">
        <f t="shared" si="208"/>
        <v>0</v>
      </c>
      <c r="EY54" s="423">
        <f t="shared" si="209"/>
        <v>0</v>
      </c>
      <c r="EZ54" s="423">
        <f t="shared" si="210"/>
        <v>0</v>
      </c>
      <c r="FA54" s="423">
        <f t="shared" si="211"/>
        <v>0</v>
      </c>
      <c r="FB54" s="423">
        <f t="shared" si="212"/>
        <v>0</v>
      </c>
      <c r="FC54" s="423">
        <f t="shared" si="213"/>
        <v>0</v>
      </c>
      <c r="FD54" s="423">
        <f t="shared" si="214"/>
        <v>0</v>
      </c>
      <c r="FE54" s="423">
        <f t="shared" si="215"/>
        <v>0</v>
      </c>
      <c r="FF54" s="423">
        <f t="shared" si="216"/>
        <v>0</v>
      </c>
      <c r="FG54" s="423">
        <f t="shared" si="217"/>
        <v>0</v>
      </c>
      <c r="FH54" s="423">
        <f t="shared" si="66"/>
        <v>0</v>
      </c>
      <c r="FJ54" s="461" t="e">
        <f>AZ54</f>
        <v>#VALUE!</v>
      </c>
      <c r="FK54" s="462" t="s">
        <v>76</v>
      </c>
      <c r="FL54" s="463" t="s">
        <v>207</v>
      </c>
      <c r="FM54" s="463" t="s">
        <v>136</v>
      </c>
      <c r="FN54" s="463" t="s">
        <v>193</v>
      </c>
      <c r="FO54" s="463" t="s">
        <v>350</v>
      </c>
      <c r="FP54" s="464" t="s">
        <v>58</v>
      </c>
      <c r="FR54" s="392"/>
      <c r="FS54" s="958"/>
      <c r="FT54" s="970"/>
      <c r="FU54" s="970"/>
      <c r="FV54" s="970"/>
      <c r="FW54" s="962"/>
      <c r="FX54" s="962"/>
      <c r="FY54" s="965"/>
      <c r="FZ54" s="968"/>
      <c r="GB54" s="386">
        <v>35</v>
      </c>
      <c r="GC54" s="430">
        <f t="shared" si="103"/>
        <v>46113</v>
      </c>
      <c r="GD54" s="430">
        <f t="shared" si="104"/>
        <v>46142</v>
      </c>
      <c r="GE54" s="386" t="str">
        <f>IF(AND(GD54&gt;=EXPEDIENTE!$F$25,GC54&lt;=EXPEDIENTE!$F$29),"SI","NO")</f>
        <v>SI</v>
      </c>
      <c r="GF54" s="423">
        <f t="shared" si="67"/>
        <v>0</v>
      </c>
      <c r="GG54" s="423">
        <f t="shared" si="68"/>
        <v>0</v>
      </c>
      <c r="GH54" s="423">
        <f t="shared" si="69"/>
        <v>0</v>
      </c>
      <c r="GI54" s="423">
        <f t="shared" si="70"/>
        <v>0</v>
      </c>
      <c r="GJ54" s="423">
        <f t="shared" si="71"/>
        <v>0</v>
      </c>
      <c r="GK54" s="423">
        <f t="shared" si="72"/>
        <v>0</v>
      </c>
      <c r="GL54" s="423">
        <f t="shared" si="73"/>
        <v>0</v>
      </c>
      <c r="GM54" s="423">
        <f t="shared" si="74"/>
        <v>0</v>
      </c>
      <c r="GN54" s="423">
        <f t="shared" si="75"/>
        <v>0</v>
      </c>
      <c r="GO54" s="423">
        <f t="shared" si="76"/>
        <v>0</v>
      </c>
      <c r="GP54" s="423">
        <f t="shared" si="77"/>
        <v>0</v>
      </c>
      <c r="GQ54" s="423">
        <f t="shared" si="78"/>
        <v>0</v>
      </c>
      <c r="GR54" s="423">
        <f t="shared" si="79"/>
        <v>0</v>
      </c>
      <c r="GS54" s="423">
        <f t="shared" si="80"/>
        <v>0</v>
      </c>
      <c r="GT54" s="423">
        <f t="shared" si="81"/>
        <v>0</v>
      </c>
      <c r="GU54" s="423">
        <f t="shared" si="82"/>
        <v>0</v>
      </c>
      <c r="GV54" s="423">
        <f t="shared" si="83"/>
        <v>0</v>
      </c>
      <c r="GW54" s="423">
        <f t="shared" si="84"/>
        <v>0</v>
      </c>
      <c r="GX54" s="423">
        <f t="shared" si="85"/>
        <v>0</v>
      </c>
      <c r="GY54" s="423">
        <f t="shared" si="86"/>
        <v>0</v>
      </c>
      <c r="GZ54" s="423">
        <f t="shared" si="87"/>
        <v>0</v>
      </c>
      <c r="HA54" s="423">
        <f t="shared" si="88"/>
        <v>0</v>
      </c>
      <c r="HB54" s="423">
        <f t="shared" si="89"/>
        <v>0</v>
      </c>
      <c r="HC54" s="423">
        <f t="shared" si="90"/>
        <v>0</v>
      </c>
      <c r="HD54" s="423">
        <f t="shared" si="91"/>
        <v>0</v>
      </c>
      <c r="HE54" s="423">
        <f t="shared" si="92"/>
        <v>0</v>
      </c>
      <c r="HF54" s="423">
        <f t="shared" si="93"/>
        <v>0</v>
      </c>
      <c r="HG54" s="423">
        <f t="shared" si="94"/>
        <v>0</v>
      </c>
      <c r="HH54" s="423">
        <f t="shared" si="95"/>
        <v>0</v>
      </c>
      <c r="HI54" s="423">
        <f t="shared" si="96"/>
        <v>0</v>
      </c>
      <c r="HJ54" s="423">
        <f t="shared" si="97"/>
        <v>0</v>
      </c>
      <c r="HK54" s="423">
        <f t="shared" si="98"/>
        <v>0</v>
      </c>
      <c r="HL54" s="423">
        <f t="shared" si="99"/>
        <v>0</v>
      </c>
      <c r="HO54" s="465" t="e">
        <f>BW55</f>
        <v>#VALUE!</v>
      </c>
      <c r="HP54" s="462" t="s">
        <v>76</v>
      </c>
      <c r="HQ54" s="463" t="s">
        <v>207</v>
      </c>
      <c r="HR54" s="463" t="s">
        <v>136</v>
      </c>
      <c r="HS54" s="463" t="s">
        <v>193</v>
      </c>
      <c r="HT54" s="463" t="s">
        <v>350</v>
      </c>
      <c r="HU54" s="464" t="s">
        <v>58</v>
      </c>
      <c r="JC54" s="442">
        <v>50</v>
      </c>
      <c r="JD54" s="398">
        <f t="shared" si="100"/>
        <v>18</v>
      </c>
    </row>
    <row r="55" spans="3:264" ht="15.75" thickBot="1" x14ac:dyDescent="0.3">
      <c r="C55" s="206">
        <v>49</v>
      </c>
      <c r="D55" s="401"/>
      <c r="E55" s="417"/>
      <c r="F55" s="418"/>
      <c r="G55" s="419"/>
      <c r="H55" s="419"/>
      <c r="I55" s="419"/>
      <c r="J55" s="401"/>
      <c r="K55" s="407">
        <f t="shared" si="52"/>
        <v>76</v>
      </c>
      <c r="L55" s="407">
        <f t="shared" si="53"/>
        <v>76</v>
      </c>
      <c r="M55" s="407" t="str">
        <f t="shared" si="54"/>
        <v>X</v>
      </c>
      <c r="AF55" s="466" t="e">
        <f>IF(YEAR(EXPEDIENTE!$F$29)&gt;=$AF$23+2,$AF$23+2,"")</f>
        <v>#VALUE!</v>
      </c>
      <c r="AG55" s="467">
        <v>17</v>
      </c>
      <c r="AH55" s="469">
        <f>'GASTOS EJER. 3'!M37</f>
        <v>0</v>
      </c>
      <c r="AI55" s="484">
        <f>'GASTOS EJER. 3'!X37</f>
        <v>0</v>
      </c>
      <c r="AJ55" s="470">
        <f>AH55-AI55</f>
        <v>0</v>
      </c>
      <c r="AL55" s="471">
        <f>'GASTOS EJER. 3'!F37+'GASTOS EJER. 3'!L37-'GASTOS EJER. 3'!X37-'GASTOS EJER. 3'!Y37</f>
        <v>0</v>
      </c>
      <c r="AM55" s="472" t="str">
        <f>IF('GASTOS EJER. 3'!AA37="","",'GASTOS EJER. 3'!AA37)</f>
        <v/>
      </c>
      <c r="AN55" s="469">
        <f>'GASTOS EJER. 3'!Y37</f>
        <v>0</v>
      </c>
      <c r="AO55" s="473" t="str">
        <f>IF('GASTOS EJER. 3'!AB37="","",'GASTOS EJER. 3'!AB37)</f>
        <v/>
      </c>
      <c r="AP55" s="474">
        <f>IF(AND(AM55&gt;=EXPEDIENTE!$I$25,AM55&lt;=EXPEDIENTE!$I$29),AL55,0)</f>
        <v>0</v>
      </c>
      <c r="AQ55" s="426">
        <f>IF(AND(AO55&gt;=EXPEDIENTE!$I$25,AO55&lt;=EXPEDIENTE!$I$29),AN55,0)</f>
        <v>0</v>
      </c>
      <c r="AR55" s="470">
        <f>AP55+AQ55</f>
        <v>0</v>
      </c>
      <c r="AS55" s="475" t="str">
        <f>IF('GASTOS EJER. 3'!D37="","",'GASTOS EJER. 3'!D37)</f>
        <v/>
      </c>
      <c r="AT55" s="476" t="str">
        <f>IF('GASTOS EJER. 3'!E37="","",'GASTOS EJER. 3'!E37)</f>
        <v/>
      </c>
      <c r="AU55" s="477">
        <f>IF(OR(AS55="",AT55=""),0,DATEDIF(AS55,AT55,"M")+1)</f>
        <v>0</v>
      </c>
      <c r="AV55" s="478">
        <f t="shared" ref="AV55:AV62" si="266">IF(OR(AS55="",AT55=""),0,IF(YEAR(AS55)&lt;$AV$22,DATEDIF(DATE($AV$22,1,1),AT55,"M")+1,AU55))</f>
        <v>0</v>
      </c>
      <c r="AW55" s="479">
        <f>IF(OR(AS55="",AT55=""),0,ROUND(AR55/AU55,2))</f>
        <v>0</v>
      </c>
      <c r="AY55" s="423">
        <v>1</v>
      </c>
      <c r="AZ55" s="424" t="e">
        <f t="shared" ref="AZ55:AZ66" si="267">IF($AZ$54="","",DATE($AZ$54,AY55,1))</f>
        <v>#VALUE!</v>
      </c>
      <c r="BA55" s="425">
        <f t="shared" ref="BA55:BA66" si="268">IF($AH$55=0,0,IF($BA$53=0,0,IF(AND(AZ55&gt;=$AS$55,AZ55&lt;=$AT$55),$AW$55,0)))</f>
        <v>0</v>
      </c>
      <c r="BB55" s="426">
        <f t="shared" ref="BB55:BB66" si="269">IF($AH$56=0,0,IF($BB$53=0,0,IF(AND(AZ55&gt;=$AS$56,AZ55&lt;=$AT$56),$AW$56,0)))</f>
        <v>0</v>
      </c>
      <c r="BC55" s="426">
        <f t="shared" ref="BC55:BC66" si="270">IF($AH$57=0,0,IF($BC$53=0,0,IF(AND(AZ55&gt;=$AS$57,AZ55&lt;=$AT$57),$AW$57,0)))</f>
        <v>0</v>
      </c>
      <c r="BD55" s="426">
        <f t="shared" ref="BD55:BD66" si="271">IF($AH$58=0,0,IF($BD$53=0,0,IF(AND(AZ55&gt;=$AS$58,AZ55&lt;=$AT$58),$AW$58,0)))</f>
        <v>0</v>
      </c>
      <c r="BE55" s="426">
        <f t="shared" ref="BE55:BE66" si="272">IF($AH$59=0,0,IF($BE$53=0,0,IF(AND(AZ55&gt;=$AS$59,AZ55&lt;=$AT$59),$AW$59,0)))</f>
        <v>0</v>
      </c>
      <c r="BF55" s="426">
        <f t="shared" ref="BF55:BF66" si="273">IF($AH$60=0,0,IF($BF$53=0,0,IF(AND(AZ55&gt;=$AS$60,AZ55&lt;=$AT$60),$AW$60,0)))</f>
        <v>0</v>
      </c>
      <c r="BG55" s="426">
        <f t="shared" ref="BG55:BG66" si="274">IF($AH$61=0,0,IF($BG$53=0,0,IF(AND(AZ55&gt;=$AS$61,AZ55&lt;=$AT$61),$AW$61,0)))</f>
        <v>0</v>
      </c>
      <c r="BH55" s="427">
        <f t="shared" ref="BH55:BH66" si="275">IF($AH$62=0,0,IF($BH$53=0,0,IF(AND(AZ55&gt;=$AS$62,AZ55&lt;=$AT$62),$AW$62,0)))</f>
        <v>0</v>
      </c>
      <c r="BI55" s="428">
        <f t="shared" ref="BI55:BI66" si="276">SUM(BA55:BH55)</f>
        <v>0</v>
      </c>
      <c r="BK55" s="425">
        <f>IF($AH$71=0,0,IF($BK$53=0,0,IF(AND(AZ55&gt;=$AS$71,AZ55&lt;=$AT$71),$AW$71,0)))</f>
        <v>0</v>
      </c>
      <c r="BL55" s="426">
        <f>IF($AH$72=0,0,IF($BL$53=0,0,IF(AND(AZ55&gt;=$AS$72,AZ55&lt;=$AT$72),$AW$72,0)))</f>
        <v>0</v>
      </c>
      <c r="BM55" s="426">
        <f>IF($AH$73=0,0,IF($BM$53=0,0,IF(AND(AZ55&gt;=$AS$73,AZ55&lt;=$AT$73),$AW$73,0)))</f>
        <v>0</v>
      </c>
      <c r="BN55" s="426">
        <f>IF($AH$74=0,0,IF($BN$53=0,0,IF(AND(AZ55&gt;=$AS$74,AZ55&lt;=$AT$74),$AW$74,0)))</f>
        <v>0</v>
      </c>
      <c r="BO55" s="426">
        <f>IF($AH$75=0,0,IF($BO$53=0,0,IF(AND(AZ55&gt;=$AS$75,AZ55&lt;=$AT$75),$AW$75,0)))</f>
        <v>0</v>
      </c>
      <c r="BP55" s="426">
        <f>IF($AH$76=0,0,IF($BP$53=0,0,IF(AND(AZ55&gt;=$AS$76,AZ55&lt;=$AT$76),$AW$76,0)))</f>
        <v>0</v>
      </c>
      <c r="BQ55" s="426">
        <f>IF($AH$77=0,0,IF($BQ$53=0,0,IF(AND(AZ55&gt;=$AS$77,AZ55&lt;=$AT$77),$AW$77,0)))</f>
        <v>0</v>
      </c>
      <c r="BR55" s="427">
        <f>IF($AH$78=0,0,IF($BR$53=0,0,IF(AND(AZ55&gt;=$AS$78,AZ55&lt;=$AT$78),$AW$78,0)))</f>
        <v>0</v>
      </c>
      <c r="BS55" s="428">
        <f>SUM(BK55:BR55)</f>
        <v>0</v>
      </c>
      <c r="BU55" s="480">
        <f>BI55+BS55</f>
        <v>0</v>
      </c>
      <c r="BW55" s="481" t="e">
        <f>IF(YEAR(EXPEDIENTE!$I$29)&gt;=$BW$23+2,$BW$23+2,"")</f>
        <v>#VALUE!</v>
      </c>
      <c r="BX55" s="467">
        <v>17</v>
      </c>
      <c r="BY55" s="469">
        <f>'GASTOS EJER. 3'!BN37</f>
        <v>0</v>
      </c>
      <c r="BZ55" s="484">
        <f>'GASTOS EJER. 3'!CM37</f>
        <v>0</v>
      </c>
      <c r="CA55" s="470">
        <f>BY55-BZ55</f>
        <v>0</v>
      </c>
      <c r="CC55" s="471">
        <f>'GASTOS EJER. 3'!AW37+'GASTOS EJER. 3'!BM37-'GASTOS EJER. 3'!CM37-'GASTOS EJER. 3'!CP37</f>
        <v>0</v>
      </c>
      <c r="CD55" s="472" t="str">
        <f>IF('GASTOS EJER. 3'!CT37="","",'GASTOS EJER. 3'!CT37)</f>
        <v/>
      </c>
      <c r="CE55" s="469">
        <f>'GASTOS EJER. 3'!CP37</f>
        <v>0</v>
      </c>
      <c r="CF55" s="473" t="str">
        <f>IF('GASTOS EJER. 3'!CW37="","",'GASTOS EJER. 3'!CW37)</f>
        <v/>
      </c>
      <c r="CG55" s="474">
        <f>IF(AND(CD55&gt;=EXPEDIENTE!$I$25,CD55&lt;=EXPEDIENTE!$I$29),CC55,0)</f>
        <v>0</v>
      </c>
      <c r="CH55" s="426">
        <f>IF(AND(CF55&gt;=EXPEDIENTE!$I$25,CF55&lt;=EXPEDIENTE!$I$29),CE55,0)</f>
        <v>0</v>
      </c>
      <c r="CI55" s="470">
        <f>CG55+CH55</f>
        <v>0</v>
      </c>
      <c r="CJ55" s="475" t="str">
        <f>IF('GASTOS EJER. 3'!AQ37="","",'GASTOS EJER. 3'!AQ37)</f>
        <v/>
      </c>
      <c r="CK55" s="476" t="str">
        <f>IF('GASTOS EJER. 3'!AT37="","",'GASTOS EJER. 3'!AT37)</f>
        <v/>
      </c>
      <c r="CL55" s="477">
        <f>IF(OR(CJ55="",CK55=""),0,DATEDIF(CJ55,CK55,"M")+1)</f>
        <v>0</v>
      </c>
      <c r="CM55" s="478">
        <f t="shared" ref="CM55:CM62" si="277">IF(OR(CJ55="",CK55=""),0,IF(YEAR(CJ55)&lt;$AV$22,DATEDIF(DATE($AV$22,1,1),CK55,"M")+1,CL55))</f>
        <v>0</v>
      </c>
      <c r="CN55" s="479">
        <f>IF(OR(CJ55="",CK55=""),0,ROUND(CI55/CL55,2))</f>
        <v>0</v>
      </c>
      <c r="CP55" s="423">
        <v>1</v>
      </c>
      <c r="CQ55" s="424" t="e">
        <f t="shared" ref="CQ55:CQ66" si="278">IF($AZ$54="","",DATE($AZ$54,CP55,1))</f>
        <v>#VALUE!</v>
      </c>
      <c r="CR55" s="425">
        <f>IF($BY$55=0,0,IF($CR$53=0,0,IF(AND($CQ55&gt;=$CJ$55,$CQ55&lt;=$CK$55),$CN$55,0)))</f>
        <v>0</v>
      </c>
      <c r="CS55" s="426">
        <f>IF($BY$56=0,0,IF($CS$53=0,0,IF(AND($CQ55&gt;=$CJ$56,$CQ55&lt;=$CK$56),$CN$56,0)))</f>
        <v>0</v>
      </c>
      <c r="CT55" s="426">
        <f>IF($BY$57=0,0,IF($CT$53=0,0,IF(AND($CQ55&gt;=$CJ$57,$CQ55&lt;=$CK$57),$CN$57,0)))</f>
        <v>0</v>
      </c>
      <c r="CU55" s="426">
        <f>IF($BY$58=0,0,IF($CU$53=0,0,IF(AND($CQ55&gt;=$CJ$58,$CQ55&lt;=$CK$58),$CN$58,0)))</f>
        <v>0</v>
      </c>
      <c r="CV55" s="426">
        <f>IF($BY$59=0,0,IF($CV$53=0,0,IF(AND($CQ55&gt;=$CJ$59,$CQ55&lt;=$CK$59),$CN$59,0)))</f>
        <v>0</v>
      </c>
      <c r="CW55" s="426">
        <f>IF($BY$60=0,0,IF($CW$53=0,0,IF(AND($CQ55&gt;=$CJ$60,$CQ55&lt;=$CK$60),$CN$60,0)))</f>
        <v>0</v>
      </c>
      <c r="CX55" s="426">
        <f>IF($BY$61=0,0,IF($CX$53=0,0,IF(AND($CQ55&gt;=$CJ$61,$CQ55&lt;=$CK$61),$CN$61,0)))</f>
        <v>0</v>
      </c>
      <c r="CY55" s="427">
        <f>IF($BY$62=0,0,IF($CY$53=0,0,IF(AND($CQ55&gt;=$CJ$62,$CQ55&lt;=$CK$62),$CN$62,0)))</f>
        <v>0</v>
      </c>
      <c r="CZ55" s="428">
        <f t="shared" ref="CZ55:CZ63" si="279">SUM(CR55:CY55)</f>
        <v>0</v>
      </c>
      <c r="DB55" s="425">
        <f>IF($BY$71=0,0,IF($DB$53=0,0,IF(AND($CQ55&gt;=$CJ$71,$CQ55&lt;=$CK$71),$CN$71,0)))</f>
        <v>0</v>
      </c>
      <c r="DC55" s="426">
        <f>IF($BY$72=0,0,IF($DC$53=0,0,IF(AND($CQ55&gt;=$CJ$72,$CQ55&lt;=$CK$72),$CN$72,0)))</f>
        <v>0</v>
      </c>
      <c r="DD55" s="426">
        <f>IF($BY$73=0,0,IF($DD$53=0,0,IF(AND($CQ55&gt;=$CJ$73,$CQ55&lt;=$CK$73),$CN$73,0)))</f>
        <v>0</v>
      </c>
      <c r="DE55" s="426">
        <f>IF($BY$74=0,0,IF($DE$53=0,0,IF(AND($CQ55&gt;=$CJ$74,$CQ55&lt;=$CK$74),$CN$74,0)))</f>
        <v>0</v>
      </c>
      <c r="DF55" s="426">
        <f>IF($BY$75=0,0,IF($DF$53=0,0,IF(AND($CQ55&gt;=$CJ$75,$CQ55&lt;=$CK$75),$CN$75,0)))</f>
        <v>0</v>
      </c>
      <c r="DG55" s="426">
        <f>IF($BY$76=0,0,IF($DG$53=0,0,IF(AND($CQ55&gt;=$CJ$76,$CQ55&lt;=$CK$76),$CN$76,0)))</f>
        <v>0</v>
      </c>
      <c r="DH55" s="426">
        <f>IF($BY$77=0,0,IF($DH$53=0,0,IF(AND($CQ55&gt;=$CJ$77,$CQ55&lt;=$CK$77),$CN$77,0)))</f>
        <v>0</v>
      </c>
      <c r="DI55" s="427">
        <f>IF($BY$78=0,0,IF($DI$53=0,0,IF(AND($CQ55&gt;=$CJ$78,$CQ55&lt;=$CK$78),$CN$78,0)))</f>
        <v>0</v>
      </c>
      <c r="DJ55" s="428">
        <f>SUM(DB55:DI55)</f>
        <v>0</v>
      </c>
      <c r="DL55" s="480">
        <f>CZ55+DJ55</f>
        <v>0</v>
      </c>
      <c r="DN55" s="467">
        <v>17</v>
      </c>
      <c r="DO55" s="482">
        <f>'GASTOS EJER. 3'!$C37</f>
        <v>0</v>
      </c>
      <c r="DP55" s="476" t="str">
        <f>AS55</f>
        <v/>
      </c>
      <c r="DQ55" s="476" t="str">
        <f t="shared" ref="DQ55" si="280">AT55</f>
        <v/>
      </c>
      <c r="DR55" s="483">
        <f t="shared" ref="DR55" si="281">AU55</f>
        <v>0</v>
      </c>
      <c r="DS55" s="484">
        <f>'GASTOS EJER. 3'!X37</f>
        <v>0</v>
      </c>
      <c r="DT55" s="472" t="str">
        <f>IF(DS39=0,"",'GASTOS EJER. 3'!AA37)</f>
        <v/>
      </c>
      <c r="DU55" s="472" t="str">
        <f t="shared" ref="DU55:DU62" si="282">IF(DT55="","",EOMONTH(DATE(YEAR(DT55),MONTH(DT55)+1,1),0))</f>
        <v/>
      </c>
      <c r="DV55" s="470" t="e">
        <f>IF(AND(DU55&gt;=EXPEDIENTE!$F$25,DU55&lt;=EXPEDIENTE!$F$29),ROUNDDOWN(DS55/DR55,2),0)</f>
        <v>#DIV/0!</v>
      </c>
      <c r="DX55" s="386">
        <v>36</v>
      </c>
      <c r="DY55" s="430">
        <f t="shared" si="101"/>
        <v>46143</v>
      </c>
      <c r="DZ55" s="430">
        <f t="shared" si="102"/>
        <v>46173</v>
      </c>
      <c r="EA55" s="386" t="str">
        <f>IF(AND(DZ55&gt;=EXPEDIENTE!$F$25,DY55&lt;=EXPEDIENTE!$F$29),"SI","NO")</f>
        <v>SI</v>
      </c>
      <c r="EB55" s="423">
        <f t="shared" si="186"/>
        <v>0</v>
      </c>
      <c r="EC55" s="423">
        <f t="shared" si="187"/>
        <v>0</v>
      </c>
      <c r="ED55" s="423">
        <f t="shared" si="188"/>
        <v>0</v>
      </c>
      <c r="EE55" s="423">
        <f t="shared" si="189"/>
        <v>0</v>
      </c>
      <c r="EF55" s="423">
        <f t="shared" si="190"/>
        <v>0</v>
      </c>
      <c r="EG55" s="423">
        <f t="shared" si="191"/>
        <v>0</v>
      </c>
      <c r="EH55" s="423">
        <f t="shared" si="192"/>
        <v>0</v>
      </c>
      <c r="EI55" s="423">
        <f t="shared" si="193"/>
        <v>0</v>
      </c>
      <c r="EJ55" s="423">
        <f t="shared" si="194"/>
        <v>0</v>
      </c>
      <c r="EK55" s="423">
        <f t="shared" si="195"/>
        <v>0</v>
      </c>
      <c r="EL55" s="423">
        <f t="shared" si="196"/>
        <v>0</v>
      </c>
      <c r="EM55" s="423">
        <f t="shared" si="197"/>
        <v>0</v>
      </c>
      <c r="EN55" s="423">
        <f t="shared" si="198"/>
        <v>0</v>
      </c>
      <c r="EO55" s="423">
        <f t="shared" si="199"/>
        <v>0</v>
      </c>
      <c r="EP55" s="423">
        <f t="shared" si="200"/>
        <v>0</v>
      </c>
      <c r="EQ55" s="423">
        <f t="shared" si="201"/>
        <v>0</v>
      </c>
      <c r="ER55" s="423">
        <f t="shared" si="202"/>
        <v>0</v>
      </c>
      <c r="ES55" s="423">
        <f t="shared" si="203"/>
        <v>0</v>
      </c>
      <c r="ET55" s="423">
        <f t="shared" si="204"/>
        <v>0</v>
      </c>
      <c r="EU55" s="423">
        <f t="shared" si="205"/>
        <v>0</v>
      </c>
      <c r="EV55" s="423">
        <f t="shared" si="206"/>
        <v>0</v>
      </c>
      <c r="EW55" s="423">
        <f t="shared" si="207"/>
        <v>0</v>
      </c>
      <c r="EX55" s="423">
        <f t="shared" si="208"/>
        <v>0</v>
      </c>
      <c r="EY55" s="423">
        <f t="shared" si="209"/>
        <v>0</v>
      </c>
      <c r="EZ55" s="423">
        <f t="shared" si="210"/>
        <v>0</v>
      </c>
      <c r="FA55" s="423">
        <f t="shared" si="211"/>
        <v>0</v>
      </c>
      <c r="FB55" s="423">
        <f t="shared" si="212"/>
        <v>0</v>
      </c>
      <c r="FC55" s="423">
        <f t="shared" si="213"/>
        <v>0</v>
      </c>
      <c r="FD55" s="423">
        <f t="shared" si="214"/>
        <v>0</v>
      </c>
      <c r="FE55" s="423">
        <f t="shared" si="215"/>
        <v>0</v>
      </c>
      <c r="FF55" s="423">
        <f t="shared" si="216"/>
        <v>0</v>
      </c>
      <c r="FG55" s="423">
        <f t="shared" si="217"/>
        <v>0</v>
      </c>
      <c r="FH55" s="423">
        <f t="shared" si="66"/>
        <v>0</v>
      </c>
      <c r="FJ55" s="120">
        <v>1</v>
      </c>
      <c r="FK55" s="485">
        <f>DATE(YEAR(EXPEDIENTE!$F$25)+2,FJ55,1)</f>
        <v>45658</v>
      </c>
      <c r="FL55" s="485" t="str">
        <f>IF('GASTOS EJER. 3'!I49="","",'GASTOS EJER. 3'!I49)</f>
        <v/>
      </c>
      <c r="FM55" s="486">
        <f>'GASTOS EJER. 3'!X20</f>
        <v>0</v>
      </c>
      <c r="FN55" s="486">
        <f>'GASTOS EJER. 3'!H49</f>
        <v>0</v>
      </c>
      <c r="FO55" s="434">
        <f>VLOOKUP(FK55,$DY$7:$FH$69,36,FALSE)</f>
        <v>0</v>
      </c>
      <c r="FP55" s="486">
        <f t="shared" ref="FP55:FP66" si="283">SUM(FM55:FO55)</f>
        <v>0</v>
      </c>
      <c r="FR55" s="467">
        <v>17</v>
      </c>
      <c r="FS55" s="482">
        <f>'GASTOS EJER. 3'!$C37</f>
        <v>0</v>
      </c>
      <c r="FT55" s="476" t="str">
        <f>CJ55</f>
        <v/>
      </c>
      <c r="FU55" s="476" t="str">
        <f>CK55</f>
        <v/>
      </c>
      <c r="FV55" s="483">
        <f>CL55</f>
        <v>0</v>
      </c>
      <c r="FW55" s="484">
        <f>'GASTOS EJER. 3'!CM37</f>
        <v>0</v>
      </c>
      <c r="FX55" s="472" t="str">
        <f>IF(FW39=0,"",'GASTOS EJER. 3'!CT37)</f>
        <v/>
      </c>
      <c r="FY55" s="472" t="str">
        <f t="shared" ref="FY55:FY62" si="284">IF(FX55="","",EOMONTH(DATE(YEAR(FX55),MONTH(FX55)+1,1),0))</f>
        <v/>
      </c>
      <c r="FZ55" s="470" t="e">
        <f>IF(AND(FY55&gt;=EXPEDIENTE!$F$25,FY55&lt;=EXPEDIENTE!$F$29),ROUNDDOWN(FW55/FV55,2),0)</f>
        <v>#DIV/0!</v>
      </c>
      <c r="GB55" s="386">
        <v>36</v>
      </c>
      <c r="GC55" s="430">
        <f t="shared" si="103"/>
        <v>46143</v>
      </c>
      <c r="GD55" s="430">
        <f t="shared" si="104"/>
        <v>46173</v>
      </c>
      <c r="GE55" s="386" t="str">
        <f>IF(AND(GD55&gt;=EXPEDIENTE!$F$25,GC55&lt;=EXPEDIENTE!$F$29),"SI","NO")</f>
        <v>SI</v>
      </c>
      <c r="GF55" s="423">
        <f t="shared" si="67"/>
        <v>0</v>
      </c>
      <c r="GG55" s="423">
        <f t="shared" si="68"/>
        <v>0</v>
      </c>
      <c r="GH55" s="423">
        <f t="shared" si="69"/>
        <v>0</v>
      </c>
      <c r="GI55" s="423">
        <f t="shared" si="70"/>
        <v>0</v>
      </c>
      <c r="GJ55" s="423">
        <f t="shared" si="71"/>
        <v>0</v>
      </c>
      <c r="GK55" s="423">
        <f t="shared" si="72"/>
        <v>0</v>
      </c>
      <c r="GL55" s="423">
        <f t="shared" si="73"/>
        <v>0</v>
      </c>
      <c r="GM55" s="423">
        <f t="shared" si="74"/>
        <v>0</v>
      </c>
      <c r="GN55" s="423">
        <f t="shared" si="75"/>
        <v>0</v>
      </c>
      <c r="GO55" s="423">
        <f t="shared" si="76"/>
        <v>0</v>
      </c>
      <c r="GP55" s="423">
        <f t="shared" si="77"/>
        <v>0</v>
      </c>
      <c r="GQ55" s="423">
        <f t="shared" si="78"/>
        <v>0</v>
      </c>
      <c r="GR55" s="423">
        <f t="shared" si="79"/>
        <v>0</v>
      </c>
      <c r="GS55" s="423">
        <f t="shared" si="80"/>
        <v>0</v>
      </c>
      <c r="GT55" s="423">
        <f t="shared" si="81"/>
        <v>0</v>
      </c>
      <c r="GU55" s="423">
        <f t="shared" si="82"/>
        <v>0</v>
      </c>
      <c r="GV55" s="423">
        <f t="shared" si="83"/>
        <v>0</v>
      </c>
      <c r="GW55" s="423">
        <f t="shared" si="84"/>
        <v>0</v>
      </c>
      <c r="GX55" s="423">
        <f t="shared" si="85"/>
        <v>0</v>
      </c>
      <c r="GY55" s="423">
        <f t="shared" si="86"/>
        <v>0</v>
      </c>
      <c r="GZ55" s="423">
        <f t="shared" si="87"/>
        <v>0</v>
      </c>
      <c r="HA55" s="423">
        <f t="shared" si="88"/>
        <v>0</v>
      </c>
      <c r="HB55" s="423">
        <f t="shared" si="89"/>
        <v>0</v>
      </c>
      <c r="HC55" s="423">
        <f t="shared" si="90"/>
        <v>0</v>
      </c>
      <c r="HD55" s="423">
        <f t="shared" si="91"/>
        <v>0</v>
      </c>
      <c r="HE55" s="423">
        <f t="shared" si="92"/>
        <v>0</v>
      </c>
      <c r="HF55" s="423">
        <f t="shared" si="93"/>
        <v>0</v>
      </c>
      <c r="HG55" s="423">
        <f t="shared" si="94"/>
        <v>0</v>
      </c>
      <c r="HH55" s="423">
        <f t="shared" si="95"/>
        <v>0</v>
      </c>
      <c r="HI55" s="423">
        <f t="shared" si="96"/>
        <v>0</v>
      </c>
      <c r="HJ55" s="423">
        <f t="shared" si="97"/>
        <v>0</v>
      </c>
      <c r="HK55" s="423">
        <f t="shared" si="98"/>
        <v>0</v>
      </c>
      <c r="HL55" s="423">
        <f t="shared" si="99"/>
        <v>0</v>
      </c>
      <c r="HO55" s="120">
        <v>1</v>
      </c>
      <c r="HP55" s="485">
        <f>DATE(YEAR(EXPEDIENTE!$F$25)+2,HO55,1)</f>
        <v>45658</v>
      </c>
      <c r="HQ55" s="485" t="str">
        <f>IF('GASTOS EJER. 3'!BF49="","",'GASTOS EJER. 3'!BF49)</f>
        <v/>
      </c>
      <c r="HR55" s="486">
        <f>'GASTOS EJER. 3'!CM20</f>
        <v>0</v>
      </c>
      <c r="HS55" s="486">
        <f>'GASTOS EJER. 3'!BA49</f>
        <v>0</v>
      </c>
      <c r="HT55" s="434">
        <f>VLOOKUP(HP55,$GC$7:$HL$69,36,FALSE)</f>
        <v>0</v>
      </c>
      <c r="HU55" s="486">
        <f t="shared" ref="HU55:HU66" si="285">SUM(HR55:HT55)</f>
        <v>0</v>
      </c>
      <c r="JC55" s="406">
        <v>51</v>
      </c>
      <c r="JD55" s="398">
        <f t="shared" si="100"/>
        <v>20</v>
      </c>
    </row>
    <row r="56" spans="3:264" x14ac:dyDescent="0.25">
      <c r="C56" s="206">
        <v>50</v>
      </c>
      <c r="D56" s="401"/>
      <c r="E56" s="417"/>
      <c r="F56" s="418"/>
      <c r="G56" s="419"/>
      <c r="H56" s="419"/>
      <c r="I56" s="419"/>
      <c r="J56" s="401"/>
      <c r="K56" s="407">
        <f t="shared" si="52"/>
        <v>76</v>
      </c>
      <c r="L56" s="407">
        <f t="shared" si="53"/>
        <v>76</v>
      </c>
      <c r="M56" s="407" t="str">
        <f t="shared" si="54"/>
        <v>X</v>
      </c>
      <c r="AG56" s="487">
        <v>18</v>
      </c>
      <c r="AH56" s="489">
        <f>'GASTOS EJER. 3'!M38</f>
        <v>0</v>
      </c>
      <c r="AI56" s="500">
        <f>'GASTOS EJER. 3'!X38</f>
        <v>0</v>
      </c>
      <c r="AJ56" s="490">
        <f t="shared" ref="AJ56:AJ62" si="286">AH56-AI56</f>
        <v>0</v>
      </c>
      <c r="AL56" s="491">
        <f>'GASTOS EJER. 3'!F38+'GASTOS EJER. 3'!L38-'GASTOS EJER. 3'!X38-'GASTOS EJER. 3'!Y38</f>
        <v>0</v>
      </c>
      <c r="AM56" s="492" t="str">
        <f>IF('GASTOS EJER. 3'!AA38="","",'GASTOS EJER. 3'!AA38)</f>
        <v/>
      </c>
      <c r="AN56" s="489">
        <f>'GASTOS EJER. 3'!Y38</f>
        <v>0</v>
      </c>
      <c r="AO56" s="493" t="str">
        <f>IF('GASTOS EJER. 3'!AB38="","",'GASTOS EJER. 3'!AB38)</f>
        <v/>
      </c>
      <c r="AP56" s="494">
        <f>IF(AND(AM56&gt;=EXPEDIENTE!$I$25,AM56&lt;=EXPEDIENTE!$I$29),AL56,0)</f>
        <v>0</v>
      </c>
      <c r="AQ56" s="423">
        <f>IF(AND(AO56&gt;=EXPEDIENTE!$I$25,AO56&lt;=EXPEDIENTE!$I$29),AN56,0)</f>
        <v>0</v>
      </c>
      <c r="AR56" s="490">
        <f t="shared" ref="AR56:AR62" si="287">AP56+AQ56</f>
        <v>0</v>
      </c>
      <c r="AS56" s="495" t="str">
        <f>IF('GASTOS EJER. 3'!D38="","",'GASTOS EJER. 3'!D38)</f>
        <v/>
      </c>
      <c r="AT56" s="496" t="str">
        <f>IF('GASTOS EJER. 3'!E38="","",'GASTOS EJER. 3'!E38)</f>
        <v/>
      </c>
      <c r="AU56" s="497">
        <f t="shared" ref="AU56:AU62" si="288">IF(OR(AS56="",AT56=""),0,DATEDIF(AS56,AT56,"M")+1)</f>
        <v>0</v>
      </c>
      <c r="AV56" s="498">
        <f t="shared" si="266"/>
        <v>0</v>
      </c>
      <c r="AW56" s="439">
        <f t="shared" ref="AW56:AW62" si="289">IF(OR(AS56="",AT56=""),0,ROUND(AR56/AU56,2))</f>
        <v>0</v>
      </c>
      <c r="AY56" s="423">
        <v>2</v>
      </c>
      <c r="AZ56" s="424" t="e">
        <f t="shared" si="267"/>
        <v>#VALUE!</v>
      </c>
      <c r="BA56" s="433">
        <f t="shared" si="268"/>
        <v>0</v>
      </c>
      <c r="BB56" s="434">
        <f t="shared" si="269"/>
        <v>0</v>
      </c>
      <c r="BC56" s="434">
        <f t="shared" si="270"/>
        <v>0</v>
      </c>
      <c r="BD56" s="434">
        <f t="shared" si="271"/>
        <v>0</v>
      </c>
      <c r="BE56" s="434">
        <f t="shared" si="272"/>
        <v>0</v>
      </c>
      <c r="BF56" s="434">
        <f t="shared" si="273"/>
        <v>0</v>
      </c>
      <c r="BG56" s="434">
        <f t="shared" si="274"/>
        <v>0</v>
      </c>
      <c r="BH56" s="435">
        <f t="shared" si="275"/>
        <v>0</v>
      </c>
      <c r="BI56" s="436">
        <f t="shared" si="276"/>
        <v>0</v>
      </c>
      <c r="BK56" s="433">
        <f t="shared" ref="BK56:BK66" si="290">IF($AH$71=0,0,IF($BK$53=0,0,IF(AND(AZ56&gt;=$AS$71,AZ56&lt;=$AT$71),$AW$71,0)))</f>
        <v>0</v>
      </c>
      <c r="BL56" s="434">
        <f t="shared" ref="BL56:BL66" si="291">IF($AH$72=0,0,IF($BL$53=0,0,IF(AND(AZ56&gt;=$AS$72,AZ56&lt;=$AT$72),$AW$72,0)))</f>
        <v>0</v>
      </c>
      <c r="BM56" s="434">
        <f t="shared" ref="BM56:BM66" si="292">IF($AH$73=0,0,IF($BM$53=0,0,IF(AND(AZ56&gt;=$AS$73,AZ56&lt;=$AT$73),$AW$73,0)))</f>
        <v>0</v>
      </c>
      <c r="BN56" s="434">
        <f t="shared" ref="BN56:BN66" si="293">IF($AH$74=0,0,IF($BN$53=0,0,IF(AND(AZ56&gt;=$AS$74,AZ56&lt;=$AT$74),$AW$74,0)))</f>
        <v>0</v>
      </c>
      <c r="BO56" s="434">
        <f t="shared" ref="BO56:BO66" si="294">IF($AH$75=0,0,IF($BO$53=0,0,IF(AND(AZ56&gt;=$AS$75,AZ56&lt;=$AT$75),$AW$75,0)))</f>
        <v>0</v>
      </c>
      <c r="BP56" s="434">
        <f t="shared" ref="BP56:BP66" si="295">IF($AH$76=0,0,IF($BP$53=0,0,IF(AND(AZ56&gt;=$AS$76,AZ56&lt;=$AT$76),$AW$76,0)))</f>
        <v>0</v>
      </c>
      <c r="BQ56" s="434">
        <f t="shared" ref="BQ56:BQ66" si="296">IF($AH$77=0,0,IF($BQ$53=0,0,IF(AND(AZ56&gt;=$AS$77,AZ56&lt;=$AT$77),$AW$77,0)))</f>
        <v>0</v>
      </c>
      <c r="BR56" s="435">
        <f t="shared" ref="BR56:BR66" si="297">IF($AH$78=0,0,IF($BR$53=0,0,IF(AND(AZ56&gt;=$AS$78,AZ56&lt;=$AT$78),$AW$78,0)))</f>
        <v>0</v>
      </c>
      <c r="BS56" s="436">
        <f t="shared" ref="BS56:BS66" si="298">SUM(BK56:BR56)</f>
        <v>0</v>
      </c>
      <c r="BU56" s="436">
        <f t="shared" ref="BU56:BU66" si="299">BI56+BS56</f>
        <v>0</v>
      </c>
      <c r="BX56" s="487">
        <v>18</v>
      </c>
      <c r="BY56" s="489">
        <f>'GASTOS EJER. 3'!BN38</f>
        <v>0</v>
      </c>
      <c r="BZ56" s="500">
        <f>'GASTOS EJER. 3'!CM38</f>
        <v>0</v>
      </c>
      <c r="CA56" s="490">
        <f t="shared" ref="CA56:CA62" si="300">BY56-BZ56</f>
        <v>0</v>
      </c>
      <c r="CC56" s="491">
        <f>'GASTOS EJER. 3'!AW38+'GASTOS EJER. 3'!BM38-'GASTOS EJER. 3'!CM38-'GASTOS EJER. 3'!CP38</f>
        <v>0</v>
      </c>
      <c r="CD56" s="492" t="str">
        <f>IF('GASTOS EJER. 3'!CT38="","",'GASTOS EJER. 3'!CT38)</f>
        <v/>
      </c>
      <c r="CE56" s="489">
        <f>'GASTOS EJER. 3'!CP38</f>
        <v>0</v>
      </c>
      <c r="CF56" s="493" t="str">
        <f>IF('GASTOS EJER. 3'!CW38="","",'GASTOS EJER. 3'!CW38)</f>
        <v/>
      </c>
      <c r="CG56" s="494">
        <f>IF(AND(CD56&gt;=EXPEDIENTE!$I$25,CD56&lt;=EXPEDIENTE!$I$29),CC56,0)</f>
        <v>0</v>
      </c>
      <c r="CH56" s="423">
        <f>IF(AND(CF56&gt;=EXPEDIENTE!$I$25,CF56&lt;=EXPEDIENTE!$I$29),CE56,0)</f>
        <v>0</v>
      </c>
      <c r="CI56" s="490">
        <f t="shared" ref="CI56:CI62" si="301">CG56+CH56</f>
        <v>0</v>
      </c>
      <c r="CJ56" s="495" t="str">
        <f>IF('GASTOS EJER. 3'!AQ38="","",'GASTOS EJER. 3'!AQ38)</f>
        <v/>
      </c>
      <c r="CK56" s="496" t="str">
        <f>IF('GASTOS EJER. 3'!AT38="","",'GASTOS EJER. 3'!AT38)</f>
        <v/>
      </c>
      <c r="CL56" s="497">
        <f t="shared" ref="CL56:CL62" si="302">IF(OR(CJ56="",CK56=""),0,DATEDIF(CJ56,CK56,"M")+1)</f>
        <v>0</v>
      </c>
      <c r="CM56" s="498">
        <f t="shared" si="277"/>
        <v>0</v>
      </c>
      <c r="CN56" s="439">
        <f t="shared" ref="CN56:CN62" si="303">IF(OR(CJ56="",CK56=""),0,ROUND(CI56/CL56,2))</f>
        <v>0</v>
      </c>
      <c r="CP56" s="423">
        <v>2</v>
      </c>
      <c r="CQ56" s="424" t="e">
        <f t="shared" si="278"/>
        <v>#VALUE!</v>
      </c>
      <c r="CR56" s="437">
        <f t="shared" ref="CR56:CR66" si="304">IF($BY$55=0,0,IF($CR$53=0,0,IF(AND($CQ56&gt;=$CJ$55,$CQ56&lt;=$CK$55),$CN$55,0)))</f>
        <v>0</v>
      </c>
      <c r="CS56" s="423">
        <f t="shared" ref="CS56:CS66" si="305">IF($BY$56=0,0,IF($CS$53=0,0,IF(AND($CQ56&gt;=$CJ$56,$CQ56&lt;=$CK$56),$CN$56,0)))</f>
        <v>0</v>
      </c>
      <c r="CT56" s="423">
        <f t="shared" ref="CT56:CT66" si="306">IF($BY$57=0,0,IF($CT$53=0,0,IF(AND($CQ56&gt;=$CJ$57,$CQ56&lt;=$CK$57),$CN$57,0)))</f>
        <v>0</v>
      </c>
      <c r="CU56" s="423">
        <f t="shared" ref="CU56:CU66" si="307">IF($BY$58=0,0,IF($CU$53=0,0,IF(AND($CQ56&gt;=$CJ$58,$CQ56&lt;=$CK$58),$CN$58,0)))</f>
        <v>0</v>
      </c>
      <c r="CV56" s="423">
        <f t="shared" ref="CV56:CV66" si="308">IF($BY$59=0,0,IF($CV$53=0,0,IF(AND($CQ56&gt;=$CJ$59,$CQ56&lt;=$CK$59),$CN$59,0)))</f>
        <v>0</v>
      </c>
      <c r="CW56" s="423">
        <f t="shared" ref="CW56:CW66" si="309">IF($BY$60=0,0,IF($CW$53=0,0,IF(AND($CQ56&gt;=$CJ$60,$CQ56&lt;=$CK$60),$CN$60,0)))</f>
        <v>0</v>
      </c>
      <c r="CX56" s="423">
        <f t="shared" ref="CX56:CX66" si="310">IF($BY$61=0,0,IF($CX$53=0,0,IF(AND($CQ56&gt;=$CJ$61,$CQ56&lt;=$CK$61),$CN$61,0)))</f>
        <v>0</v>
      </c>
      <c r="CY56" s="438">
        <f t="shared" ref="CY56:CY65" si="311">IF($BY$62=0,0,IF($CY$53=0,0,IF(AND($CQ56&gt;=$CJ$62,$CQ56&lt;=$CK$62),$CN$62,0)))</f>
        <v>0</v>
      </c>
      <c r="CZ56" s="436">
        <f t="shared" si="279"/>
        <v>0</v>
      </c>
      <c r="DB56" s="437">
        <f t="shared" ref="DB56:DB66" si="312">IF($BY$71=0,0,IF($DB$53=0,0,IF(AND($CQ56&gt;=$CJ$71,$CQ56&lt;=$CK$71),$CN$71,0)))</f>
        <v>0</v>
      </c>
      <c r="DC56" s="423">
        <f t="shared" ref="DC56:DC66" si="313">IF($BY$72=0,0,IF($DC$53=0,0,IF(AND($CQ56&gt;=$CJ$72,$CQ56&lt;=$CK$72),$CN$72,0)))</f>
        <v>0</v>
      </c>
      <c r="DD56" s="423">
        <f t="shared" ref="DD56:DD66" si="314">IF($BY$73=0,0,IF($DD$53=0,0,IF(AND($CQ56&gt;=$CJ$73,$CQ56&lt;=$CK$73),$CN$73,0)))</f>
        <v>0</v>
      </c>
      <c r="DE56" s="423">
        <f t="shared" ref="DE56:DE66" si="315">IF($BY$74=0,0,IF($DE$53=0,0,IF(AND($CQ56&gt;=$CJ$74,$CQ56&lt;=$CK$74),$CN$74,0)))</f>
        <v>0</v>
      </c>
      <c r="DF56" s="423">
        <f t="shared" ref="DF56:DF66" si="316">IF($BY$75=0,0,IF($DF$53=0,0,IF(AND($CQ56&gt;=$CJ$75,$CQ56&lt;=$CK$75),$CN$75,0)))</f>
        <v>0</v>
      </c>
      <c r="DG56" s="423">
        <f t="shared" ref="DG56:DG66" si="317">IF($BY$76=0,0,IF($DG$53=0,0,IF(AND($CQ56&gt;=$CJ$76,$CQ56&lt;=$CK$76),$CN$76,0)))</f>
        <v>0</v>
      </c>
      <c r="DH56" s="423">
        <f t="shared" ref="DH56:DH66" si="318">IF($BY$77=0,0,IF($DH$53=0,0,IF(AND($CQ56&gt;=$CJ$77,$CQ56&lt;=$CK$77),$CN$77,0)))</f>
        <v>0</v>
      </c>
      <c r="DI56" s="438">
        <f t="shared" ref="DI56:DI66" si="319">IF($BY$78=0,0,IF($DI$53=0,0,IF(AND($CQ56&gt;=$CJ$78,$CQ56&lt;=$CK$78),$CN$78,0)))</f>
        <v>0</v>
      </c>
      <c r="DJ56" s="436">
        <f t="shared" ref="DJ56:DJ66" si="320">SUM(DB56:DI56)</f>
        <v>0</v>
      </c>
      <c r="DL56" s="436">
        <f t="shared" ref="DL56:DL66" si="321">CZ56+DJ56</f>
        <v>0</v>
      </c>
      <c r="DN56" s="487">
        <v>18</v>
      </c>
      <c r="DO56" s="499">
        <f>'GASTOS EJER. 3'!$C38</f>
        <v>0</v>
      </c>
      <c r="DP56" s="496" t="str">
        <f t="shared" ref="DP56:DP62" si="322">AS56</f>
        <v/>
      </c>
      <c r="DQ56" s="496" t="str">
        <f t="shared" ref="DQ56:DQ62" si="323">AT56</f>
        <v/>
      </c>
      <c r="DR56" s="386">
        <f t="shared" ref="DR56:DR62" si="324">AU56</f>
        <v>0</v>
      </c>
      <c r="DS56" s="500">
        <f>'GASTOS EJER. 3'!X38</f>
        <v>0</v>
      </c>
      <c r="DT56" s="492" t="str">
        <f>IF(DS40=0,"",'GASTOS EJER. 3'!AA38)</f>
        <v/>
      </c>
      <c r="DU56" s="492" t="str">
        <f t="shared" si="282"/>
        <v/>
      </c>
      <c r="DV56" s="490" t="e">
        <f>IF(AND(DU56&gt;=EXPEDIENTE!$F$25,DU56&lt;=EXPEDIENTE!$F$29),ROUNDDOWN(DS56/DR56,2),0)</f>
        <v>#DIV/0!</v>
      </c>
      <c r="DX56" s="386">
        <v>37</v>
      </c>
      <c r="DY56" s="430">
        <f t="shared" si="101"/>
        <v>46174</v>
      </c>
      <c r="DZ56" s="430">
        <f t="shared" si="102"/>
        <v>46203</v>
      </c>
      <c r="EA56" s="386" t="str">
        <f>IF(AND(DZ56&gt;=EXPEDIENTE!$F$25,DY56&lt;=EXPEDIENTE!$F$29),"SI","NO")</f>
        <v>SI</v>
      </c>
      <c r="EB56" s="423">
        <f t="shared" si="186"/>
        <v>0</v>
      </c>
      <c r="EC56" s="423">
        <f t="shared" si="187"/>
        <v>0</v>
      </c>
      <c r="ED56" s="423">
        <f t="shared" si="188"/>
        <v>0</v>
      </c>
      <c r="EE56" s="423">
        <f t="shared" si="189"/>
        <v>0</v>
      </c>
      <c r="EF56" s="423">
        <f t="shared" si="190"/>
        <v>0</v>
      </c>
      <c r="EG56" s="423">
        <f t="shared" si="191"/>
        <v>0</v>
      </c>
      <c r="EH56" s="423">
        <f t="shared" si="192"/>
        <v>0</v>
      </c>
      <c r="EI56" s="423">
        <f t="shared" si="193"/>
        <v>0</v>
      </c>
      <c r="EJ56" s="423">
        <f t="shared" si="194"/>
        <v>0</v>
      </c>
      <c r="EK56" s="423">
        <f t="shared" si="195"/>
        <v>0</v>
      </c>
      <c r="EL56" s="423">
        <f t="shared" si="196"/>
        <v>0</v>
      </c>
      <c r="EM56" s="423">
        <f t="shared" si="197"/>
        <v>0</v>
      </c>
      <c r="EN56" s="423">
        <f t="shared" si="198"/>
        <v>0</v>
      </c>
      <c r="EO56" s="423">
        <f t="shared" si="199"/>
        <v>0</v>
      </c>
      <c r="EP56" s="423">
        <f t="shared" si="200"/>
        <v>0</v>
      </c>
      <c r="EQ56" s="423">
        <f t="shared" si="201"/>
        <v>0</v>
      </c>
      <c r="ER56" s="423">
        <f t="shared" si="202"/>
        <v>0</v>
      </c>
      <c r="ES56" s="423">
        <f t="shared" si="203"/>
        <v>0</v>
      </c>
      <c r="ET56" s="423">
        <f t="shared" si="204"/>
        <v>0</v>
      </c>
      <c r="EU56" s="423">
        <f t="shared" si="205"/>
        <v>0</v>
      </c>
      <c r="EV56" s="423">
        <f t="shared" si="206"/>
        <v>0</v>
      </c>
      <c r="EW56" s="423">
        <f t="shared" si="207"/>
        <v>0</v>
      </c>
      <c r="EX56" s="423">
        <f t="shared" si="208"/>
        <v>0</v>
      </c>
      <c r="EY56" s="423">
        <f t="shared" si="209"/>
        <v>0</v>
      </c>
      <c r="EZ56" s="423">
        <f t="shared" si="210"/>
        <v>0</v>
      </c>
      <c r="FA56" s="423">
        <f t="shared" si="211"/>
        <v>0</v>
      </c>
      <c r="FB56" s="423">
        <f t="shared" si="212"/>
        <v>0</v>
      </c>
      <c r="FC56" s="423">
        <f t="shared" si="213"/>
        <v>0</v>
      </c>
      <c r="FD56" s="423">
        <f t="shared" si="214"/>
        <v>0</v>
      </c>
      <c r="FE56" s="423">
        <f t="shared" si="215"/>
        <v>0</v>
      </c>
      <c r="FF56" s="423">
        <f t="shared" si="216"/>
        <v>0</v>
      </c>
      <c r="FG56" s="423">
        <f t="shared" si="217"/>
        <v>0</v>
      </c>
      <c r="FH56" s="423">
        <f t="shared" si="66"/>
        <v>0</v>
      </c>
      <c r="FJ56" s="120">
        <v>2</v>
      </c>
      <c r="FK56" s="492">
        <f>DATE(YEAR(EXPEDIENTE!$F$25)+2,FJ56,1)</f>
        <v>45689</v>
      </c>
      <c r="FL56" s="492" t="str">
        <f>IF('GASTOS EJER. 3'!I50="","",'GASTOS EJER. 3'!I50)</f>
        <v/>
      </c>
      <c r="FM56" s="500">
        <f>'GASTOS EJER. 3'!X21</f>
        <v>0</v>
      </c>
      <c r="FN56" s="500">
        <f>'GASTOS EJER. 3'!H50</f>
        <v>0</v>
      </c>
      <c r="FO56" s="423">
        <f t="shared" ref="FO56:FO66" si="325">VLOOKUP(FK56,$DY$7:$FH$69,36,FALSE)</f>
        <v>0</v>
      </c>
      <c r="FP56" s="500">
        <f t="shared" si="283"/>
        <v>0</v>
      </c>
      <c r="FR56" s="487">
        <v>18</v>
      </c>
      <c r="FS56" s="499">
        <f>'GASTOS EJER. 3'!$C38</f>
        <v>0</v>
      </c>
      <c r="FT56" s="496" t="str">
        <f t="shared" ref="FT56:FT62" si="326">CJ56</f>
        <v/>
      </c>
      <c r="FU56" s="496" t="str">
        <f t="shared" ref="FU56:FU62" si="327">CK56</f>
        <v/>
      </c>
      <c r="FV56" s="386">
        <f t="shared" ref="FV56:FV62" si="328">CL56</f>
        <v>0</v>
      </c>
      <c r="FW56" s="500">
        <f>'GASTOS EJER. 3'!CM38</f>
        <v>0</v>
      </c>
      <c r="FX56" s="492" t="str">
        <f>IF(FW40=0,"",'GASTOS EJER. 3'!CT38)</f>
        <v/>
      </c>
      <c r="FY56" s="492" t="str">
        <f t="shared" si="284"/>
        <v/>
      </c>
      <c r="FZ56" s="490" t="e">
        <f>IF(AND(FY56&gt;=EXPEDIENTE!$F$25,FY56&lt;=EXPEDIENTE!$F$29),ROUNDDOWN(FW56/FV56,2),0)</f>
        <v>#DIV/0!</v>
      </c>
      <c r="GB56" s="386">
        <v>37</v>
      </c>
      <c r="GC56" s="430">
        <f t="shared" si="103"/>
        <v>46174</v>
      </c>
      <c r="GD56" s="430">
        <f t="shared" si="104"/>
        <v>46203</v>
      </c>
      <c r="GE56" s="386" t="str">
        <f>IF(AND(GD56&gt;=EXPEDIENTE!$F$25,GC56&lt;=EXPEDIENTE!$F$29),"SI","NO")</f>
        <v>SI</v>
      </c>
      <c r="GF56" s="423">
        <f t="shared" si="67"/>
        <v>0</v>
      </c>
      <c r="GG56" s="423">
        <f t="shared" si="68"/>
        <v>0</v>
      </c>
      <c r="GH56" s="423">
        <f t="shared" si="69"/>
        <v>0</v>
      </c>
      <c r="GI56" s="423">
        <f t="shared" si="70"/>
        <v>0</v>
      </c>
      <c r="GJ56" s="423">
        <f t="shared" si="71"/>
        <v>0</v>
      </c>
      <c r="GK56" s="423">
        <f t="shared" si="72"/>
        <v>0</v>
      </c>
      <c r="GL56" s="423">
        <f t="shared" si="73"/>
        <v>0</v>
      </c>
      <c r="GM56" s="423">
        <f t="shared" si="74"/>
        <v>0</v>
      </c>
      <c r="GN56" s="423">
        <f t="shared" si="75"/>
        <v>0</v>
      </c>
      <c r="GO56" s="423">
        <f t="shared" si="76"/>
        <v>0</v>
      </c>
      <c r="GP56" s="423">
        <f t="shared" si="77"/>
        <v>0</v>
      </c>
      <c r="GQ56" s="423">
        <f t="shared" si="78"/>
        <v>0</v>
      </c>
      <c r="GR56" s="423">
        <f t="shared" si="79"/>
        <v>0</v>
      </c>
      <c r="GS56" s="423">
        <f t="shared" si="80"/>
        <v>0</v>
      </c>
      <c r="GT56" s="423">
        <f t="shared" si="81"/>
        <v>0</v>
      </c>
      <c r="GU56" s="423">
        <f t="shared" si="82"/>
        <v>0</v>
      </c>
      <c r="GV56" s="423">
        <f t="shared" si="83"/>
        <v>0</v>
      </c>
      <c r="GW56" s="423">
        <f t="shared" si="84"/>
        <v>0</v>
      </c>
      <c r="GX56" s="423">
        <f t="shared" si="85"/>
        <v>0</v>
      </c>
      <c r="GY56" s="423">
        <f t="shared" si="86"/>
        <v>0</v>
      </c>
      <c r="GZ56" s="423">
        <f t="shared" si="87"/>
        <v>0</v>
      </c>
      <c r="HA56" s="423">
        <f t="shared" si="88"/>
        <v>0</v>
      </c>
      <c r="HB56" s="423">
        <f t="shared" si="89"/>
        <v>0</v>
      </c>
      <c r="HC56" s="423">
        <f t="shared" si="90"/>
        <v>0</v>
      </c>
      <c r="HD56" s="423">
        <f t="shared" si="91"/>
        <v>0</v>
      </c>
      <c r="HE56" s="423">
        <f t="shared" si="92"/>
        <v>0</v>
      </c>
      <c r="HF56" s="423">
        <f t="shared" si="93"/>
        <v>0</v>
      </c>
      <c r="HG56" s="423">
        <f t="shared" si="94"/>
        <v>0</v>
      </c>
      <c r="HH56" s="423">
        <f t="shared" si="95"/>
        <v>0</v>
      </c>
      <c r="HI56" s="423">
        <f t="shared" si="96"/>
        <v>0</v>
      </c>
      <c r="HJ56" s="423">
        <f t="shared" si="97"/>
        <v>0</v>
      </c>
      <c r="HK56" s="423">
        <f t="shared" si="98"/>
        <v>0</v>
      </c>
      <c r="HL56" s="423">
        <f t="shared" si="99"/>
        <v>0</v>
      </c>
      <c r="HO56" s="120">
        <v>2</v>
      </c>
      <c r="HP56" s="492">
        <f>DATE(YEAR(EXPEDIENTE!$F$25)+2,HO56,1)</f>
        <v>45689</v>
      </c>
      <c r="HQ56" s="492" t="str">
        <f>IF('GASTOS EJER. 3'!BF50="","",'GASTOS EJER. 3'!BF50)</f>
        <v/>
      </c>
      <c r="HR56" s="500">
        <f>'GASTOS EJER. 3'!CM21</f>
        <v>0</v>
      </c>
      <c r="HS56" s="500">
        <f>'GASTOS EJER. 3'!BA50</f>
        <v>0</v>
      </c>
      <c r="HT56" s="423">
        <f t="shared" ref="HT56:HT66" si="329">VLOOKUP(HP56,$GC$7:$HL$69,36,FALSE)</f>
        <v>0</v>
      </c>
      <c r="HU56" s="500">
        <f t="shared" si="285"/>
        <v>0</v>
      </c>
      <c r="JC56" s="416">
        <v>52</v>
      </c>
      <c r="JD56" s="398">
        <f t="shared" si="100"/>
        <v>20</v>
      </c>
    </row>
    <row r="57" spans="3:264" x14ac:dyDescent="0.25">
      <c r="C57" s="206">
        <v>51</v>
      </c>
      <c r="D57" s="401"/>
      <c r="E57" s="417"/>
      <c r="F57" s="418"/>
      <c r="G57" s="419"/>
      <c r="H57" s="419"/>
      <c r="I57" s="419"/>
      <c r="J57" s="401"/>
      <c r="K57" s="407">
        <f t="shared" si="52"/>
        <v>76</v>
      </c>
      <c r="L57" s="407">
        <f t="shared" si="53"/>
        <v>76</v>
      </c>
      <c r="M57" s="407" t="str">
        <f t="shared" si="54"/>
        <v>X</v>
      </c>
      <c r="AG57" s="487">
        <v>19</v>
      </c>
      <c r="AH57" s="489">
        <f>'GASTOS EJER. 3'!M39</f>
        <v>0</v>
      </c>
      <c r="AI57" s="500">
        <f>'GASTOS EJER. 3'!X39</f>
        <v>0</v>
      </c>
      <c r="AJ57" s="490">
        <f t="shared" si="286"/>
        <v>0</v>
      </c>
      <c r="AL57" s="491">
        <f>'GASTOS EJER. 3'!F39+'GASTOS EJER. 3'!L39-'GASTOS EJER. 3'!X39-'GASTOS EJER. 3'!Y39</f>
        <v>0</v>
      </c>
      <c r="AM57" s="492" t="str">
        <f>IF('GASTOS EJER. 3'!AA39="","",'GASTOS EJER. 3'!AA39)</f>
        <v/>
      </c>
      <c r="AN57" s="489">
        <f>'GASTOS EJER. 3'!Y39</f>
        <v>0</v>
      </c>
      <c r="AO57" s="493" t="str">
        <f>IF('GASTOS EJER. 3'!AB39="","",'GASTOS EJER. 3'!AB39)</f>
        <v/>
      </c>
      <c r="AP57" s="494">
        <f>IF(AND(AM57&gt;=EXPEDIENTE!$I$25,AM57&lt;=EXPEDIENTE!$I$29),AL57,0)</f>
        <v>0</v>
      </c>
      <c r="AQ57" s="423">
        <f>IF(AND(AO57&gt;=EXPEDIENTE!$I$25,AO57&lt;=EXPEDIENTE!$I$29),AN57,0)</f>
        <v>0</v>
      </c>
      <c r="AR57" s="490">
        <f t="shared" si="287"/>
        <v>0</v>
      </c>
      <c r="AS57" s="495" t="str">
        <f>IF('GASTOS EJER. 3'!D39="","",'GASTOS EJER. 3'!D39)</f>
        <v/>
      </c>
      <c r="AT57" s="496" t="str">
        <f>IF('GASTOS EJER. 3'!E39="","",'GASTOS EJER. 3'!E39)</f>
        <v/>
      </c>
      <c r="AU57" s="497">
        <f t="shared" si="288"/>
        <v>0</v>
      </c>
      <c r="AV57" s="498">
        <f t="shared" si="266"/>
        <v>0</v>
      </c>
      <c r="AW57" s="439">
        <f t="shared" si="289"/>
        <v>0</v>
      </c>
      <c r="AY57" s="423">
        <v>3</v>
      </c>
      <c r="AZ57" s="424" t="e">
        <f t="shared" si="267"/>
        <v>#VALUE!</v>
      </c>
      <c r="BA57" s="433">
        <f t="shared" si="268"/>
        <v>0</v>
      </c>
      <c r="BB57" s="434">
        <f t="shared" si="269"/>
        <v>0</v>
      </c>
      <c r="BC57" s="434">
        <f t="shared" si="270"/>
        <v>0</v>
      </c>
      <c r="BD57" s="434">
        <f t="shared" si="271"/>
        <v>0</v>
      </c>
      <c r="BE57" s="434">
        <f t="shared" si="272"/>
        <v>0</v>
      </c>
      <c r="BF57" s="434">
        <f t="shared" si="273"/>
        <v>0</v>
      </c>
      <c r="BG57" s="434">
        <f t="shared" si="274"/>
        <v>0</v>
      </c>
      <c r="BH57" s="435">
        <f t="shared" si="275"/>
        <v>0</v>
      </c>
      <c r="BI57" s="436">
        <f t="shared" si="276"/>
        <v>0</v>
      </c>
      <c r="BK57" s="433">
        <f t="shared" si="290"/>
        <v>0</v>
      </c>
      <c r="BL57" s="434">
        <f t="shared" si="291"/>
        <v>0</v>
      </c>
      <c r="BM57" s="434">
        <f t="shared" si="292"/>
        <v>0</v>
      </c>
      <c r="BN57" s="434">
        <f t="shared" si="293"/>
        <v>0</v>
      </c>
      <c r="BO57" s="434">
        <f t="shared" si="294"/>
        <v>0</v>
      </c>
      <c r="BP57" s="434">
        <f t="shared" si="295"/>
        <v>0</v>
      </c>
      <c r="BQ57" s="434">
        <f t="shared" si="296"/>
        <v>0</v>
      </c>
      <c r="BR57" s="435">
        <f t="shared" si="297"/>
        <v>0</v>
      </c>
      <c r="BS57" s="436">
        <f t="shared" si="298"/>
        <v>0</v>
      </c>
      <c r="BU57" s="436">
        <f t="shared" si="299"/>
        <v>0</v>
      </c>
      <c r="BX57" s="487">
        <v>19</v>
      </c>
      <c r="BY57" s="489">
        <f>'GASTOS EJER. 3'!BN39</f>
        <v>0</v>
      </c>
      <c r="BZ57" s="500">
        <f>'GASTOS EJER. 3'!CM39</f>
        <v>0</v>
      </c>
      <c r="CA57" s="490">
        <f t="shared" si="300"/>
        <v>0</v>
      </c>
      <c r="CC57" s="491">
        <f>'GASTOS EJER. 3'!AW39+'GASTOS EJER. 3'!BM39-'GASTOS EJER. 3'!CM39-'GASTOS EJER. 3'!CP39</f>
        <v>0</v>
      </c>
      <c r="CD57" s="492" t="str">
        <f>IF('GASTOS EJER. 3'!CT39="","",'GASTOS EJER. 3'!CT39)</f>
        <v/>
      </c>
      <c r="CE57" s="489">
        <f>'GASTOS EJER. 3'!CP39</f>
        <v>0</v>
      </c>
      <c r="CF57" s="493" t="str">
        <f>IF('GASTOS EJER. 3'!CW39="","",'GASTOS EJER. 3'!CW39)</f>
        <v/>
      </c>
      <c r="CG57" s="494">
        <f>IF(AND(CD57&gt;=EXPEDIENTE!$I$25,CD57&lt;=EXPEDIENTE!$I$29),CC57,0)</f>
        <v>0</v>
      </c>
      <c r="CH57" s="423">
        <f>IF(AND(CF57&gt;=EXPEDIENTE!$I$25,CF57&lt;=EXPEDIENTE!$I$29),CE57,0)</f>
        <v>0</v>
      </c>
      <c r="CI57" s="490">
        <f t="shared" si="301"/>
        <v>0</v>
      </c>
      <c r="CJ57" s="495" t="str">
        <f>IF('GASTOS EJER. 3'!AQ39="","",'GASTOS EJER. 3'!AQ39)</f>
        <v/>
      </c>
      <c r="CK57" s="496" t="str">
        <f>IF('GASTOS EJER. 3'!AT39="","",'GASTOS EJER. 3'!AT39)</f>
        <v/>
      </c>
      <c r="CL57" s="497">
        <f t="shared" si="302"/>
        <v>0</v>
      </c>
      <c r="CM57" s="498">
        <f t="shared" si="277"/>
        <v>0</v>
      </c>
      <c r="CN57" s="439">
        <f t="shared" si="303"/>
        <v>0</v>
      </c>
      <c r="CP57" s="423">
        <v>3</v>
      </c>
      <c r="CQ57" s="424" t="e">
        <f t="shared" si="278"/>
        <v>#VALUE!</v>
      </c>
      <c r="CR57" s="437">
        <f t="shared" si="304"/>
        <v>0</v>
      </c>
      <c r="CS57" s="423">
        <f t="shared" si="305"/>
        <v>0</v>
      </c>
      <c r="CT57" s="423">
        <f t="shared" si="306"/>
        <v>0</v>
      </c>
      <c r="CU57" s="423">
        <f t="shared" si="307"/>
        <v>0</v>
      </c>
      <c r="CV57" s="423">
        <f t="shared" si="308"/>
        <v>0</v>
      </c>
      <c r="CW57" s="423">
        <f t="shared" si="309"/>
        <v>0</v>
      </c>
      <c r="CX57" s="423">
        <f t="shared" si="310"/>
        <v>0</v>
      </c>
      <c r="CY57" s="438">
        <f t="shared" si="311"/>
        <v>0</v>
      </c>
      <c r="CZ57" s="436">
        <f t="shared" si="279"/>
        <v>0</v>
      </c>
      <c r="DB57" s="437">
        <f t="shared" si="312"/>
        <v>0</v>
      </c>
      <c r="DC57" s="423">
        <f t="shared" si="313"/>
        <v>0</v>
      </c>
      <c r="DD57" s="423">
        <f t="shared" si="314"/>
        <v>0</v>
      </c>
      <c r="DE57" s="423">
        <f t="shared" si="315"/>
        <v>0</v>
      </c>
      <c r="DF57" s="423">
        <f t="shared" si="316"/>
        <v>0</v>
      </c>
      <c r="DG57" s="423">
        <f t="shared" si="317"/>
        <v>0</v>
      </c>
      <c r="DH57" s="423">
        <f t="shared" si="318"/>
        <v>0</v>
      </c>
      <c r="DI57" s="438">
        <f t="shared" si="319"/>
        <v>0</v>
      </c>
      <c r="DJ57" s="436">
        <f t="shared" si="320"/>
        <v>0</v>
      </c>
      <c r="DL57" s="436">
        <f t="shared" si="321"/>
        <v>0</v>
      </c>
      <c r="DN57" s="487">
        <v>19</v>
      </c>
      <c r="DO57" s="499">
        <f>'GASTOS EJER. 3'!$C39</f>
        <v>0</v>
      </c>
      <c r="DP57" s="496" t="str">
        <f t="shared" si="322"/>
        <v/>
      </c>
      <c r="DQ57" s="496" t="str">
        <f t="shared" si="323"/>
        <v/>
      </c>
      <c r="DR57" s="386">
        <f t="shared" si="324"/>
        <v>0</v>
      </c>
      <c r="DS57" s="500">
        <f>'GASTOS EJER. 3'!X39</f>
        <v>0</v>
      </c>
      <c r="DT57" s="492" t="str">
        <f>IF(DS41=0,"",'GASTOS EJER. 3'!AA39)</f>
        <v/>
      </c>
      <c r="DU57" s="492" t="str">
        <f t="shared" si="282"/>
        <v/>
      </c>
      <c r="DV57" s="490" t="e">
        <f>IF(AND(DU57&gt;=EXPEDIENTE!$F$25,DU57&lt;=EXPEDIENTE!$F$29),ROUNDDOWN(DS57/DR57,2),0)</f>
        <v>#DIV/0!</v>
      </c>
      <c r="DX57" s="386">
        <v>38</v>
      </c>
      <c r="DY57" s="430">
        <f t="shared" si="101"/>
        <v>46204</v>
      </c>
      <c r="DZ57" s="430">
        <f t="shared" si="102"/>
        <v>46234</v>
      </c>
      <c r="EA57" s="386" t="str">
        <f>IF(AND(DZ57&gt;=EXPEDIENTE!$F$25,DY57&lt;=EXPEDIENTE!$F$29),"SI","NO")</f>
        <v>SI</v>
      </c>
      <c r="EB57" s="423">
        <f t="shared" si="186"/>
        <v>0</v>
      </c>
      <c r="EC57" s="423">
        <f t="shared" si="187"/>
        <v>0</v>
      </c>
      <c r="ED57" s="423">
        <f t="shared" si="188"/>
        <v>0</v>
      </c>
      <c r="EE57" s="423">
        <f t="shared" si="189"/>
        <v>0</v>
      </c>
      <c r="EF57" s="423">
        <f t="shared" si="190"/>
        <v>0</v>
      </c>
      <c r="EG57" s="423">
        <f t="shared" si="191"/>
        <v>0</v>
      </c>
      <c r="EH57" s="423">
        <f t="shared" si="192"/>
        <v>0</v>
      </c>
      <c r="EI57" s="423">
        <f t="shared" si="193"/>
        <v>0</v>
      </c>
      <c r="EJ57" s="423">
        <f t="shared" si="194"/>
        <v>0</v>
      </c>
      <c r="EK57" s="423">
        <f t="shared" si="195"/>
        <v>0</v>
      </c>
      <c r="EL57" s="423">
        <f t="shared" si="196"/>
        <v>0</v>
      </c>
      <c r="EM57" s="423">
        <f t="shared" si="197"/>
        <v>0</v>
      </c>
      <c r="EN57" s="423">
        <f t="shared" si="198"/>
        <v>0</v>
      </c>
      <c r="EO57" s="423">
        <f t="shared" si="199"/>
        <v>0</v>
      </c>
      <c r="EP57" s="423">
        <f t="shared" si="200"/>
        <v>0</v>
      </c>
      <c r="EQ57" s="423">
        <f t="shared" si="201"/>
        <v>0</v>
      </c>
      <c r="ER57" s="423">
        <f t="shared" si="202"/>
        <v>0</v>
      </c>
      <c r="ES57" s="423">
        <f t="shared" si="203"/>
        <v>0</v>
      </c>
      <c r="ET57" s="423">
        <f t="shared" si="204"/>
        <v>0</v>
      </c>
      <c r="EU57" s="423">
        <f t="shared" si="205"/>
        <v>0</v>
      </c>
      <c r="EV57" s="423">
        <f t="shared" si="206"/>
        <v>0</v>
      </c>
      <c r="EW57" s="423">
        <f t="shared" si="207"/>
        <v>0</v>
      </c>
      <c r="EX57" s="423">
        <f t="shared" si="208"/>
        <v>0</v>
      </c>
      <c r="EY57" s="423">
        <f t="shared" si="209"/>
        <v>0</v>
      </c>
      <c r="EZ57" s="423">
        <f t="shared" si="210"/>
        <v>0</v>
      </c>
      <c r="FA57" s="423">
        <f t="shared" si="211"/>
        <v>0</v>
      </c>
      <c r="FB57" s="423">
        <f t="shared" si="212"/>
        <v>0</v>
      </c>
      <c r="FC57" s="423">
        <f t="shared" si="213"/>
        <v>0</v>
      </c>
      <c r="FD57" s="423">
        <f t="shared" si="214"/>
        <v>0</v>
      </c>
      <c r="FE57" s="423">
        <f t="shared" si="215"/>
        <v>0</v>
      </c>
      <c r="FF57" s="423">
        <f t="shared" si="216"/>
        <v>0</v>
      </c>
      <c r="FG57" s="423">
        <f t="shared" si="217"/>
        <v>0</v>
      </c>
      <c r="FH57" s="423">
        <f t="shared" si="66"/>
        <v>0</v>
      </c>
      <c r="FJ57" s="120">
        <v>3</v>
      </c>
      <c r="FK57" s="492">
        <f>DATE(YEAR(EXPEDIENTE!$F$25)+2,FJ57,1)</f>
        <v>45717</v>
      </c>
      <c r="FL57" s="492" t="str">
        <f>IF('GASTOS EJER. 3'!I51="","",'GASTOS EJER. 3'!I51)</f>
        <v/>
      </c>
      <c r="FM57" s="500">
        <f>'GASTOS EJER. 3'!X22</f>
        <v>0</v>
      </c>
      <c r="FN57" s="500">
        <f>'GASTOS EJER. 3'!H51</f>
        <v>0</v>
      </c>
      <c r="FO57" s="423">
        <f t="shared" si="325"/>
        <v>0</v>
      </c>
      <c r="FP57" s="500">
        <f t="shared" si="283"/>
        <v>0</v>
      </c>
      <c r="FR57" s="487">
        <v>19</v>
      </c>
      <c r="FS57" s="499">
        <f>'GASTOS EJER. 3'!$C39</f>
        <v>0</v>
      </c>
      <c r="FT57" s="496" t="str">
        <f t="shared" si="326"/>
        <v/>
      </c>
      <c r="FU57" s="496" t="str">
        <f t="shared" si="327"/>
        <v/>
      </c>
      <c r="FV57" s="386">
        <f t="shared" si="328"/>
        <v>0</v>
      </c>
      <c r="FW57" s="500">
        <f>'GASTOS EJER. 3'!CM39</f>
        <v>0</v>
      </c>
      <c r="FX57" s="492" t="str">
        <f>IF(FW41=0,"",'GASTOS EJER. 3'!CT39)</f>
        <v/>
      </c>
      <c r="FY57" s="492" t="str">
        <f t="shared" si="284"/>
        <v/>
      </c>
      <c r="FZ57" s="490" t="e">
        <f>IF(AND(FY57&gt;=EXPEDIENTE!$F$25,FY57&lt;=EXPEDIENTE!$F$29),ROUNDDOWN(FW57/FV57,2),0)</f>
        <v>#DIV/0!</v>
      </c>
      <c r="GB57" s="386">
        <v>38</v>
      </c>
      <c r="GC57" s="430">
        <f t="shared" si="103"/>
        <v>46204</v>
      </c>
      <c r="GD57" s="430">
        <f t="shared" si="104"/>
        <v>46234</v>
      </c>
      <c r="GE57" s="386" t="str">
        <f>IF(AND(GD57&gt;=EXPEDIENTE!$F$25,GC57&lt;=EXPEDIENTE!$F$29),"SI","NO")</f>
        <v>SI</v>
      </c>
      <c r="GF57" s="423">
        <f t="shared" si="67"/>
        <v>0</v>
      </c>
      <c r="GG57" s="423">
        <f t="shared" si="68"/>
        <v>0</v>
      </c>
      <c r="GH57" s="423">
        <f t="shared" si="69"/>
        <v>0</v>
      </c>
      <c r="GI57" s="423">
        <f t="shared" si="70"/>
        <v>0</v>
      </c>
      <c r="GJ57" s="423">
        <f t="shared" si="71"/>
        <v>0</v>
      </c>
      <c r="GK57" s="423">
        <f t="shared" si="72"/>
        <v>0</v>
      </c>
      <c r="GL57" s="423">
        <f t="shared" si="73"/>
        <v>0</v>
      </c>
      <c r="GM57" s="423">
        <f t="shared" si="74"/>
        <v>0</v>
      </c>
      <c r="GN57" s="423">
        <f t="shared" si="75"/>
        <v>0</v>
      </c>
      <c r="GO57" s="423">
        <f t="shared" si="76"/>
        <v>0</v>
      </c>
      <c r="GP57" s="423">
        <f t="shared" si="77"/>
        <v>0</v>
      </c>
      <c r="GQ57" s="423">
        <f t="shared" si="78"/>
        <v>0</v>
      </c>
      <c r="GR57" s="423">
        <f t="shared" si="79"/>
        <v>0</v>
      </c>
      <c r="GS57" s="423">
        <f t="shared" si="80"/>
        <v>0</v>
      </c>
      <c r="GT57" s="423">
        <f t="shared" si="81"/>
        <v>0</v>
      </c>
      <c r="GU57" s="423">
        <f t="shared" si="82"/>
        <v>0</v>
      </c>
      <c r="GV57" s="423">
        <f t="shared" si="83"/>
        <v>0</v>
      </c>
      <c r="GW57" s="423">
        <f t="shared" si="84"/>
        <v>0</v>
      </c>
      <c r="GX57" s="423">
        <f t="shared" si="85"/>
        <v>0</v>
      </c>
      <c r="GY57" s="423">
        <f t="shared" si="86"/>
        <v>0</v>
      </c>
      <c r="GZ57" s="423">
        <f t="shared" si="87"/>
        <v>0</v>
      </c>
      <c r="HA57" s="423">
        <f t="shared" si="88"/>
        <v>0</v>
      </c>
      <c r="HB57" s="423">
        <f t="shared" si="89"/>
        <v>0</v>
      </c>
      <c r="HC57" s="423">
        <f t="shared" si="90"/>
        <v>0</v>
      </c>
      <c r="HD57" s="423">
        <f t="shared" si="91"/>
        <v>0</v>
      </c>
      <c r="HE57" s="423">
        <f t="shared" si="92"/>
        <v>0</v>
      </c>
      <c r="HF57" s="423">
        <f t="shared" si="93"/>
        <v>0</v>
      </c>
      <c r="HG57" s="423">
        <f t="shared" si="94"/>
        <v>0</v>
      </c>
      <c r="HH57" s="423">
        <f t="shared" si="95"/>
        <v>0</v>
      </c>
      <c r="HI57" s="423">
        <f t="shared" si="96"/>
        <v>0</v>
      </c>
      <c r="HJ57" s="423">
        <f t="shared" si="97"/>
        <v>0</v>
      </c>
      <c r="HK57" s="423">
        <f t="shared" si="98"/>
        <v>0</v>
      </c>
      <c r="HL57" s="423">
        <f t="shared" si="99"/>
        <v>0</v>
      </c>
      <c r="HO57" s="120">
        <v>3</v>
      </c>
      <c r="HP57" s="492">
        <f>DATE(YEAR(EXPEDIENTE!$F$25)+2,HO57,1)</f>
        <v>45717</v>
      </c>
      <c r="HQ57" s="492" t="str">
        <f>IF('GASTOS EJER. 3'!BF51="","",'GASTOS EJER. 3'!BF51)</f>
        <v/>
      </c>
      <c r="HR57" s="500">
        <f>'GASTOS EJER. 3'!CM22</f>
        <v>0</v>
      </c>
      <c r="HS57" s="500">
        <f>'GASTOS EJER. 3'!BA51</f>
        <v>0</v>
      </c>
      <c r="HT57" s="423">
        <f t="shared" si="329"/>
        <v>0</v>
      </c>
      <c r="HU57" s="500">
        <f t="shared" si="285"/>
        <v>0</v>
      </c>
      <c r="JC57" s="416">
        <v>53</v>
      </c>
      <c r="JD57" s="398">
        <f t="shared" si="100"/>
        <v>20</v>
      </c>
    </row>
    <row r="58" spans="3:264" x14ac:dyDescent="0.25">
      <c r="C58" s="206">
        <v>52</v>
      </c>
      <c r="D58" s="401"/>
      <c r="E58" s="417"/>
      <c r="F58" s="418"/>
      <c r="G58" s="419"/>
      <c r="H58" s="419"/>
      <c r="I58" s="419"/>
      <c r="J58" s="401"/>
      <c r="K58" s="407">
        <f t="shared" si="52"/>
        <v>76</v>
      </c>
      <c r="L58" s="407">
        <f t="shared" si="53"/>
        <v>76</v>
      </c>
      <c r="M58" s="407" t="str">
        <f t="shared" si="54"/>
        <v>X</v>
      </c>
      <c r="AG58" s="487">
        <v>20</v>
      </c>
      <c r="AH58" s="489">
        <f>'GASTOS EJER. 3'!M40</f>
        <v>0</v>
      </c>
      <c r="AI58" s="500">
        <f>'GASTOS EJER. 3'!X40</f>
        <v>0</v>
      </c>
      <c r="AJ58" s="490">
        <f t="shared" si="286"/>
        <v>0</v>
      </c>
      <c r="AL58" s="491">
        <f>'GASTOS EJER. 3'!F40+'GASTOS EJER. 3'!L40-'GASTOS EJER. 3'!X40-'GASTOS EJER. 3'!Y40</f>
        <v>0</v>
      </c>
      <c r="AM58" s="492" t="str">
        <f>IF('GASTOS EJER. 3'!AA40="","",'GASTOS EJER. 3'!AA40)</f>
        <v/>
      </c>
      <c r="AN58" s="489">
        <f>'GASTOS EJER. 3'!Y40</f>
        <v>0</v>
      </c>
      <c r="AO58" s="493" t="str">
        <f>IF('GASTOS EJER. 3'!AB40="","",'GASTOS EJER. 3'!AB40)</f>
        <v/>
      </c>
      <c r="AP58" s="494">
        <f>IF(AND(AM58&gt;=EXPEDIENTE!$I$25,AM58&lt;=EXPEDIENTE!$I$29),AL58,0)</f>
        <v>0</v>
      </c>
      <c r="AQ58" s="423">
        <f>IF(AND(AO58&gt;=EXPEDIENTE!$I$25,AO58&lt;=EXPEDIENTE!$I$29),AN58,0)</f>
        <v>0</v>
      </c>
      <c r="AR58" s="490">
        <f t="shared" si="287"/>
        <v>0</v>
      </c>
      <c r="AS58" s="495" t="str">
        <f>IF('GASTOS EJER. 3'!D40="","",'GASTOS EJER. 3'!D40)</f>
        <v/>
      </c>
      <c r="AT58" s="496" t="str">
        <f>IF('GASTOS EJER. 3'!E40="","",'GASTOS EJER. 3'!E40)</f>
        <v/>
      </c>
      <c r="AU58" s="497">
        <f t="shared" si="288"/>
        <v>0</v>
      </c>
      <c r="AV58" s="498">
        <f t="shared" si="266"/>
        <v>0</v>
      </c>
      <c r="AW58" s="439">
        <f t="shared" si="289"/>
        <v>0</v>
      </c>
      <c r="AY58" s="423">
        <v>4</v>
      </c>
      <c r="AZ58" s="424" t="e">
        <f t="shared" si="267"/>
        <v>#VALUE!</v>
      </c>
      <c r="BA58" s="433">
        <f t="shared" si="268"/>
        <v>0</v>
      </c>
      <c r="BB58" s="434">
        <f t="shared" si="269"/>
        <v>0</v>
      </c>
      <c r="BC58" s="434">
        <f t="shared" si="270"/>
        <v>0</v>
      </c>
      <c r="BD58" s="434">
        <f t="shared" si="271"/>
        <v>0</v>
      </c>
      <c r="BE58" s="434">
        <f t="shared" si="272"/>
        <v>0</v>
      </c>
      <c r="BF58" s="434">
        <f t="shared" si="273"/>
        <v>0</v>
      </c>
      <c r="BG58" s="434">
        <f t="shared" si="274"/>
        <v>0</v>
      </c>
      <c r="BH58" s="435">
        <f t="shared" si="275"/>
        <v>0</v>
      </c>
      <c r="BI58" s="436">
        <f t="shared" si="276"/>
        <v>0</v>
      </c>
      <c r="BK58" s="433">
        <f t="shared" si="290"/>
        <v>0</v>
      </c>
      <c r="BL58" s="434">
        <f t="shared" si="291"/>
        <v>0</v>
      </c>
      <c r="BM58" s="434">
        <f t="shared" si="292"/>
        <v>0</v>
      </c>
      <c r="BN58" s="434">
        <f t="shared" si="293"/>
        <v>0</v>
      </c>
      <c r="BO58" s="434">
        <f t="shared" si="294"/>
        <v>0</v>
      </c>
      <c r="BP58" s="434">
        <f t="shared" si="295"/>
        <v>0</v>
      </c>
      <c r="BQ58" s="434">
        <f t="shared" si="296"/>
        <v>0</v>
      </c>
      <c r="BR58" s="435">
        <f t="shared" si="297"/>
        <v>0</v>
      </c>
      <c r="BS58" s="436">
        <f t="shared" si="298"/>
        <v>0</v>
      </c>
      <c r="BU58" s="436">
        <f t="shared" si="299"/>
        <v>0</v>
      </c>
      <c r="BX58" s="487">
        <v>20</v>
      </c>
      <c r="BY58" s="489">
        <f>'GASTOS EJER. 3'!BN40</f>
        <v>0</v>
      </c>
      <c r="BZ58" s="500">
        <f>'GASTOS EJER. 3'!CM40</f>
        <v>0</v>
      </c>
      <c r="CA58" s="490">
        <f t="shared" si="300"/>
        <v>0</v>
      </c>
      <c r="CC58" s="491">
        <f>'GASTOS EJER. 3'!AW40+'GASTOS EJER. 3'!BM40-'GASTOS EJER. 3'!CM40-'GASTOS EJER. 3'!CP40</f>
        <v>0</v>
      </c>
      <c r="CD58" s="492" t="str">
        <f>IF('GASTOS EJER. 3'!CT40="","",'GASTOS EJER. 3'!CT40)</f>
        <v/>
      </c>
      <c r="CE58" s="489">
        <f>'GASTOS EJER. 3'!CP40</f>
        <v>0</v>
      </c>
      <c r="CF58" s="493" t="str">
        <f>IF('GASTOS EJER. 3'!CW40="","",'GASTOS EJER. 3'!CW40)</f>
        <v/>
      </c>
      <c r="CG58" s="494">
        <f>IF(AND(CD58&gt;=EXPEDIENTE!$I$25,CD58&lt;=EXPEDIENTE!$I$29),CC58,0)</f>
        <v>0</v>
      </c>
      <c r="CH58" s="423">
        <f>IF(AND(CF58&gt;=EXPEDIENTE!$I$25,CF58&lt;=EXPEDIENTE!$I$29),CE58,0)</f>
        <v>0</v>
      </c>
      <c r="CI58" s="490">
        <f t="shared" si="301"/>
        <v>0</v>
      </c>
      <c r="CJ58" s="495" t="str">
        <f>IF('GASTOS EJER. 3'!AQ40="","",'GASTOS EJER. 3'!AQ40)</f>
        <v/>
      </c>
      <c r="CK58" s="496" t="str">
        <f>IF('GASTOS EJER. 3'!AT40="","",'GASTOS EJER. 3'!AT40)</f>
        <v/>
      </c>
      <c r="CL58" s="497">
        <f t="shared" si="302"/>
        <v>0</v>
      </c>
      <c r="CM58" s="498">
        <f t="shared" si="277"/>
        <v>0</v>
      </c>
      <c r="CN58" s="439">
        <f t="shared" si="303"/>
        <v>0</v>
      </c>
      <c r="CP58" s="423">
        <v>4</v>
      </c>
      <c r="CQ58" s="424" t="e">
        <f t="shared" si="278"/>
        <v>#VALUE!</v>
      </c>
      <c r="CR58" s="437">
        <f t="shared" si="304"/>
        <v>0</v>
      </c>
      <c r="CS58" s="423">
        <f t="shared" si="305"/>
        <v>0</v>
      </c>
      <c r="CT58" s="423">
        <f t="shared" si="306"/>
        <v>0</v>
      </c>
      <c r="CU58" s="423">
        <f t="shared" si="307"/>
        <v>0</v>
      </c>
      <c r="CV58" s="423">
        <f t="shared" si="308"/>
        <v>0</v>
      </c>
      <c r="CW58" s="423">
        <f t="shared" si="309"/>
        <v>0</v>
      </c>
      <c r="CX58" s="423">
        <f t="shared" si="310"/>
        <v>0</v>
      </c>
      <c r="CY58" s="438">
        <f t="shared" si="311"/>
        <v>0</v>
      </c>
      <c r="CZ58" s="436">
        <f t="shared" si="279"/>
        <v>0</v>
      </c>
      <c r="DB58" s="437">
        <f t="shared" si="312"/>
        <v>0</v>
      </c>
      <c r="DC58" s="423">
        <f t="shared" si="313"/>
        <v>0</v>
      </c>
      <c r="DD58" s="423">
        <f t="shared" si="314"/>
        <v>0</v>
      </c>
      <c r="DE58" s="423">
        <f t="shared" si="315"/>
        <v>0</v>
      </c>
      <c r="DF58" s="423">
        <f t="shared" si="316"/>
        <v>0</v>
      </c>
      <c r="DG58" s="423">
        <f t="shared" si="317"/>
        <v>0</v>
      </c>
      <c r="DH58" s="423">
        <f t="shared" si="318"/>
        <v>0</v>
      </c>
      <c r="DI58" s="438">
        <f t="shared" si="319"/>
        <v>0</v>
      </c>
      <c r="DJ58" s="436">
        <f t="shared" si="320"/>
        <v>0</v>
      </c>
      <c r="DL58" s="436">
        <f t="shared" si="321"/>
        <v>0</v>
      </c>
      <c r="DN58" s="487">
        <v>20</v>
      </c>
      <c r="DO58" s="499">
        <f>'GASTOS EJER. 3'!$C40</f>
        <v>0</v>
      </c>
      <c r="DP58" s="496" t="str">
        <f t="shared" si="322"/>
        <v/>
      </c>
      <c r="DQ58" s="496" t="str">
        <f t="shared" si="323"/>
        <v/>
      </c>
      <c r="DR58" s="386">
        <f t="shared" si="324"/>
        <v>0</v>
      </c>
      <c r="DS58" s="500">
        <f>'GASTOS EJER. 3'!X40</f>
        <v>0</v>
      </c>
      <c r="DT58" s="492" t="str">
        <f>IF(DS42=0,"",'GASTOS EJER. 3'!AA40)</f>
        <v/>
      </c>
      <c r="DU58" s="492" t="str">
        <f t="shared" si="282"/>
        <v/>
      </c>
      <c r="DV58" s="490" t="e">
        <f>IF(AND(DU58&gt;=EXPEDIENTE!$F$25,DU58&lt;=EXPEDIENTE!$F$29),ROUNDDOWN(DS58/DR58,2),0)</f>
        <v>#DIV/0!</v>
      </c>
      <c r="DX58" s="386">
        <v>39</v>
      </c>
      <c r="DY58" s="430">
        <f t="shared" si="101"/>
        <v>46235</v>
      </c>
      <c r="DZ58" s="430">
        <f t="shared" si="102"/>
        <v>46265</v>
      </c>
      <c r="EA58" s="386" t="str">
        <f>IF(AND(DZ58&gt;=EXPEDIENTE!$F$25,DY58&lt;=EXPEDIENTE!$F$29),"SI","NO")</f>
        <v>SI</v>
      </c>
      <c r="EB58" s="423">
        <f t="shared" si="186"/>
        <v>0</v>
      </c>
      <c r="EC58" s="423">
        <f t="shared" si="187"/>
        <v>0</v>
      </c>
      <c r="ED58" s="423">
        <f t="shared" si="188"/>
        <v>0</v>
      </c>
      <c r="EE58" s="423">
        <f t="shared" si="189"/>
        <v>0</v>
      </c>
      <c r="EF58" s="423">
        <f t="shared" si="190"/>
        <v>0</v>
      </c>
      <c r="EG58" s="423">
        <f t="shared" si="191"/>
        <v>0</v>
      </c>
      <c r="EH58" s="423">
        <f t="shared" si="192"/>
        <v>0</v>
      </c>
      <c r="EI58" s="423">
        <f t="shared" si="193"/>
        <v>0</v>
      </c>
      <c r="EJ58" s="423">
        <f t="shared" si="194"/>
        <v>0</v>
      </c>
      <c r="EK58" s="423">
        <f t="shared" si="195"/>
        <v>0</v>
      </c>
      <c r="EL58" s="423">
        <f t="shared" si="196"/>
        <v>0</v>
      </c>
      <c r="EM58" s="423">
        <f t="shared" si="197"/>
        <v>0</v>
      </c>
      <c r="EN58" s="423">
        <f t="shared" si="198"/>
        <v>0</v>
      </c>
      <c r="EO58" s="423">
        <f t="shared" si="199"/>
        <v>0</v>
      </c>
      <c r="EP58" s="423">
        <f t="shared" si="200"/>
        <v>0</v>
      </c>
      <c r="EQ58" s="423">
        <f t="shared" si="201"/>
        <v>0</v>
      </c>
      <c r="ER58" s="423">
        <f t="shared" si="202"/>
        <v>0</v>
      </c>
      <c r="ES58" s="423">
        <f t="shared" si="203"/>
        <v>0</v>
      </c>
      <c r="ET58" s="423">
        <f t="shared" si="204"/>
        <v>0</v>
      </c>
      <c r="EU58" s="423">
        <f t="shared" si="205"/>
        <v>0</v>
      </c>
      <c r="EV58" s="423">
        <f t="shared" si="206"/>
        <v>0</v>
      </c>
      <c r="EW58" s="423">
        <f t="shared" si="207"/>
        <v>0</v>
      </c>
      <c r="EX58" s="423">
        <f t="shared" si="208"/>
        <v>0</v>
      </c>
      <c r="EY58" s="423">
        <f t="shared" si="209"/>
        <v>0</v>
      </c>
      <c r="EZ58" s="423">
        <f t="shared" si="210"/>
        <v>0</v>
      </c>
      <c r="FA58" s="423">
        <f t="shared" si="211"/>
        <v>0</v>
      </c>
      <c r="FB58" s="423">
        <f t="shared" si="212"/>
        <v>0</v>
      </c>
      <c r="FC58" s="423">
        <f t="shared" si="213"/>
        <v>0</v>
      </c>
      <c r="FD58" s="423">
        <f t="shared" si="214"/>
        <v>0</v>
      </c>
      <c r="FE58" s="423">
        <f t="shared" si="215"/>
        <v>0</v>
      </c>
      <c r="FF58" s="423">
        <f t="shared" si="216"/>
        <v>0</v>
      </c>
      <c r="FG58" s="423">
        <f t="shared" si="217"/>
        <v>0</v>
      </c>
      <c r="FH58" s="423">
        <f t="shared" si="66"/>
        <v>0</v>
      </c>
      <c r="FJ58" s="120">
        <v>4</v>
      </c>
      <c r="FK58" s="492">
        <f>DATE(YEAR(EXPEDIENTE!$F$25)+2,FJ58,1)</f>
        <v>45748</v>
      </c>
      <c r="FL58" s="492" t="str">
        <f>IF('GASTOS EJER. 3'!I52="","",'GASTOS EJER. 3'!I52)</f>
        <v/>
      </c>
      <c r="FM58" s="500">
        <f>'GASTOS EJER. 3'!X23</f>
        <v>0</v>
      </c>
      <c r="FN58" s="500">
        <f>'GASTOS EJER. 3'!H52</f>
        <v>0</v>
      </c>
      <c r="FO58" s="423">
        <f t="shared" si="325"/>
        <v>0</v>
      </c>
      <c r="FP58" s="500">
        <f t="shared" si="283"/>
        <v>0</v>
      </c>
      <c r="FR58" s="487">
        <v>20</v>
      </c>
      <c r="FS58" s="499">
        <f>'GASTOS EJER. 3'!$C40</f>
        <v>0</v>
      </c>
      <c r="FT58" s="496" t="str">
        <f t="shared" si="326"/>
        <v/>
      </c>
      <c r="FU58" s="496" t="str">
        <f t="shared" si="327"/>
        <v/>
      </c>
      <c r="FV58" s="386">
        <f t="shared" si="328"/>
        <v>0</v>
      </c>
      <c r="FW58" s="500">
        <f>'GASTOS EJER. 3'!CM40</f>
        <v>0</v>
      </c>
      <c r="FX58" s="492" t="str">
        <f>IF(FW42=0,"",'GASTOS EJER. 3'!CT40)</f>
        <v/>
      </c>
      <c r="FY58" s="492" t="str">
        <f t="shared" si="284"/>
        <v/>
      </c>
      <c r="FZ58" s="490" t="e">
        <f>IF(AND(FY58&gt;=EXPEDIENTE!$F$25,FY58&lt;=EXPEDIENTE!$F$29),ROUNDDOWN(FW58/FV58,2),0)</f>
        <v>#DIV/0!</v>
      </c>
      <c r="GB58" s="386">
        <v>39</v>
      </c>
      <c r="GC58" s="430">
        <f t="shared" si="103"/>
        <v>46235</v>
      </c>
      <c r="GD58" s="430">
        <f t="shared" si="104"/>
        <v>46265</v>
      </c>
      <c r="GE58" s="386" t="str">
        <f>IF(AND(GD58&gt;=EXPEDIENTE!$F$25,GC58&lt;=EXPEDIENTE!$F$29),"SI","NO")</f>
        <v>SI</v>
      </c>
      <c r="GF58" s="423">
        <f t="shared" si="67"/>
        <v>0</v>
      </c>
      <c r="GG58" s="423">
        <f t="shared" si="68"/>
        <v>0</v>
      </c>
      <c r="GH58" s="423">
        <f t="shared" si="69"/>
        <v>0</v>
      </c>
      <c r="GI58" s="423">
        <f t="shared" si="70"/>
        <v>0</v>
      </c>
      <c r="GJ58" s="423">
        <f t="shared" si="71"/>
        <v>0</v>
      </c>
      <c r="GK58" s="423">
        <f t="shared" si="72"/>
        <v>0</v>
      </c>
      <c r="GL58" s="423">
        <f t="shared" si="73"/>
        <v>0</v>
      </c>
      <c r="GM58" s="423">
        <f t="shared" si="74"/>
        <v>0</v>
      </c>
      <c r="GN58" s="423">
        <f t="shared" si="75"/>
        <v>0</v>
      </c>
      <c r="GO58" s="423">
        <f t="shared" si="76"/>
        <v>0</v>
      </c>
      <c r="GP58" s="423">
        <f t="shared" si="77"/>
        <v>0</v>
      </c>
      <c r="GQ58" s="423">
        <f t="shared" si="78"/>
        <v>0</v>
      </c>
      <c r="GR58" s="423">
        <f t="shared" si="79"/>
        <v>0</v>
      </c>
      <c r="GS58" s="423">
        <f t="shared" si="80"/>
        <v>0</v>
      </c>
      <c r="GT58" s="423">
        <f t="shared" si="81"/>
        <v>0</v>
      </c>
      <c r="GU58" s="423">
        <f t="shared" si="82"/>
        <v>0</v>
      </c>
      <c r="GV58" s="423">
        <f t="shared" si="83"/>
        <v>0</v>
      </c>
      <c r="GW58" s="423">
        <f t="shared" si="84"/>
        <v>0</v>
      </c>
      <c r="GX58" s="423">
        <f t="shared" si="85"/>
        <v>0</v>
      </c>
      <c r="GY58" s="423">
        <f t="shared" si="86"/>
        <v>0</v>
      </c>
      <c r="GZ58" s="423">
        <f t="shared" si="87"/>
        <v>0</v>
      </c>
      <c r="HA58" s="423">
        <f t="shared" si="88"/>
        <v>0</v>
      </c>
      <c r="HB58" s="423">
        <f t="shared" si="89"/>
        <v>0</v>
      </c>
      <c r="HC58" s="423">
        <f t="shared" si="90"/>
        <v>0</v>
      </c>
      <c r="HD58" s="423">
        <f t="shared" si="91"/>
        <v>0</v>
      </c>
      <c r="HE58" s="423">
        <f t="shared" si="92"/>
        <v>0</v>
      </c>
      <c r="HF58" s="423">
        <f t="shared" si="93"/>
        <v>0</v>
      </c>
      <c r="HG58" s="423">
        <f t="shared" si="94"/>
        <v>0</v>
      </c>
      <c r="HH58" s="423">
        <f t="shared" si="95"/>
        <v>0</v>
      </c>
      <c r="HI58" s="423">
        <f t="shared" si="96"/>
        <v>0</v>
      </c>
      <c r="HJ58" s="423">
        <f t="shared" si="97"/>
        <v>0</v>
      </c>
      <c r="HK58" s="423">
        <f t="shared" si="98"/>
        <v>0</v>
      </c>
      <c r="HL58" s="423">
        <f t="shared" si="99"/>
        <v>0</v>
      </c>
      <c r="HO58" s="120">
        <v>4</v>
      </c>
      <c r="HP58" s="492">
        <f>DATE(YEAR(EXPEDIENTE!$F$25)+2,HO58,1)</f>
        <v>45748</v>
      </c>
      <c r="HQ58" s="492" t="str">
        <f>IF('GASTOS EJER. 3'!BF52="","",'GASTOS EJER. 3'!BF52)</f>
        <v/>
      </c>
      <c r="HR58" s="500">
        <f>'GASTOS EJER. 3'!CM23</f>
        <v>0</v>
      </c>
      <c r="HS58" s="500">
        <f>'GASTOS EJER. 3'!BA52</f>
        <v>0</v>
      </c>
      <c r="HT58" s="423">
        <f t="shared" si="329"/>
        <v>0</v>
      </c>
      <c r="HU58" s="500">
        <f t="shared" si="285"/>
        <v>0</v>
      </c>
      <c r="JC58" s="416">
        <v>54</v>
      </c>
      <c r="JD58" s="398">
        <f t="shared" si="100"/>
        <v>20</v>
      </c>
    </row>
    <row r="59" spans="3:264" x14ac:dyDescent="0.25">
      <c r="C59" s="206">
        <v>53</v>
      </c>
      <c r="D59" s="401"/>
      <c r="E59" s="417"/>
      <c r="F59" s="418"/>
      <c r="G59" s="419"/>
      <c r="H59" s="419"/>
      <c r="I59" s="419"/>
      <c r="J59" s="401"/>
      <c r="K59" s="407">
        <f t="shared" si="52"/>
        <v>76</v>
      </c>
      <c r="L59" s="407">
        <f t="shared" si="53"/>
        <v>76</v>
      </c>
      <c r="M59" s="407" t="str">
        <f t="shared" si="54"/>
        <v>X</v>
      </c>
      <c r="AG59" s="487">
        <v>21</v>
      </c>
      <c r="AH59" s="489">
        <f>'GASTOS EJER. 3'!M41</f>
        <v>0</v>
      </c>
      <c r="AI59" s="500">
        <f>'GASTOS EJER. 3'!X41</f>
        <v>0</v>
      </c>
      <c r="AJ59" s="490">
        <f t="shared" si="286"/>
        <v>0</v>
      </c>
      <c r="AL59" s="491">
        <f>'GASTOS EJER. 3'!F41+'GASTOS EJER. 3'!L41-'GASTOS EJER. 3'!X41-'GASTOS EJER. 3'!Y41</f>
        <v>0</v>
      </c>
      <c r="AM59" s="492" t="str">
        <f>IF('GASTOS EJER. 3'!AA41="","",'GASTOS EJER. 3'!AA41)</f>
        <v/>
      </c>
      <c r="AN59" s="489">
        <f>'GASTOS EJER. 3'!Y41</f>
        <v>0</v>
      </c>
      <c r="AO59" s="493" t="str">
        <f>IF('GASTOS EJER. 3'!AB41="","",'GASTOS EJER. 3'!AB41)</f>
        <v/>
      </c>
      <c r="AP59" s="494">
        <f>IF(AND(AM59&gt;=EXPEDIENTE!$I$25,AM59&lt;=EXPEDIENTE!$I$29),AL59,0)</f>
        <v>0</v>
      </c>
      <c r="AQ59" s="423">
        <f>IF(AND(AO59&gt;=EXPEDIENTE!$I$25,AO59&lt;=EXPEDIENTE!$I$29),AN59,0)</f>
        <v>0</v>
      </c>
      <c r="AR59" s="490">
        <f t="shared" si="287"/>
        <v>0</v>
      </c>
      <c r="AS59" s="495" t="str">
        <f>IF('GASTOS EJER. 3'!D41="","",'GASTOS EJER. 3'!D41)</f>
        <v/>
      </c>
      <c r="AT59" s="496" t="str">
        <f>IF('GASTOS EJER. 3'!E41="","",'GASTOS EJER. 3'!E41)</f>
        <v/>
      </c>
      <c r="AU59" s="497">
        <f t="shared" si="288"/>
        <v>0</v>
      </c>
      <c r="AV59" s="498">
        <f t="shared" si="266"/>
        <v>0</v>
      </c>
      <c r="AW59" s="439">
        <f t="shared" si="289"/>
        <v>0</v>
      </c>
      <c r="AY59" s="423">
        <v>5</v>
      </c>
      <c r="AZ59" s="424" t="e">
        <f t="shared" si="267"/>
        <v>#VALUE!</v>
      </c>
      <c r="BA59" s="433">
        <f t="shared" si="268"/>
        <v>0</v>
      </c>
      <c r="BB59" s="434">
        <f t="shared" si="269"/>
        <v>0</v>
      </c>
      <c r="BC59" s="434">
        <f t="shared" si="270"/>
        <v>0</v>
      </c>
      <c r="BD59" s="434">
        <f t="shared" si="271"/>
        <v>0</v>
      </c>
      <c r="BE59" s="434">
        <f t="shared" si="272"/>
        <v>0</v>
      </c>
      <c r="BF59" s="434">
        <f t="shared" si="273"/>
        <v>0</v>
      </c>
      <c r="BG59" s="434">
        <f t="shared" si="274"/>
        <v>0</v>
      </c>
      <c r="BH59" s="435">
        <f t="shared" si="275"/>
        <v>0</v>
      </c>
      <c r="BI59" s="436">
        <f t="shared" si="276"/>
        <v>0</v>
      </c>
      <c r="BK59" s="433">
        <f t="shared" si="290"/>
        <v>0</v>
      </c>
      <c r="BL59" s="434">
        <f t="shared" si="291"/>
        <v>0</v>
      </c>
      <c r="BM59" s="434">
        <f t="shared" si="292"/>
        <v>0</v>
      </c>
      <c r="BN59" s="434">
        <f t="shared" si="293"/>
        <v>0</v>
      </c>
      <c r="BO59" s="434">
        <f t="shared" si="294"/>
        <v>0</v>
      </c>
      <c r="BP59" s="434">
        <f t="shared" si="295"/>
        <v>0</v>
      </c>
      <c r="BQ59" s="434">
        <f t="shared" si="296"/>
        <v>0</v>
      </c>
      <c r="BR59" s="435">
        <f t="shared" si="297"/>
        <v>0</v>
      </c>
      <c r="BS59" s="436">
        <f t="shared" si="298"/>
        <v>0</v>
      </c>
      <c r="BU59" s="436">
        <f t="shared" si="299"/>
        <v>0</v>
      </c>
      <c r="BX59" s="487">
        <v>21</v>
      </c>
      <c r="BY59" s="489">
        <f>'GASTOS EJER. 3'!BN41</f>
        <v>0</v>
      </c>
      <c r="BZ59" s="500">
        <f>'GASTOS EJER. 3'!CM41</f>
        <v>0</v>
      </c>
      <c r="CA59" s="490">
        <f t="shared" si="300"/>
        <v>0</v>
      </c>
      <c r="CC59" s="491">
        <f>'GASTOS EJER. 3'!AW41+'GASTOS EJER. 3'!BM41-'GASTOS EJER. 3'!CM41-'GASTOS EJER. 3'!CP41</f>
        <v>0</v>
      </c>
      <c r="CD59" s="492" t="str">
        <f>IF('GASTOS EJER. 3'!CT41="","",'GASTOS EJER. 3'!CT41)</f>
        <v/>
      </c>
      <c r="CE59" s="489">
        <f>'GASTOS EJER. 3'!CP41</f>
        <v>0</v>
      </c>
      <c r="CF59" s="493" t="str">
        <f>IF('GASTOS EJER. 3'!CW41="","",'GASTOS EJER. 3'!CW41)</f>
        <v/>
      </c>
      <c r="CG59" s="494">
        <f>IF(AND(CD59&gt;=EXPEDIENTE!$I$25,CD59&lt;=EXPEDIENTE!$I$29),CC59,0)</f>
        <v>0</v>
      </c>
      <c r="CH59" s="423">
        <f>IF(AND(CF59&gt;=EXPEDIENTE!$I$25,CF59&lt;=EXPEDIENTE!$I$29),CE59,0)</f>
        <v>0</v>
      </c>
      <c r="CI59" s="490">
        <f t="shared" si="301"/>
        <v>0</v>
      </c>
      <c r="CJ59" s="495" t="str">
        <f>IF('GASTOS EJER. 3'!AQ41="","",'GASTOS EJER. 3'!AQ41)</f>
        <v/>
      </c>
      <c r="CK59" s="496" t="str">
        <f>IF('GASTOS EJER. 3'!AT41="","",'GASTOS EJER. 3'!AT41)</f>
        <v/>
      </c>
      <c r="CL59" s="497">
        <f t="shared" si="302"/>
        <v>0</v>
      </c>
      <c r="CM59" s="498">
        <f t="shared" si="277"/>
        <v>0</v>
      </c>
      <c r="CN59" s="439">
        <f t="shared" si="303"/>
        <v>0</v>
      </c>
      <c r="CP59" s="423">
        <v>5</v>
      </c>
      <c r="CQ59" s="424" t="e">
        <f t="shared" si="278"/>
        <v>#VALUE!</v>
      </c>
      <c r="CR59" s="437">
        <f t="shared" si="304"/>
        <v>0</v>
      </c>
      <c r="CS59" s="423">
        <f t="shared" si="305"/>
        <v>0</v>
      </c>
      <c r="CT59" s="423">
        <f t="shared" si="306"/>
        <v>0</v>
      </c>
      <c r="CU59" s="423">
        <f t="shared" si="307"/>
        <v>0</v>
      </c>
      <c r="CV59" s="423">
        <f t="shared" si="308"/>
        <v>0</v>
      </c>
      <c r="CW59" s="423">
        <f t="shared" si="309"/>
        <v>0</v>
      </c>
      <c r="CX59" s="423">
        <f t="shared" si="310"/>
        <v>0</v>
      </c>
      <c r="CY59" s="438">
        <f t="shared" si="311"/>
        <v>0</v>
      </c>
      <c r="CZ59" s="436">
        <f t="shared" si="279"/>
        <v>0</v>
      </c>
      <c r="DB59" s="437">
        <f t="shared" si="312"/>
        <v>0</v>
      </c>
      <c r="DC59" s="423">
        <f t="shared" si="313"/>
        <v>0</v>
      </c>
      <c r="DD59" s="423">
        <f t="shared" si="314"/>
        <v>0</v>
      </c>
      <c r="DE59" s="423">
        <f t="shared" si="315"/>
        <v>0</v>
      </c>
      <c r="DF59" s="423">
        <f t="shared" si="316"/>
        <v>0</v>
      </c>
      <c r="DG59" s="423">
        <f t="shared" si="317"/>
        <v>0</v>
      </c>
      <c r="DH59" s="423">
        <f t="shared" si="318"/>
        <v>0</v>
      </c>
      <c r="DI59" s="438">
        <f t="shared" si="319"/>
        <v>0</v>
      </c>
      <c r="DJ59" s="436">
        <f t="shared" si="320"/>
        <v>0</v>
      </c>
      <c r="DL59" s="436">
        <f t="shared" si="321"/>
        <v>0</v>
      </c>
      <c r="DN59" s="487">
        <v>21</v>
      </c>
      <c r="DO59" s="499">
        <f>'GASTOS EJER. 3'!$C41</f>
        <v>0</v>
      </c>
      <c r="DP59" s="496" t="str">
        <f t="shared" si="322"/>
        <v/>
      </c>
      <c r="DQ59" s="496" t="str">
        <f t="shared" si="323"/>
        <v/>
      </c>
      <c r="DR59" s="386">
        <f t="shared" si="324"/>
        <v>0</v>
      </c>
      <c r="DS59" s="500">
        <f>'GASTOS EJER. 3'!X41</f>
        <v>0</v>
      </c>
      <c r="DT59" s="492" t="str">
        <f>IF(DS43=0,"",'GASTOS EJER. 3'!AA41)</f>
        <v/>
      </c>
      <c r="DU59" s="492" t="str">
        <f t="shared" si="282"/>
        <v/>
      </c>
      <c r="DV59" s="490" t="e">
        <f>IF(AND(DU59&gt;=EXPEDIENTE!$F$25,DU59&lt;=EXPEDIENTE!$F$29),ROUNDDOWN(DS59/DR59,2),0)</f>
        <v>#DIV/0!</v>
      </c>
      <c r="DX59" s="386">
        <v>40</v>
      </c>
      <c r="DY59" s="430">
        <f t="shared" si="101"/>
        <v>46266</v>
      </c>
      <c r="DZ59" s="430">
        <f t="shared" si="102"/>
        <v>46295</v>
      </c>
      <c r="EA59" s="386" t="str">
        <f>IF(AND(DZ59&gt;=EXPEDIENTE!$F$25,DY59&lt;=EXPEDIENTE!$F$29),"SI","NO")</f>
        <v>SI</v>
      </c>
      <c r="EB59" s="423">
        <f t="shared" si="186"/>
        <v>0</v>
      </c>
      <c r="EC59" s="423">
        <f t="shared" si="187"/>
        <v>0</v>
      </c>
      <c r="ED59" s="423">
        <f t="shared" si="188"/>
        <v>0</v>
      </c>
      <c r="EE59" s="423">
        <f t="shared" si="189"/>
        <v>0</v>
      </c>
      <c r="EF59" s="423">
        <f t="shared" si="190"/>
        <v>0</v>
      </c>
      <c r="EG59" s="423">
        <f t="shared" si="191"/>
        <v>0</v>
      </c>
      <c r="EH59" s="423">
        <f t="shared" si="192"/>
        <v>0</v>
      </c>
      <c r="EI59" s="423">
        <f t="shared" si="193"/>
        <v>0</v>
      </c>
      <c r="EJ59" s="423">
        <f t="shared" si="194"/>
        <v>0</v>
      </c>
      <c r="EK59" s="423">
        <f t="shared" si="195"/>
        <v>0</v>
      </c>
      <c r="EL59" s="423">
        <f t="shared" si="196"/>
        <v>0</v>
      </c>
      <c r="EM59" s="423">
        <f t="shared" si="197"/>
        <v>0</v>
      </c>
      <c r="EN59" s="423">
        <f t="shared" si="198"/>
        <v>0</v>
      </c>
      <c r="EO59" s="423">
        <f t="shared" si="199"/>
        <v>0</v>
      </c>
      <c r="EP59" s="423">
        <f t="shared" si="200"/>
        <v>0</v>
      </c>
      <c r="EQ59" s="423">
        <f t="shared" si="201"/>
        <v>0</v>
      </c>
      <c r="ER59" s="423">
        <f t="shared" si="202"/>
        <v>0</v>
      </c>
      <c r="ES59" s="423">
        <f t="shared" si="203"/>
        <v>0</v>
      </c>
      <c r="ET59" s="423">
        <f t="shared" si="204"/>
        <v>0</v>
      </c>
      <c r="EU59" s="423">
        <f t="shared" si="205"/>
        <v>0</v>
      </c>
      <c r="EV59" s="423">
        <f t="shared" si="206"/>
        <v>0</v>
      </c>
      <c r="EW59" s="423">
        <f t="shared" si="207"/>
        <v>0</v>
      </c>
      <c r="EX59" s="423">
        <f t="shared" si="208"/>
        <v>0</v>
      </c>
      <c r="EY59" s="423">
        <f t="shared" si="209"/>
        <v>0</v>
      </c>
      <c r="EZ59" s="423">
        <f t="shared" si="210"/>
        <v>0</v>
      </c>
      <c r="FA59" s="423">
        <f t="shared" si="211"/>
        <v>0</v>
      </c>
      <c r="FB59" s="423">
        <f t="shared" si="212"/>
        <v>0</v>
      </c>
      <c r="FC59" s="423">
        <f t="shared" si="213"/>
        <v>0</v>
      </c>
      <c r="FD59" s="423">
        <f t="shared" si="214"/>
        <v>0</v>
      </c>
      <c r="FE59" s="423">
        <f t="shared" si="215"/>
        <v>0</v>
      </c>
      <c r="FF59" s="423">
        <f t="shared" si="216"/>
        <v>0</v>
      </c>
      <c r="FG59" s="423">
        <f t="shared" si="217"/>
        <v>0</v>
      </c>
      <c r="FH59" s="423">
        <f t="shared" si="66"/>
        <v>0</v>
      </c>
      <c r="FJ59" s="120">
        <v>5</v>
      </c>
      <c r="FK59" s="492">
        <f>DATE(YEAR(EXPEDIENTE!$F$25)+2,FJ59,1)</f>
        <v>45778</v>
      </c>
      <c r="FL59" s="492" t="str">
        <f>IF('GASTOS EJER. 3'!I53="","",'GASTOS EJER. 3'!I53)</f>
        <v/>
      </c>
      <c r="FM59" s="500">
        <f>'GASTOS EJER. 3'!X24</f>
        <v>0</v>
      </c>
      <c r="FN59" s="500">
        <f>'GASTOS EJER. 3'!H53</f>
        <v>0</v>
      </c>
      <c r="FO59" s="423">
        <f t="shared" si="325"/>
        <v>0</v>
      </c>
      <c r="FP59" s="500">
        <f t="shared" si="283"/>
        <v>0</v>
      </c>
      <c r="FR59" s="487">
        <v>21</v>
      </c>
      <c r="FS59" s="499">
        <f>'GASTOS EJER. 3'!$C41</f>
        <v>0</v>
      </c>
      <c r="FT59" s="496" t="str">
        <f t="shared" si="326"/>
        <v/>
      </c>
      <c r="FU59" s="496" t="str">
        <f t="shared" si="327"/>
        <v/>
      </c>
      <c r="FV59" s="386">
        <f t="shared" si="328"/>
        <v>0</v>
      </c>
      <c r="FW59" s="500">
        <f>'GASTOS EJER. 3'!CM41</f>
        <v>0</v>
      </c>
      <c r="FX59" s="492" t="str">
        <f>IF(FW43=0,"",'GASTOS EJER. 3'!CT41)</f>
        <v/>
      </c>
      <c r="FY59" s="492" t="str">
        <f t="shared" si="284"/>
        <v/>
      </c>
      <c r="FZ59" s="490" t="e">
        <f>IF(AND(FY59&gt;=EXPEDIENTE!$F$25,FY59&lt;=EXPEDIENTE!$F$29),ROUNDDOWN(FW59/FV59,2),0)</f>
        <v>#DIV/0!</v>
      </c>
      <c r="GB59" s="386">
        <v>40</v>
      </c>
      <c r="GC59" s="430">
        <f t="shared" si="103"/>
        <v>46266</v>
      </c>
      <c r="GD59" s="430">
        <f t="shared" si="104"/>
        <v>46295</v>
      </c>
      <c r="GE59" s="386" t="str">
        <f>IF(AND(GD59&gt;=EXPEDIENTE!$F$25,GC59&lt;=EXPEDIENTE!$F$29),"SI","NO")</f>
        <v>SI</v>
      </c>
      <c r="GF59" s="423">
        <f t="shared" si="67"/>
        <v>0</v>
      </c>
      <c r="GG59" s="423">
        <f t="shared" si="68"/>
        <v>0</v>
      </c>
      <c r="GH59" s="423">
        <f t="shared" si="69"/>
        <v>0</v>
      </c>
      <c r="GI59" s="423">
        <f t="shared" si="70"/>
        <v>0</v>
      </c>
      <c r="GJ59" s="423">
        <f t="shared" si="71"/>
        <v>0</v>
      </c>
      <c r="GK59" s="423">
        <f t="shared" si="72"/>
        <v>0</v>
      </c>
      <c r="GL59" s="423">
        <f t="shared" si="73"/>
        <v>0</v>
      </c>
      <c r="GM59" s="423">
        <f t="shared" si="74"/>
        <v>0</v>
      </c>
      <c r="GN59" s="423">
        <f t="shared" si="75"/>
        <v>0</v>
      </c>
      <c r="GO59" s="423">
        <f t="shared" si="76"/>
        <v>0</v>
      </c>
      <c r="GP59" s="423">
        <f t="shared" si="77"/>
        <v>0</v>
      </c>
      <c r="GQ59" s="423">
        <f t="shared" si="78"/>
        <v>0</v>
      </c>
      <c r="GR59" s="423">
        <f t="shared" si="79"/>
        <v>0</v>
      </c>
      <c r="GS59" s="423">
        <f t="shared" si="80"/>
        <v>0</v>
      </c>
      <c r="GT59" s="423">
        <f t="shared" si="81"/>
        <v>0</v>
      </c>
      <c r="GU59" s="423">
        <f t="shared" si="82"/>
        <v>0</v>
      </c>
      <c r="GV59" s="423">
        <f t="shared" si="83"/>
        <v>0</v>
      </c>
      <c r="GW59" s="423">
        <f t="shared" si="84"/>
        <v>0</v>
      </c>
      <c r="GX59" s="423">
        <f t="shared" si="85"/>
        <v>0</v>
      </c>
      <c r="GY59" s="423">
        <f t="shared" si="86"/>
        <v>0</v>
      </c>
      <c r="GZ59" s="423">
        <f t="shared" si="87"/>
        <v>0</v>
      </c>
      <c r="HA59" s="423">
        <f t="shared" si="88"/>
        <v>0</v>
      </c>
      <c r="HB59" s="423">
        <f t="shared" si="89"/>
        <v>0</v>
      </c>
      <c r="HC59" s="423">
        <f t="shared" si="90"/>
        <v>0</v>
      </c>
      <c r="HD59" s="423">
        <f t="shared" si="91"/>
        <v>0</v>
      </c>
      <c r="HE59" s="423">
        <f t="shared" si="92"/>
        <v>0</v>
      </c>
      <c r="HF59" s="423">
        <f t="shared" si="93"/>
        <v>0</v>
      </c>
      <c r="HG59" s="423">
        <f t="shared" si="94"/>
        <v>0</v>
      </c>
      <c r="HH59" s="423">
        <f t="shared" si="95"/>
        <v>0</v>
      </c>
      <c r="HI59" s="423">
        <f t="shared" si="96"/>
        <v>0</v>
      </c>
      <c r="HJ59" s="423">
        <f t="shared" si="97"/>
        <v>0</v>
      </c>
      <c r="HK59" s="423">
        <f t="shared" si="98"/>
        <v>0</v>
      </c>
      <c r="HL59" s="423">
        <f t="shared" si="99"/>
        <v>0</v>
      </c>
      <c r="HO59" s="120">
        <v>5</v>
      </c>
      <c r="HP59" s="492">
        <f>DATE(YEAR(EXPEDIENTE!$F$25)+2,HO59,1)</f>
        <v>45778</v>
      </c>
      <c r="HQ59" s="492" t="str">
        <f>IF('GASTOS EJER. 3'!BF53="","",'GASTOS EJER. 3'!BF53)</f>
        <v/>
      </c>
      <c r="HR59" s="500">
        <f>'GASTOS EJER. 3'!CM24</f>
        <v>0</v>
      </c>
      <c r="HS59" s="500">
        <f>'GASTOS EJER. 3'!BA53</f>
        <v>0</v>
      </c>
      <c r="HT59" s="423">
        <f t="shared" si="329"/>
        <v>0</v>
      </c>
      <c r="HU59" s="500">
        <f t="shared" si="285"/>
        <v>0</v>
      </c>
      <c r="JC59" s="442">
        <v>55</v>
      </c>
      <c r="JD59" s="398">
        <f t="shared" si="100"/>
        <v>20</v>
      </c>
    </row>
    <row r="60" spans="3:264" x14ac:dyDescent="0.25">
      <c r="C60" s="206">
        <v>54</v>
      </c>
      <c r="D60" s="401"/>
      <c r="E60" s="417"/>
      <c r="F60" s="418"/>
      <c r="G60" s="419"/>
      <c r="H60" s="419"/>
      <c r="I60" s="419"/>
      <c r="J60" s="401"/>
      <c r="K60" s="407">
        <f t="shared" si="52"/>
        <v>76</v>
      </c>
      <c r="L60" s="407">
        <f t="shared" si="53"/>
        <v>76</v>
      </c>
      <c r="M60" s="407" t="str">
        <f t="shared" si="54"/>
        <v>X</v>
      </c>
      <c r="AG60" s="487">
        <v>22</v>
      </c>
      <c r="AH60" s="489">
        <f>'GASTOS EJER. 3'!M42</f>
        <v>0</v>
      </c>
      <c r="AI60" s="500">
        <f>'GASTOS EJER. 3'!X42</f>
        <v>0</v>
      </c>
      <c r="AJ60" s="490">
        <f t="shared" si="286"/>
        <v>0</v>
      </c>
      <c r="AL60" s="491">
        <f>'GASTOS EJER. 3'!F42+'GASTOS EJER. 3'!L42-'GASTOS EJER. 3'!X42-'GASTOS EJER. 3'!Y42</f>
        <v>0</v>
      </c>
      <c r="AM60" s="492" t="str">
        <f>IF('GASTOS EJER. 3'!AA42="","",'GASTOS EJER. 3'!AA42)</f>
        <v/>
      </c>
      <c r="AN60" s="489">
        <f>'GASTOS EJER. 3'!Y42</f>
        <v>0</v>
      </c>
      <c r="AO60" s="493" t="str">
        <f>IF('GASTOS EJER. 3'!AB42="","",'GASTOS EJER. 3'!AB42)</f>
        <v/>
      </c>
      <c r="AP60" s="494">
        <f>IF(AND(AM60&gt;=EXPEDIENTE!$I$25,AM60&lt;=EXPEDIENTE!$I$29),AL60,0)</f>
        <v>0</v>
      </c>
      <c r="AQ60" s="423">
        <f>IF(AND(AO60&gt;=EXPEDIENTE!$I$25,AO60&lt;=EXPEDIENTE!$I$29),AN60,0)</f>
        <v>0</v>
      </c>
      <c r="AR60" s="490">
        <f t="shared" si="287"/>
        <v>0</v>
      </c>
      <c r="AS60" s="495" t="str">
        <f>IF('GASTOS EJER. 3'!D42="","",'GASTOS EJER. 3'!D42)</f>
        <v/>
      </c>
      <c r="AT60" s="496" t="str">
        <f>IF('GASTOS EJER. 3'!E42="","",'GASTOS EJER. 3'!E42)</f>
        <v/>
      </c>
      <c r="AU60" s="497">
        <f t="shared" si="288"/>
        <v>0</v>
      </c>
      <c r="AV60" s="498">
        <f t="shared" si="266"/>
        <v>0</v>
      </c>
      <c r="AW60" s="439">
        <f t="shared" si="289"/>
        <v>0</v>
      </c>
      <c r="AY60" s="423">
        <v>6</v>
      </c>
      <c r="AZ60" s="424" t="e">
        <f t="shared" si="267"/>
        <v>#VALUE!</v>
      </c>
      <c r="BA60" s="433">
        <f t="shared" si="268"/>
        <v>0</v>
      </c>
      <c r="BB60" s="434">
        <f t="shared" si="269"/>
        <v>0</v>
      </c>
      <c r="BC60" s="434">
        <f t="shared" si="270"/>
        <v>0</v>
      </c>
      <c r="BD60" s="434">
        <f t="shared" si="271"/>
        <v>0</v>
      </c>
      <c r="BE60" s="434">
        <f t="shared" si="272"/>
        <v>0</v>
      </c>
      <c r="BF60" s="434">
        <f t="shared" si="273"/>
        <v>0</v>
      </c>
      <c r="BG60" s="434">
        <f t="shared" si="274"/>
        <v>0</v>
      </c>
      <c r="BH60" s="435">
        <f t="shared" si="275"/>
        <v>0</v>
      </c>
      <c r="BI60" s="436">
        <f t="shared" si="276"/>
        <v>0</v>
      </c>
      <c r="BK60" s="433">
        <f t="shared" si="290"/>
        <v>0</v>
      </c>
      <c r="BL60" s="434">
        <f t="shared" si="291"/>
        <v>0</v>
      </c>
      <c r="BM60" s="434">
        <f t="shared" si="292"/>
        <v>0</v>
      </c>
      <c r="BN60" s="434">
        <f t="shared" si="293"/>
        <v>0</v>
      </c>
      <c r="BO60" s="434">
        <f t="shared" si="294"/>
        <v>0</v>
      </c>
      <c r="BP60" s="434">
        <f t="shared" si="295"/>
        <v>0</v>
      </c>
      <c r="BQ60" s="434">
        <f t="shared" si="296"/>
        <v>0</v>
      </c>
      <c r="BR60" s="435">
        <f t="shared" si="297"/>
        <v>0</v>
      </c>
      <c r="BS60" s="436">
        <f t="shared" si="298"/>
        <v>0</v>
      </c>
      <c r="BU60" s="436">
        <f t="shared" si="299"/>
        <v>0</v>
      </c>
      <c r="BX60" s="487">
        <v>22</v>
      </c>
      <c r="BY60" s="489">
        <f>'GASTOS EJER. 3'!BN42</f>
        <v>0</v>
      </c>
      <c r="BZ60" s="500">
        <f>'GASTOS EJER. 3'!CM42</f>
        <v>0</v>
      </c>
      <c r="CA60" s="490">
        <f t="shared" si="300"/>
        <v>0</v>
      </c>
      <c r="CC60" s="491">
        <f>'GASTOS EJER. 3'!AW42+'GASTOS EJER. 3'!BM42-'GASTOS EJER. 3'!CM42-'GASTOS EJER. 3'!CP42</f>
        <v>0</v>
      </c>
      <c r="CD60" s="492" t="str">
        <f>IF('GASTOS EJER. 3'!CT42="","",'GASTOS EJER. 3'!CT42)</f>
        <v/>
      </c>
      <c r="CE60" s="489">
        <f>'GASTOS EJER. 3'!CP42</f>
        <v>0</v>
      </c>
      <c r="CF60" s="493" t="str">
        <f>IF('GASTOS EJER. 3'!CW42="","",'GASTOS EJER. 3'!CW42)</f>
        <v/>
      </c>
      <c r="CG60" s="494">
        <f>IF(AND(CD60&gt;=EXPEDIENTE!$I$25,CD60&lt;=EXPEDIENTE!$I$29),CC60,0)</f>
        <v>0</v>
      </c>
      <c r="CH60" s="423">
        <f>IF(AND(CF60&gt;=EXPEDIENTE!$I$25,CF60&lt;=EXPEDIENTE!$I$29),CE60,0)</f>
        <v>0</v>
      </c>
      <c r="CI60" s="490">
        <f t="shared" si="301"/>
        <v>0</v>
      </c>
      <c r="CJ60" s="495" t="str">
        <f>IF('GASTOS EJER. 3'!AQ42="","",'GASTOS EJER. 3'!AQ42)</f>
        <v/>
      </c>
      <c r="CK60" s="496" t="str">
        <f>IF('GASTOS EJER. 3'!AT42="","",'GASTOS EJER. 3'!AT42)</f>
        <v/>
      </c>
      <c r="CL60" s="497">
        <f t="shared" si="302"/>
        <v>0</v>
      </c>
      <c r="CM60" s="498">
        <f t="shared" si="277"/>
        <v>0</v>
      </c>
      <c r="CN60" s="439">
        <f t="shared" si="303"/>
        <v>0</v>
      </c>
      <c r="CP60" s="423">
        <v>6</v>
      </c>
      <c r="CQ60" s="424" t="e">
        <f t="shared" si="278"/>
        <v>#VALUE!</v>
      </c>
      <c r="CR60" s="437">
        <f t="shared" si="304"/>
        <v>0</v>
      </c>
      <c r="CS60" s="423">
        <f t="shared" si="305"/>
        <v>0</v>
      </c>
      <c r="CT60" s="423">
        <f t="shared" si="306"/>
        <v>0</v>
      </c>
      <c r="CU60" s="423">
        <f t="shared" si="307"/>
        <v>0</v>
      </c>
      <c r="CV60" s="423">
        <f t="shared" si="308"/>
        <v>0</v>
      </c>
      <c r="CW60" s="423">
        <f t="shared" si="309"/>
        <v>0</v>
      </c>
      <c r="CX60" s="423">
        <f t="shared" si="310"/>
        <v>0</v>
      </c>
      <c r="CY60" s="438">
        <f t="shared" si="311"/>
        <v>0</v>
      </c>
      <c r="CZ60" s="436">
        <f t="shared" si="279"/>
        <v>0</v>
      </c>
      <c r="DB60" s="437">
        <f t="shared" si="312"/>
        <v>0</v>
      </c>
      <c r="DC60" s="423">
        <f t="shared" si="313"/>
        <v>0</v>
      </c>
      <c r="DD60" s="423">
        <f t="shared" si="314"/>
        <v>0</v>
      </c>
      <c r="DE60" s="423">
        <f t="shared" si="315"/>
        <v>0</v>
      </c>
      <c r="DF60" s="423">
        <f t="shared" si="316"/>
        <v>0</v>
      </c>
      <c r="DG60" s="423">
        <f t="shared" si="317"/>
        <v>0</v>
      </c>
      <c r="DH60" s="423">
        <f t="shared" si="318"/>
        <v>0</v>
      </c>
      <c r="DI60" s="438">
        <f t="shared" si="319"/>
        <v>0</v>
      </c>
      <c r="DJ60" s="436">
        <f t="shared" si="320"/>
        <v>0</v>
      </c>
      <c r="DL60" s="436">
        <f t="shared" si="321"/>
        <v>0</v>
      </c>
      <c r="DN60" s="487">
        <v>22</v>
      </c>
      <c r="DO60" s="499">
        <f>'GASTOS EJER. 3'!$C42</f>
        <v>0</v>
      </c>
      <c r="DP60" s="496" t="str">
        <f t="shared" si="322"/>
        <v/>
      </c>
      <c r="DQ60" s="496" t="str">
        <f t="shared" si="323"/>
        <v/>
      </c>
      <c r="DR60" s="386">
        <f t="shared" si="324"/>
        <v>0</v>
      </c>
      <c r="DS60" s="500">
        <f>'GASTOS EJER. 3'!X42</f>
        <v>0</v>
      </c>
      <c r="DT60" s="492" t="str">
        <f>IF(DS44=0,"",'GASTOS EJER. 3'!AA42)</f>
        <v/>
      </c>
      <c r="DU60" s="492" t="str">
        <f t="shared" si="282"/>
        <v/>
      </c>
      <c r="DV60" s="490" t="e">
        <f>IF(AND(DU60&gt;=EXPEDIENTE!$F$25,DU60&lt;=EXPEDIENTE!$F$29),ROUNDDOWN(DS60/DR60,2),0)</f>
        <v>#DIV/0!</v>
      </c>
      <c r="DX60" s="386">
        <v>41</v>
      </c>
      <c r="DY60" s="430">
        <f t="shared" si="101"/>
        <v>46296</v>
      </c>
      <c r="DZ60" s="430">
        <f t="shared" si="102"/>
        <v>46326</v>
      </c>
      <c r="EA60" s="386" t="str">
        <f>IF(AND(DZ60&gt;=EXPEDIENTE!$F$25,DY60&lt;=EXPEDIENTE!$F$29),"SI","NO")</f>
        <v>SI</v>
      </c>
      <c r="EB60" s="423">
        <f t="shared" si="186"/>
        <v>0</v>
      </c>
      <c r="EC60" s="423">
        <f t="shared" si="187"/>
        <v>0</v>
      </c>
      <c r="ED60" s="423">
        <f t="shared" si="188"/>
        <v>0</v>
      </c>
      <c r="EE60" s="423">
        <f t="shared" si="189"/>
        <v>0</v>
      </c>
      <c r="EF60" s="423">
        <f t="shared" si="190"/>
        <v>0</v>
      </c>
      <c r="EG60" s="423">
        <f t="shared" si="191"/>
        <v>0</v>
      </c>
      <c r="EH60" s="423">
        <f t="shared" si="192"/>
        <v>0</v>
      </c>
      <c r="EI60" s="423">
        <f t="shared" si="193"/>
        <v>0</v>
      </c>
      <c r="EJ60" s="423">
        <f t="shared" si="194"/>
        <v>0</v>
      </c>
      <c r="EK60" s="423">
        <f t="shared" si="195"/>
        <v>0</v>
      </c>
      <c r="EL60" s="423">
        <f t="shared" si="196"/>
        <v>0</v>
      </c>
      <c r="EM60" s="423">
        <f t="shared" si="197"/>
        <v>0</v>
      </c>
      <c r="EN60" s="423">
        <f t="shared" si="198"/>
        <v>0</v>
      </c>
      <c r="EO60" s="423">
        <f t="shared" si="199"/>
        <v>0</v>
      </c>
      <c r="EP60" s="423">
        <f t="shared" si="200"/>
        <v>0</v>
      </c>
      <c r="EQ60" s="423">
        <f t="shared" si="201"/>
        <v>0</v>
      </c>
      <c r="ER60" s="423">
        <f t="shared" si="202"/>
        <v>0</v>
      </c>
      <c r="ES60" s="423">
        <f t="shared" si="203"/>
        <v>0</v>
      </c>
      <c r="ET60" s="423">
        <f t="shared" si="204"/>
        <v>0</v>
      </c>
      <c r="EU60" s="423">
        <f t="shared" si="205"/>
        <v>0</v>
      </c>
      <c r="EV60" s="423">
        <f t="shared" si="206"/>
        <v>0</v>
      </c>
      <c r="EW60" s="423">
        <f t="shared" si="207"/>
        <v>0</v>
      </c>
      <c r="EX60" s="423">
        <f t="shared" si="208"/>
        <v>0</v>
      </c>
      <c r="EY60" s="423">
        <f t="shared" si="209"/>
        <v>0</v>
      </c>
      <c r="EZ60" s="423">
        <f t="shared" si="210"/>
        <v>0</v>
      </c>
      <c r="FA60" s="423">
        <f t="shared" si="211"/>
        <v>0</v>
      </c>
      <c r="FB60" s="423">
        <f t="shared" si="212"/>
        <v>0</v>
      </c>
      <c r="FC60" s="423">
        <f t="shared" si="213"/>
        <v>0</v>
      </c>
      <c r="FD60" s="423">
        <f t="shared" si="214"/>
        <v>0</v>
      </c>
      <c r="FE60" s="423">
        <f t="shared" si="215"/>
        <v>0</v>
      </c>
      <c r="FF60" s="423">
        <f t="shared" si="216"/>
        <v>0</v>
      </c>
      <c r="FG60" s="423">
        <f t="shared" si="217"/>
        <v>0</v>
      </c>
      <c r="FH60" s="423">
        <f t="shared" si="66"/>
        <v>0</v>
      </c>
      <c r="FJ60" s="120">
        <v>6</v>
      </c>
      <c r="FK60" s="492">
        <f>DATE(YEAR(EXPEDIENTE!$F$25)+2,FJ60,1)</f>
        <v>45809</v>
      </c>
      <c r="FL60" s="492" t="str">
        <f>IF('GASTOS EJER. 3'!I54="","",'GASTOS EJER. 3'!I54)</f>
        <v/>
      </c>
      <c r="FM60" s="500">
        <f>'GASTOS EJER. 3'!X25</f>
        <v>0</v>
      </c>
      <c r="FN60" s="500">
        <f>'GASTOS EJER. 3'!H54</f>
        <v>0</v>
      </c>
      <c r="FO60" s="423">
        <f t="shared" si="325"/>
        <v>0</v>
      </c>
      <c r="FP60" s="500">
        <f t="shared" si="283"/>
        <v>0</v>
      </c>
      <c r="FR60" s="487">
        <v>22</v>
      </c>
      <c r="FS60" s="499">
        <f>'GASTOS EJER. 3'!$C42</f>
        <v>0</v>
      </c>
      <c r="FT60" s="496" t="str">
        <f t="shared" si="326"/>
        <v/>
      </c>
      <c r="FU60" s="496" t="str">
        <f t="shared" si="327"/>
        <v/>
      </c>
      <c r="FV60" s="386">
        <f t="shared" si="328"/>
        <v>0</v>
      </c>
      <c r="FW60" s="500">
        <f>'GASTOS EJER. 3'!CM42</f>
        <v>0</v>
      </c>
      <c r="FX60" s="492" t="str">
        <f>IF(FW44=0,"",'GASTOS EJER. 3'!CT42)</f>
        <v/>
      </c>
      <c r="FY60" s="492" t="str">
        <f t="shared" si="284"/>
        <v/>
      </c>
      <c r="FZ60" s="490" t="e">
        <f>IF(AND(FY60&gt;=EXPEDIENTE!$F$25,FY60&lt;=EXPEDIENTE!$F$29),ROUNDDOWN(FW60/FV60,2),0)</f>
        <v>#DIV/0!</v>
      </c>
      <c r="GB60" s="386">
        <v>41</v>
      </c>
      <c r="GC60" s="430">
        <f t="shared" si="103"/>
        <v>46296</v>
      </c>
      <c r="GD60" s="430">
        <f t="shared" si="104"/>
        <v>46326</v>
      </c>
      <c r="GE60" s="386" t="str">
        <f>IF(AND(GD60&gt;=EXPEDIENTE!$F$25,GC60&lt;=EXPEDIENTE!$F$29),"SI","NO")</f>
        <v>SI</v>
      </c>
      <c r="GF60" s="423">
        <f t="shared" si="67"/>
        <v>0</v>
      </c>
      <c r="GG60" s="423">
        <f t="shared" si="68"/>
        <v>0</v>
      </c>
      <c r="GH60" s="423">
        <f t="shared" si="69"/>
        <v>0</v>
      </c>
      <c r="GI60" s="423">
        <f t="shared" si="70"/>
        <v>0</v>
      </c>
      <c r="GJ60" s="423">
        <f t="shared" si="71"/>
        <v>0</v>
      </c>
      <c r="GK60" s="423">
        <f t="shared" si="72"/>
        <v>0</v>
      </c>
      <c r="GL60" s="423">
        <f t="shared" si="73"/>
        <v>0</v>
      </c>
      <c r="GM60" s="423">
        <f t="shared" si="74"/>
        <v>0</v>
      </c>
      <c r="GN60" s="423">
        <f t="shared" si="75"/>
        <v>0</v>
      </c>
      <c r="GO60" s="423">
        <f t="shared" si="76"/>
        <v>0</v>
      </c>
      <c r="GP60" s="423">
        <f t="shared" si="77"/>
        <v>0</v>
      </c>
      <c r="GQ60" s="423">
        <f t="shared" si="78"/>
        <v>0</v>
      </c>
      <c r="GR60" s="423">
        <f t="shared" si="79"/>
        <v>0</v>
      </c>
      <c r="GS60" s="423">
        <f t="shared" si="80"/>
        <v>0</v>
      </c>
      <c r="GT60" s="423">
        <f t="shared" si="81"/>
        <v>0</v>
      </c>
      <c r="GU60" s="423">
        <f t="shared" si="82"/>
        <v>0</v>
      </c>
      <c r="GV60" s="423">
        <f t="shared" si="83"/>
        <v>0</v>
      </c>
      <c r="GW60" s="423">
        <f t="shared" si="84"/>
        <v>0</v>
      </c>
      <c r="GX60" s="423">
        <f t="shared" si="85"/>
        <v>0</v>
      </c>
      <c r="GY60" s="423">
        <f t="shared" si="86"/>
        <v>0</v>
      </c>
      <c r="GZ60" s="423">
        <f t="shared" si="87"/>
        <v>0</v>
      </c>
      <c r="HA60" s="423">
        <f t="shared" si="88"/>
        <v>0</v>
      </c>
      <c r="HB60" s="423">
        <f t="shared" si="89"/>
        <v>0</v>
      </c>
      <c r="HC60" s="423">
        <f t="shared" si="90"/>
        <v>0</v>
      </c>
      <c r="HD60" s="423">
        <f t="shared" si="91"/>
        <v>0</v>
      </c>
      <c r="HE60" s="423">
        <f t="shared" si="92"/>
        <v>0</v>
      </c>
      <c r="HF60" s="423">
        <f t="shared" si="93"/>
        <v>0</v>
      </c>
      <c r="HG60" s="423">
        <f t="shared" si="94"/>
        <v>0</v>
      </c>
      <c r="HH60" s="423">
        <f t="shared" si="95"/>
        <v>0</v>
      </c>
      <c r="HI60" s="423">
        <f t="shared" si="96"/>
        <v>0</v>
      </c>
      <c r="HJ60" s="423">
        <f t="shared" si="97"/>
        <v>0</v>
      </c>
      <c r="HK60" s="423">
        <f t="shared" si="98"/>
        <v>0</v>
      </c>
      <c r="HL60" s="423">
        <f t="shared" si="99"/>
        <v>0</v>
      </c>
      <c r="HO60" s="120">
        <v>6</v>
      </c>
      <c r="HP60" s="492">
        <f>DATE(YEAR(EXPEDIENTE!$F$25)+2,HO60,1)</f>
        <v>45809</v>
      </c>
      <c r="HQ60" s="492" t="str">
        <f>IF('GASTOS EJER. 3'!BF54="","",'GASTOS EJER. 3'!BF54)</f>
        <v/>
      </c>
      <c r="HR60" s="500">
        <f>'GASTOS EJER. 3'!CM25</f>
        <v>0</v>
      </c>
      <c r="HS60" s="500">
        <f>'GASTOS EJER. 3'!BA54</f>
        <v>0</v>
      </c>
      <c r="HT60" s="423">
        <f t="shared" si="329"/>
        <v>0</v>
      </c>
      <c r="HU60" s="500">
        <f t="shared" si="285"/>
        <v>0</v>
      </c>
      <c r="JC60" s="406">
        <v>56</v>
      </c>
      <c r="JD60" s="398">
        <f t="shared" si="100"/>
        <v>22</v>
      </c>
    </row>
    <row r="61" spans="3:264" x14ac:dyDescent="0.25">
      <c r="C61" s="206">
        <v>55</v>
      </c>
      <c r="D61" s="401"/>
      <c r="E61" s="417"/>
      <c r="F61" s="418"/>
      <c r="G61" s="419"/>
      <c r="H61" s="419"/>
      <c r="I61" s="419"/>
      <c r="J61" s="401"/>
      <c r="K61" s="407">
        <f t="shared" si="52"/>
        <v>76</v>
      </c>
      <c r="L61" s="407">
        <f t="shared" si="53"/>
        <v>76</v>
      </c>
      <c r="M61" s="407" t="str">
        <f t="shared" si="54"/>
        <v>X</v>
      </c>
      <c r="AG61" s="487">
        <v>23</v>
      </c>
      <c r="AH61" s="489">
        <f>'GASTOS EJER. 3'!M43</f>
        <v>0</v>
      </c>
      <c r="AI61" s="500">
        <f>'GASTOS EJER. 3'!X43</f>
        <v>0</v>
      </c>
      <c r="AJ61" s="490">
        <f t="shared" si="286"/>
        <v>0</v>
      </c>
      <c r="AL61" s="491">
        <f>'GASTOS EJER. 3'!F43+'GASTOS EJER. 3'!L43-'GASTOS EJER. 3'!X43-'GASTOS EJER. 3'!Y43</f>
        <v>0</v>
      </c>
      <c r="AM61" s="492" t="str">
        <f>IF('GASTOS EJER. 3'!AA43="","",'GASTOS EJER. 3'!AA43)</f>
        <v/>
      </c>
      <c r="AN61" s="489">
        <f>'GASTOS EJER. 3'!Y43</f>
        <v>0</v>
      </c>
      <c r="AO61" s="493" t="str">
        <f>IF('GASTOS EJER. 3'!AB43="","",'GASTOS EJER. 3'!AB43)</f>
        <v/>
      </c>
      <c r="AP61" s="494">
        <f>IF(AND(AM61&gt;=EXPEDIENTE!$I$25,AM61&lt;=EXPEDIENTE!$I$29),AL61,0)</f>
        <v>0</v>
      </c>
      <c r="AQ61" s="423">
        <f>IF(AND(AO61&gt;=EXPEDIENTE!$I$25,AO61&lt;=EXPEDIENTE!$I$29),AN61,0)</f>
        <v>0</v>
      </c>
      <c r="AR61" s="490">
        <f t="shared" si="287"/>
        <v>0</v>
      </c>
      <c r="AS61" s="495" t="str">
        <f>IF('GASTOS EJER. 3'!D43="","",'GASTOS EJER. 3'!D43)</f>
        <v/>
      </c>
      <c r="AT61" s="496" t="str">
        <f>IF('GASTOS EJER. 3'!E43="","",'GASTOS EJER. 3'!E43)</f>
        <v/>
      </c>
      <c r="AU61" s="497">
        <f t="shared" si="288"/>
        <v>0</v>
      </c>
      <c r="AV61" s="498">
        <f t="shared" si="266"/>
        <v>0</v>
      </c>
      <c r="AW61" s="439">
        <f t="shared" si="289"/>
        <v>0</v>
      </c>
      <c r="AY61" s="423">
        <v>7</v>
      </c>
      <c r="AZ61" s="424" t="e">
        <f t="shared" si="267"/>
        <v>#VALUE!</v>
      </c>
      <c r="BA61" s="433">
        <f t="shared" si="268"/>
        <v>0</v>
      </c>
      <c r="BB61" s="434">
        <f t="shared" si="269"/>
        <v>0</v>
      </c>
      <c r="BC61" s="434">
        <f t="shared" si="270"/>
        <v>0</v>
      </c>
      <c r="BD61" s="434">
        <f t="shared" si="271"/>
        <v>0</v>
      </c>
      <c r="BE61" s="434">
        <f t="shared" si="272"/>
        <v>0</v>
      </c>
      <c r="BF61" s="434">
        <f t="shared" si="273"/>
        <v>0</v>
      </c>
      <c r="BG61" s="434">
        <f t="shared" si="274"/>
        <v>0</v>
      </c>
      <c r="BH61" s="435">
        <f t="shared" si="275"/>
        <v>0</v>
      </c>
      <c r="BI61" s="436">
        <f t="shared" si="276"/>
        <v>0</v>
      </c>
      <c r="BK61" s="433">
        <f t="shared" si="290"/>
        <v>0</v>
      </c>
      <c r="BL61" s="434">
        <f t="shared" si="291"/>
        <v>0</v>
      </c>
      <c r="BM61" s="434">
        <f t="shared" si="292"/>
        <v>0</v>
      </c>
      <c r="BN61" s="434">
        <f t="shared" si="293"/>
        <v>0</v>
      </c>
      <c r="BO61" s="434">
        <f t="shared" si="294"/>
        <v>0</v>
      </c>
      <c r="BP61" s="434">
        <f t="shared" si="295"/>
        <v>0</v>
      </c>
      <c r="BQ61" s="434">
        <f t="shared" si="296"/>
        <v>0</v>
      </c>
      <c r="BR61" s="435">
        <f t="shared" si="297"/>
        <v>0</v>
      </c>
      <c r="BS61" s="436">
        <f t="shared" si="298"/>
        <v>0</v>
      </c>
      <c r="BU61" s="436">
        <f t="shared" si="299"/>
        <v>0</v>
      </c>
      <c r="BX61" s="487">
        <v>23</v>
      </c>
      <c r="BY61" s="489">
        <f>'GASTOS EJER. 3'!BN43</f>
        <v>0</v>
      </c>
      <c r="BZ61" s="500">
        <f>'GASTOS EJER. 3'!CM43</f>
        <v>0</v>
      </c>
      <c r="CA61" s="490">
        <f t="shared" si="300"/>
        <v>0</v>
      </c>
      <c r="CC61" s="491">
        <f>'GASTOS EJER. 3'!AW43+'GASTOS EJER. 3'!BM43-'GASTOS EJER. 3'!CM43-'GASTOS EJER. 3'!CP43</f>
        <v>0</v>
      </c>
      <c r="CD61" s="492" t="str">
        <f>IF('GASTOS EJER. 3'!CT43="","",'GASTOS EJER. 3'!CT43)</f>
        <v/>
      </c>
      <c r="CE61" s="489">
        <f>'GASTOS EJER. 3'!CP43</f>
        <v>0</v>
      </c>
      <c r="CF61" s="493" t="str">
        <f>IF('GASTOS EJER. 3'!CW43="","",'GASTOS EJER. 3'!CW43)</f>
        <v/>
      </c>
      <c r="CG61" s="494">
        <f>IF(AND(CD61&gt;=EXPEDIENTE!$I$25,CD61&lt;=EXPEDIENTE!$I$29),CC61,0)</f>
        <v>0</v>
      </c>
      <c r="CH61" s="423">
        <f>IF(AND(CF61&gt;=EXPEDIENTE!$I$25,CF61&lt;=EXPEDIENTE!$I$29),CE61,0)</f>
        <v>0</v>
      </c>
      <c r="CI61" s="490">
        <f t="shared" si="301"/>
        <v>0</v>
      </c>
      <c r="CJ61" s="495" t="str">
        <f>IF('GASTOS EJER. 3'!AQ43="","",'GASTOS EJER. 3'!AQ43)</f>
        <v/>
      </c>
      <c r="CK61" s="496" t="str">
        <f>IF('GASTOS EJER. 3'!AT43="","",'GASTOS EJER. 3'!AT43)</f>
        <v/>
      </c>
      <c r="CL61" s="497">
        <f t="shared" si="302"/>
        <v>0</v>
      </c>
      <c r="CM61" s="498">
        <f t="shared" si="277"/>
        <v>0</v>
      </c>
      <c r="CN61" s="439">
        <f t="shared" si="303"/>
        <v>0</v>
      </c>
      <c r="CP61" s="423">
        <v>7</v>
      </c>
      <c r="CQ61" s="424" t="e">
        <f t="shared" si="278"/>
        <v>#VALUE!</v>
      </c>
      <c r="CR61" s="437">
        <f t="shared" si="304"/>
        <v>0</v>
      </c>
      <c r="CS61" s="423">
        <f t="shared" si="305"/>
        <v>0</v>
      </c>
      <c r="CT61" s="423">
        <f t="shared" si="306"/>
        <v>0</v>
      </c>
      <c r="CU61" s="423">
        <f t="shared" si="307"/>
        <v>0</v>
      </c>
      <c r="CV61" s="423">
        <f t="shared" si="308"/>
        <v>0</v>
      </c>
      <c r="CW61" s="423">
        <f t="shared" si="309"/>
        <v>0</v>
      </c>
      <c r="CX61" s="423">
        <f t="shared" si="310"/>
        <v>0</v>
      </c>
      <c r="CY61" s="438">
        <f t="shared" si="311"/>
        <v>0</v>
      </c>
      <c r="CZ61" s="436">
        <f t="shared" si="279"/>
        <v>0</v>
      </c>
      <c r="DB61" s="437">
        <f t="shared" si="312"/>
        <v>0</v>
      </c>
      <c r="DC61" s="423">
        <f t="shared" si="313"/>
        <v>0</v>
      </c>
      <c r="DD61" s="423">
        <f t="shared" si="314"/>
        <v>0</v>
      </c>
      <c r="DE61" s="423">
        <f t="shared" si="315"/>
        <v>0</v>
      </c>
      <c r="DF61" s="423">
        <f t="shared" si="316"/>
        <v>0</v>
      </c>
      <c r="DG61" s="423">
        <f t="shared" si="317"/>
        <v>0</v>
      </c>
      <c r="DH61" s="423">
        <f t="shared" si="318"/>
        <v>0</v>
      </c>
      <c r="DI61" s="438">
        <f t="shared" si="319"/>
        <v>0</v>
      </c>
      <c r="DJ61" s="436">
        <f t="shared" si="320"/>
        <v>0</v>
      </c>
      <c r="DL61" s="436">
        <f t="shared" si="321"/>
        <v>0</v>
      </c>
      <c r="DN61" s="487">
        <v>23</v>
      </c>
      <c r="DO61" s="499">
        <f>'GASTOS EJER. 3'!$C43</f>
        <v>0</v>
      </c>
      <c r="DP61" s="496" t="str">
        <f t="shared" si="322"/>
        <v/>
      </c>
      <c r="DQ61" s="496" t="str">
        <f t="shared" si="323"/>
        <v/>
      </c>
      <c r="DR61" s="386">
        <f t="shared" si="324"/>
        <v>0</v>
      </c>
      <c r="DS61" s="500">
        <f>'GASTOS EJER. 3'!X43</f>
        <v>0</v>
      </c>
      <c r="DT61" s="492" t="str">
        <f>IF(DS45=0,"",'GASTOS EJER. 3'!AA43)</f>
        <v/>
      </c>
      <c r="DU61" s="492" t="str">
        <f t="shared" si="282"/>
        <v/>
      </c>
      <c r="DV61" s="490" t="e">
        <f>IF(AND(DU61&gt;=EXPEDIENTE!$F$25,DU61&lt;=EXPEDIENTE!$F$29),ROUNDDOWN(DS61/DR61,2),0)</f>
        <v>#DIV/0!</v>
      </c>
      <c r="DX61" s="386">
        <v>42</v>
      </c>
      <c r="DY61" s="430">
        <f t="shared" si="101"/>
        <v>46327</v>
      </c>
      <c r="DZ61" s="430">
        <f t="shared" si="102"/>
        <v>46356</v>
      </c>
      <c r="EA61" s="386" t="str">
        <f>IF(AND(DZ61&gt;=EXPEDIENTE!$F$25,DY61&lt;=EXPEDIENTE!$F$29),"SI","NO")</f>
        <v>SI</v>
      </c>
      <c r="EB61" s="423">
        <f t="shared" si="186"/>
        <v>0</v>
      </c>
      <c r="EC61" s="423">
        <f t="shared" si="187"/>
        <v>0</v>
      </c>
      <c r="ED61" s="423">
        <f t="shared" si="188"/>
        <v>0</v>
      </c>
      <c r="EE61" s="423">
        <f t="shared" si="189"/>
        <v>0</v>
      </c>
      <c r="EF61" s="423">
        <f t="shared" si="190"/>
        <v>0</v>
      </c>
      <c r="EG61" s="423">
        <f t="shared" si="191"/>
        <v>0</v>
      </c>
      <c r="EH61" s="423">
        <f t="shared" si="192"/>
        <v>0</v>
      </c>
      <c r="EI61" s="423">
        <f t="shared" si="193"/>
        <v>0</v>
      </c>
      <c r="EJ61" s="423">
        <f t="shared" si="194"/>
        <v>0</v>
      </c>
      <c r="EK61" s="423">
        <f t="shared" si="195"/>
        <v>0</v>
      </c>
      <c r="EL61" s="423">
        <f t="shared" si="196"/>
        <v>0</v>
      </c>
      <c r="EM61" s="423">
        <f t="shared" si="197"/>
        <v>0</v>
      </c>
      <c r="EN61" s="423">
        <f t="shared" si="198"/>
        <v>0</v>
      </c>
      <c r="EO61" s="423">
        <f t="shared" si="199"/>
        <v>0</v>
      </c>
      <c r="EP61" s="423">
        <f t="shared" si="200"/>
        <v>0</v>
      </c>
      <c r="EQ61" s="423">
        <f t="shared" si="201"/>
        <v>0</v>
      </c>
      <c r="ER61" s="423">
        <f t="shared" si="202"/>
        <v>0</v>
      </c>
      <c r="ES61" s="423">
        <f t="shared" si="203"/>
        <v>0</v>
      </c>
      <c r="ET61" s="423">
        <f t="shared" si="204"/>
        <v>0</v>
      </c>
      <c r="EU61" s="423">
        <f t="shared" si="205"/>
        <v>0</v>
      </c>
      <c r="EV61" s="423">
        <f t="shared" si="206"/>
        <v>0</v>
      </c>
      <c r="EW61" s="423">
        <f t="shared" si="207"/>
        <v>0</v>
      </c>
      <c r="EX61" s="423">
        <f t="shared" si="208"/>
        <v>0</v>
      </c>
      <c r="EY61" s="423">
        <f t="shared" si="209"/>
        <v>0</v>
      </c>
      <c r="EZ61" s="423">
        <f t="shared" si="210"/>
        <v>0</v>
      </c>
      <c r="FA61" s="423">
        <f t="shared" si="211"/>
        <v>0</v>
      </c>
      <c r="FB61" s="423">
        <f t="shared" si="212"/>
        <v>0</v>
      </c>
      <c r="FC61" s="423">
        <f t="shared" si="213"/>
        <v>0</v>
      </c>
      <c r="FD61" s="423">
        <f t="shared" si="214"/>
        <v>0</v>
      </c>
      <c r="FE61" s="423">
        <f t="shared" si="215"/>
        <v>0</v>
      </c>
      <c r="FF61" s="423">
        <f t="shared" si="216"/>
        <v>0</v>
      </c>
      <c r="FG61" s="423">
        <f t="shared" si="217"/>
        <v>0</v>
      </c>
      <c r="FH61" s="423">
        <f t="shared" si="66"/>
        <v>0</v>
      </c>
      <c r="FJ61" s="120">
        <v>7</v>
      </c>
      <c r="FK61" s="492">
        <f>DATE(YEAR(EXPEDIENTE!$F$25)+2,FJ61,1)</f>
        <v>45839</v>
      </c>
      <c r="FL61" s="492" t="str">
        <f>IF('GASTOS EJER. 3'!I55="","",'GASTOS EJER. 3'!I55)</f>
        <v/>
      </c>
      <c r="FM61" s="500">
        <f>'GASTOS EJER. 3'!X26</f>
        <v>0</v>
      </c>
      <c r="FN61" s="500">
        <f>'GASTOS EJER. 3'!H55</f>
        <v>0</v>
      </c>
      <c r="FO61" s="423">
        <f t="shared" si="325"/>
        <v>0</v>
      </c>
      <c r="FP61" s="500">
        <f t="shared" si="283"/>
        <v>0</v>
      </c>
      <c r="FR61" s="487">
        <v>23</v>
      </c>
      <c r="FS61" s="499">
        <f>'GASTOS EJER. 3'!$C43</f>
        <v>0</v>
      </c>
      <c r="FT61" s="496" t="str">
        <f t="shared" si="326"/>
        <v/>
      </c>
      <c r="FU61" s="496" t="str">
        <f t="shared" si="327"/>
        <v/>
      </c>
      <c r="FV61" s="386">
        <f t="shared" si="328"/>
        <v>0</v>
      </c>
      <c r="FW61" s="500">
        <f>'GASTOS EJER. 3'!CM43</f>
        <v>0</v>
      </c>
      <c r="FX61" s="492" t="str">
        <f>IF(FW45=0,"",'GASTOS EJER. 3'!CT43)</f>
        <v/>
      </c>
      <c r="FY61" s="492" t="str">
        <f t="shared" si="284"/>
        <v/>
      </c>
      <c r="FZ61" s="490" t="e">
        <f>IF(AND(FY61&gt;=EXPEDIENTE!$F$25,FY61&lt;=EXPEDIENTE!$F$29),ROUNDDOWN(FW61/FV61,2),0)</f>
        <v>#DIV/0!</v>
      </c>
      <c r="GB61" s="386">
        <v>42</v>
      </c>
      <c r="GC61" s="430">
        <f t="shared" si="103"/>
        <v>46327</v>
      </c>
      <c r="GD61" s="430">
        <f t="shared" si="104"/>
        <v>46356</v>
      </c>
      <c r="GE61" s="386" t="str">
        <f>IF(AND(GD61&gt;=EXPEDIENTE!$F$25,GC61&lt;=EXPEDIENTE!$F$29),"SI","NO")</f>
        <v>SI</v>
      </c>
      <c r="GF61" s="423">
        <f t="shared" si="67"/>
        <v>0</v>
      </c>
      <c r="GG61" s="423">
        <f t="shared" si="68"/>
        <v>0</v>
      </c>
      <c r="GH61" s="423">
        <f t="shared" si="69"/>
        <v>0</v>
      </c>
      <c r="GI61" s="423">
        <f t="shared" si="70"/>
        <v>0</v>
      </c>
      <c r="GJ61" s="423">
        <f t="shared" si="71"/>
        <v>0</v>
      </c>
      <c r="GK61" s="423">
        <f t="shared" si="72"/>
        <v>0</v>
      </c>
      <c r="GL61" s="423">
        <f t="shared" si="73"/>
        <v>0</v>
      </c>
      <c r="GM61" s="423">
        <f t="shared" si="74"/>
        <v>0</v>
      </c>
      <c r="GN61" s="423">
        <f t="shared" si="75"/>
        <v>0</v>
      </c>
      <c r="GO61" s="423">
        <f t="shared" si="76"/>
        <v>0</v>
      </c>
      <c r="GP61" s="423">
        <f t="shared" si="77"/>
        <v>0</v>
      </c>
      <c r="GQ61" s="423">
        <f t="shared" si="78"/>
        <v>0</v>
      </c>
      <c r="GR61" s="423">
        <f t="shared" si="79"/>
        <v>0</v>
      </c>
      <c r="GS61" s="423">
        <f t="shared" si="80"/>
        <v>0</v>
      </c>
      <c r="GT61" s="423">
        <f t="shared" si="81"/>
        <v>0</v>
      </c>
      <c r="GU61" s="423">
        <f t="shared" si="82"/>
        <v>0</v>
      </c>
      <c r="GV61" s="423">
        <f t="shared" si="83"/>
        <v>0</v>
      </c>
      <c r="GW61" s="423">
        <f t="shared" si="84"/>
        <v>0</v>
      </c>
      <c r="GX61" s="423">
        <f t="shared" si="85"/>
        <v>0</v>
      </c>
      <c r="GY61" s="423">
        <f t="shared" si="86"/>
        <v>0</v>
      </c>
      <c r="GZ61" s="423">
        <f t="shared" si="87"/>
        <v>0</v>
      </c>
      <c r="HA61" s="423">
        <f t="shared" si="88"/>
        <v>0</v>
      </c>
      <c r="HB61" s="423">
        <f t="shared" si="89"/>
        <v>0</v>
      </c>
      <c r="HC61" s="423">
        <f t="shared" si="90"/>
        <v>0</v>
      </c>
      <c r="HD61" s="423">
        <f t="shared" si="91"/>
        <v>0</v>
      </c>
      <c r="HE61" s="423">
        <f t="shared" si="92"/>
        <v>0</v>
      </c>
      <c r="HF61" s="423">
        <f t="shared" si="93"/>
        <v>0</v>
      </c>
      <c r="HG61" s="423">
        <f t="shared" si="94"/>
        <v>0</v>
      </c>
      <c r="HH61" s="423">
        <f t="shared" si="95"/>
        <v>0</v>
      </c>
      <c r="HI61" s="423">
        <f t="shared" si="96"/>
        <v>0</v>
      </c>
      <c r="HJ61" s="423">
        <f t="shared" si="97"/>
        <v>0</v>
      </c>
      <c r="HK61" s="423">
        <f t="shared" si="98"/>
        <v>0</v>
      </c>
      <c r="HL61" s="423">
        <f t="shared" si="99"/>
        <v>0</v>
      </c>
      <c r="HO61" s="120">
        <v>7</v>
      </c>
      <c r="HP61" s="492">
        <f>DATE(YEAR(EXPEDIENTE!$F$25)+2,HO61,1)</f>
        <v>45839</v>
      </c>
      <c r="HQ61" s="492" t="str">
        <f>IF('GASTOS EJER. 3'!BF55="","",'GASTOS EJER. 3'!BF55)</f>
        <v/>
      </c>
      <c r="HR61" s="500">
        <f>'GASTOS EJER. 3'!CM26</f>
        <v>0</v>
      </c>
      <c r="HS61" s="500">
        <f>'GASTOS EJER. 3'!BA55</f>
        <v>0</v>
      </c>
      <c r="HT61" s="423">
        <f t="shared" si="329"/>
        <v>0</v>
      </c>
      <c r="HU61" s="500">
        <f t="shared" si="285"/>
        <v>0</v>
      </c>
      <c r="JC61" s="416">
        <v>57</v>
      </c>
      <c r="JD61" s="398">
        <f t="shared" si="100"/>
        <v>22</v>
      </c>
    </row>
    <row r="62" spans="3:264" ht="15.75" thickBot="1" x14ac:dyDescent="0.3">
      <c r="C62" s="206">
        <v>56</v>
      </c>
      <c r="D62" s="401"/>
      <c r="E62" s="417"/>
      <c r="F62" s="418"/>
      <c r="G62" s="419"/>
      <c r="H62" s="419"/>
      <c r="I62" s="419"/>
      <c r="J62" s="401"/>
      <c r="K62" s="407">
        <f t="shared" si="52"/>
        <v>76</v>
      </c>
      <c r="L62" s="407">
        <f t="shared" si="53"/>
        <v>76</v>
      </c>
      <c r="M62" s="407" t="str">
        <f t="shared" si="54"/>
        <v>X</v>
      </c>
      <c r="AG62" s="501">
        <v>24</v>
      </c>
      <c r="AH62" s="503">
        <f>'GASTOS EJER. 3'!M44</f>
        <v>0</v>
      </c>
      <c r="AI62" s="515">
        <f>'GASTOS EJER. 3'!X44</f>
        <v>0</v>
      </c>
      <c r="AJ62" s="504">
        <f t="shared" si="286"/>
        <v>0</v>
      </c>
      <c r="AL62" s="505">
        <f>'GASTOS EJER. 3'!F44+'GASTOS EJER. 3'!L44-'GASTOS EJER. 3'!X44-'GASTOS EJER. 3'!Y44</f>
        <v>0</v>
      </c>
      <c r="AM62" s="506" t="str">
        <f>IF('GASTOS EJER. 3'!AA44="","",'GASTOS EJER. 3'!AA44)</f>
        <v/>
      </c>
      <c r="AN62" s="503">
        <f>'GASTOS EJER. 3'!Y44</f>
        <v>0</v>
      </c>
      <c r="AO62" s="507" t="str">
        <f>IF('GASTOS EJER. 3'!AB44="","",'GASTOS EJER. 3'!AB44)</f>
        <v/>
      </c>
      <c r="AP62" s="508">
        <f>IF(AND(AM62&gt;=EXPEDIENTE!$I$25,AM62&lt;=EXPEDIENTE!$I$29),AL62,0)</f>
        <v>0</v>
      </c>
      <c r="AQ62" s="451">
        <f>IF(AND(AO62&gt;=EXPEDIENTE!$I$25,AO62&lt;=EXPEDIENTE!$I$29),AN62,0)</f>
        <v>0</v>
      </c>
      <c r="AR62" s="504">
        <f t="shared" si="287"/>
        <v>0</v>
      </c>
      <c r="AS62" s="509" t="str">
        <f>IF('GASTOS EJER. 3'!D44="","",'GASTOS EJER. 3'!D44)</f>
        <v/>
      </c>
      <c r="AT62" s="510" t="str">
        <f>IF('GASTOS EJER. 3'!E44="","",'GASTOS EJER. 3'!E44)</f>
        <v/>
      </c>
      <c r="AU62" s="511">
        <f t="shared" si="288"/>
        <v>0</v>
      </c>
      <c r="AV62" s="512">
        <f t="shared" si="266"/>
        <v>0</v>
      </c>
      <c r="AW62" s="453">
        <f t="shared" si="289"/>
        <v>0</v>
      </c>
      <c r="AY62" s="423">
        <v>8</v>
      </c>
      <c r="AZ62" s="424" t="e">
        <f t="shared" si="267"/>
        <v>#VALUE!</v>
      </c>
      <c r="BA62" s="433">
        <f t="shared" si="268"/>
        <v>0</v>
      </c>
      <c r="BB62" s="434">
        <f t="shared" si="269"/>
        <v>0</v>
      </c>
      <c r="BC62" s="434">
        <f t="shared" si="270"/>
        <v>0</v>
      </c>
      <c r="BD62" s="434">
        <f t="shared" si="271"/>
        <v>0</v>
      </c>
      <c r="BE62" s="434">
        <f t="shared" si="272"/>
        <v>0</v>
      </c>
      <c r="BF62" s="434">
        <f t="shared" si="273"/>
        <v>0</v>
      </c>
      <c r="BG62" s="434">
        <f t="shared" si="274"/>
        <v>0</v>
      </c>
      <c r="BH62" s="435">
        <f t="shared" si="275"/>
        <v>0</v>
      </c>
      <c r="BI62" s="436">
        <f t="shared" si="276"/>
        <v>0</v>
      </c>
      <c r="BK62" s="433">
        <f t="shared" si="290"/>
        <v>0</v>
      </c>
      <c r="BL62" s="434">
        <f t="shared" si="291"/>
        <v>0</v>
      </c>
      <c r="BM62" s="434">
        <f t="shared" si="292"/>
        <v>0</v>
      </c>
      <c r="BN62" s="434">
        <f t="shared" si="293"/>
        <v>0</v>
      </c>
      <c r="BO62" s="434">
        <f t="shared" si="294"/>
        <v>0</v>
      </c>
      <c r="BP62" s="434">
        <f t="shared" si="295"/>
        <v>0</v>
      </c>
      <c r="BQ62" s="434">
        <f t="shared" si="296"/>
        <v>0</v>
      </c>
      <c r="BR62" s="435">
        <f t="shared" si="297"/>
        <v>0</v>
      </c>
      <c r="BS62" s="436">
        <f t="shared" si="298"/>
        <v>0</v>
      </c>
      <c r="BU62" s="436">
        <f t="shared" si="299"/>
        <v>0</v>
      </c>
      <c r="BX62" s="501">
        <v>24</v>
      </c>
      <c r="BY62" s="503">
        <f>'GASTOS EJER. 3'!BN44</f>
        <v>0</v>
      </c>
      <c r="BZ62" s="515">
        <f>'GASTOS EJER. 3'!CM44</f>
        <v>0</v>
      </c>
      <c r="CA62" s="504">
        <f t="shared" si="300"/>
        <v>0</v>
      </c>
      <c r="CC62" s="505">
        <f>'GASTOS EJER. 3'!AW44+'GASTOS EJER. 3'!BM44-'GASTOS EJER. 3'!CM44-'GASTOS EJER. 3'!CP44</f>
        <v>0</v>
      </c>
      <c r="CD62" s="506" t="str">
        <f>IF('GASTOS EJER. 3'!CT44="","",'GASTOS EJER. 3'!CT44)</f>
        <v/>
      </c>
      <c r="CE62" s="503">
        <f>'GASTOS EJER. 3'!CP44</f>
        <v>0</v>
      </c>
      <c r="CF62" s="507" t="str">
        <f>IF('GASTOS EJER. 3'!CW44="","",'GASTOS EJER. 3'!CW44)</f>
        <v/>
      </c>
      <c r="CG62" s="508">
        <f>IF(AND(CD62&gt;=EXPEDIENTE!$I$25,CD62&lt;=EXPEDIENTE!$I$29),CC62,0)</f>
        <v>0</v>
      </c>
      <c r="CH62" s="451">
        <f>IF(AND(CF62&gt;=EXPEDIENTE!$I$25,CF62&lt;=EXPEDIENTE!$I$29),CE62,0)</f>
        <v>0</v>
      </c>
      <c r="CI62" s="504">
        <f t="shared" si="301"/>
        <v>0</v>
      </c>
      <c r="CJ62" s="509" t="str">
        <f>IF('GASTOS EJER. 3'!AQ44="","",'GASTOS EJER. 3'!AQ44)</f>
        <v/>
      </c>
      <c r="CK62" s="510" t="str">
        <f>IF('GASTOS EJER. 3'!AT44="","",'GASTOS EJER. 3'!AT44)</f>
        <v/>
      </c>
      <c r="CL62" s="511">
        <f t="shared" si="302"/>
        <v>0</v>
      </c>
      <c r="CM62" s="512">
        <f t="shared" si="277"/>
        <v>0</v>
      </c>
      <c r="CN62" s="453">
        <f t="shared" si="303"/>
        <v>0</v>
      </c>
      <c r="CP62" s="423">
        <v>8</v>
      </c>
      <c r="CQ62" s="424" t="e">
        <f t="shared" si="278"/>
        <v>#VALUE!</v>
      </c>
      <c r="CR62" s="437">
        <f t="shared" si="304"/>
        <v>0</v>
      </c>
      <c r="CS62" s="423">
        <f t="shared" si="305"/>
        <v>0</v>
      </c>
      <c r="CT62" s="423">
        <f t="shared" si="306"/>
        <v>0</v>
      </c>
      <c r="CU62" s="423">
        <f t="shared" si="307"/>
        <v>0</v>
      </c>
      <c r="CV62" s="423">
        <f t="shared" si="308"/>
        <v>0</v>
      </c>
      <c r="CW62" s="423">
        <f t="shared" si="309"/>
        <v>0</v>
      </c>
      <c r="CX62" s="423">
        <f t="shared" si="310"/>
        <v>0</v>
      </c>
      <c r="CY62" s="438">
        <f t="shared" si="311"/>
        <v>0</v>
      </c>
      <c r="CZ62" s="436">
        <f t="shared" si="279"/>
        <v>0</v>
      </c>
      <c r="DB62" s="437">
        <f t="shared" si="312"/>
        <v>0</v>
      </c>
      <c r="DC62" s="423">
        <f t="shared" si="313"/>
        <v>0</v>
      </c>
      <c r="DD62" s="423">
        <f t="shared" si="314"/>
        <v>0</v>
      </c>
      <c r="DE62" s="423">
        <f t="shared" si="315"/>
        <v>0</v>
      </c>
      <c r="DF62" s="423">
        <f t="shared" si="316"/>
        <v>0</v>
      </c>
      <c r="DG62" s="423">
        <f t="shared" si="317"/>
        <v>0</v>
      </c>
      <c r="DH62" s="423">
        <f t="shared" si="318"/>
        <v>0</v>
      </c>
      <c r="DI62" s="438">
        <f t="shared" si="319"/>
        <v>0</v>
      </c>
      <c r="DJ62" s="436">
        <f t="shared" si="320"/>
        <v>0</v>
      </c>
      <c r="DL62" s="436">
        <f t="shared" si="321"/>
        <v>0</v>
      </c>
      <c r="DN62" s="501">
        <v>24</v>
      </c>
      <c r="DO62" s="513">
        <f>'GASTOS EJER. 3'!$C44</f>
        <v>0</v>
      </c>
      <c r="DP62" s="510" t="str">
        <f t="shared" si="322"/>
        <v/>
      </c>
      <c r="DQ62" s="510" t="str">
        <f t="shared" si="323"/>
        <v/>
      </c>
      <c r="DR62" s="514">
        <f t="shared" si="324"/>
        <v>0</v>
      </c>
      <c r="DS62" s="515">
        <f>'GASTOS EJER. 3'!X44</f>
        <v>0</v>
      </c>
      <c r="DT62" s="506" t="str">
        <f>IF(DS46=0,"",'GASTOS EJER. 3'!AA44)</f>
        <v/>
      </c>
      <c r="DU62" s="506" t="str">
        <f t="shared" si="282"/>
        <v/>
      </c>
      <c r="DV62" s="504" t="e">
        <f>IF(AND(DU62&gt;=EXPEDIENTE!$F$25,DU62&lt;=EXPEDIENTE!$F$29),ROUNDDOWN(DS62/DR62,2),0)</f>
        <v>#DIV/0!</v>
      </c>
      <c r="DX62" s="386">
        <v>43</v>
      </c>
      <c r="DY62" s="430">
        <f t="shared" si="101"/>
        <v>46357</v>
      </c>
      <c r="DZ62" s="430">
        <f t="shared" si="102"/>
        <v>46387</v>
      </c>
      <c r="EA62" s="386" t="str">
        <f>IF(AND(DZ62&gt;=EXPEDIENTE!$F$25,DY62&lt;=EXPEDIENTE!$F$29),"SI","NO")</f>
        <v>SI</v>
      </c>
      <c r="EB62" s="423">
        <f t="shared" si="186"/>
        <v>0</v>
      </c>
      <c r="EC62" s="423">
        <f t="shared" si="187"/>
        <v>0</v>
      </c>
      <c r="ED62" s="423">
        <f t="shared" si="188"/>
        <v>0</v>
      </c>
      <c r="EE62" s="423">
        <f t="shared" si="189"/>
        <v>0</v>
      </c>
      <c r="EF62" s="423">
        <f t="shared" si="190"/>
        <v>0</v>
      </c>
      <c r="EG62" s="423">
        <f t="shared" si="191"/>
        <v>0</v>
      </c>
      <c r="EH62" s="423">
        <f t="shared" si="192"/>
        <v>0</v>
      </c>
      <c r="EI62" s="423">
        <f t="shared" si="193"/>
        <v>0</v>
      </c>
      <c r="EJ62" s="423">
        <f t="shared" si="194"/>
        <v>0</v>
      </c>
      <c r="EK62" s="423">
        <f t="shared" si="195"/>
        <v>0</v>
      </c>
      <c r="EL62" s="423">
        <f t="shared" si="196"/>
        <v>0</v>
      </c>
      <c r="EM62" s="423">
        <f t="shared" si="197"/>
        <v>0</v>
      </c>
      <c r="EN62" s="423">
        <f t="shared" si="198"/>
        <v>0</v>
      </c>
      <c r="EO62" s="423">
        <f t="shared" si="199"/>
        <v>0</v>
      </c>
      <c r="EP62" s="423">
        <f t="shared" si="200"/>
        <v>0</v>
      </c>
      <c r="EQ62" s="423">
        <f t="shared" si="201"/>
        <v>0</v>
      </c>
      <c r="ER62" s="423">
        <f t="shared" si="202"/>
        <v>0</v>
      </c>
      <c r="ES62" s="423">
        <f t="shared" si="203"/>
        <v>0</v>
      </c>
      <c r="ET62" s="423">
        <f t="shared" si="204"/>
        <v>0</v>
      </c>
      <c r="EU62" s="423">
        <f t="shared" si="205"/>
        <v>0</v>
      </c>
      <c r="EV62" s="423">
        <f t="shared" si="206"/>
        <v>0</v>
      </c>
      <c r="EW62" s="423">
        <f t="shared" si="207"/>
        <v>0</v>
      </c>
      <c r="EX62" s="423">
        <f t="shared" si="208"/>
        <v>0</v>
      </c>
      <c r="EY62" s="423">
        <f t="shared" si="209"/>
        <v>0</v>
      </c>
      <c r="EZ62" s="423">
        <f t="shared" si="210"/>
        <v>0</v>
      </c>
      <c r="FA62" s="423">
        <f t="shared" si="211"/>
        <v>0</v>
      </c>
      <c r="FB62" s="423">
        <f t="shared" si="212"/>
        <v>0</v>
      </c>
      <c r="FC62" s="423">
        <f t="shared" si="213"/>
        <v>0</v>
      </c>
      <c r="FD62" s="423">
        <f t="shared" si="214"/>
        <v>0</v>
      </c>
      <c r="FE62" s="423">
        <f t="shared" si="215"/>
        <v>0</v>
      </c>
      <c r="FF62" s="423">
        <f t="shared" si="216"/>
        <v>0</v>
      </c>
      <c r="FG62" s="423">
        <f t="shared" si="217"/>
        <v>0</v>
      </c>
      <c r="FH62" s="423">
        <f t="shared" si="66"/>
        <v>0</v>
      </c>
      <c r="FJ62" s="120">
        <v>8</v>
      </c>
      <c r="FK62" s="492">
        <f>DATE(YEAR(EXPEDIENTE!$F$25)+2,FJ62,1)</f>
        <v>45870</v>
      </c>
      <c r="FL62" s="492" t="str">
        <f>IF('GASTOS EJER. 3'!I56="","",'GASTOS EJER. 3'!I56)</f>
        <v/>
      </c>
      <c r="FM62" s="500">
        <f>'GASTOS EJER. 3'!X27</f>
        <v>0</v>
      </c>
      <c r="FN62" s="500">
        <f>'GASTOS EJER. 3'!H56</f>
        <v>0</v>
      </c>
      <c r="FO62" s="423">
        <f t="shared" si="325"/>
        <v>0</v>
      </c>
      <c r="FP62" s="500">
        <f t="shared" si="283"/>
        <v>0</v>
      </c>
      <c r="FR62" s="501">
        <v>24</v>
      </c>
      <c r="FS62" s="513">
        <f>'GASTOS EJER. 3'!$C44</f>
        <v>0</v>
      </c>
      <c r="FT62" s="510" t="str">
        <f t="shared" si="326"/>
        <v/>
      </c>
      <c r="FU62" s="510" t="str">
        <f t="shared" si="327"/>
        <v/>
      </c>
      <c r="FV62" s="514">
        <f t="shared" si="328"/>
        <v>0</v>
      </c>
      <c r="FW62" s="515">
        <f>'GASTOS EJER. 3'!CM44</f>
        <v>0</v>
      </c>
      <c r="FX62" s="506" t="str">
        <f>IF(FW46=0,"",'GASTOS EJER. 3'!CT44)</f>
        <v/>
      </c>
      <c r="FY62" s="506" t="str">
        <f t="shared" si="284"/>
        <v/>
      </c>
      <c r="FZ62" s="504" t="e">
        <f>IF(AND(FY62&gt;=EXPEDIENTE!$F$25,FY62&lt;=EXPEDIENTE!$F$29),ROUNDDOWN(FW62/FV62,2),0)</f>
        <v>#DIV/0!</v>
      </c>
      <c r="GB62" s="386">
        <v>43</v>
      </c>
      <c r="GC62" s="430">
        <f t="shared" si="103"/>
        <v>46357</v>
      </c>
      <c r="GD62" s="430">
        <f t="shared" si="104"/>
        <v>46387</v>
      </c>
      <c r="GE62" s="386" t="str">
        <f>IF(AND(GD62&gt;=EXPEDIENTE!$F$25,GC62&lt;=EXPEDIENTE!$F$29),"SI","NO")</f>
        <v>SI</v>
      </c>
      <c r="GF62" s="423">
        <f t="shared" si="67"/>
        <v>0</v>
      </c>
      <c r="GG62" s="423">
        <f t="shared" si="68"/>
        <v>0</v>
      </c>
      <c r="GH62" s="423">
        <f t="shared" si="69"/>
        <v>0</v>
      </c>
      <c r="GI62" s="423">
        <f t="shared" si="70"/>
        <v>0</v>
      </c>
      <c r="GJ62" s="423">
        <f t="shared" si="71"/>
        <v>0</v>
      </c>
      <c r="GK62" s="423">
        <f t="shared" si="72"/>
        <v>0</v>
      </c>
      <c r="GL62" s="423">
        <f t="shared" si="73"/>
        <v>0</v>
      </c>
      <c r="GM62" s="423">
        <f t="shared" si="74"/>
        <v>0</v>
      </c>
      <c r="GN62" s="423">
        <f t="shared" si="75"/>
        <v>0</v>
      </c>
      <c r="GO62" s="423">
        <f t="shared" si="76"/>
        <v>0</v>
      </c>
      <c r="GP62" s="423">
        <f t="shared" si="77"/>
        <v>0</v>
      </c>
      <c r="GQ62" s="423">
        <f t="shared" si="78"/>
        <v>0</v>
      </c>
      <c r="GR62" s="423">
        <f t="shared" si="79"/>
        <v>0</v>
      </c>
      <c r="GS62" s="423">
        <f t="shared" si="80"/>
        <v>0</v>
      </c>
      <c r="GT62" s="423">
        <f t="shared" si="81"/>
        <v>0</v>
      </c>
      <c r="GU62" s="423">
        <f t="shared" si="82"/>
        <v>0</v>
      </c>
      <c r="GV62" s="423">
        <f t="shared" si="83"/>
        <v>0</v>
      </c>
      <c r="GW62" s="423">
        <f t="shared" si="84"/>
        <v>0</v>
      </c>
      <c r="GX62" s="423">
        <f t="shared" si="85"/>
        <v>0</v>
      </c>
      <c r="GY62" s="423">
        <f t="shared" si="86"/>
        <v>0</v>
      </c>
      <c r="GZ62" s="423">
        <f t="shared" si="87"/>
        <v>0</v>
      </c>
      <c r="HA62" s="423">
        <f t="shared" si="88"/>
        <v>0</v>
      </c>
      <c r="HB62" s="423">
        <f t="shared" si="89"/>
        <v>0</v>
      </c>
      <c r="HC62" s="423">
        <f t="shared" si="90"/>
        <v>0</v>
      </c>
      <c r="HD62" s="423">
        <f t="shared" si="91"/>
        <v>0</v>
      </c>
      <c r="HE62" s="423">
        <f t="shared" si="92"/>
        <v>0</v>
      </c>
      <c r="HF62" s="423">
        <f t="shared" si="93"/>
        <v>0</v>
      </c>
      <c r="HG62" s="423">
        <f t="shared" si="94"/>
        <v>0</v>
      </c>
      <c r="HH62" s="423">
        <f t="shared" si="95"/>
        <v>0</v>
      </c>
      <c r="HI62" s="423">
        <f t="shared" si="96"/>
        <v>0</v>
      </c>
      <c r="HJ62" s="423">
        <f t="shared" si="97"/>
        <v>0</v>
      </c>
      <c r="HK62" s="423">
        <f t="shared" si="98"/>
        <v>0</v>
      </c>
      <c r="HL62" s="423">
        <f t="shared" si="99"/>
        <v>0</v>
      </c>
      <c r="HO62" s="120">
        <v>8</v>
      </c>
      <c r="HP62" s="492">
        <f>DATE(YEAR(EXPEDIENTE!$F$25)+2,HO62,1)</f>
        <v>45870</v>
      </c>
      <c r="HQ62" s="492" t="str">
        <f>IF('GASTOS EJER. 3'!BF56="","",'GASTOS EJER. 3'!BF56)</f>
        <v/>
      </c>
      <c r="HR62" s="500">
        <f>'GASTOS EJER. 3'!CM27</f>
        <v>0</v>
      </c>
      <c r="HS62" s="500">
        <f>'GASTOS EJER. 3'!BA56</f>
        <v>0</v>
      </c>
      <c r="HT62" s="423">
        <f t="shared" si="329"/>
        <v>0</v>
      </c>
      <c r="HU62" s="500">
        <f t="shared" si="285"/>
        <v>0</v>
      </c>
      <c r="JC62" s="416">
        <v>58</v>
      </c>
      <c r="JD62" s="398">
        <f t="shared" si="100"/>
        <v>22</v>
      </c>
    </row>
    <row r="63" spans="3:264" x14ac:dyDescent="0.25">
      <c r="C63" s="206">
        <v>57</v>
      </c>
      <c r="D63" s="401"/>
      <c r="E63" s="417"/>
      <c r="F63" s="418"/>
      <c r="G63" s="419"/>
      <c r="H63" s="419"/>
      <c r="I63" s="419"/>
      <c r="J63" s="401"/>
      <c r="K63" s="407">
        <f t="shared" si="52"/>
        <v>76</v>
      </c>
      <c r="L63" s="407">
        <f t="shared" si="53"/>
        <v>76</v>
      </c>
      <c r="M63" s="407" t="str">
        <f t="shared" si="54"/>
        <v>X</v>
      </c>
      <c r="AG63" s="392"/>
      <c r="AH63" s="392"/>
      <c r="AI63" s="392"/>
      <c r="AJ63" s="392"/>
      <c r="AK63" s="392"/>
      <c r="AL63" s="392"/>
      <c r="AM63" s="392"/>
      <c r="AN63" s="392"/>
      <c r="AO63" s="392"/>
      <c r="AP63" s="392"/>
      <c r="AQ63" s="392"/>
      <c r="AR63" s="392"/>
      <c r="AS63" s="392"/>
      <c r="AT63" s="392"/>
      <c r="AU63" s="392"/>
      <c r="AV63" s="392"/>
      <c r="AW63" s="392"/>
      <c r="AY63" s="423">
        <v>9</v>
      </c>
      <c r="AZ63" s="424" t="e">
        <f t="shared" si="267"/>
        <v>#VALUE!</v>
      </c>
      <c r="BA63" s="433">
        <f t="shared" si="268"/>
        <v>0</v>
      </c>
      <c r="BB63" s="434">
        <f t="shared" si="269"/>
        <v>0</v>
      </c>
      <c r="BC63" s="434">
        <f t="shared" si="270"/>
        <v>0</v>
      </c>
      <c r="BD63" s="434">
        <f t="shared" si="271"/>
        <v>0</v>
      </c>
      <c r="BE63" s="434">
        <f t="shared" si="272"/>
        <v>0</v>
      </c>
      <c r="BF63" s="434">
        <f t="shared" si="273"/>
        <v>0</v>
      </c>
      <c r="BG63" s="434">
        <f t="shared" si="274"/>
        <v>0</v>
      </c>
      <c r="BH63" s="435">
        <f t="shared" si="275"/>
        <v>0</v>
      </c>
      <c r="BI63" s="436">
        <f t="shared" si="276"/>
        <v>0</v>
      </c>
      <c r="BK63" s="433">
        <f t="shared" si="290"/>
        <v>0</v>
      </c>
      <c r="BL63" s="434">
        <f t="shared" si="291"/>
        <v>0</v>
      </c>
      <c r="BM63" s="434">
        <f t="shared" si="292"/>
        <v>0</v>
      </c>
      <c r="BN63" s="434">
        <f t="shared" si="293"/>
        <v>0</v>
      </c>
      <c r="BO63" s="434">
        <f t="shared" si="294"/>
        <v>0</v>
      </c>
      <c r="BP63" s="434">
        <f t="shared" si="295"/>
        <v>0</v>
      </c>
      <c r="BQ63" s="434">
        <f t="shared" si="296"/>
        <v>0</v>
      </c>
      <c r="BR63" s="435">
        <f t="shared" si="297"/>
        <v>0</v>
      </c>
      <c r="BS63" s="436">
        <f t="shared" si="298"/>
        <v>0</v>
      </c>
      <c r="BU63" s="436">
        <f t="shared" si="299"/>
        <v>0</v>
      </c>
      <c r="BX63" s="392"/>
      <c r="BY63" s="392"/>
      <c r="BZ63" s="392"/>
      <c r="CA63" s="392"/>
      <c r="CB63" s="392"/>
      <c r="CC63" s="392"/>
      <c r="CD63" s="392"/>
      <c r="CE63" s="392"/>
      <c r="CF63" s="392"/>
      <c r="CG63" s="392"/>
      <c r="CH63" s="392"/>
      <c r="CI63" s="392"/>
      <c r="CJ63" s="392"/>
      <c r="CK63" s="392"/>
      <c r="CL63" s="392"/>
      <c r="CM63" s="392"/>
      <c r="CN63" s="392"/>
      <c r="CP63" s="423">
        <v>9</v>
      </c>
      <c r="CQ63" s="424" t="e">
        <f t="shared" si="278"/>
        <v>#VALUE!</v>
      </c>
      <c r="CR63" s="437">
        <f t="shared" si="304"/>
        <v>0</v>
      </c>
      <c r="CS63" s="423">
        <f t="shared" si="305"/>
        <v>0</v>
      </c>
      <c r="CT63" s="423">
        <f t="shared" si="306"/>
        <v>0</v>
      </c>
      <c r="CU63" s="423">
        <f t="shared" si="307"/>
        <v>0</v>
      </c>
      <c r="CV63" s="423">
        <f t="shared" si="308"/>
        <v>0</v>
      </c>
      <c r="CW63" s="423">
        <f t="shared" si="309"/>
        <v>0</v>
      </c>
      <c r="CX63" s="423">
        <f t="shared" si="310"/>
        <v>0</v>
      </c>
      <c r="CY63" s="438">
        <f t="shared" si="311"/>
        <v>0</v>
      </c>
      <c r="CZ63" s="436">
        <f t="shared" si="279"/>
        <v>0</v>
      </c>
      <c r="DB63" s="437">
        <f t="shared" si="312"/>
        <v>0</v>
      </c>
      <c r="DC63" s="423">
        <f t="shared" si="313"/>
        <v>0</v>
      </c>
      <c r="DD63" s="423">
        <f t="shared" si="314"/>
        <v>0</v>
      </c>
      <c r="DE63" s="423">
        <f t="shared" si="315"/>
        <v>0</v>
      </c>
      <c r="DF63" s="423">
        <f t="shared" si="316"/>
        <v>0</v>
      </c>
      <c r="DG63" s="423">
        <f t="shared" si="317"/>
        <v>0</v>
      </c>
      <c r="DH63" s="423">
        <f t="shared" si="318"/>
        <v>0</v>
      </c>
      <c r="DI63" s="438">
        <f t="shared" si="319"/>
        <v>0</v>
      </c>
      <c r="DJ63" s="436">
        <f t="shared" si="320"/>
        <v>0</v>
      </c>
      <c r="DL63" s="436">
        <f t="shared" si="321"/>
        <v>0</v>
      </c>
      <c r="DN63" s="392"/>
      <c r="DX63" s="386">
        <v>44</v>
      </c>
      <c r="DY63" s="430">
        <f t="shared" si="101"/>
        <v>46388</v>
      </c>
      <c r="DZ63" s="430">
        <f t="shared" si="102"/>
        <v>46418</v>
      </c>
      <c r="EA63" s="386" t="str">
        <f>IF(AND(DZ63&gt;=EXPEDIENTE!$F$25,DY63&lt;=EXPEDIENTE!$F$29),"SI","NO")</f>
        <v>SI</v>
      </c>
      <c r="EB63" s="423">
        <f t="shared" si="186"/>
        <v>0</v>
      </c>
      <c r="EC63" s="423">
        <f t="shared" si="187"/>
        <v>0</v>
      </c>
      <c r="ED63" s="423">
        <f t="shared" si="188"/>
        <v>0</v>
      </c>
      <c r="EE63" s="423">
        <f t="shared" si="189"/>
        <v>0</v>
      </c>
      <c r="EF63" s="423">
        <f t="shared" si="190"/>
        <v>0</v>
      </c>
      <c r="EG63" s="423">
        <f t="shared" si="191"/>
        <v>0</v>
      </c>
      <c r="EH63" s="423">
        <f t="shared" si="192"/>
        <v>0</v>
      </c>
      <c r="EI63" s="423">
        <f t="shared" si="193"/>
        <v>0</v>
      </c>
      <c r="EJ63" s="423">
        <f t="shared" si="194"/>
        <v>0</v>
      </c>
      <c r="EK63" s="423">
        <f t="shared" si="195"/>
        <v>0</v>
      </c>
      <c r="EL63" s="423">
        <f t="shared" si="196"/>
        <v>0</v>
      </c>
      <c r="EM63" s="423">
        <f t="shared" si="197"/>
        <v>0</v>
      </c>
      <c r="EN63" s="423">
        <f t="shared" si="198"/>
        <v>0</v>
      </c>
      <c r="EO63" s="423">
        <f t="shared" si="199"/>
        <v>0</v>
      </c>
      <c r="EP63" s="423">
        <f t="shared" si="200"/>
        <v>0</v>
      </c>
      <c r="EQ63" s="423">
        <f t="shared" si="201"/>
        <v>0</v>
      </c>
      <c r="ER63" s="423">
        <f t="shared" si="202"/>
        <v>0</v>
      </c>
      <c r="ES63" s="423">
        <f t="shared" si="203"/>
        <v>0</v>
      </c>
      <c r="ET63" s="423">
        <f t="shared" si="204"/>
        <v>0</v>
      </c>
      <c r="EU63" s="423">
        <f t="shared" si="205"/>
        <v>0</v>
      </c>
      <c r="EV63" s="423">
        <f t="shared" si="206"/>
        <v>0</v>
      </c>
      <c r="EW63" s="423">
        <f t="shared" si="207"/>
        <v>0</v>
      </c>
      <c r="EX63" s="423">
        <f t="shared" si="208"/>
        <v>0</v>
      </c>
      <c r="EY63" s="423">
        <f t="shared" si="209"/>
        <v>0</v>
      </c>
      <c r="EZ63" s="423">
        <f t="shared" si="210"/>
        <v>0</v>
      </c>
      <c r="FA63" s="423">
        <f t="shared" si="211"/>
        <v>0</v>
      </c>
      <c r="FB63" s="423">
        <f t="shared" si="212"/>
        <v>0</v>
      </c>
      <c r="FC63" s="423">
        <f t="shared" si="213"/>
        <v>0</v>
      </c>
      <c r="FD63" s="423">
        <f t="shared" si="214"/>
        <v>0</v>
      </c>
      <c r="FE63" s="423">
        <f t="shared" si="215"/>
        <v>0</v>
      </c>
      <c r="FF63" s="423">
        <f t="shared" si="216"/>
        <v>0</v>
      </c>
      <c r="FG63" s="423">
        <f t="shared" si="217"/>
        <v>0</v>
      </c>
      <c r="FH63" s="423">
        <f t="shared" si="66"/>
        <v>0</v>
      </c>
      <c r="FJ63" s="120">
        <v>9</v>
      </c>
      <c r="FK63" s="492">
        <f>DATE(YEAR(EXPEDIENTE!$F$25)+2,FJ63,1)</f>
        <v>45901</v>
      </c>
      <c r="FL63" s="492" t="str">
        <f>IF('GASTOS EJER. 3'!I57="","",'GASTOS EJER. 3'!I57)</f>
        <v/>
      </c>
      <c r="FM63" s="500">
        <f>'GASTOS EJER. 3'!X28</f>
        <v>0</v>
      </c>
      <c r="FN63" s="500">
        <f>'GASTOS EJER. 3'!H57</f>
        <v>0</v>
      </c>
      <c r="FO63" s="423">
        <f t="shared" si="325"/>
        <v>0</v>
      </c>
      <c r="FP63" s="500">
        <f t="shared" si="283"/>
        <v>0</v>
      </c>
      <c r="FR63" s="392"/>
      <c r="GB63" s="386">
        <v>44</v>
      </c>
      <c r="GC63" s="430">
        <f t="shared" si="103"/>
        <v>46388</v>
      </c>
      <c r="GD63" s="430">
        <f t="shared" si="104"/>
        <v>46418</v>
      </c>
      <c r="GE63" s="386" t="str">
        <f>IF(AND(GD63&gt;=EXPEDIENTE!$F$25,GC63&lt;=EXPEDIENTE!$F$29),"SI","NO")</f>
        <v>SI</v>
      </c>
      <c r="GF63" s="423">
        <f t="shared" si="67"/>
        <v>0</v>
      </c>
      <c r="GG63" s="423">
        <f t="shared" si="68"/>
        <v>0</v>
      </c>
      <c r="GH63" s="423">
        <f t="shared" si="69"/>
        <v>0</v>
      </c>
      <c r="GI63" s="423">
        <f t="shared" si="70"/>
        <v>0</v>
      </c>
      <c r="GJ63" s="423">
        <f t="shared" si="71"/>
        <v>0</v>
      </c>
      <c r="GK63" s="423">
        <f t="shared" si="72"/>
        <v>0</v>
      </c>
      <c r="GL63" s="423">
        <f t="shared" si="73"/>
        <v>0</v>
      </c>
      <c r="GM63" s="423">
        <f t="shared" si="74"/>
        <v>0</v>
      </c>
      <c r="GN63" s="423">
        <f t="shared" si="75"/>
        <v>0</v>
      </c>
      <c r="GO63" s="423">
        <f t="shared" si="76"/>
        <v>0</v>
      </c>
      <c r="GP63" s="423">
        <f t="shared" si="77"/>
        <v>0</v>
      </c>
      <c r="GQ63" s="423">
        <f t="shared" si="78"/>
        <v>0</v>
      </c>
      <c r="GR63" s="423">
        <f t="shared" si="79"/>
        <v>0</v>
      </c>
      <c r="GS63" s="423">
        <f t="shared" si="80"/>
        <v>0</v>
      </c>
      <c r="GT63" s="423">
        <f t="shared" si="81"/>
        <v>0</v>
      </c>
      <c r="GU63" s="423">
        <f t="shared" si="82"/>
        <v>0</v>
      </c>
      <c r="GV63" s="423">
        <f t="shared" si="83"/>
        <v>0</v>
      </c>
      <c r="GW63" s="423">
        <f t="shared" si="84"/>
        <v>0</v>
      </c>
      <c r="GX63" s="423">
        <f t="shared" si="85"/>
        <v>0</v>
      </c>
      <c r="GY63" s="423">
        <f t="shared" si="86"/>
        <v>0</v>
      </c>
      <c r="GZ63" s="423">
        <f t="shared" si="87"/>
        <v>0</v>
      </c>
      <c r="HA63" s="423">
        <f t="shared" si="88"/>
        <v>0</v>
      </c>
      <c r="HB63" s="423">
        <f t="shared" si="89"/>
        <v>0</v>
      </c>
      <c r="HC63" s="423">
        <f t="shared" si="90"/>
        <v>0</v>
      </c>
      <c r="HD63" s="423">
        <f t="shared" si="91"/>
        <v>0</v>
      </c>
      <c r="HE63" s="423">
        <f t="shared" si="92"/>
        <v>0</v>
      </c>
      <c r="HF63" s="423">
        <f t="shared" si="93"/>
        <v>0</v>
      </c>
      <c r="HG63" s="423">
        <f t="shared" si="94"/>
        <v>0</v>
      </c>
      <c r="HH63" s="423">
        <f t="shared" si="95"/>
        <v>0</v>
      </c>
      <c r="HI63" s="423">
        <f t="shared" si="96"/>
        <v>0</v>
      </c>
      <c r="HJ63" s="423">
        <f t="shared" si="97"/>
        <v>0</v>
      </c>
      <c r="HK63" s="423">
        <f t="shared" si="98"/>
        <v>0</v>
      </c>
      <c r="HL63" s="423">
        <f t="shared" si="99"/>
        <v>0</v>
      </c>
      <c r="HO63" s="120">
        <v>9</v>
      </c>
      <c r="HP63" s="492">
        <f>DATE(YEAR(EXPEDIENTE!$F$25)+2,HO63,1)</f>
        <v>45901</v>
      </c>
      <c r="HQ63" s="492" t="str">
        <f>IF('GASTOS EJER. 3'!BF57="","",'GASTOS EJER. 3'!BF57)</f>
        <v/>
      </c>
      <c r="HR63" s="500">
        <f>'GASTOS EJER. 3'!CM28</f>
        <v>0</v>
      </c>
      <c r="HS63" s="500">
        <f>'GASTOS EJER. 3'!BA57</f>
        <v>0</v>
      </c>
      <c r="HT63" s="423">
        <f t="shared" si="329"/>
        <v>0</v>
      </c>
      <c r="HU63" s="500">
        <f t="shared" si="285"/>
        <v>0</v>
      </c>
      <c r="JC63" s="416">
        <v>59</v>
      </c>
      <c r="JD63" s="398">
        <f t="shared" si="100"/>
        <v>22</v>
      </c>
    </row>
    <row r="64" spans="3:264" x14ac:dyDescent="0.25">
      <c r="C64" s="206">
        <v>58</v>
      </c>
      <c r="D64" s="401"/>
      <c r="E64" s="417"/>
      <c r="F64" s="418"/>
      <c r="G64" s="419"/>
      <c r="H64" s="419"/>
      <c r="I64" s="419"/>
      <c r="J64" s="401"/>
      <c r="K64" s="407">
        <f t="shared" si="52"/>
        <v>76</v>
      </c>
      <c r="L64" s="407">
        <f t="shared" si="53"/>
        <v>76</v>
      </c>
      <c r="M64" s="407" t="str">
        <f t="shared" si="54"/>
        <v>X</v>
      </c>
      <c r="AG64" s="392"/>
      <c r="AH64" s="392"/>
      <c r="AI64" s="392"/>
      <c r="AJ64" s="392"/>
      <c r="AK64" s="392"/>
      <c r="AL64" s="392"/>
      <c r="AM64" s="392"/>
      <c r="AN64" s="392"/>
      <c r="AO64" s="392"/>
      <c r="AP64" s="392"/>
      <c r="AQ64" s="392"/>
      <c r="AR64" s="392"/>
      <c r="AS64" s="392"/>
      <c r="AT64" s="392"/>
      <c r="AU64" s="392"/>
      <c r="AV64" s="392"/>
      <c r="AW64" s="392"/>
      <c r="AY64" s="423">
        <v>10</v>
      </c>
      <c r="AZ64" s="424" t="e">
        <f t="shared" si="267"/>
        <v>#VALUE!</v>
      </c>
      <c r="BA64" s="433">
        <f t="shared" si="268"/>
        <v>0</v>
      </c>
      <c r="BB64" s="434">
        <f t="shared" si="269"/>
        <v>0</v>
      </c>
      <c r="BC64" s="434">
        <f t="shared" si="270"/>
        <v>0</v>
      </c>
      <c r="BD64" s="434">
        <f t="shared" si="271"/>
        <v>0</v>
      </c>
      <c r="BE64" s="434">
        <f t="shared" si="272"/>
        <v>0</v>
      </c>
      <c r="BF64" s="434">
        <f t="shared" si="273"/>
        <v>0</v>
      </c>
      <c r="BG64" s="434">
        <f t="shared" si="274"/>
        <v>0</v>
      </c>
      <c r="BH64" s="435">
        <f t="shared" si="275"/>
        <v>0</v>
      </c>
      <c r="BI64" s="436">
        <f>SUM(BA64:BH64)</f>
        <v>0</v>
      </c>
      <c r="BK64" s="433">
        <f t="shared" si="290"/>
        <v>0</v>
      </c>
      <c r="BL64" s="434">
        <f t="shared" si="291"/>
        <v>0</v>
      </c>
      <c r="BM64" s="434">
        <f t="shared" si="292"/>
        <v>0</v>
      </c>
      <c r="BN64" s="434">
        <f t="shared" si="293"/>
        <v>0</v>
      </c>
      <c r="BO64" s="434">
        <f t="shared" si="294"/>
        <v>0</v>
      </c>
      <c r="BP64" s="434">
        <f t="shared" si="295"/>
        <v>0</v>
      </c>
      <c r="BQ64" s="434">
        <f t="shared" si="296"/>
        <v>0</v>
      </c>
      <c r="BR64" s="435">
        <f t="shared" si="297"/>
        <v>0</v>
      </c>
      <c r="BS64" s="436">
        <f t="shared" si="298"/>
        <v>0</v>
      </c>
      <c r="BU64" s="436">
        <f t="shared" si="299"/>
        <v>0</v>
      </c>
      <c r="BX64" s="392"/>
      <c r="BY64" s="392"/>
      <c r="BZ64" s="392"/>
      <c r="CA64" s="392"/>
      <c r="CB64" s="392"/>
      <c r="CC64" s="392"/>
      <c r="CD64" s="392"/>
      <c r="CE64" s="392"/>
      <c r="CF64" s="392"/>
      <c r="CG64" s="392"/>
      <c r="CH64" s="392"/>
      <c r="CI64" s="392"/>
      <c r="CJ64" s="392"/>
      <c r="CK64" s="392"/>
      <c r="CL64" s="392"/>
      <c r="CM64" s="392"/>
      <c r="CN64" s="392"/>
      <c r="CP64" s="423">
        <v>10</v>
      </c>
      <c r="CQ64" s="424" t="e">
        <f t="shared" si="278"/>
        <v>#VALUE!</v>
      </c>
      <c r="CR64" s="437">
        <f t="shared" si="304"/>
        <v>0</v>
      </c>
      <c r="CS64" s="423">
        <f t="shared" si="305"/>
        <v>0</v>
      </c>
      <c r="CT64" s="423">
        <f t="shared" si="306"/>
        <v>0</v>
      </c>
      <c r="CU64" s="423">
        <f t="shared" si="307"/>
        <v>0</v>
      </c>
      <c r="CV64" s="423">
        <f t="shared" si="308"/>
        <v>0</v>
      </c>
      <c r="CW64" s="423">
        <f t="shared" si="309"/>
        <v>0</v>
      </c>
      <c r="CX64" s="423">
        <f t="shared" si="310"/>
        <v>0</v>
      </c>
      <c r="CY64" s="438">
        <f t="shared" si="311"/>
        <v>0</v>
      </c>
      <c r="CZ64" s="436">
        <f>SUM(CR64:CY64)</f>
        <v>0</v>
      </c>
      <c r="DB64" s="437">
        <f t="shared" si="312"/>
        <v>0</v>
      </c>
      <c r="DC64" s="423">
        <f t="shared" si="313"/>
        <v>0</v>
      </c>
      <c r="DD64" s="423">
        <f t="shared" si="314"/>
        <v>0</v>
      </c>
      <c r="DE64" s="423">
        <f t="shared" si="315"/>
        <v>0</v>
      </c>
      <c r="DF64" s="423">
        <f t="shared" si="316"/>
        <v>0</v>
      </c>
      <c r="DG64" s="423">
        <f t="shared" si="317"/>
        <v>0</v>
      </c>
      <c r="DH64" s="423">
        <f t="shared" si="318"/>
        <v>0</v>
      </c>
      <c r="DI64" s="438">
        <f t="shared" si="319"/>
        <v>0</v>
      </c>
      <c r="DJ64" s="436">
        <f t="shared" si="320"/>
        <v>0</v>
      </c>
      <c r="DL64" s="436">
        <f t="shared" si="321"/>
        <v>0</v>
      </c>
      <c r="DN64" s="392"/>
      <c r="DX64" s="386">
        <v>45</v>
      </c>
      <c r="DY64" s="430">
        <f t="shared" si="101"/>
        <v>46419</v>
      </c>
      <c r="DZ64" s="430">
        <f t="shared" si="102"/>
        <v>46446</v>
      </c>
      <c r="EA64" s="386" t="str">
        <f>IF(AND(DZ64&gt;=EXPEDIENTE!$F$25,DY64&lt;=EXPEDIENTE!$F$29),"SI","NO")</f>
        <v>SI</v>
      </c>
      <c r="EB64" s="423">
        <f t="shared" si="186"/>
        <v>0</v>
      </c>
      <c r="EC64" s="423">
        <f t="shared" si="187"/>
        <v>0</v>
      </c>
      <c r="ED64" s="423">
        <f t="shared" si="188"/>
        <v>0</v>
      </c>
      <c r="EE64" s="423">
        <f t="shared" si="189"/>
        <v>0</v>
      </c>
      <c r="EF64" s="423">
        <f t="shared" si="190"/>
        <v>0</v>
      </c>
      <c r="EG64" s="423">
        <f t="shared" si="191"/>
        <v>0</v>
      </c>
      <c r="EH64" s="423">
        <f t="shared" si="192"/>
        <v>0</v>
      </c>
      <c r="EI64" s="423">
        <f t="shared" si="193"/>
        <v>0</v>
      </c>
      <c r="EJ64" s="423">
        <f t="shared" si="194"/>
        <v>0</v>
      </c>
      <c r="EK64" s="423">
        <f t="shared" si="195"/>
        <v>0</v>
      </c>
      <c r="EL64" s="423">
        <f t="shared" si="196"/>
        <v>0</v>
      </c>
      <c r="EM64" s="423">
        <f t="shared" si="197"/>
        <v>0</v>
      </c>
      <c r="EN64" s="423">
        <f t="shared" si="198"/>
        <v>0</v>
      </c>
      <c r="EO64" s="423">
        <f t="shared" si="199"/>
        <v>0</v>
      </c>
      <c r="EP64" s="423">
        <f t="shared" si="200"/>
        <v>0</v>
      </c>
      <c r="EQ64" s="423">
        <f t="shared" si="201"/>
        <v>0</v>
      </c>
      <c r="ER64" s="423">
        <f t="shared" si="202"/>
        <v>0</v>
      </c>
      <c r="ES64" s="423">
        <f t="shared" si="203"/>
        <v>0</v>
      </c>
      <c r="ET64" s="423">
        <f t="shared" si="204"/>
        <v>0</v>
      </c>
      <c r="EU64" s="423">
        <f t="shared" si="205"/>
        <v>0</v>
      </c>
      <c r="EV64" s="423">
        <f t="shared" si="206"/>
        <v>0</v>
      </c>
      <c r="EW64" s="423">
        <f t="shared" si="207"/>
        <v>0</v>
      </c>
      <c r="EX64" s="423">
        <f t="shared" si="208"/>
        <v>0</v>
      </c>
      <c r="EY64" s="423">
        <f t="shared" si="209"/>
        <v>0</v>
      </c>
      <c r="EZ64" s="423">
        <f t="shared" si="210"/>
        <v>0</v>
      </c>
      <c r="FA64" s="423">
        <f t="shared" si="211"/>
        <v>0</v>
      </c>
      <c r="FB64" s="423">
        <f t="shared" si="212"/>
        <v>0</v>
      </c>
      <c r="FC64" s="423">
        <f t="shared" si="213"/>
        <v>0</v>
      </c>
      <c r="FD64" s="423">
        <f t="shared" si="214"/>
        <v>0</v>
      </c>
      <c r="FE64" s="423">
        <f t="shared" si="215"/>
        <v>0</v>
      </c>
      <c r="FF64" s="423">
        <f t="shared" si="216"/>
        <v>0</v>
      </c>
      <c r="FG64" s="423">
        <f t="shared" si="217"/>
        <v>0</v>
      </c>
      <c r="FH64" s="423">
        <f t="shared" si="66"/>
        <v>0</v>
      </c>
      <c r="FJ64" s="120">
        <v>10</v>
      </c>
      <c r="FK64" s="492">
        <f>DATE(YEAR(EXPEDIENTE!$F$25)+2,FJ64,1)</f>
        <v>45931</v>
      </c>
      <c r="FL64" s="492" t="str">
        <f>IF('GASTOS EJER. 3'!I58="","",'GASTOS EJER. 3'!I58)</f>
        <v/>
      </c>
      <c r="FM64" s="500">
        <f>'GASTOS EJER. 3'!X29</f>
        <v>0</v>
      </c>
      <c r="FN64" s="500">
        <f>'GASTOS EJER. 3'!H58</f>
        <v>0</v>
      </c>
      <c r="FO64" s="423">
        <f t="shared" si="325"/>
        <v>0</v>
      </c>
      <c r="FP64" s="500">
        <f t="shared" si="283"/>
        <v>0</v>
      </c>
      <c r="FR64" s="392"/>
      <c r="GB64" s="386">
        <v>45</v>
      </c>
      <c r="GC64" s="430">
        <f t="shared" si="103"/>
        <v>46419</v>
      </c>
      <c r="GD64" s="430">
        <f t="shared" si="104"/>
        <v>46446</v>
      </c>
      <c r="GE64" s="386" t="str">
        <f>IF(AND(GD64&gt;=EXPEDIENTE!$F$25,GC64&lt;=EXPEDIENTE!$F$29),"SI","NO")</f>
        <v>SI</v>
      </c>
      <c r="GF64" s="423">
        <f t="shared" si="67"/>
        <v>0</v>
      </c>
      <c r="GG64" s="423">
        <f t="shared" si="68"/>
        <v>0</v>
      </c>
      <c r="GH64" s="423">
        <f t="shared" si="69"/>
        <v>0</v>
      </c>
      <c r="GI64" s="423">
        <f t="shared" si="70"/>
        <v>0</v>
      </c>
      <c r="GJ64" s="423">
        <f t="shared" si="71"/>
        <v>0</v>
      </c>
      <c r="GK64" s="423">
        <f t="shared" si="72"/>
        <v>0</v>
      </c>
      <c r="GL64" s="423">
        <f t="shared" si="73"/>
        <v>0</v>
      </c>
      <c r="GM64" s="423">
        <f t="shared" si="74"/>
        <v>0</v>
      </c>
      <c r="GN64" s="423">
        <f t="shared" si="75"/>
        <v>0</v>
      </c>
      <c r="GO64" s="423">
        <f t="shared" si="76"/>
        <v>0</v>
      </c>
      <c r="GP64" s="423">
        <f t="shared" si="77"/>
        <v>0</v>
      </c>
      <c r="GQ64" s="423">
        <f t="shared" si="78"/>
        <v>0</v>
      </c>
      <c r="GR64" s="423">
        <f t="shared" si="79"/>
        <v>0</v>
      </c>
      <c r="GS64" s="423">
        <f t="shared" si="80"/>
        <v>0</v>
      </c>
      <c r="GT64" s="423">
        <f t="shared" si="81"/>
        <v>0</v>
      </c>
      <c r="GU64" s="423">
        <f t="shared" si="82"/>
        <v>0</v>
      </c>
      <c r="GV64" s="423">
        <f t="shared" si="83"/>
        <v>0</v>
      </c>
      <c r="GW64" s="423">
        <f t="shared" si="84"/>
        <v>0</v>
      </c>
      <c r="GX64" s="423">
        <f t="shared" si="85"/>
        <v>0</v>
      </c>
      <c r="GY64" s="423">
        <f t="shared" si="86"/>
        <v>0</v>
      </c>
      <c r="GZ64" s="423">
        <f t="shared" si="87"/>
        <v>0</v>
      </c>
      <c r="HA64" s="423">
        <f t="shared" si="88"/>
        <v>0</v>
      </c>
      <c r="HB64" s="423">
        <f t="shared" si="89"/>
        <v>0</v>
      </c>
      <c r="HC64" s="423">
        <f t="shared" si="90"/>
        <v>0</v>
      </c>
      <c r="HD64" s="423">
        <f t="shared" si="91"/>
        <v>0</v>
      </c>
      <c r="HE64" s="423">
        <f t="shared" si="92"/>
        <v>0</v>
      </c>
      <c r="HF64" s="423">
        <f t="shared" si="93"/>
        <v>0</v>
      </c>
      <c r="HG64" s="423">
        <f t="shared" si="94"/>
        <v>0</v>
      </c>
      <c r="HH64" s="423">
        <f t="shared" si="95"/>
        <v>0</v>
      </c>
      <c r="HI64" s="423">
        <f t="shared" si="96"/>
        <v>0</v>
      </c>
      <c r="HJ64" s="423">
        <f t="shared" si="97"/>
        <v>0</v>
      </c>
      <c r="HK64" s="423">
        <f t="shared" si="98"/>
        <v>0</v>
      </c>
      <c r="HL64" s="423">
        <f t="shared" si="99"/>
        <v>0</v>
      </c>
      <c r="HO64" s="120">
        <v>10</v>
      </c>
      <c r="HP64" s="492">
        <f>DATE(YEAR(EXPEDIENTE!$F$25)+2,HO64,1)</f>
        <v>45931</v>
      </c>
      <c r="HQ64" s="492" t="str">
        <f>IF('GASTOS EJER. 3'!BF58="","",'GASTOS EJER. 3'!BF58)</f>
        <v/>
      </c>
      <c r="HR64" s="500">
        <f>'GASTOS EJER. 3'!CM29</f>
        <v>0</v>
      </c>
      <c r="HS64" s="500">
        <f>'GASTOS EJER. 3'!BA58</f>
        <v>0</v>
      </c>
      <c r="HT64" s="423">
        <f t="shared" si="329"/>
        <v>0</v>
      </c>
      <c r="HU64" s="500">
        <f t="shared" si="285"/>
        <v>0</v>
      </c>
      <c r="JC64" s="442">
        <v>60</v>
      </c>
      <c r="JD64" s="398">
        <f t="shared" si="100"/>
        <v>22</v>
      </c>
    </row>
    <row r="65" spans="3:264" x14ac:dyDescent="0.25">
      <c r="C65" s="206">
        <v>59</v>
      </c>
      <c r="D65" s="401"/>
      <c r="E65" s="417"/>
      <c r="F65" s="418"/>
      <c r="G65" s="419"/>
      <c r="H65" s="419"/>
      <c r="I65" s="419"/>
      <c r="J65" s="401"/>
      <c r="K65" s="407">
        <f t="shared" si="52"/>
        <v>76</v>
      </c>
      <c r="L65" s="407">
        <f t="shared" si="53"/>
        <v>76</v>
      </c>
      <c r="M65" s="407" t="str">
        <f t="shared" si="54"/>
        <v>X</v>
      </c>
      <c r="AG65" s="392"/>
      <c r="AH65" s="392"/>
      <c r="AI65" s="392"/>
      <c r="AJ65" s="392"/>
      <c r="AK65" s="392"/>
      <c r="AL65" s="392"/>
      <c r="AM65" s="392"/>
      <c r="AN65" s="392"/>
      <c r="AO65" s="392"/>
      <c r="AP65" s="392"/>
      <c r="AQ65" s="392"/>
      <c r="AR65" s="392"/>
      <c r="AS65" s="392"/>
      <c r="AT65" s="392"/>
      <c r="AU65" s="392"/>
      <c r="AV65" s="392"/>
      <c r="AW65" s="392"/>
      <c r="AY65" s="423">
        <v>11</v>
      </c>
      <c r="AZ65" s="424" t="e">
        <f t="shared" si="267"/>
        <v>#VALUE!</v>
      </c>
      <c r="BA65" s="433">
        <f t="shared" si="268"/>
        <v>0</v>
      </c>
      <c r="BB65" s="434">
        <f t="shared" si="269"/>
        <v>0</v>
      </c>
      <c r="BC65" s="434">
        <f t="shared" si="270"/>
        <v>0</v>
      </c>
      <c r="BD65" s="434">
        <f t="shared" si="271"/>
        <v>0</v>
      </c>
      <c r="BE65" s="434">
        <f t="shared" si="272"/>
        <v>0</v>
      </c>
      <c r="BF65" s="434">
        <f t="shared" si="273"/>
        <v>0</v>
      </c>
      <c r="BG65" s="434">
        <f t="shared" si="274"/>
        <v>0</v>
      </c>
      <c r="BH65" s="435">
        <f t="shared" si="275"/>
        <v>0</v>
      </c>
      <c r="BI65" s="436">
        <f t="shared" si="276"/>
        <v>0</v>
      </c>
      <c r="BK65" s="433">
        <f t="shared" si="290"/>
        <v>0</v>
      </c>
      <c r="BL65" s="434">
        <f t="shared" si="291"/>
        <v>0</v>
      </c>
      <c r="BM65" s="434">
        <f t="shared" si="292"/>
        <v>0</v>
      </c>
      <c r="BN65" s="434">
        <f t="shared" si="293"/>
        <v>0</v>
      </c>
      <c r="BO65" s="434">
        <f t="shared" si="294"/>
        <v>0</v>
      </c>
      <c r="BP65" s="434">
        <f t="shared" si="295"/>
        <v>0</v>
      </c>
      <c r="BQ65" s="434">
        <f t="shared" si="296"/>
        <v>0</v>
      </c>
      <c r="BR65" s="435">
        <f t="shared" si="297"/>
        <v>0</v>
      </c>
      <c r="BS65" s="436">
        <f t="shared" si="298"/>
        <v>0</v>
      </c>
      <c r="BU65" s="436">
        <f t="shared" si="299"/>
        <v>0</v>
      </c>
      <c r="BX65" s="392"/>
      <c r="BY65" s="392"/>
      <c r="BZ65" s="392"/>
      <c r="CA65" s="392"/>
      <c r="CB65" s="392"/>
      <c r="CC65" s="392"/>
      <c r="CD65" s="392"/>
      <c r="CE65" s="392"/>
      <c r="CF65" s="392"/>
      <c r="CG65" s="392"/>
      <c r="CH65" s="392"/>
      <c r="CI65" s="392"/>
      <c r="CJ65" s="392"/>
      <c r="CK65" s="392"/>
      <c r="CL65" s="392"/>
      <c r="CM65" s="392"/>
      <c r="CN65" s="392"/>
      <c r="CP65" s="423">
        <v>11</v>
      </c>
      <c r="CQ65" s="424" t="e">
        <f t="shared" si="278"/>
        <v>#VALUE!</v>
      </c>
      <c r="CR65" s="437">
        <f t="shared" si="304"/>
        <v>0</v>
      </c>
      <c r="CS65" s="423">
        <f t="shared" si="305"/>
        <v>0</v>
      </c>
      <c r="CT65" s="423">
        <f t="shared" si="306"/>
        <v>0</v>
      </c>
      <c r="CU65" s="423">
        <f t="shared" si="307"/>
        <v>0</v>
      </c>
      <c r="CV65" s="423">
        <f t="shared" si="308"/>
        <v>0</v>
      </c>
      <c r="CW65" s="423">
        <f t="shared" si="309"/>
        <v>0</v>
      </c>
      <c r="CX65" s="423">
        <f t="shared" si="310"/>
        <v>0</v>
      </c>
      <c r="CY65" s="438">
        <f t="shared" si="311"/>
        <v>0</v>
      </c>
      <c r="CZ65" s="436">
        <f t="shared" ref="CZ65:CZ66" si="330">SUM(CR65:CY65)</f>
        <v>0</v>
      </c>
      <c r="DB65" s="437">
        <f t="shared" si="312"/>
        <v>0</v>
      </c>
      <c r="DC65" s="423">
        <f t="shared" si="313"/>
        <v>0</v>
      </c>
      <c r="DD65" s="423">
        <f t="shared" si="314"/>
        <v>0</v>
      </c>
      <c r="DE65" s="423">
        <f t="shared" si="315"/>
        <v>0</v>
      </c>
      <c r="DF65" s="423">
        <f t="shared" si="316"/>
        <v>0</v>
      </c>
      <c r="DG65" s="423">
        <f t="shared" si="317"/>
        <v>0</v>
      </c>
      <c r="DH65" s="423">
        <f t="shared" si="318"/>
        <v>0</v>
      </c>
      <c r="DI65" s="438">
        <f t="shared" si="319"/>
        <v>0</v>
      </c>
      <c r="DJ65" s="436">
        <f t="shared" si="320"/>
        <v>0</v>
      </c>
      <c r="DL65" s="436">
        <f t="shared" si="321"/>
        <v>0</v>
      </c>
      <c r="DN65" s="392"/>
      <c r="DX65" s="386">
        <v>46</v>
      </c>
      <c r="DY65" s="430">
        <f t="shared" si="101"/>
        <v>46447</v>
      </c>
      <c r="DZ65" s="430">
        <f t="shared" si="102"/>
        <v>46477</v>
      </c>
      <c r="EA65" s="386" t="str">
        <f>IF(AND(DZ65&gt;=EXPEDIENTE!$F$25,DY65&lt;=EXPEDIENTE!$F$29),"SI","NO")</f>
        <v>SI</v>
      </c>
      <c r="EB65" s="423">
        <f t="shared" si="186"/>
        <v>0</v>
      </c>
      <c r="EC65" s="423">
        <f t="shared" si="187"/>
        <v>0</v>
      </c>
      <c r="ED65" s="423">
        <f t="shared" si="188"/>
        <v>0</v>
      </c>
      <c r="EE65" s="423">
        <f t="shared" si="189"/>
        <v>0</v>
      </c>
      <c r="EF65" s="423">
        <f t="shared" si="190"/>
        <v>0</v>
      </c>
      <c r="EG65" s="423">
        <f t="shared" si="191"/>
        <v>0</v>
      </c>
      <c r="EH65" s="423">
        <f t="shared" si="192"/>
        <v>0</v>
      </c>
      <c r="EI65" s="423">
        <f t="shared" si="193"/>
        <v>0</v>
      </c>
      <c r="EJ65" s="423">
        <f t="shared" si="194"/>
        <v>0</v>
      </c>
      <c r="EK65" s="423">
        <f t="shared" si="195"/>
        <v>0</v>
      </c>
      <c r="EL65" s="423">
        <f t="shared" si="196"/>
        <v>0</v>
      </c>
      <c r="EM65" s="423">
        <f t="shared" si="197"/>
        <v>0</v>
      </c>
      <c r="EN65" s="423">
        <f t="shared" si="198"/>
        <v>0</v>
      </c>
      <c r="EO65" s="423">
        <f t="shared" si="199"/>
        <v>0</v>
      </c>
      <c r="EP65" s="423">
        <f t="shared" si="200"/>
        <v>0</v>
      </c>
      <c r="EQ65" s="423">
        <f t="shared" si="201"/>
        <v>0</v>
      </c>
      <c r="ER65" s="423">
        <f t="shared" si="202"/>
        <v>0</v>
      </c>
      <c r="ES65" s="423">
        <f t="shared" si="203"/>
        <v>0</v>
      </c>
      <c r="ET65" s="423">
        <f t="shared" si="204"/>
        <v>0</v>
      </c>
      <c r="EU65" s="423">
        <f t="shared" si="205"/>
        <v>0</v>
      </c>
      <c r="EV65" s="423">
        <f t="shared" si="206"/>
        <v>0</v>
      </c>
      <c r="EW65" s="423">
        <f t="shared" si="207"/>
        <v>0</v>
      </c>
      <c r="EX65" s="423">
        <f t="shared" si="208"/>
        <v>0</v>
      </c>
      <c r="EY65" s="423">
        <f t="shared" si="209"/>
        <v>0</v>
      </c>
      <c r="EZ65" s="423">
        <f t="shared" si="210"/>
        <v>0</v>
      </c>
      <c r="FA65" s="423">
        <f t="shared" si="211"/>
        <v>0</v>
      </c>
      <c r="FB65" s="423">
        <f t="shared" si="212"/>
        <v>0</v>
      </c>
      <c r="FC65" s="423">
        <f t="shared" si="213"/>
        <v>0</v>
      </c>
      <c r="FD65" s="423">
        <f t="shared" si="214"/>
        <v>0</v>
      </c>
      <c r="FE65" s="423">
        <f t="shared" si="215"/>
        <v>0</v>
      </c>
      <c r="FF65" s="423">
        <f t="shared" si="216"/>
        <v>0</v>
      </c>
      <c r="FG65" s="423">
        <f t="shared" si="217"/>
        <v>0</v>
      </c>
      <c r="FH65" s="423">
        <f t="shared" si="66"/>
        <v>0</v>
      </c>
      <c r="FJ65" s="120">
        <v>11</v>
      </c>
      <c r="FK65" s="492">
        <f>DATE(YEAR(EXPEDIENTE!$F$25)+2,FJ65,1)</f>
        <v>45962</v>
      </c>
      <c r="FL65" s="492" t="str">
        <f>IF('GASTOS EJER. 3'!I59="","",'GASTOS EJER. 3'!I59)</f>
        <v/>
      </c>
      <c r="FM65" s="500">
        <f>'GASTOS EJER. 3'!X30</f>
        <v>0</v>
      </c>
      <c r="FN65" s="500">
        <f>'GASTOS EJER. 3'!H59</f>
        <v>0</v>
      </c>
      <c r="FO65" s="423">
        <f t="shared" si="325"/>
        <v>0</v>
      </c>
      <c r="FP65" s="500">
        <f t="shared" si="283"/>
        <v>0</v>
      </c>
      <c r="FR65" s="392"/>
      <c r="GB65" s="386">
        <v>46</v>
      </c>
      <c r="GC65" s="430">
        <f t="shared" si="103"/>
        <v>46447</v>
      </c>
      <c r="GD65" s="430">
        <f t="shared" si="104"/>
        <v>46477</v>
      </c>
      <c r="GE65" s="386" t="str">
        <f>IF(AND(GD65&gt;=EXPEDIENTE!$F$25,GC65&lt;=EXPEDIENTE!$F$29),"SI","NO")</f>
        <v>SI</v>
      </c>
      <c r="GF65" s="423">
        <f t="shared" si="67"/>
        <v>0</v>
      </c>
      <c r="GG65" s="423">
        <f t="shared" si="68"/>
        <v>0</v>
      </c>
      <c r="GH65" s="423">
        <f t="shared" si="69"/>
        <v>0</v>
      </c>
      <c r="GI65" s="423">
        <f t="shared" si="70"/>
        <v>0</v>
      </c>
      <c r="GJ65" s="423">
        <f t="shared" si="71"/>
        <v>0</v>
      </c>
      <c r="GK65" s="423">
        <f t="shared" si="72"/>
        <v>0</v>
      </c>
      <c r="GL65" s="423">
        <f t="shared" si="73"/>
        <v>0</v>
      </c>
      <c r="GM65" s="423">
        <f t="shared" si="74"/>
        <v>0</v>
      </c>
      <c r="GN65" s="423">
        <f t="shared" si="75"/>
        <v>0</v>
      </c>
      <c r="GO65" s="423">
        <f t="shared" si="76"/>
        <v>0</v>
      </c>
      <c r="GP65" s="423">
        <f t="shared" si="77"/>
        <v>0</v>
      </c>
      <c r="GQ65" s="423">
        <f t="shared" si="78"/>
        <v>0</v>
      </c>
      <c r="GR65" s="423">
        <f t="shared" si="79"/>
        <v>0</v>
      </c>
      <c r="GS65" s="423">
        <f t="shared" si="80"/>
        <v>0</v>
      </c>
      <c r="GT65" s="423">
        <f t="shared" si="81"/>
        <v>0</v>
      </c>
      <c r="GU65" s="423">
        <f t="shared" si="82"/>
        <v>0</v>
      </c>
      <c r="GV65" s="423">
        <f t="shared" si="83"/>
        <v>0</v>
      </c>
      <c r="GW65" s="423">
        <f t="shared" si="84"/>
        <v>0</v>
      </c>
      <c r="GX65" s="423">
        <f t="shared" si="85"/>
        <v>0</v>
      </c>
      <c r="GY65" s="423">
        <f t="shared" si="86"/>
        <v>0</v>
      </c>
      <c r="GZ65" s="423">
        <f t="shared" si="87"/>
        <v>0</v>
      </c>
      <c r="HA65" s="423">
        <f t="shared" si="88"/>
        <v>0</v>
      </c>
      <c r="HB65" s="423">
        <f t="shared" si="89"/>
        <v>0</v>
      </c>
      <c r="HC65" s="423">
        <f t="shared" si="90"/>
        <v>0</v>
      </c>
      <c r="HD65" s="423">
        <f t="shared" si="91"/>
        <v>0</v>
      </c>
      <c r="HE65" s="423">
        <f t="shared" si="92"/>
        <v>0</v>
      </c>
      <c r="HF65" s="423">
        <f t="shared" si="93"/>
        <v>0</v>
      </c>
      <c r="HG65" s="423">
        <f t="shared" si="94"/>
        <v>0</v>
      </c>
      <c r="HH65" s="423">
        <f t="shared" si="95"/>
        <v>0</v>
      </c>
      <c r="HI65" s="423">
        <f t="shared" si="96"/>
        <v>0</v>
      </c>
      <c r="HJ65" s="423">
        <f t="shared" si="97"/>
        <v>0</v>
      </c>
      <c r="HK65" s="423">
        <f t="shared" si="98"/>
        <v>0</v>
      </c>
      <c r="HL65" s="423">
        <f t="shared" si="99"/>
        <v>0</v>
      </c>
      <c r="HO65" s="120">
        <v>11</v>
      </c>
      <c r="HP65" s="492">
        <f>DATE(YEAR(EXPEDIENTE!$F$25)+2,HO65,1)</f>
        <v>45962</v>
      </c>
      <c r="HQ65" s="492" t="str">
        <f>IF('GASTOS EJER. 3'!BF59="","",'GASTOS EJER. 3'!BF59)</f>
        <v/>
      </c>
      <c r="HR65" s="500">
        <f>'GASTOS EJER. 3'!CM30</f>
        <v>0</v>
      </c>
      <c r="HS65" s="500">
        <f>'GASTOS EJER. 3'!BA59</f>
        <v>0</v>
      </c>
      <c r="HT65" s="423">
        <f t="shared" si="329"/>
        <v>0</v>
      </c>
      <c r="HU65" s="500">
        <f t="shared" si="285"/>
        <v>0</v>
      </c>
      <c r="JC65" s="406">
        <v>61</v>
      </c>
      <c r="JD65" s="398">
        <f t="shared" si="100"/>
        <v>24</v>
      </c>
    </row>
    <row r="66" spans="3:264" ht="15.75" thickBot="1" x14ac:dyDescent="0.3">
      <c r="C66" s="206">
        <v>60</v>
      </c>
      <c r="D66" s="401"/>
      <c r="E66" s="417"/>
      <c r="F66" s="418"/>
      <c r="G66" s="419"/>
      <c r="H66" s="419"/>
      <c r="I66" s="419"/>
      <c r="J66" s="401"/>
      <c r="K66" s="407">
        <f t="shared" si="52"/>
        <v>76</v>
      </c>
      <c r="L66" s="407">
        <f t="shared" si="53"/>
        <v>76</v>
      </c>
      <c r="M66" s="407" t="str">
        <f t="shared" si="54"/>
        <v>X</v>
      </c>
      <c r="AG66" s="392"/>
      <c r="AH66" s="392"/>
      <c r="AI66" s="392"/>
      <c r="AJ66" s="392"/>
      <c r="AK66" s="392"/>
      <c r="AL66" s="392"/>
      <c r="AM66" s="392"/>
      <c r="AN66" s="392"/>
      <c r="AO66" s="392"/>
      <c r="AP66" s="392"/>
      <c r="AQ66" s="392"/>
      <c r="AR66" s="392"/>
      <c r="AS66" s="392"/>
      <c r="AT66" s="392"/>
      <c r="AU66" s="392"/>
      <c r="AV66" s="392"/>
      <c r="AW66" s="392"/>
      <c r="AY66" s="423">
        <v>12</v>
      </c>
      <c r="AZ66" s="424" t="e">
        <f t="shared" si="267"/>
        <v>#VALUE!</v>
      </c>
      <c r="BA66" s="446">
        <f t="shared" si="268"/>
        <v>0</v>
      </c>
      <c r="BB66" s="447">
        <f t="shared" si="269"/>
        <v>0</v>
      </c>
      <c r="BC66" s="447">
        <f t="shared" si="270"/>
        <v>0</v>
      </c>
      <c r="BD66" s="447">
        <f t="shared" si="271"/>
        <v>0</v>
      </c>
      <c r="BE66" s="447">
        <f t="shared" si="272"/>
        <v>0</v>
      </c>
      <c r="BF66" s="447">
        <f t="shared" si="273"/>
        <v>0</v>
      </c>
      <c r="BG66" s="447">
        <f t="shared" si="274"/>
        <v>0</v>
      </c>
      <c r="BH66" s="448">
        <f t="shared" si="275"/>
        <v>0</v>
      </c>
      <c r="BI66" s="449">
        <f t="shared" si="276"/>
        <v>0</v>
      </c>
      <c r="BK66" s="446">
        <f t="shared" si="290"/>
        <v>0</v>
      </c>
      <c r="BL66" s="447">
        <f t="shared" si="291"/>
        <v>0</v>
      </c>
      <c r="BM66" s="447">
        <f t="shared" si="292"/>
        <v>0</v>
      </c>
      <c r="BN66" s="447">
        <f t="shared" si="293"/>
        <v>0</v>
      </c>
      <c r="BO66" s="447">
        <f t="shared" si="294"/>
        <v>0</v>
      </c>
      <c r="BP66" s="447">
        <f t="shared" si="295"/>
        <v>0</v>
      </c>
      <c r="BQ66" s="447">
        <f t="shared" si="296"/>
        <v>0</v>
      </c>
      <c r="BR66" s="448">
        <f t="shared" si="297"/>
        <v>0</v>
      </c>
      <c r="BS66" s="449">
        <f t="shared" si="298"/>
        <v>0</v>
      </c>
      <c r="BU66" s="449">
        <f t="shared" si="299"/>
        <v>0</v>
      </c>
      <c r="BX66" s="392"/>
      <c r="BY66" s="392"/>
      <c r="BZ66" s="392"/>
      <c r="CA66" s="392"/>
      <c r="CB66" s="392"/>
      <c r="CC66" s="392"/>
      <c r="CD66" s="392"/>
      <c r="CE66" s="392"/>
      <c r="CF66" s="392"/>
      <c r="CG66" s="392"/>
      <c r="CH66" s="392"/>
      <c r="CI66" s="392"/>
      <c r="CJ66" s="392"/>
      <c r="CK66" s="392"/>
      <c r="CL66" s="392"/>
      <c r="CM66" s="392"/>
      <c r="CN66" s="392"/>
      <c r="CP66" s="423">
        <v>12</v>
      </c>
      <c r="CQ66" s="424" t="e">
        <f t="shared" si="278"/>
        <v>#VALUE!</v>
      </c>
      <c r="CR66" s="450">
        <f t="shared" si="304"/>
        <v>0</v>
      </c>
      <c r="CS66" s="451">
        <f t="shared" si="305"/>
        <v>0</v>
      </c>
      <c r="CT66" s="451">
        <f t="shared" si="306"/>
        <v>0</v>
      </c>
      <c r="CU66" s="451">
        <f t="shared" si="307"/>
        <v>0</v>
      </c>
      <c r="CV66" s="451">
        <f t="shared" si="308"/>
        <v>0</v>
      </c>
      <c r="CW66" s="451">
        <f t="shared" si="309"/>
        <v>0</v>
      </c>
      <c r="CX66" s="451">
        <f t="shared" si="310"/>
        <v>0</v>
      </c>
      <c r="CY66" s="452">
        <f>IF($BY$62=0,0,IF($CY$53=0,0,IF(AND($CQ66&gt;=$CJ$62,$CQ66&lt;=$CK$62),$CN$62,0)))</f>
        <v>0</v>
      </c>
      <c r="CZ66" s="449">
        <f t="shared" si="330"/>
        <v>0</v>
      </c>
      <c r="DB66" s="450">
        <f t="shared" si="312"/>
        <v>0</v>
      </c>
      <c r="DC66" s="451">
        <f t="shared" si="313"/>
        <v>0</v>
      </c>
      <c r="DD66" s="451">
        <f t="shared" si="314"/>
        <v>0</v>
      </c>
      <c r="DE66" s="451">
        <f t="shared" si="315"/>
        <v>0</v>
      </c>
      <c r="DF66" s="451">
        <f t="shared" si="316"/>
        <v>0</v>
      </c>
      <c r="DG66" s="451">
        <f t="shared" si="317"/>
        <v>0</v>
      </c>
      <c r="DH66" s="451">
        <f t="shared" si="318"/>
        <v>0</v>
      </c>
      <c r="DI66" s="452">
        <f t="shared" si="319"/>
        <v>0</v>
      </c>
      <c r="DJ66" s="449">
        <f t="shared" si="320"/>
        <v>0</v>
      </c>
      <c r="DL66" s="449">
        <f t="shared" si="321"/>
        <v>0</v>
      </c>
      <c r="DN66" s="392"/>
      <c r="DX66" s="386">
        <v>47</v>
      </c>
      <c r="DY66" s="430">
        <f t="shared" si="101"/>
        <v>46478</v>
      </c>
      <c r="DZ66" s="430">
        <f t="shared" si="102"/>
        <v>46507</v>
      </c>
      <c r="EA66" s="386" t="str">
        <f>IF(AND(DZ66&gt;=EXPEDIENTE!$F$25,DY66&lt;=EXPEDIENTE!$F$29),"SI","NO")</f>
        <v>SI</v>
      </c>
      <c r="EB66" s="423">
        <f t="shared" si="186"/>
        <v>0</v>
      </c>
      <c r="EC66" s="423">
        <f t="shared" si="187"/>
        <v>0</v>
      </c>
      <c r="ED66" s="423">
        <f t="shared" si="188"/>
        <v>0</v>
      </c>
      <c r="EE66" s="423">
        <f t="shared" si="189"/>
        <v>0</v>
      </c>
      <c r="EF66" s="423">
        <f t="shared" si="190"/>
        <v>0</v>
      </c>
      <c r="EG66" s="423">
        <f t="shared" si="191"/>
        <v>0</v>
      </c>
      <c r="EH66" s="423">
        <f t="shared" si="192"/>
        <v>0</v>
      </c>
      <c r="EI66" s="423">
        <f t="shared" si="193"/>
        <v>0</v>
      </c>
      <c r="EJ66" s="423">
        <f t="shared" si="194"/>
        <v>0</v>
      </c>
      <c r="EK66" s="423">
        <f t="shared" si="195"/>
        <v>0</v>
      </c>
      <c r="EL66" s="423">
        <f t="shared" si="196"/>
        <v>0</v>
      </c>
      <c r="EM66" s="423">
        <f t="shared" si="197"/>
        <v>0</v>
      </c>
      <c r="EN66" s="423">
        <f t="shared" si="198"/>
        <v>0</v>
      </c>
      <c r="EO66" s="423">
        <f t="shared" si="199"/>
        <v>0</v>
      </c>
      <c r="EP66" s="423">
        <f t="shared" si="200"/>
        <v>0</v>
      </c>
      <c r="EQ66" s="423">
        <f t="shared" si="201"/>
        <v>0</v>
      </c>
      <c r="ER66" s="423">
        <f t="shared" si="202"/>
        <v>0</v>
      </c>
      <c r="ES66" s="423">
        <f t="shared" si="203"/>
        <v>0</v>
      </c>
      <c r="ET66" s="423">
        <f t="shared" si="204"/>
        <v>0</v>
      </c>
      <c r="EU66" s="423">
        <f t="shared" si="205"/>
        <v>0</v>
      </c>
      <c r="EV66" s="423">
        <f t="shared" si="206"/>
        <v>0</v>
      </c>
      <c r="EW66" s="423">
        <f t="shared" si="207"/>
        <v>0</v>
      </c>
      <c r="EX66" s="423">
        <f t="shared" si="208"/>
        <v>0</v>
      </c>
      <c r="EY66" s="423">
        <f t="shared" si="209"/>
        <v>0</v>
      </c>
      <c r="EZ66" s="423">
        <f t="shared" si="210"/>
        <v>0</v>
      </c>
      <c r="FA66" s="423">
        <f t="shared" si="211"/>
        <v>0</v>
      </c>
      <c r="FB66" s="423">
        <f t="shared" si="212"/>
        <v>0</v>
      </c>
      <c r="FC66" s="423">
        <f t="shared" si="213"/>
        <v>0</v>
      </c>
      <c r="FD66" s="423">
        <f t="shared" si="214"/>
        <v>0</v>
      </c>
      <c r="FE66" s="423">
        <f t="shared" si="215"/>
        <v>0</v>
      </c>
      <c r="FF66" s="423">
        <f t="shared" si="216"/>
        <v>0</v>
      </c>
      <c r="FG66" s="423">
        <f t="shared" si="217"/>
        <v>0</v>
      </c>
      <c r="FH66" s="423">
        <f t="shared" si="66"/>
        <v>0</v>
      </c>
      <c r="FJ66" s="120">
        <v>12</v>
      </c>
      <c r="FK66" s="492">
        <f>DATE(YEAR(EXPEDIENTE!$F$25)+2,FJ66,1)</f>
        <v>45992</v>
      </c>
      <c r="FL66" s="492" t="str">
        <f>IF('GASTOS EJER. 3'!I60="","",'GASTOS EJER. 3'!I60)</f>
        <v/>
      </c>
      <c r="FM66" s="500">
        <f>'GASTOS EJER. 3'!X31</f>
        <v>0</v>
      </c>
      <c r="FN66" s="500">
        <f>'GASTOS EJER. 3'!H60</f>
        <v>0</v>
      </c>
      <c r="FO66" s="423">
        <f t="shared" si="325"/>
        <v>0</v>
      </c>
      <c r="FP66" s="500">
        <f t="shared" si="283"/>
        <v>0</v>
      </c>
      <c r="FR66" s="392"/>
      <c r="GB66" s="386">
        <v>47</v>
      </c>
      <c r="GC66" s="430">
        <f t="shared" si="103"/>
        <v>46478</v>
      </c>
      <c r="GD66" s="430">
        <f t="shared" si="104"/>
        <v>46507</v>
      </c>
      <c r="GE66" s="386" t="str">
        <f>IF(AND(GD66&gt;=EXPEDIENTE!$F$25,GC66&lt;=EXPEDIENTE!$F$29),"SI","NO")</f>
        <v>SI</v>
      </c>
      <c r="GF66" s="423">
        <f t="shared" si="67"/>
        <v>0</v>
      </c>
      <c r="GG66" s="423">
        <f t="shared" si="68"/>
        <v>0</v>
      </c>
      <c r="GH66" s="423">
        <f t="shared" si="69"/>
        <v>0</v>
      </c>
      <c r="GI66" s="423">
        <f t="shared" si="70"/>
        <v>0</v>
      </c>
      <c r="GJ66" s="423">
        <f t="shared" si="71"/>
        <v>0</v>
      </c>
      <c r="GK66" s="423">
        <f t="shared" si="72"/>
        <v>0</v>
      </c>
      <c r="GL66" s="423">
        <f t="shared" si="73"/>
        <v>0</v>
      </c>
      <c r="GM66" s="423">
        <f t="shared" si="74"/>
        <v>0</v>
      </c>
      <c r="GN66" s="423">
        <f t="shared" si="75"/>
        <v>0</v>
      </c>
      <c r="GO66" s="423">
        <f t="shared" si="76"/>
        <v>0</v>
      </c>
      <c r="GP66" s="423">
        <f t="shared" si="77"/>
        <v>0</v>
      </c>
      <c r="GQ66" s="423">
        <f t="shared" si="78"/>
        <v>0</v>
      </c>
      <c r="GR66" s="423">
        <f t="shared" si="79"/>
        <v>0</v>
      </c>
      <c r="GS66" s="423">
        <f t="shared" si="80"/>
        <v>0</v>
      </c>
      <c r="GT66" s="423">
        <f t="shared" si="81"/>
        <v>0</v>
      </c>
      <c r="GU66" s="423">
        <f t="shared" si="82"/>
        <v>0</v>
      </c>
      <c r="GV66" s="423">
        <f t="shared" si="83"/>
        <v>0</v>
      </c>
      <c r="GW66" s="423">
        <f t="shared" si="84"/>
        <v>0</v>
      </c>
      <c r="GX66" s="423">
        <f t="shared" si="85"/>
        <v>0</v>
      </c>
      <c r="GY66" s="423">
        <f t="shared" si="86"/>
        <v>0</v>
      </c>
      <c r="GZ66" s="423">
        <f t="shared" si="87"/>
        <v>0</v>
      </c>
      <c r="HA66" s="423">
        <f t="shared" si="88"/>
        <v>0</v>
      </c>
      <c r="HB66" s="423">
        <f t="shared" si="89"/>
        <v>0</v>
      </c>
      <c r="HC66" s="423">
        <f t="shared" si="90"/>
        <v>0</v>
      </c>
      <c r="HD66" s="423">
        <f t="shared" si="91"/>
        <v>0</v>
      </c>
      <c r="HE66" s="423">
        <f t="shared" si="92"/>
        <v>0</v>
      </c>
      <c r="HF66" s="423">
        <f t="shared" si="93"/>
        <v>0</v>
      </c>
      <c r="HG66" s="423">
        <f t="shared" si="94"/>
        <v>0</v>
      </c>
      <c r="HH66" s="423">
        <f t="shared" si="95"/>
        <v>0</v>
      </c>
      <c r="HI66" s="423">
        <f t="shared" si="96"/>
        <v>0</v>
      </c>
      <c r="HJ66" s="423">
        <f t="shared" si="97"/>
        <v>0</v>
      </c>
      <c r="HK66" s="423">
        <f t="shared" si="98"/>
        <v>0</v>
      </c>
      <c r="HL66" s="423">
        <f t="shared" si="99"/>
        <v>0</v>
      </c>
      <c r="HO66" s="120">
        <v>12</v>
      </c>
      <c r="HP66" s="492">
        <f>DATE(YEAR(EXPEDIENTE!$F$25)+2,HO66,1)</f>
        <v>45992</v>
      </c>
      <c r="HQ66" s="492" t="str">
        <f>IF('GASTOS EJER. 3'!BF60="","",'GASTOS EJER. 3'!BF60)</f>
        <v/>
      </c>
      <c r="HR66" s="500">
        <f>'GASTOS EJER. 3'!CM31</f>
        <v>0</v>
      </c>
      <c r="HS66" s="500">
        <f>'GASTOS EJER. 3'!BA60</f>
        <v>0</v>
      </c>
      <c r="HT66" s="423">
        <f t="shared" si="329"/>
        <v>0</v>
      </c>
      <c r="HU66" s="500">
        <f t="shared" si="285"/>
        <v>0</v>
      </c>
      <c r="JC66" s="416">
        <v>62</v>
      </c>
      <c r="JD66" s="398">
        <f t="shared" si="100"/>
        <v>24</v>
      </c>
    </row>
    <row r="67" spans="3:264" ht="15.75" customHeight="1" thickBot="1" x14ac:dyDescent="0.3">
      <c r="C67" s="206">
        <v>61</v>
      </c>
      <c r="D67" s="401"/>
      <c r="E67" s="417"/>
      <c r="F67" s="418"/>
      <c r="G67" s="419"/>
      <c r="H67" s="419"/>
      <c r="I67" s="419"/>
      <c r="J67" s="401"/>
      <c r="K67" s="407">
        <f t="shared" si="52"/>
        <v>76</v>
      </c>
      <c r="L67" s="407">
        <f t="shared" si="53"/>
        <v>76</v>
      </c>
      <c r="M67" s="407" t="str">
        <f t="shared" si="54"/>
        <v>X</v>
      </c>
      <c r="AG67" s="392"/>
      <c r="AL67" s="1012" t="s">
        <v>348</v>
      </c>
      <c r="AM67" s="1013" t="s">
        <v>64</v>
      </c>
      <c r="AN67" s="1014" t="s">
        <v>71</v>
      </c>
      <c r="AO67" s="1015" t="s">
        <v>203</v>
      </c>
      <c r="AP67" s="1010" t="s">
        <v>109</v>
      </c>
      <c r="AQ67" s="959"/>
      <c r="AR67" s="1011"/>
      <c r="AS67" s="1010" t="s">
        <v>202</v>
      </c>
      <c r="AT67" s="959"/>
      <c r="AU67" s="1011"/>
      <c r="AV67" s="1024" t="s">
        <v>204</v>
      </c>
      <c r="AW67" s="1018" t="s">
        <v>205</v>
      </c>
      <c r="AZ67" s="454"/>
      <c r="BX67" s="392"/>
      <c r="CC67" s="1012" t="s">
        <v>348</v>
      </c>
      <c r="CD67" s="1013" t="s">
        <v>64</v>
      </c>
      <c r="CE67" s="1014" t="s">
        <v>71</v>
      </c>
      <c r="CF67" s="1015" t="s">
        <v>203</v>
      </c>
      <c r="CG67" s="1010" t="s">
        <v>109</v>
      </c>
      <c r="CH67" s="959"/>
      <c r="CI67" s="1011"/>
      <c r="CJ67" s="1010" t="s">
        <v>202</v>
      </c>
      <c r="CK67" s="959"/>
      <c r="CL67" s="1011"/>
      <c r="CM67" s="1024" t="s">
        <v>204</v>
      </c>
      <c r="CN67" s="1018" t="s">
        <v>205</v>
      </c>
      <c r="CQ67" s="454"/>
      <c r="DN67" s="392"/>
      <c r="DO67" s="516" t="e">
        <f>AF71</f>
        <v>#VALUE!</v>
      </c>
      <c r="DP67" s="394"/>
      <c r="DQ67" s="394"/>
      <c r="DR67" s="394"/>
      <c r="DX67" s="386">
        <v>48</v>
      </c>
      <c r="DY67" s="430">
        <f t="shared" si="101"/>
        <v>46508</v>
      </c>
      <c r="DZ67" s="430">
        <f t="shared" si="102"/>
        <v>46538</v>
      </c>
      <c r="EA67" s="386" t="str">
        <f>IF(AND(DZ67&gt;=EXPEDIENTE!$F$25,DY67&lt;=EXPEDIENTE!$F$29),"SI","NO")</f>
        <v>SI</v>
      </c>
      <c r="EB67" s="423">
        <f t="shared" si="186"/>
        <v>0</v>
      </c>
      <c r="EC67" s="423">
        <f t="shared" si="187"/>
        <v>0</v>
      </c>
      <c r="ED67" s="423">
        <f t="shared" si="188"/>
        <v>0</v>
      </c>
      <c r="EE67" s="423">
        <f t="shared" si="189"/>
        <v>0</v>
      </c>
      <c r="EF67" s="423">
        <f t="shared" si="190"/>
        <v>0</v>
      </c>
      <c r="EG67" s="423">
        <f t="shared" si="191"/>
        <v>0</v>
      </c>
      <c r="EH67" s="423">
        <f t="shared" si="192"/>
        <v>0</v>
      </c>
      <c r="EI67" s="423">
        <f t="shared" si="193"/>
        <v>0</v>
      </c>
      <c r="EJ67" s="423">
        <f t="shared" si="194"/>
        <v>0</v>
      </c>
      <c r="EK67" s="423">
        <f t="shared" si="195"/>
        <v>0</v>
      </c>
      <c r="EL67" s="423">
        <f t="shared" si="196"/>
        <v>0</v>
      </c>
      <c r="EM67" s="423">
        <f t="shared" si="197"/>
        <v>0</v>
      </c>
      <c r="EN67" s="423">
        <f t="shared" si="198"/>
        <v>0</v>
      </c>
      <c r="EO67" s="423">
        <f t="shared" si="199"/>
        <v>0</v>
      </c>
      <c r="EP67" s="423">
        <f t="shared" si="200"/>
        <v>0</v>
      </c>
      <c r="EQ67" s="423">
        <f t="shared" si="201"/>
        <v>0</v>
      </c>
      <c r="ER67" s="423">
        <f t="shared" si="202"/>
        <v>0</v>
      </c>
      <c r="ES67" s="423">
        <f t="shared" si="203"/>
        <v>0</v>
      </c>
      <c r="ET67" s="423">
        <f t="shared" si="204"/>
        <v>0</v>
      </c>
      <c r="EU67" s="423">
        <f t="shared" si="205"/>
        <v>0</v>
      </c>
      <c r="EV67" s="423">
        <f t="shared" si="206"/>
        <v>0</v>
      </c>
      <c r="EW67" s="423">
        <f t="shared" si="207"/>
        <v>0</v>
      </c>
      <c r="EX67" s="423">
        <f t="shared" si="208"/>
        <v>0</v>
      </c>
      <c r="EY67" s="423">
        <f t="shared" si="209"/>
        <v>0</v>
      </c>
      <c r="EZ67" s="423">
        <f t="shared" si="210"/>
        <v>0</v>
      </c>
      <c r="FA67" s="423">
        <f t="shared" si="211"/>
        <v>0</v>
      </c>
      <c r="FB67" s="423">
        <f t="shared" si="212"/>
        <v>0</v>
      </c>
      <c r="FC67" s="423">
        <f t="shared" si="213"/>
        <v>0</v>
      </c>
      <c r="FD67" s="423">
        <f t="shared" si="214"/>
        <v>0</v>
      </c>
      <c r="FE67" s="423">
        <f t="shared" si="215"/>
        <v>0</v>
      </c>
      <c r="FF67" s="423">
        <f t="shared" si="216"/>
        <v>0</v>
      </c>
      <c r="FG67" s="423">
        <f t="shared" si="217"/>
        <v>0</v>
      </c>
      <c r="FH67" s="423">
        <f t="shared" si="66"/>
        <v>0</v>
      </c>
      <c r="FJ67" s="123"/>
      <c r="FK67" s="517"/>
      <c r="FL67" s="517"/>
      <c r="FM67" s="518"/>
      <c r="FN67" s="518"/>
      <c r="FP67" s="518"/>
      <c r="FR67" s="392"/>
      <c r="FS67" s="456" t="e">
        <f>BW71</f>
        <v>#VALUE!</v>
      </c>
      <c r="FT67" s="394"/>
      <c r="FU67" s="394"/>
      <c r="FV67" s="394"/>
      <c r="GB67" s="386">
        <v>48</v>
      </c>
      <c r="GC67" s="430">
        <f t="shared" si="103"/>
        <v>46508</v>
      </c>
      <c r="GD67" s="430">
        <f t="shared" si="104"/>
        <v>46538</v>
      </c>
      <c r="GE67" s="386" t="str">
        <f>IF(AND(GD67&gt;=EXPEDIENTE!$F$25,GC67&lt;=EXPEDIENTE!$F$29),"SI","NO")</f>
        <v>SI</v>
      </c>
      <c r="GF67" s="423">
        <f t="shared" si="67"/>
        <v>0</v>
      </c>
      <c r="GG67" s="423">
        <f t="shared" si="68"/>
        <v>0</v>
      </c>
      <c r="GH67" s="423">
        <f t="shared" si="69"/>
        <v>0</v>
      </c>
      <c r="GI67" s="423">
        <f t="shared" si="70"/>
        <v>0</v>
      </c>
      <c r="GJ67" s="423">
        <f t="shared" si="71"/>
        <v>0</v>
      </c>
      <c r="GK67" s="423">
        <f t="shared" si="72"/>
        <v>0</v>
      </c>
      <c r="GL67" s="423">
        <f t="shared" si="73"/>
        <v>0</v>
      </c>
      <c r="GM67" s="423">
        <f t="shared" si="74"/>
        <v>0</v>
      </c>
      <c r="GN67" s="423">
        <f t="shared" si="75"/>
        <v>0</v>
      </c>
      <c r="GO67" s="423">
        <f t="shared" si="76"/>
        <v>0</v>
      </c>
      <c r="GP67" s="423">
        <f t="shared" si="77"/>
        <v>0</v>
      </c>
      <c r="GQ67" s="423">
        <f t="shared" si="78"/>
        <v>0</v>
      </c>
      <c r="GR67" s="423">
        <f t="shared" si="79"/>
        <v>0</v>
      </c>
      <c r="GS67" s="423">
        <f t="shared" si="80"/>
        <v>0</v>
      </c>
      <c r="GT67" s="423">
        <f t="shared" si="81"/>
        <v>0</v>
      </c>
      <c r="GU67" s="423">
        <f t="shared" si="82"/>
        <v>0</v>
      </c>
      <c r="GV67" s="423">
        <f t="shared" si="83"/>
        <v>0</v>
      </c>
      <c r="GW67" s="423">
        <f t="shared" si="84"/>
        <v>0</v>
      </c>
      <c r="GX67" s="423">
        <f t="shared" si="85"/>
        <v>0</v>
      </c>
      <c r="GY67" s="423">
        <f t="shared" si="86"/>
        <v>0</v>
      </c>
      <c r="GZ67" s="423">
        <f t="shared" si="87"/>
        <v>0</v>
      </c>
      <c r="HA67" s="423">
        <f t="shared" si="88"/>
        <v>0</v>
      </c>
      <c r="HB67" s="423">
        <f t="shared" si="89"/>
        <v>0</v>
      </c>
      <c r="HC67" s="423">
        <f t="shared" si="90"/>
        <v>0</v>
      </c>
      <c r="HD67" s="423">
        <f t="shared" si="91"/>
        <v>0</v>
      </c>
      <c r="HE67" s="423">
        <f t="shared" si="92"/>
        <v>0</v>
      </c>
      <c r="HF67" s="423">
        <f t="shared" si="93"/>
        <v>0</v>
      </c>
      <c r="HG67" s="423">
        <f t="shared" si="94"/>
        <v>0</v>
      </c>
      <c r="HH67" s="423">
        <f t="shared" si="95"/>
        <v>0</v>
      </c>
      <c r="HI67" s="423">
        <f t="shared" si="96"/>
        <v>0</v>
      </c>
      <c r="HJ67" s="423">
        <f t="shared" si="97"/>
        <v>0</v>
      </c>
      <c r="HK67" s="423">
        <f t="shared" si="98"/>
        <v>0</v>
      </c>
      <c r="HL67" s="423">
        <f t="shared" si="99"/>
        <v>0</v>
      </c>
      <c r="HO67" s="123"/>
      <c r="HP67" s="517"/>
      <c r="HQ67" s="517"/>
      <c r="HR67" s="518"/>
      <c r="HS67" s="518"/>
      <c r="HU67" s="518"/>
      <c r="JC67" s="416">
        <v>63</v>
      </c>
      <c r="JD67" s="398">
        <f t="shared" si="100"/>
        <v>24</v>
      </c>
    </row>
    <row r="68" spans="3:264" ht="15.75" thickBot="1" x14ac:dyDescent="0.3">
      <c r="C68" s="206">
        <v>62</v>
      </c>
      <c r="D68" s="401"/>
      <c r="E68" s="417"/>
      <c r="F68" s="418"/>
      <c r="G68" s="419"/>
      <c r="H68" s="419"/>
      <c r="I68" s="419"/>
      <c r="J68" s="401"/>
      <c r="K68" s="407">
        <f t="shared" si="52"/>
        <v>76</v>
      </c>
      <c r="L68" s="407">
        <f t="shared" si="53"/>
        <v>76</v>
      </c>
      <c r="M68" s="407" t="str">
        <f t="shared" si="54"/>
        <v>X</v>
      </c>
      <c r="AG68" s="392"/>
      <c r="AH68" s="1001" t="s">
        <v>189</v>
      </c>
      <c r="AI68" s="1004" t="s">
        <v>190</v>
      </c>
      <c r="AJ68" s="1007" t="s">
        <v>191</v>
      </c>
      <c r="AL68" s="997"/>
      <c r="AM68" s="999"/>
      <c r="AN68" s="969"/>
      <c r="AO68" s="1016"/>
      <c r="AP68" s="997" t="s">
        <v>192</v>
      </c>
      <c r="AQ68" s="999" t="s">
        <v>110</v>
      </c>
      <c r="AR68" s="967" t="s">
        <v>81</v>
      </c>
      <c r="AS68" s="1026" t="s">
        <v>68</v>
      </c>
      <c r="AT68" s="969" t="s">
        <v>69</v>
      </c>
      <c r="AU68" s="967" t="s">
        <v>111</v>
      </c>
      <c r="AV68" s="1025"/>
      <c r="AW68" s="1019"/>
      <c r="AZ68" s="454"/>
      <c r="BA68" s="992" t="e">
        <f>CONCATENATE("P.P. OTRAS NÓMINAS ABONADAS EN ",AZ70)</f>
        <v>#VALUE!</v>
      </c>
      <c r="BB68" s="993"/>
      <c r="BC68" s="993"/>
      <c r="BD68" s="993"/>
      <c r="BE68" s="993"/>
      <c r="BF68" s="993"/>
      <c r="BG68" s="993"/>
      <c r="BH68" s="993"/>
      <c r="BI68" s="994"/>
      <c r="BU68" s="1030" t="s">
        <v>58</v>
      </c>
      <c r="BX68" s="392"/>
      <c r="BY68" s="1001" t="s">
        <v>189</v>
      </c>
      <c r="BZ68" s="1004" t="s">
        <v>190</v>
      </c>
      <c r="CA68" s="1007" t="s">
        <v>191</v>
      </c>
      <c r="CC68" s="997"/>
      <c r="CD68" s="999"/>
      <c r="CE68" s="969"/>
      <c r="CF68" s="1016"/>
      <c r="CG68" s="997" t="s">
        <v>192</v>
      </c>
      <c r="CH68" s="999" t="s">
        <v>110</v>
      </c>
      <c r="CI68" s="967" t="s">
        <v>81</v>
      </c>
      <c r="CJ68" s="1026" t="s">
        <v>68</v>
      </c>
      <c r="CK68" s="969" t="s">
        <v>69</v>
      </c>
      <c r="CL68" s="967" t="s">
        <v>111</v>
      </c>
      <c r="CM68" s="1025"/>
      <c r="CN68" s="1019"/>
      <c r="CQ68" s="454"/>
      <c r="CR68" s="992" t="e">
        <f>CONCATENATE("P.P. OTRAS NÓMINAS ABONADAS EN ",CQ70)</f>
        <v>#VALUE!</v>
      </c>
      <c r="CS68" s="993"/>
      <c r="CT68" s="993"/>
      <c r="CU68" s="993"/>
      <c r="CV68" s="993"/>
      <c r="CW68" s="993"/>
      <c r="CX68" s="993"/>
      <c r="CY68" s="993"/>
      <c r="CZ68" s="994"/>
      <c r="DL68" s="1030" t="s">
        <v>58</v>
      </c>
      <c r="DN68" s="392"/>
      <c r="DO68" s="956" t="s">
        <v>70</v>
      </c>
      <c r="DP68" s="959" t="s">
        <v>202</v>
      </c>
      <c r="DQ68" s="959"/>
      <c r="DR68" s="959"/>
      <c r="DS68" s="960" t="s">
        <v>134</v>
      </c>
      <c r="DT68" s="960" t="s">
        <v>352</v>
      </c>
      <c r="DU68" s="963" t="s">
        <v>353</v>
      </c>
      <c r="DV68" s="966" t="s">
        <v>205</v>
      </c>
      <c r="DX68" s="386">
        <v>49</v>
      </c>
      <c r="DY68" s="430">
        <f t="shared" si="101"/>
        <v>46539</v>
      </c>
      <c r="DZ68" s="430">
        <f t="shared" si="102"/>
        <v>46568</v>
      </c>
      <c r="EA68" s="386" t="str">
        <f>IF(AND(DZ68&gt;=EXPEDIENTE!$F$25,DY68&lt;=EXPEDIENTE!$F$29),"SI","NO")</f>
        <v>SI</v>
      </c>
      <c r="EB68" s="423">
        <f t="shared" si="186"/>
        <v>0</v>
      </c>
      <c r="EC68" s="423">
        <f t="shared" si="187"/>
        <v>0</v>
      </c>
      <c r="ED68" s="423">
        <f t="shared" si="188"/>
        <v>0</v>
      </c>
      <c r="EE68" s="423">
        <f t="shared" si="189"/>
        <v>0</v>
      </c>
      <c r="EF68" s="423">
        <f t="shared" si="190"/>
        <v>0</v>
      </c>
      <c r="EG68" s="423">
        <f t="shared" si="191"/>
        <v>0</v>
      </c>
      <c r="EH68" s="423">
        <f t="shared" si="192"/>
        <v>0</v>
      </c>
      <c r="EI68" s="423">
        <f t="shared" si="193"/>
        <v>0</v>
      </c>
      <c r="EJ68" s="423">
        <f t="shared" si="194"/>
        <v>0</v>
      </c>
      <c r="EK68" s="423">
        <f t="shared" si="195"/>
        <v>0</v>
      </c>
      <c r="EL68" s="423">
        <f t="shared" si="196"/>
        <v>0</v>
      </c>
      <c r="EM68" s="423">
        <f t="shared" si="197"/>
        <v>0</v>
      </c>
      <c r="EN68" s="423">
        <f t="shared" si="198"/>
        <v>0</v>
      </c>
      <c r="EO68" s="423">
        <f t="shared" si="199"/>
        <v>0</v>
      </c>
      <c r="EP68" s="423">
        <f t="shared" si="200"/>
        <v>0</v>
      </c>
      <c r="EQ68" s="423">
        <f t="shared" si="201"/>
        <v>0</v>
      </c>
      <c r="ER68" s="423">
        <f t="shared" si="202"/>
        <v>0</v>
      </c>
      <c r="ES68" s="423">
        <f t="shared" si="203"/>
        <v>0</v>
      </c>
      <c r="ET68" s="423">
        <f t="shared" si="204"/>
        <v>0</v>
      </c>
      <c r="EU68" s="423">
        <f t="shared" si="205"/>
        <v>0</v>
      </c>
      <c r="EV68" s="423">
        <f t="shared" si="206"/>
        <v>0</v>
      </c>
      <c r="EW68" s="423">
        <f t="shared" si="207"/>
        <v>0</v>
      </c>
      <c r="EX68" s="423">
        <f t="shared" si="208"/>
        <v>0</v>
      </c>
      <c r="EY68" s="423">
        <f t="shared" si="209"/>
        <v>0</v>
      </c>
      <c r="EZ68" s="423">
        <f t="shared" si="210"/>
        <v>0</v>
      </c>
      <c r="FA68" s="423">
        <f t="shared" si="211"/>
        <v>0</v>
      </c>
      <c r="FB68" s="423">
        <f t="shared" si="212"/>
        <v>0</v>
      </c>
      <c r="FC68" s="423">
        <f t="shared" si="213"/>
        <v>0</v>
      </c>
      <c r="FD68" s="423">
        <f t="shared" si="214"/>
        <v>0</v>
      </c>
      <c r="FE68" s="423">
        <f t="shared" si="215"/>
        <v>0</v>
      </c>
      <c r="FF68" s="423">
        <f t="shared" si="216"/>
        <v>0</v>
      </c>
      <c r="FG68" s="423">
        <f t="shared" si="217"/>
        <v>0</v>
      </c>
      <c r="FH68" s="423">
        <f t="shared" si="66"/>
        <v>0</v>
      </c>
      <c r="FJ68" s="123"/>
      <c r="FK68" s="517"/>
      <c r="FL68" s="517"/>
      <c r="FM68" s="518"/>
      <c r="FN68" s="518"/>
      <c r="FP68" s="518"/>
      <c r="FR68" s="392"/>
      <c r="FS68" s="956" t="s">
        <v>70</v>
      </c>
      <c r="FT68" s="959" t="s">
        <v>202</v>
      </c>
      <c r="FU68" s="959"/>
      <c r="FV68" s="959"/>
      <c r="FW68" s="960" t="s">
        <v>134</v>
      </c>
      <c r="FX68" s="960" t="s">
        <v>352</v>
      </c>
      <c r="FY68" s="963" t="s">
        <v>353</v>
      </c>
      <c r="FZ68" s="966" t="s">
        <v>205</v>
      </c>
      <c r="GB68" s="386">
        <v>49</v>
      </c>
      <c r="GC68" s="430">
        <f t="shared" si="103"/>
        <v>46539</v>
      </c>
      <c r="GD68" s="430">
        <f t="shared" si="104"/>
        <v>46568</v>
      </c>
      <c r="GE68" s="386" t="str">
        <f>IF(AND(GD68&gt;=EXPEDIENTE!$F$25,GC68&lt;=EXPEDIENTE!$F$29),"SI","NO")</f>
        <v>SI</v>
      </c>
      <c r="GF68" s="423">
        <f t="shared" si="67"/>
        <v>0</v>
      </c>
      <c r="GG68" s="423">
        <f t="shared" si="68"/>
        <v>0</v>
      </c>
      <c r="GH68" s="423">
        <f t="shared" si="69"/>
        <v>0</v>
      </c>
      <c r="GI68" s="423">
        <f t="shared" si="70"/>
        <v>0</v>
      </c>
      <c r="GJ68" s="423">
        <f t="shared" si="71"/>
        <v>0</v>
      </c>
      <c r="GK68" s="423">
        <f t="shared" si="72"/>
        <v>0</v>
      </c>
      <c r="GL68" s="423">
        <f t="shared" si="73"/>
        <v>0</v>
      </c>
      <c r="GM68" s="423">
        <f t="shared" si="74"/>
        <v>0</v>
      </c>
      <c r="GN68" s="423">
        <f t="shared" si="75"/>
        <v>0</v>
      </c>
      <c r="GO68" s="423">
        <f t="shared" si="76"/>
        <v>0</v>
      </c>
      <c r="GP68" s="423">
        <f t="shared" si="77"/>
        <v>0</v>
      </c>
      <c r="GQ68" s="423">
        <f t="shared" si="78"/>
        <v>0</v>
      </c>
      <c r="GR68" s="423">
        <f t="shared" si="79"/>
        <v>0</v>
      </c>
      <c r="GS68" s="423">
        <f t="shared" si="80"/>
        <v>0</v>
      </c>
      <c r="GT68" s="423">
        <f t="shared" si="81"/>
        <v>0</v>
      </c>
      <c r="GU68" s="423">
        <f t="shared" si="82"/>
        <v>0</v>
      </c>
      <c r="GV68" s="423">
        <f t="shared" si="83"/>
        <v>0</v>
      </c>
      <c r="GW68" s="423">
        <f t="shared" si="84"/>
        <v>0</v>
      </c>
      <c r="GX68" s="423">
        <f t="shared" si="85"/>
        <v>0</v>
      </c>
      <c r="GY68" s="423">
        <f t="shared" si="86"/>
        <v>0</v>
      </c>
      <c r="GZ68" s="423">
        <f t="shared" si="87"/>
        <v>0</v>
      </c>
      <c r="HA68" s="423">
        <f t="shared" si="88"/>
        <v>0</v>
      </c>
      <c r="HB68" s="423">
        <f t="shared" si="89"/>
        <v>0</v>
      </c>
      <c r="HC68" s="423">
        <f t="shared" si="90"/>
        <v>0</v>
      </c>
      <c r="HD68" s="423">
        <f t="shared" si="91"/>
        <v>0</v>
      </c>
      <c r="HE68" s="423">
        <f t="shared" si="92"/>
        <v>0</v>
      </c>
      <c r="HF68" s="423">
        <f t="shared" si="93"/>
        <v>0</v>
      </c>
      <c r="HG68" s="423">
        <f t="shared" si="94"/>
        <v>0</v>
      </c>
      <c r="HH68" s="423">
        <f t="shared" si="95"/>
        <v>0</v>
      </c>
      <c r="HI68" s="423">
        <f t="shared" si="96"/>
        <v>0</v>
      </c>
      <c r="HJ68" s="423">
        <f t="shared" si="97"/>
        <v>0</v>
      </c>
      <c r="HK68" s="423">
        <f t="shared" si="98"/>
        <v>0</v>
      </c>
      <c r="HL68" s="423">
        <f t="shared" si="99"/>
        <v>0</v>
      </c>
      <c r="HO68" s="123"/>
      <c r="HP68" s="517"/>
      <c r="HQ68" s="517"/>
      <c r="HR68" s="518"/>
      <c r="HS68" s="518"/>
      <c r="HU68" s="518"/>
      <c r="JC68" s="416">
        <v>64</v>
      </c>
      <c r="JD68" s="398">
        <f t="shared" si="100"/>
        <v>24</v>
      </c>
    </row>
    <row r="69" spans="3:264" ht="15" customHeight="1" thickBot="1" x14ac:dyDescent="0.3">
      <c r="C69" s="206">
        <v>63</v>
      </c>
      <c r="D69" s="401"/>
      <c r="E69" s="417"/>
      <c r="F69" s="418"/>
      <c r="G69" s="419"/>
      <c r="H69" s="419"/>
      <c r="I69" s="419"/>
      <c r="J69" s="401"/>
      <c r="K69" s="407">
        <f t="shared" si="52"/>
        <v>76</v>
      </c>
      <c r="L69" s="407">
        <f t="shared" si="53"/>
        <v>76</v>
      </c>
      <c r="M69" s="407" t="str">
        <f t="shared" si="54"/>
        <v>X</v>
      </c>
      <c r="AG69" s="392"/>
      <c r="AH69" s="1002"/>
      <c r="AI69" s="1005"/>
      <c r="AJ69" s="1008"/>
      <c r="AL69" s="997"/>
      <c r="AM69" s="999"/>
      <c r="AN69" s="969"/>
      <c r="AO69" s="1016"/>
      <c r="AP69" s="997"/>
      <c r="AQ69" s="999"/>
      <c r="AR69" s="967"/>
      <c r="AS69" s="1026"/>
      <c r="AT69" s="969"/>
      <c r="AU69" s="967"/>
      <c r="AV69" s="1025"/>
      <c r="AW69" s="1019"/>
      <c r="BA69" s="986">
        <f>'GASTOS EJER. 4'!$C$37</f>
        <v>0</v>
      </c>
      <c r="BB69" s="987">
        <f>'GASTOS EJER. 4'!$C$38</f>
        <v>0</v>
      </c>
      <c r="BC69" s="987">
        <f>'GASTOS EJER. 4'!$C$39</f>
        <v>0</v>
      </c>
      <c r="BD69" s="987">
        <f>'GASTOS EJER. 4'!$C$40</f>
        <v>0</v>
      </c>
      <c r="BE69" s="987">
        <f>'GASTOS EJER. 4'!$C$41</f>
        <v>0</v>
      </c>
      <c r="BF69" s="987">
        <f>'GASTOS EJER. 4'!$C$42</f>
        <v>0</v>
      </c>
      <c r="BG69" s="987">
        <f>'GASTOS EJER. 4'!$C$43</f>
        <v>0</v>
      </c>
      <c r="BH69" s="988">
        <f>'GASTOS EJER. 4'!$C$44</f>
        <v>0</v>
      </c>
      <c r="BI69" s="990" t="s">
        <v>58</v>
      </c>
      <c r="BU69" s="1031"/>
      <c r="BX69" s="392"/>
      <c r="BY69" s="1002"/>
      <c r="BZ69" s="1005"/>
      <c r="CA69" s="1008"/>
      <c r="CC69" s="997"/>
      <c r="CD69" s="999"/>
      <c r="CE69" s="969"/>
      <c r="CF69" s="1016"/>
      <c r="CG69" s="997"/>
      <c r="CH69" s="999"/>
      <c r="CI69" s="967"/>
      <c r="CJ69" s="1026"/>
      <c r="CK69" s="969"/>
      <c r="CL69" s="967"/>
      <c r="CM69" s="1025"/>
      <c r="CN69" s="1019"/>
      <c r="CR69" s="986">
        <f>'GASTOS EJER. 4'!$C$37</f>
        <v>0</v>
      </c>
      <c r="CS69" s="987">
        <f>'GASTOS EJER. 4'!$C$38</f>
        <v>0</v>
      </c>
      <c r="CT69" s="987">
        <f>'GASTOS EJER. 4'!$C$39</f>
        <v>0</v>
      </c>
      <c r="CU69" s="987">
        <f>'GASTOS EJER. 4'!$C$40</f>
        <v>0</v>
      </c>
      <c r="CV69" s="987">
        <f>'GASTOS EJER. 4'!$C$41</f>
        <v>0</v>
      </c>
      <c r="CW69" s="987">
        <f>'GASTOS EJER. 4'!$C$42</f>
        <v>0</v>
      </c>
      <c r="CX69" s="987">
        <f>'GASTOS EJER. 4'!$C$43</f>
        <v>0</v>
      </c>
      <c r="CY69" s="988">
        <f>'GASTOS EJER. 4'!$C$44</f>
        <v>0</v>
      </c>
      <c r="CZ69" s="990" t="s">
        <v>58</v>
      </c>
      <c r="DL69" s="1031"/>
      <c r="DN69" s="392"/>
      <c r="DO69" s="957"/>
      <c r="DP69" s="969" t="s">
        <v>68</v>
      </c>
      <c r="DQ69" s="969" t="s">
        <v>69</v>
      </c>
      <c r="DR69" s="969" t="s">
        <v>111</v>
      </c>
      <c r="DS69" s="961"/>
      <c r="DT69" s="961"/>
      <c r="DU69" s="964"/>
      <c r="DV69" s="967"/>
      <c r="DX69" s="386">
        <v>50</v>
      </c>
      <c r="DY69" s="430">
        <f t="shared" si="101"/>
        <v>46569</v>
      </c>
      <c r="DZ69" s="430">
        <f t="shared" si="102"/>
        <v>46599</v>
      </c>
      <c r="EA69" s="386" t="str">
        <f>IF(AND(DZ69&gt;=EXPEDIENTE!$F$25,DY69&lt;=EXPEDIENTE!$F$29),"SI","NO")</f>
        <v>SI</v>
      </c>
      <c r="EB69" s="423">
        <f t="shared" si="186"/>
        <v>0</v>
      </c>
      <c r="EC69" s="423">
        <f t="shared" si="187"/>
        <v>0</v>
      </c>
      <c r="ED69" s="423">
        <f t="shared" si="188"/>
        <v>0</v>
      </c>
      <c r="EE69" s="423">
        <f t="shared" si="189"/>
        <v>0</v>
      </c>
      <c r="EF69" s="423">
        <f t="shared" si="190"/>
        <v>0</v>
      </c>
      <c r="EG69" s="423">
        <f t="shared" si="191"/>
        <v>0</v>
      </c>
      <c r="EH69" s="423">
        <f t="shared" si="192"/>
        <v>0</v>
      </c>
      <c r="EI69" s="423">
        <f t="shared" si="193"/>
        <v>0</v>
      </c>
      <c r="EJ69" s="423">
        <f t="shared" si="194"/>
        <v>0</v>
      </c>
      <c r="EK69" s="423">
        <f t="shared" si="195"/>
        <v>0</v>
      </c>
      <c r="EL69" s="423">
        <f t="shared" si="196"/>
        <v>0</v>
      </c>
      <c r="EM69" s="423">
        <f t="shared" si="197"/>
        <v>0</v>
      </c>
      <c r="EN69" s="423">
        <f t="shared" si="198"/>
        <v>0</v>
      </c>
      <c r="EO69" s="423">
        <f t="shared" si="199"/>
        <v>0</v>
      </c>
      <c r="EP69" s="423">
        <f t="shared" si="200"/>
        <v>0</v>
      </c>
      <c r="EQ69" s="423">
        <f t="shared" si="201"/>
        <v>0</v>
      </c>
      <c r="ER69" s="423">
        <f t="shared" si="202"/>
        <v>0</v>
      </c>
      <c r="ES69" s="423">
        <f t="shared" si="203"/>
        <v>0</v>
      </c>
      <c r="ET69" s="423">
        <f t="shared" si="204"/>
        <v>0</v>
      </c>
      <c r="EU69" s="423">
        <f t="shared" si="205"/>
        <v>0</v>
      </c>
      <c r="EV69" s="423">
        <f t="shared" si="206"/>
        <v>0</v>
      </c>
      <c r="EW69" s="423">
        <f t="shared" si="207"/>
        <v>0</v>
      </c>
      <c r="EX69" s="423">
        <f t="shared" si="208"/>
        <v>0</v>
      </c>
      <c r="EY69" s="423">
        <f t="shared" si="209"/>
        <v>0</v>
      </c>
      <c r="EZ69" s="423">
        <f t="shared" si="210"/>
        <v>0</v>
      </c>
      <c r="FA69" s="423">
        <f t="shared" si="211"/>
        <v>0</v>
      </c>
      <c r="FB69" s="423">
        <f t="shared" si="212"/>
        <v>0</v>
      </c>
      <c r="FC69" s="423">
        <f t="shared" si="213"/>
        <v>0</v>
      </c>
      <c r="FD69" s="423">
        <f t="shared" si="214"/>
        <v>0</v>
      </c>
      <c r="FE69" s="423">
        <f t="shared" si="215"/>
        <v>0</v>
      </c>
      <c r="FF69" s="423">
        <f t="shared" si="216"/>
        <v>0</v>
      </c>
      <c r="FG69" s="423">
        <f t="shared" si="217"/>
        <v>0</v>
      </c>
      <c r="FH69" s="423">
        <f t="shared" si="66"/>
        <v>0</v>
      </c>
      <c r="FR69" s="392"/>
      <c r="FS69" s="957"/>
      <c r="FT69" s="969" t="s">
        <v>68</v>
      </c>
      <c r="FU69" s="969" t="s">
        <v>69</v>
      </c>
      <c r="FV69" s="969" t="s">
        <v>111</v>
      </c>
      <c r="FW69" s="961"/>
      <c r="FX69" s="961"/>
      <c r="FY69" s="964"/>
      <c r="FZ69" s="967"/>
      <c r="GB69" s="386">
        <v>50</v>
      </c>
      <c r="GC69" s="430">
        <f t="shared" si="103"/>
        <v>46569</v>
      </c>
      <c r="GD69" s="430">
        <f t="shared" si="104"/>
        <v>46599</v>
      </c>
      <c r="GE69" s="386" t="str">
        <f>IF(AND(GD69&gt;=EXPEDIENTE!$F$25,GC69&lt;=EXPEDIENTE!$F$29),"SI","NO")</f>
        <v>SI</v>
      </c>
      <c r="GF69" s="423">
        <f t="shared" si="67"/>
        <v>0</v>
      </c>
      <c r="GG69" s="423">
        <f t="shared" si="68"/>
        <v>0</v>
      </c>
      <c r="GH69" s="423">
        <f t="shared" si="69"/>
        <v>0</v>
      </c>
      <c r="GI69" s="423">
        <f t="shared" si="70"/>
        <v>0</v>
      </c>
      <c r="GJ69" s="423">
        <f t="shared" si="71"/>
        <v>0</v>
      </c>
      <c r="GK69" s="423">
        <f t="shared" si="72"/>
        <v>0</v>
      </c>
      <c r="GL69" s="423">
        <f t="shared" si="73"/>
        <v>0</v>
      </c>
      <c r="GM69" s="423">
        <f t="shared" si="74"/>
        <v>0</v>
      </c>
      <c r="GN69" s="423">
        <f t="shared" si="75"/>
        <v>0</v>
      </c>
      <c r="GO69" s="423">
        <f t="shared" si="76"/>
        <v>0</v>
      </c>
      <c r="GP69" s="423">
        <f t="shared" si="77"/>
        <v>0</v>
      </c>
      <c r="GQ69" s="423">
        <f t="shared" si="78"/>
        <v>0</v>
      </c>
      <c r="GR69" s="423">
        <f t="shared" si="79"/>
        <v>0</v>
      </c>
      <c r="GS69" s="423">
        <f t="shared" si="80"/>
        <v>0</v>
      </c>
      <c r="GT69" s="423">
        <f t="shared" si="81"/>
        <v>0</v>
      </c>
      <c r="GU69" s="423">
        <f t="shared" si="82"/>
        <v>0</v>
      </c>
      <c r="GV69" s="423">
        <f t="shared" si="83"/>
        <v>0</v>
      </c>
      <c r="GW69" s="423">
        <f t="shared" si="84"/>
        <v>0</v>
      </c>
      <c r="GX69" s="423">
        <f t="shared" si="85"/>
        <v>0</v>
      </c>
      <c r="GY69" s="423">
        <f t="shared" si="86"/>
        <v>0</v>
      </c>
      <c r="GZ69" s="423">
        <f t="shared" si="87"/>
        <v>0</v>
      </c>
      <c r="HA69" s="423">
        <f t="shared" si="88"/>
        <v>0</v>
      </c>
      <c r="HB69" s="423">
        <f t="shared" si="89"/>
        <v>0</v>
      </c>
      <c r="HC69" s="423">
        <f t="shared" si="90"/>
        <v>0</v>
      </c>
      <c r="HD69" s="423">
        <f t="shared" si="91"/>
        <v>0</v>
      </c>
      <c r="HE69" s="423">
        <f t="shared" si="92"/>
        <v>0</v>
      </c>
      <c r="HF69" s="423">
        <f t="shared" si="93"/>
        <v>0</v>
      </c>
      <c r="HG69" s="423">
        <f t="shared" si="94"/>
        <v>0</v>
      </c>
      <c r="HH69" s="423">
        <f t="shared" si="95"/>
        <v>0</v>
      </c>
      <c r="HI69" s="423">
        <f t="shared" si="96"/>
        <v>0</v>
      </c>
      <c r="HJ69" s="423">
        <f t="shared" si="97"/>
        <v>0</v>
      </c>
      <c r="HK69" s="423">
        <f t="shared" si="98"/>
        <v>0</v>
      </c>
      <c r="HL69" s="423">
        <f t="shared" si="99"/>
        <v>0</v>
      </c>
      <c r="HO69" s="123"/>
      <c r="HP69" s="517"/>
      <c r="HQ69" s="517"/>
      <c r="HR69" s="518"/>
      <c r="HS69" s="518"/>
      <c r="HU69" s="518"/>
      <c r="JC69" s="442">
        <v>65</v>
      </c>
      <c r="JD69" s="398">
        <f t="shared" si="100"/>
        <v>24</v>
      </c>
    </row>
    <row r="70" spans="3:264" ht="15.75" thickBot="1" x14ac:dyDescent="0.3">
      <c r="C70" s="206">
        <v>64</v>
      </c>
      <c r="D70" s="401"/>
      <c r="E70" s="417"/>
      <c r="F70" s="418"/>
      <c r="G70" s="419"/>
      <c r="H70" s="419"/>
      <c r="I70" s="419"/>
      <c r="J70" s="401"/>
      <c r="K70" s="407">
        <f t="shared" si="52"/>
        <v>76</v>
      </c>
      <c r="L70" s="407">
        <f t="shared" si="53"/>
        <v>76</v>
      </c>
      <c r="M70" s="407" t="str">
        <f t="shared" si="54"/>
        <v>X</v>
      </c>
      <c r="AG70" s="392"/>
      <c r="AH70" s="1003"/>
      <c r="AI70" s="1006"/>
      <c r="AJ70" s="1009"/>
      <c r="AL70" s="998"/>
      <c r="AM70" s="1000"/>
      <c r="AN70" s="970"/>
      <c r="AO70" s="1017"/>
      <c r="AP70" s="998"/>
      <c r="AQ70" s="1000"/>
      <c r="AR70" s="968"/>
      <c r="AS70" s="1027"/>
      <c r="AT70" s="1028"/>
      <c r="AU70" s="1029"/>
      <c r="AV70" s="458" t="e">
        <f>AF71</f>
        <v>#VALUE!</v>
      </c>
      <c r="AW70" s="1020"/>
      <c r="AZ70" s="413" t="e">
        <f>AF71</f>
        <v>#VALUE!</v>
      </c>
      <c r="BA70" s="958"/>
      <c r="BB70" s="962"/>
      <c r="BC70" s="962"/>
      <c r="BD70" s="962"/>
      <c r="BE70" s="962"/>
      <c r="BF70" s="962"/>
      <c r="BG70" s="962"/>
      <c r="BH70" s="989"/>
      <c r="BI70" s="991"/>
      <c r="BU70" s="459" t="e">
        <f>AF71</f>
        <v>#VALUE!</v>
      </c>
      <c r="BX70" s="392"/>
      <c r="BY70" s="1003"/>
      <c r="BZ70" s="1006"/>
      <c r="CA70" s="1009"/>
      <c r="CC70" s="998"/>
      <c r="CD70" s="1000"/>
      <c r="CE70" s="970"/>
      <c r="CF70" s="1017"/>
      <c r="CG70" s="998"/>
      <c r="CH70" s="1000"/>
      <c r="CI70" s="968"/>
      <c r="CJ70" s="1027"/>
      <c r="CK70" s="1028"/>
      <c r="CL70" s="1029"/>
      <c r="CM70" s="458" t="e">
        <f>BW71</f>
        <v>#VALUE!</v>
      </c>
      <c r="CN70" s="1020"/>
      <c r="CQ70" s="414" t="e">
        <f>BW71</f>
        <v>#VALUE!</v>
      </c>
      <c r="CR70" s="1021"/>
      <c r="CS70" s="1022"/>
      <c r="CT70" s="1022"/>
      <c r="CU70" s="1022"/>
      <c r="CV70" s="1022"/>
      <c r="CW70" s="1022"/>
      <c r="CX70" s="1022"/>
      <c r="CY70" s="1023"/>
      <c r="CZ70" s="991"/>
      <c r="DL70" s="460" t="e">
        <f>BW71</f>
        <v>#VALUE!</v>
      </c>
      <c r="DN70" s="392"/>
      <c r="DO70" s="958"/>
      <c r="DP70" s="970"/>
      <c r="DQ70" s="970"/>
      <c r="DR70" s="970"/>
      <c r="DS70" s="962"/>
      <c r="DT70" s="962"/>
      <c r="DU70" s="965"/>
      <c r="DV70" s="968"/>
      <c r="DY70" s="394"/>
      <c r="DZ70" s="394"/>
      <c r="EA70" s="394"/>
      <c r="FJ70" s="461" t="e">
        <f>AZ70</f>
        <v>#VALUE!</v>
      </c>
      <c r="FK70" s="462" t="s">
        <v>76</v>
      </c>
      <c r="FL70" s="463" t="s">
        <v>207</v>
      </c>
      <c r="FM70" s="463" t="s">
        <v>136</v>
      </c>
      <c r="FN70" s="463" t="s">
        <v>193</v>
      </c>
      <c r="FO70" s="463" t="s">
        <v>350</v>
      </c>
      <c r="FP70" s="464" t="s">
        <v>58</v>
      </c>
      <c r="FR70" s="392"/>
      <c r="FS70" s="958"/>
      <c r="FT70" s="970"/>
      <c r="FU70" s="970"/>
      <c r="FV70" s="970"/>
      <c r="FW70" s="962"/>
      <c r="FX70" s="962"/>
      <c r="FY70" s="965"/>
      <c r="FZ70" s="968"/>
      <c r="GC70" s="394"/>
      <c r="GD70" s="394"/>
      <c r="GE70" s="394"/>
      <c r="HO70" s="465" t="e">
        <f>BW71</f>
        <v>#VALUE!</v>
      </c>
      <c r="HP70" s="462" t="s">
        <v>76</v>
      </c>
      <c r="HQ70" s="463" t="s">
        <v>207</v>
      </c>
      <c r="HR70" s="463" t="s">
        <v>136</v>
      </c>
      <c r="HS70" s="463" t="s">
        <v>193</v>
      </c>
      <c r="HT70" s="463" t="s">
        <v>350</v>
      </c>
      <c r="HU70" s="464" t="s">
        <v>58</v>
      </c>
      <c r="JC70" s="406">
        <v>66</v>
      </c>
      <c r="JD70" s="398">
        <f t="shared" si="100"/>
        <v>26</v>
      </c>
    </row>
    <row r="71" spans="3:264" ht="15.75" thickBot="1" x14ac:dyDescent="0.3">
      <c r="C71" s="206">
        <v>65</v>
      </c>
      <c r="D71" s="401"/>
      <c r="E71" s="417"/>
      <c r="F71" s="418"/>
      <c r="G71" s="419"/>
      <c r="H71" s="419"/>
      <c r="I71" s="419"/>
      <c r="J71" s="401"/>
      <c r="K71" s="407">
        <f t="shared" si="52"/>
        <v>76</v>
      </c>
      <c r="L71" s="407">
        <f t="shared" si="53"/>
        <v>76</v>
      </c>
      <c r="M71" s="407" t="str">
        <f t="shared" si="54"/>
        <v>X</v>
      </c>
      <c r="AF71" s="466" t="e">
        <f>IF(YEAR(EXPEDIENTE!$F$29)&gt;=$AF$23+3,$AF$23+3,"")</f>
        <v>#VALUE!</v>
      </c>
      <c r="AG71" s="467">
        <v>25</v>
      </c>
      <c r="AH71" s="484">
        <f>'GASTOS EJER. 4'!M37</f>
        <v>0</v>
      </c>
      <c r="AI71" s="484">
        <f>'GASTOS EJER. 4'!X37</f>
        <v>0</v>
      </c>
      <c r="AJ71" s="470">
        <f>AH71-AI71</f>
        <v>0</v>
      </c>
      <c r="AL71" s="471">
        <f>'GASTOS EJER. 4'!F37+'GASTOS EJER. 4'!L37-'GASTOS EJER. 4'!X37-'GASTOS EJER. 4'!Y37</f>
        <v>0</v>
      </c>
      <c r="AM71" s="472" t="str">
        <f>IF('GASTOS EJER. 4'!AA37="","",'GASTOS EJER. 4'!AA37)</f>
        <v/>
      </c>
      <c r="AN71" s="469">
        <f>'GASTOS EJER. 4'!Y37</f>
        <v>0</v>
      </c>
      <c r="AO71" s="473" t="str">
        <f>IF('GASTOS EJER. 4'!AB37="","",'GASTOS EJER. 4'!AB37)</f>
        <v/>
      </c>
      <c r="AP71" s="474">
        <f>IF(AND(AM71&gt;=EXPEDIENTE!$I$25,AM71&lt;=EXPEDIENTE!$I$29),AL71,0)</f>
        <v>0</v>
      </c>
      <c r="AQ71" s="426">
        <f>IF(AND(AO71&gt;=EXPEDIENTE!$I$25,AO71&lt;=EXPEDIENTE!$I$29),AN71,0)</f>
        <v>0</v>
      </c>
      <c r="AR71" s="470">
        <f>AP71+AQ71</f>
        <v>0</v>
      </c>
      <c r="AS71" s="475" t="str">
        <f>IF('GASTOS EJER. 4'!D37="","",'GASTOS EJER. 4'!D37)</f>
        <v/>
      </c>
      <c r="AT71" s="476" t="str">
        <f>IF('GASTOS EJER. 4'!E37="","",'GASTOS EJER. 4'!E37)</f>
        <v/>
      </c>
      <c r="AU71" s="477">
        <f>IF(OR(AS71="",AT71=""),0,DATEDIF(AS71,AT71,"M")+1)</f>
        <v>0</v>
      </c>
      <c r="AV71" s="478">
        <f t="shared" ref="AV71:AV78" si="331">IF(OR(AS71="",AT71=""),0,IF(YEAR(AS71)&lt;$AV$22,DATEDIF(DATE($AV$22,1,1),AT71,"M")+1,AU71))</f>
        <v>0</v>
      </c>
      <c r="AW71" s="479">
        <f>IF(OR(AS71="",AT71=""),0,ROUND(AR71/AU71,2))</f>
        <v>0</v>
      </c>
      <c r="AY71" s="423">
        <v>1</v>
      </c>
      <c r="AZ71" s="424" t="e">
        <f t="shared" ref="AZ71:AZ82" si="332">IF($AZ$70="","",DATE($AZ$70,AY71,1))</f>
        <v>#VALUE!</v>
      </c>
      <c r="BA71" s="425">
        <f t="shared" ref="BA71:BA82" si="333">IF($AH$71=0,0,IF($BA$69=0,0,IF(AND(AZ71&gt;=$AS$71,AZ71&lt;=$AT$71),$AW$71,0)))</f>
        <v>0</v>
      </c>
      <c r="BB71" s="426">
        <f t="shared" ref="BB71:BB82" si="334">IF($AH$72=0,0,IF($BB$69=0,0,IF(AND(AZ71&gt;=$AS$72,AZ71&lt;=$AT$72),$AW$72,0)))</f>
        <v>0</v>
      </c>
      <c r="BC71" s="426">
        <f t="shared" ref="BC71:BC82" si="335">IF($AH$73=0,0,IF($BC$69=0,0,IF(AND(AZ71&gt;=$AS$73,AZ71&lt;=$AT$73),$AW$73,0)))</f>
        <v>0</v>
      </c>
      <c r="BD71" s="426">
        <f t="shared" ref="BD71:BD82" si="336">IF($AH$74=0,0,IF($BD$69=0,0,IF(AND(AZ71&gt;=$AS$74,AZ71&lt;=$AT$74),$AW$74,0)))</f>
        <v>0</v>
      </c>
      <c r="BE71" s="426">
        <f t="shared" ref="BE71:BE82" si="337">IF($AH$75=0,0,IF($BE$69=0,0,IF(AND(AZ71&gt;=$AS$75,AZ71&lt;=$AT$75),$AW$75,0)))</f>
        <v>0</v>
      </c>
      <c r="BF71" s="426">
        <f t="shared" ref="BF71:BF82" si="338">IF($AH$76=0,0,IF($BF$69=0,0,IF(AND(AZ71&gt;=$AS$76,AZ71&lt;=$AT$76),$AW$76,0)))</f>
        <v>0</v>
      </c>
      <c r="BG71" s="426">
        <f t="shared" ref="BG71:BG82" si="339">IF($AH$77=0,0,IF($BG$69=0,0,IF(AND(AZ71&gt;=$AS$77,AZ71&lt;=$AT$77),$AW$77,0)))</f>
        <v>0</v>
      </c>
      <c r="BH71" s="427">
        <f>IF($AH$78=0,0,IF($BH$69=0,0,IF(AND(AZ71&gt;=$AS$78,AZ71&lt;=$AT$78),$AW$78,0)))</f>
        <v>0</v>
      </c>
      <c r="BI71" s="428">
        <f t="shared" ref="BI71:BI82" si="340">SUM(BA71:BH71)</f>
        <v>0</v>
      </c>
      <c r="BU71" s="480">
        <f>BI71</f>
        <v>0</v>
      </c>
      <c r="BW71" s="481" t="e">
        <f>IF(YEAR(EXPEDIENTE!$I$29)&gt;=$BW$23+3,$BW$23+3,"")</f>
        <v>#VALUE!</v>
      </c>
      <c r="BX71" s="467">
        <v>25</v>
      </c>
      <c r="BY71" s="484">
        <f>'GASTOS EJER. 4'!BN37</f>
        <v>0</v>
      </c>
      <c r="BZ71" s="484">
        <f>'GASTOS EJER. 4'!CM37</f>
        <v>0</v>
      </c>
      <c r="CA71" s="470">
        <f>BY71-BZ71</f>
        <v>0</v>
      </c>
      <c r="CC71" s="471">
        <f>'GASTOS EJER. 4'!AW37+'GASTOS EJER. 4'!BM37-'GASTOS EJER. 4'!CM37-'GASTOS EJER. 4'!CP37</f>
        <v>0</v>
      </c>
      <c r="CD71" s="472" t="str">
        <f>IF('GASTOS EJER. 4'!CT37="","",'GASTOS EJER. 4'!CT37)</f>
        <v/>
      </c>
      <c r="CE71" s="469">
        <f>'GASTOS EJER. 4'!CP37</f>
        <v>0</v>
      </c>
      <c r="CF71" s="473" t="str">
        <f>IF('GASTOS EJER. 4'!CW37="","",'GASTOS EJER. 4'!CW37)</f>
        <v/>
      </c>
      <c r="CG71" s="474">
        <f>IF(AND(CD71&gt;=EXPEDIENTE!$I$25,CD71&lt;=EXPEDIENTE!$I$29),CC71,0)</f>
        <v>0</v>
      </c>
      <c r="CH71" s="426">
        <f>IF(AND(CF71&gt;=EXPEDIENTE!$I$25,CF71&lt;=EXPEDIENTE!$I$29),CE71,0)</f>
        <v>0</v>
      </c>
      <c r="CI71" s="470">
        <f>CG71+CH71</f>
        <v>0</v>
      </c>
      <c r="CJ71" s="475" t="str">
        <f>IF('GASTOS EJER. 4'!AQ37="","",'GASTOS EJER. 4'!AQ37)</f>
        <v/>
      </c>
      <c r="CK71" s="476" t="str">
        <f>IF('GASTOS EJER. 4'!AT37="","",'GASTOS EJER. 4'!AT37)</f>
        <v/>
      </c>
      <c r="CL71" s="477">
        <f>IF(OR(CJ71="",CK71=""),0,DATEDIF(CJ71,CK71,"M")+1)</f>
        <v>0</v>
      </c>
      <c r="CM71" s="478">
        <f t="shared" ref="CM71:CM78" si="341">IF(OR(CJ71="",CK71=""),0,IF(YEAR(CJ71)&lt;$AV$22,DATEDIF(DATE($AV$22,1,1),CK71,"M")+1,CL71))</f>
        <v>0</v>
      </c>
      <c r="CN71" s="479">
        <f>IF(OR(CJ71="",CK71=""),0,ROUND(CI71/CL71,2))</f>
        <v>0</v>
      </c>
      <c r="CP71" s="423">
        <v>1</v>
      </c>
      <c r="CQ71" s="424" t="e">
        <f t="shared" ref="CQ71:CQ82" si="342">IF($AZ$70="","",DATE($AZ$70,CP71,1))</f>
        <v>#VALUE!</v>
      </c>
      <c r="CR71" s="425">
        <f>IF($BY$71=0,0,IF($CR$69=0,0,IF(AND($CQ71&gt;=$CJ$71,$CQ71&lt;=$CK$71),$CN$71,0)))</f>
        <v>0</v>
      </c>
      <c r="CS71" s="426">
        <f>IF($BY$72=0,0,IF($CS$69=0,0,IF(AND($CQ71&gt;=$CJ$72,$CQ71&lt;=$CK$72),$CN$72,0)))</f>
        <v>0</v>
      </c>
      <c r="CT71" s="426">
        <f>IF($BY$73=0,0,IF($CT$69=0,0,IF(AND($CQ71&gt;=$CJ$73,$CQ71&lt;=$CK$73),$CN$73,0)))</f>
        <v>0</v>
      </c>
      <c r="CU71" s="426">
        <f>IF($BY$74=0,0,IF($CU$69=0,0,IF(AND($CQ71&gt;=$CJ$74,$CQ71&lt;=$CK$74),$CN$74,0)))</f>
        <v>0</v>
      </c>
      <c r="CV71" s="426">
        <f>IF($BY$75=0,0,IF($CV$69=0,0,IF(AND($CQ71&gt;=$CJ$75,$CQ71&lt;=$CK$75),$CN$75,0)))</f>
        <v>0</v>
      </c>
      <c r="CW71" s="426">
        <f>IF($BY$76=0,0,IF($CW$69=0,0,IF(AND($CQ71&gt;=$CJ$76,$CQ71&lt;=$CK$76),$CN$76,0)))</f>
        <v>0</v>
      </c>
      <c r="CX71" s="426">
        <f>IF($BY$77=0,0,IF($CX$69=0,0,IF(AND($CQ71&gt;=$CJ$77,$CQ71&lt;=$CK$77),$CN$77,0)))</f>
        <v>0</v>
      </c>
      <c r="CY71" s="427">
        <f>IF($BY$78=0,0,IF($CY$69=0,0,IF(AND($CQ71&gt;=$CJ$78,$CQ71&lt;=$CK$78),$CN$78,0)))</f>
        <v>0</v>
      </c>
      <c r="CZ71" s="428">
        <f t="shared" ref="CZ71:CZ79" si="343">SUM(CR71:CY71)</f>
        <v>0</v>
      </c>
      <c r="DL71" s="480">
        <f>CZ71</f>
        <v>0</v>
      </c>
      <c r="DN71" s="467">
        <v>25</v>
      </c>
      <c r="DO71" s="482">
        <f>'GASTOS EJER. 4'!$C37</f>
        <v>0</v>
      </c>
      <c r="DP71" s="476" t="str">
        <f>AS71</f>
        <v/>
      </c>
      <c r="DQ71" s="476" t="str">
        <f t="shared" ref="DQ71" si="344">AT71</f>
        <v/>
      </c>
      <c r="DR71" s="483">
        <f t="shared" ref="DR71" si="345">AU71</f>
        <v>0</v>
      </c>
      <c r="DS71" s="484">
        <f>'GASTOS EJER. 4'!X37</f>
        <v>0</v>
      </c>
      <c r="DT71" s="472" t="str">
        <f>IF(DS71=0,"",'GASTOS EJER. 4'!AA37)</f>
        <v/>
      </c>
      <c r="DU71" s="472" t="str">
        <f t="shared" ref="DU71:DU78" si="346">IF(DT55="","",EOMONTH(DATE(YEAR(DT55),MONTH(DT55)+1,1),0))</f>
        <v/>
      </c>
      <c r="DV71" s="470" t="e">
        <f>IF(AND(DU71&gt;=EXPEDIENTE!$F$25,DU71&lt;=EXPEDIENTE!$F$29),ROUNDDOWN(DS71/DR71,2),0)</f>
        <v>#DIV/0!</v>
      </c>
      <c r="FJ71" s="120">
        <v>1</v>
      </c>
      <c r="FK71" s="485">
        <f>DATE(YEAR(EXPEDIENTE!$F$25)+3,FJ71,1)</f>
        <v>46023</v>
      </c>
      <c r="FL71" s="485" t="str">
        <f>IF('GASTOS EJER. 4'!I49="","",'GASTOS EJER. 4'!I49)</f>
        <v/>
      </c>
      <c r="FM71" s="486">
        <f>'GASTOS EJER. 4'!X20</f>
        <v>0</v>
      </c>
      <c r="FN71" s="486">
        <f>'GASTOS EJER. 4'!H49</f>
        <v>0</v>
      </c>
      <c r="FO71" s="434">
        <f>VLOOKUP(FK71,$DY$7:$FH$69,36,FALSE)</f>
        <v>0</v>
      </c>
      <c r="FP71" s="486">
        <f t="shared" ref="FP71:FP82" si="347">SUM(FM71:FO71)</f>
        <v>0</v>
      </c>
      <c r="FR71" s="467">
        <v>25</v>
      </c>
      <c r="FS71" s="482">
        <f>'GASTOS EJER. 4'!$C37</f>
        <v>0</v>
      </c>
      <c r="FT71" s="476" t="str">
        <f>CJ71</f>
        <v/>
      </c>
      <c r="FU71" s="476" t="str">
        <f>CK71</f>
        <v/>
      </c>
      <c r="FV71" s="483">
        <f>CL71</f>
        <v>0</v>
      </c>
      <c r="FW71" s="484">
        <f>'GASTOS EJER. 4'!CM37</f>
        <v>0</v>
      </c>
      <c r="FX71" s="472" t="str">
        <f>IF(FW71=0,"",'GASTOS EJER. 4'!CT37)</f>
        <v/>
      </c>
      <c r="FY71" s="472" t="str">
        <f t="shared" ref="FY71:FY78" si="348">IF(FX55="","",EOMONTH(DATE(YEAR(FX55),MONTH(FX55)+1,1),0))</f>
        <v/>
      </c>
      <c r="FZ71" s="470" t="e">
        <f>IF(AND(FY71&gt;=EXPEDIENTE!$F$25,FY71&lt;=EXPEDIENTE!$F$29),ROUNDDOWN(FW71/FV71,2),0)</f>
        <v>#DIV/0!</v>
      </c>
      <c r="HO71" s="120">
        <v>1</v>
      </c>
      <c r="HP71" s="485">
        <f>DATE(YEAR(EXPEDIENTE!$F$25)+3,HO71,1)</f>
        <v>46023</v>
      </c>
      <c r="HQ71" s="485" t="str">
        <f>IF('GASTOS EJER. 4'!BF49="","",'GASTOS EJER. 4'!BF49)</f>
        <v/>
      </c>
      <c r="HR71" s="486">
        <f>'GASTOS EJER. 4'!CM20</f>
        <v>0</v>
      </c>
      <c r="HS71" s="486">
        <f>'GASTOS EJER. 4'!BA49</f>
        <v>0</v>
      </c>
      <c r="HT71" s="434">
        <f>VLOOKUP(HP71,$GC$7:$HL$69,36,FALSE)</f>
        <v>0</v>
      </c>
      <c r="HU71" s="486">
        <f t="shared" ref="HU71:HU82" si="349">SUM(HR71:HT71)</f>
        <v>0</v>
      </c>
      <c r="JC71" s="416">
        <v>67</v>
      </c>
      <c r="JD71" s="398">
        <f t="shared" si="100"/>
        <v>26</v>
      </c>
    </row>
    <row r="72" spans="3:264" x14ac:dyDescent="0.25">
      <c r="C72" s="206">
        <v>66</v>
      </c>
      <c r="D72" s="401"/>
      <c r="E72" s="417"/>
      <c r="F72" s="418"/>
      <c r="G72" s="419"/>
      <c r="H72" s="419"/>
      <c r="I72" s="419"/>
      <c r="J72" s="401"/>
      <c r="K72" s="407">
        <f t="shared" ref="K72:K81" si="350">IF(J72="",76,C72)</f>
        <v>76</v>
      </c>
      <c r="L72" s="407">
        <f t="shared" ref="L72:L81" si="351">IF(K72&lt;&gt;76,C72,76)</f>
        <v>76</v>
      </c>
      <c r="M72" s="407" t="str">
        <f t="shared" ref="M72:M81" si="352">IFERROR(VLOOKUP(SMALL($L$7:$L$81,C72),$C$7:$D$81,2,FALSE),"X")</f>
        <v>X</v>
      </c>
      <c r="AG72" s="487">
        <v>26</v>
      </c>
      <c r="AH72" s="500">
        <f>'GASTOS EJER. 4'!M38</f>
        <v>0</v>
      </c>
      <c r="AI72" s="500">
        <f>'GASTOS EJER. 4'!X38</f>
        <v>0</v>
      </c>
      <c r="AJ72" s="490">
        <f t="shared" ref="AJ72:AJ78" si="353">AH72-AI72</f>
        <v>0</v>
      </c>
      <c r="AL72" s="491">
        <f>'GASTOS EJER. 4'!F38+'GASTOS EJER. 4'!L38-'GASTOS EJER. 4'!X38-'GASTOS EJER. 4'!Y38</f>
        <v>0</v>
      </c>
      <c r="AM72" s="492" t="str">
        <f>IF('GASTOS EJER. 4'!AA38="","",'GASTOS EJER. 4'!AA38)</f>
        <v/>
      </c>
      <c r="AN72" s="489">
        <f>'GASTOS EJER. 4'!Y38</f>
        <v>0</v>
      </c>
      <c r="AO72" s="493" t="str">
        <f>IF('GASTOS EJER. 4'!AB38="","",'GASTOS EJER. 4'!AB38)</f>
        <v/>
      </c>
      <c r="AP72" s="494">
        <f>IF(AND(AM72&gt;=EXPEDIENTE!$I$25,AM72&lt;=EXPEDIENTE!$I$29),AL72,0)</f>
        <v>0</v>
      </c>
      <c r="AQ72" s="423">
        <f>IF(AND(AO72&gt;=EXPEDIENTE!$I$25,AO72&lt;=EXPEDIENTE!$I$29),AN72,0)</f>
        <v>0</v>
      </c>
      <c r="AR72" s="490">
        <f t="shared" ref="AR72:AR78" si="354">AP72+AQ72</f>
        <v>0</v>
      </c>
      <c r="AS72" s="495" t="str">
        <f>IF('GASTOS EJER. 4'!D38="","",'GASTOS EJER. 4'!D38)</f>
        <v/>
      </c>
      <c r="AT72" s="496" t="str">
        <f>IF('GASTOS EJER. 4'!E38="","",'GASTOS EJER. 4'!E38)</f>
        <v/>
      </c>
      <c r="AU72" s="497">
        <f t="shared" ref="AU72:AU78" si="355">IF(OR(AS72="",AT72=""),0,DATEDIF(AS72,AT72,"M")+1)</f>
        <v>0</v>
      </c>
      <c r="AV72" s="498">
        <f t="shared" si="331"/>
        <v>0</v>
      </c>
      <c r="AW72" s="439">
        <f t="shared" ref="AW72:AW78" si="356">IF(OR(AS72="",AT72=""),0,ROUND(AR72/AU72,2))</f>
        <v>0</v>
      </c>
      <c r="AY72" s="423">
        <v>2</v>
      </c>
      <c r="AZ72" s="424" t="e">
        <f t="shared" si="332"/>
        <v>#VALUE!</v>
      </c>
      <c r="BA72" s="433">
        <f t="shared" si="333"/>
        <v>0</v>
      </c>
      <c r="BB72" s="434">
        <f t="shared" si="334"/>
        <v>0</v>
      </c>
      <c r="BC72" s="434">
        <f t="shared" si="335"/>
        <v>0</v>
      </c>
      <c r="BD72" s="434">
        <f t="shared" si="336"/>
        <v>0</v>
      </c>
      <c r="BE72" s="434">
        <f t="shared" si="337"/>
        <v>0</v>
      </c>
      <c r="BF72" s="434">
        <f t="shared" si="338"/>
        <v>0</v>
      </c>
      <c r="BG72" s="434">
        <f t="shared" si="339"/>
        <v>0</v>
      </c>
      <c r="BH72" s="435">
        <f t="shared" ref="BH72:BH82" si="357">IF($AH$78=0,0,IF($BH$69=0,0,IF(AND(AZ72&gt;=$AS$78,AZ72&lt;=$AT$78),$AW$78,0)))</f>
        <v>0</v>
      </c>
      <c r="BI72" s="436">
        <f t="shared" si="340"/>
        <v>0</v>
      </c>
      <c r="BU72" s="436">
        <f t="shared" ref="BU72:BU82" si="358">BI72</f>
        <v>0</v>
      </c>
      <c r="BX72" s="487">
        <v>26</v>
      </c>
      <c r="BY72" s="500">
        <f>'GASTOS EJER. 4'!BN38</f>
        <v>0</v>
      </c>
      <c r="BZ72" s="500">
        <f>'GASTOS EJER. 4'!CM38</f>
        <v>0</v>
      </c>
      <c r="CA72" s="490">
        <f t="shared" ref="CA72:CA78" si="359">BY72-BZ72</f>
        <v>0</v>
      </c>
      <c r="CC72" s="491">
        <f>'GASTOS EJER. 4'!AW38+'GASTOS EJER. 4'!BM38-'GASTOS EJER. 4'!CM38-'GASTOS EJER. 4'!CP38</f>
        <v>0</v>
      </c>
      <c r="CD72" s="492" t="str">
        <f>IF('GASTOS EJER. 4'!CT38="","",'GASTOS EJER. 4'!CT38)</f>
        <v/>
      </c>
      <c r="CE72" s="489">
        <f>'GASTOS EJER. 4'!CP38</f>
        <v>0</v>
      </c>
      <c r="CF72" s="493" t="str">
        <f>IF('GASTOS EJER. 4'!CW38="","",'GASTOS EJER. 4'!CW38)</f>
        <v/>
      </c>
      <c r="CG72" s="494">
        <f>IF(AND(CD72&gt;=EXPEDIENTE!$I$25,CD72&lt;=EXPEDIENTE!$I$29),CC72,0)</f>
        <v>0</v>
      </c>
      <c r="CH72" s="423">
        <f>IF(AND(CF72&gt;=EXPEDIENTE!$I$25,CF72&lt;=EXPEDIENTE!$I$29),CE72,0)</f>
        <v>0</v>
      </c>
      <c r="CI72" s="490">
        <f t="shared" ref="CI72:CI78" si="360">CG72+CH72</f>
        <v>0</v>
      </c>
      <c r="CJ72" s="495" t="str">
        <f>IF('GASTOS EJER. 4'!AQ38="","",'GASTOS EJER. 4'!AQ38)</f>
        <v/>
      </c>
      <c r="CK72" s="496" t="str">
        <f>IF('GASTOS EJER. 4'!AT38="","",'GASTOS EJER. 4'!AT38)</f>
        <v/>
      </c>
      <c r="CL72" s="497">
        <f t="shared" ref="CL72:CL78" si="361">IF(OR(CJ72="",CK72=""),0,DATEDIF(CJ72,CK72,"M")+1)</f>
        <v>0</v>
      </c>
      <c r="CM72" s="498">
        <f t="shared" si="341"/>
        <v>0</v>
      </c>
      <c r="CN72" s="439">
        <f t="shared" ref="CN72:CN78" si="362">IF(OR(CJ72="",CK72=""),0,ROUND(CI72/CL72,2))</f>
        <v>0</v>
      </c>
      <c r="CP72" s="423">
        <v>2</v>
      </c>
      <c r="CQ72" s="424" t="e">
        <f t="shared" si="342"/>
        <v>#VALUE!</v>
      </c>
      <c r="CR72" s="437">
        <f t="shared" ref="CR72:CR82" si="363">IF($BY$71=0,0,IF($CR$69=0,0,IF(AND($CQ72&gt;=$CJ$71,$CQ72&lt;=$CK$71),$CN$71,0)))</f>
        <v>0</v>
      </c>
      <c r="CS72" s="423">
        <f t="shared" ref="CS72:CS82" si="364">IF($BY$72=0,0,IF($CS$69=0,0,IF(AND($CQ72&gt;=$CJ$72,$CQ72&lt;=$CK$72),$CN$72,0)))</f>
        <v>0</v>
      </c>
      <c r="CT72" s="423">
        <f t="shared" ref="CT72:CT82" si="365">IF($BY$73=0,0,IF($CT$69=0,0,IF(AND($CQ72&gt;=$CJ$73,$CQ72&lt;=$CK$73),$CN$73,0)))</f>
        <v>0</v>
      </c>
      <c r="CU72" s="423">
        <f t="shared" ref="CU72:CU82" si="366">IF($BY$74=0,0,IF($CU$69=0,0,IF(AND($CQ72&gt;=$CJ$74,$CQ72&lt;=$CK$74),$CN$74,0)))</f>
        <v>0</v>
      </c>
      <c r="CV72" s="423">
        <f t="shared" ref="CV72:CV82" si="367">IF($BY$75=0,0,IF($CV$69=0,0,IF(AND($CQ72&gt;=$CJ$75,$CQ72&lt;=$CK$75),$CN$75,0)))</f>
        <v>0</v>
      </c>
      <c r="CW72" s="423">
        <f t="shared" ref="CW72:CW82" si="368">IF($BY$76=0,0,IF($CW$69=0,0,IF(AND($CQ72&gt;=$CJ$76,$CQ72&lt;=$CK$76),$CN$76,0)))</f>
        <v>0</v>
      </c>
      <c r="CX72" s="423">
        <f t="shared" ref="CX72:CX82" si="369">IF($BY$77=0,0,IF($CX$69=0,0,IF(AND($CQ72&gt;=$CJ$77,$CQ72&lt;=$CK$77),$CN$77,0)))</f>
        <v>0</v>
      </c>
      <c r="CY72" s="438">
        <f t="shared" ref="CY72:CY82" si="370">IF($BY$78=0,0,IF($CY$69=0,0,IF(AND($CQ72&gt;=$CJ$78,$CQ72&lt;=$CK$78),$CN$78,0)))</f>
        <v>0</v>
      </c>
      <c r="CZ72" s="436">
        <f t="shared" si="343"/>
        <v>0</v>
      </c>
      <c r="DL72" s="436">
        <f t="shared" ref="DL72:DL82" si="371">CZ72</f>
        <v>0</v>
      </c>
      <c r="DN72" s="487">
        <v>26</v>
      </c>
      <c r="DO72" s="499">
        <f>'GASTOS EJER. 4'!$C38</f>
        <v>0</v>
      </c>
      <c r="DP72" s="496" t="str">
        <f t="shared" ref="DP72:DP78" si="372">AS72</f>
        <v/>
      </c>
      <c r="DQ72" s="496" t="str">
        <f t="shared" ref="DQ72:DQ78" si="373">AT72</f>
        <v/>
      </c>
      <c r="DR72" s="386">
        <f t="shared" ref="DR72:DR78" si="374">AU72</f>
        <v>0</v>
      </c>
      <c r="DS72" s="500">
        <f>'GASTOS EJER. 4'!X38</f>
        <v>0</v>
      </c>
      <c r="DT72" s="492" t="str">
        <f>IF(DS72=0,"",'GASTOS EJER. 4'!AA38)</f>
        <v/>
      </c>
      <c r="DU72" s="492" t="str">
        <f t="shared" si="346"/>
        <v/>
      </c>
      <c r="DV72" s="490" t="e">
        <f>IF(AND(DU72&gt;=EXPEDIENTE!$F$25,DU72&lt;=EXPEDIENTE!$F$29),ROUNDDOWN(DS72/DR72,2),0)</f>
        <v>#DIV/0!</v>
      </c>
      <c r="FJ72" s="120">
        <v>2</v>
      </c>
      <c r="FK72" s="492">
        <f>DATE(YEAR(EXPEDIENTE!$F$25)+3,FJ72,1)</f>
        <v>46054</v>
      </c>
      <c r="FL72" s="492" t="str">
        <f>IF('GASTOS EJER. 4'!I50="","",'GASTOS EJER. 4'!I50)</f>
        <v/>
      </c>
      <c r="FM72" s="500">
        <f>'GASTOS EJER. 4'!X21</f>
        <v>0</v>
      </c>
      <c r="FN72" s="500">
        <f>'GASTOS EJER. 4'!H50</f>
        <v>0</v>
      </c>
      <c r="FO72" s="423">
        <f t="shared" ref="FO72:FO82" si="375">VLOOKUP(FK72,$DY$7:$FH$69,36,FALSE)</f>
        <v>0</v>
      </c>
      <c r="FP72" s="500">
        <f t="shared" si="347"/>
        <v>0</v>
      </c>
      <c r="FR72" s="487">
        <v>26</v>
      </c>
      <c r="FS72" s="499">
        <f>'GASTOS EJER. 4'!$C38</f>
        <v>0</v>
      </c>
      <c r="FT72" s="496" t="str">
        <f t="shared" ref="FT72:FT78" si="376">CJ72</f>
        <v/>
      </c>
      <c r="FU72" s="496" t="str">
        <f t="shared" ref="FU72:FU78" si="377">CK72</f>
        <v/>
      </c>
      <c r="FV72" s="386">
        <f t="shared" ref="FV72:FV78" si="378">CL72</f>
        <v>0</v>
      </c>
      <c r="FW72" s="500">
        <f>'GASTOS EJER. 4'!CM38</f>
        <v>0</v>
      </c>
      <c r="FX72" s="492" t="str">
        <f>IF(FW72=0,"",'GASTOS EJER. 4'!CT38)</f>
        <v/>
      </c>
      <c r="FY72" s="492" t="str">
        <f t="shared" si="348"/>
        <v/>
      </c>
      <c r="FZ72" s="490" t="e">
        <f>IF(AND(FY72&gt;=EXPEDIENTE!$F$25,FY72&lt;=EXPEDIENTE!$F$29),ROUNDDOWN(FW72/FV72,2),0)</f>
        <v>#DIV/0!</v>
      </c>
      <c r="HO72" s="120">
        <v>2</v>
      </c>
      <c r="HP72" s="492">
        <f>DATE(YEAR(EXPEDIENTE!$F$25)+3,HO72,1)</f>
        <v>46054</v>
      </c>
      <c r="HQ72" s="492" t="str">
        <f>IF('GASTOS EJER. 4'!BF50="","",'GASTOS EJER. 4'!BF50)</f>
        <v/>
      </c>
      <c r="HR72" s="500">
        <f>'GASTOS EJER. 4'!CM21</f>
        <v>0</v>
      </c>
      <c r="HS72" s="500">
        <f>'GASTOS EJER. 4'!BA50</f>
        <v>0</v>
      </c>
      <c r="HT72" s="423">
        <f t="shared" ref="HT72:HT82" si="379">VLOOKUP(HP72,$GC$7:$HL$69,36,FALSE)</f>
        <v>0</v>
      </c>
      <c r="HU72" s="500">
        <f t="shared" si="349"/>
        <v>0</v>
      </c>
      <c r="JC72" s="416">
        <v>68</v>
      </c>
      <c r="JD72" s="398">
        <f t="shared" si="100"/>
        <v>26</v>
      </c>
    </row>
    <row r="73" spans="3:264" x14ac:dyDescent="0.25">
      <c r="C73" s="206">
        <v>67</v>
      </c>
      <c r="D73" s="401"/>
      <c r="E73" s="417"/>
      <c r="F73" s="418"/>
      <c r="G73" s="419"/>
      <c r="H73" s="419"/>
      <c r="I73" s="419"/>
      <c r="J73" s="401"/>
      <c r="K73" s="407">
        <f t="shared" si="350"/>
        <v>76</v>
      </c>
      <c r="L73" s="407">
        <f t="shared" si="351"/>
        <v>76</v>
      </c>
      <c r="M73" s="407" t="str">
        <f t="shared" si="352"/>
        <v>X</v>
      </c>
      <c r="AG73" s="487">
        <v>27</v>
      </c>
      <c r="AH73" s="500">
        <f>'GASTOS EJER. 4'!M39</f>
        <v>0</v>
      </c>
      <c r="AI73" s="500">
        <f>'GASTOS EJER. 4'!X39</f>
        <v>0</v>
      </c>
      <c r="AJ73" s="490">
        <f t="shared" si="353"/>
        <v>0</v>
      </c>
      <c r="AL73" s="491">
        <f>'GASTOS EJER. 4'!F39+'GASTOS EJER. 4'!L39-'GASTOS EJER. 4'!X39-'GASTOS EJER. 4'!Y39</f>
        <v>0</v>
      </c>
      <c r="AM73" s="492" t="str">
        <f>IF('GASTOS EJER. 4'!AA39="","",'GASTOS EJER. 4'!AA39)</f>
        <v/>
      </c>
      <c r="AN73" s="489">
        <f>'GASTOS EJER. 4'!Y39</f>
        <v>0</v>
      </c>
      <c r="AO73" s="493" t="str">
        <f>IF('GASTOS EJER. 4'!AB39="","",'GASTOS EJER. 4'!AB39)</f>
        <v/>
      </c>
      <c r="AP73" s="494">
        <f>IF(AND(AM73&gt;=EXPEDIENTE!$I$25,AM73&lt;=EXPEDIENTE!$I$29),AL73,0)</f>
        <v>0</v>
      </c>
      <c r="AQ73" s="423">
        <f>IF(AND(AO73&gt;=EXPEDIENTE!$I$25,AO73&lt;=EXPEDIENTE!$I$29),AN73,0)</f>
        <v>0</v>
      </c>
      <c r="AR73" s="490">
        <f t="shared" si="354"/>
        <v>0</v>
      </c>
      <c r="AS73" s="495" t="str">
        <f>IF('GASTOS EJER. 4'!D39="","",'GASTOS EJER. 4'!D39)</f>
        <v/>
      </c>
      <c r="AT73" s="496" t="str">
        <f>IF('GASTOS EJER. 4'!E39="","",'GASTOS EJER. 4'!E39)</f>
        <v/>
      </c>
      <c r="AU73" s="497">
        <f t="shared" si="355"/>
        <v>0</v>
      </c>
      <c r="AV73" s="498">
        <f t="shared" si="331"/>
        <v>0</v>
      </c>
      <c r="AW73" s="439">
        <f t="shared" si="356"/>
        <v>0</v>
      </c>
      <c r="AY73" s="423">
        <v>3</v>
      </c>
      <c r="AZ73" s="424" t="e">
        <f t="shared" si="332"/>
        <v>#VALUE!</v>
      </c>
      <c r="BA73" s="433">
        <f t="shared" si="333"/>
        <v>0</v>
      </c>
      <c r="BB73" s="434">
        <f t="shared" si="334"/>
        <v>0</v>
      </c>
      <c r="BC73" s="434">
        <f t="shared" si="335"/>
        <v>0</v>
      </c>
      <c r="BD73" s="434">
        <f t="shared" si="336"/>
        <v>0</v>
      </c>
      <c r="BE73" s="434">
        <f t="shared" si="337"/>
        <v>0</v>
      </c>
      <c r="BF73" s="434">
        <f t="shared" si="338"/>
        <v>0</v>
      </c>
      <c r="BG73" s="434">
        <f t="shared" si="339"/>
        <v>0</v>
      </c>
      <c r="BH73" s="435">
        <f t="shared" si="357"/>
        <v>0</v>
      </c>
      <c r="BI73" s="436">
        <f t="shared" si="340"/>
        <v>0</v>
      </c>
      <c r="BU73" s="436">
        <f t="shared" si="358"/>
        <v>0</v>
      </c>
      <c r="BX73" s="487">
        <v>27</v>
      </c>
      <c r="BY73" s="500">
        <f>'GASTOS EJER. 4'!BN39</f>
        <v>0</v>
      </c>
      <c r="BZ73" s="500">
        <f>'GASTOS EJER. 4'!CM39</f>
        <v>0</v>
      </c>
      <c r="CA73" s="490">
        <f t="shared" si="359"/>
        <v>0</v>
      </c>
      <c r="CC73" s="491">
        <f>'GASTOS EJER. 4'!AW39+'GASTOS EJER. 4'!BM39-'GASTOS EJER. 4'!CM39-'GASTOS EJER. 4'!CP39</f>
        <v>0</v>
      </c>
      <c r="CD73" s="492" t="str">
        <f>IF('GASTOS EJER. 4'!CT39="","",'GASTOS EJER. 4'!CT39)</f>
        <v/>
      </c>
      <c r="CE73" s="489">
        <f>'GASTOS EJER. 4'!CP39</f>
        <v>0</v>
      </c>
      <c r="CF73" s="493" t="str">
        <f>IF('GASTOS EJER. 4'!CW39="","",'GASTOS EJER. 4'!CW39)</f>
        <v/>
      </c>
      <c r="CG73" s="494">
        <f>IF(AND(CD73&gt;=EXPEDIENTE!$I$25,CD73&lt;=EXPEDIENTE!$I$29),CC73,0)</f>
        <v>0</v>
      </c>
      <c r="CH73" s="423">
        <f>IF(AND(CF73&gt;=EXPEDIENTE!$I$25,CF73&lt;=EXPEDIENTE!$I$29),CE73,0)</f>
        <v>0</v>
      </c>
      <c r="CI73" s="490">
        <f t="shared" si="360"/>
        <v>0</v>
      </c>
      <c r="CJ73" s="495" t="str">
        <f>IF('GASTOS EJER. 4'!AQ39="","",'GASTOS EJER. 4'!AQ39)</f>
        <v/>
      </c>
      <c r="CK73" s="496" t="str">
        <f>IF('GASTOS EJER. 4'!AT39="","",'GASTOS EJER. 4'!AT39)</f>
        <v/>
      </c>
      <c r="CL73" s="497">
        <f t="shared" si="361"/>
        <v>0</v>
      </c>
      <c r="CM73" s="498">
        <f t="shared" si="341"/>
        <v>0</v>
      </c>
      <c r="CN73" s="439">
        <f t="shared" si="362"/>
        <v>0</v>
      </c>
      <c r="CP73" s="423">
        <v>3</v>
      </c>
      <c r="CQ73" s="424" t="e">
        <f t="shared" si="342"/>
        <v>#VALUE!</v>
      </c>
      <c r="CR73" s="437">
        <f t="shared" si="363"/>
        <v>0</v>
      </c>
      <c r="CS73" s="423">
        <f t="shared" si="364"/>
        <v>0</v>
      </c>
      <c r="CT73" s="423">
        <f t="shared" si="365"/>
        <v>0</v>
      </c>
      <c r="CU73" s="423">
        <f t="shared" si="366"/>
        <v>0</v>
      </c>
      <c r="CV73" s="423">
        <f t="shared" si="367"/>
        <v>0</v>
      </c>
      <c r="CW73" s="423">
        <f t="shared" si="368"/>
        <v>0</v>
      </c>
      <c r="CX73" s="423">
        <f t="shared" si="369"/>
        <v>0</v>
      </c>
      <c r="CY73" s="438">
        <f t="shared" si="370"/>
        <v>0</v>
      </c>
      <c r="CZ73" s="436">
        <f t="shared" si="343"/>
        <v>0</v>
      </c>
      <c r="DL73" s="436">
        <f t="shared" si="371"/>
        <v>0</v>
      </c>
      <c r="DN73" s="487">
        <v>27</v>
      </c>
      <c r="DO73" s="499">
        <f>'GASTOS EJER. 4'!$C39</f>
        <v>0</v>
      </c>
      <c r="DP73" s="496" t="str">
        <f t="shared" si="372"/>
        <v/>
      </c>
      <c r="DQ73" s="496" t="str">
        <f t="shared" si="373"/>
        <v/>
      </c>
      <c r="DR73" s="386">
        <f t="shared" si="374"/>
        <v>0</v>
      </c>
      <c r="DS73" s="500">
        <f>'GASTOS EJER. 4'!X39</f>
        <v>0</v>
      </c>
      <c r="DT73" s="492" t="str">
        <f>IF(DS73=0,"",'GASTOS EJER. 4'!AA39)</f>
        <v/>
      </c>
      <c r="DU73" s="492" t="str">
        <f t="shared" si="346"/>
        <v/>
      </c>
      <c r="DV73" s="490" t="e">
        <f>IF(AND(DU73&gt;=EXPEDIENTE!$F$25,DU73&lt;=EXPEDIENTE!$F$29),ROUNDDOWN(DS73/DR73,2),0)</f>
        <v>#DIV/0!</v>
      </c>
      <c r="FJ73" s="120">
        <v>3</v>
      </c>
      <c r="FK73" s="492">
        <f>DATE(YEAR(EXPEDIENTE!$F$25)+3,FJ73,1)</f>
        <v>46082</v>
      </c>
      <c r="FL73" s="492" t="str">
        <f>IF('GASTOS EJER. 4'!I51="","",'GASTOS EJER. 4'!I51)</f>
        <v/>
      </c>
      <c r="FM73" s="500">
        <f>'GASTOS EJER. 4'!X22</f>
        <v>0</v>
      </c>
      <c r="FN73" s="500">
        <f>'GASTOS EJER. 4'!H51</f>
        <v>0</v>
      </c>
      <c r="FO73" s="423">
        <f t="shared" si="375"/>
        <v>0</v>
      </c>
      <c r="FP73" s="500">
        <f t="shared" si="347"/>
        <v>0</v>
      </c>
      <c r="FR73" s="487">
        <v>27</v>
      </c>
      <c r="FS73" s="499">
        <f>'GASTOS EJER. 4'!$C39</f>
        <v>0</v>
      </c>
      <c r="FT73" s="496" t="str">
        <f t="shared" si="376"/>
        <v/>
      </c>
      <c r="FU73" s="496" t="str">
        <f t="shared" si="377"/>
        <v/>
      </c>
      <c r="FV73" s="386">
        <f t="shared" si="378"/>
        <v>0</v>
      </c>
      <c r="FW73" s="500">
        <f>'GASTOS EJER. 4'!CM39</f>
        <v>0</v>
      </c>
      <c r="FX73" s="492" t="str">
        <f>IF(FW73=0,"",'GASTOS EJER. 4'!CT39)</f>
        <v/>
      </c>
      <c r="FY73" s="492" t="str">
        <f t="shared" si="348"/>
        <v/>
      </c>
      <c r="FZ73" s="490" t="e">
        <f>IF(AND(FY73&gt;=EXPEDIENTE!$F$25,FY73&lt;=EXPEDIENTE!$F$29),ROUNDDOWN(FW73/FV73,2),0)</f>
        <v>#DIV/0!</v>
      </c>
      <c r="HO73" s="120">
        <v>3</v>
      </c>
      <c r="HP73" s="492">
        <f>DATE(YEAR(EXPEDIENTE!$F$25)+3,HO73,1)</f>
        <v>46082</v>
      </c>
      <c r="HQ73" s="492" t="str">
        <f>IF('GASTOS EJER. 4'!BF51="","",'GASTOS EJER. 4'!BF51)</f>
        <v/>
      </c>
      <c r="HR73" s="500">
        <f>'GASTOS EJER. 4'!CM22</f>
        <v>0</v>
      </c>
      <c r="HS73" s="500">
        <f>'GASTOS EJER. 4'!BA51</f>
        <v>0</v>
      </c>
      <c r="HT73" s="423">
        <f t="shared" si="379"/>
        <v>0</v>
      </c>
      <c r="HU73" s="500">
        <f t="shared" si="349"/>
        <v>0</v>
      </c>
      <c r="JC73" s="416">
        <v>69</v>
      </c>
      <c r="JD73" s="398">
        <f t="shared" si="100"/>
        <v>26</v>
      </c>
    </row>
    <row r="74" spans="3:264" x14ac:dyDescent="0.25">
      <c r="C74" s="206">
        <v>68</v>
      </c>
      <c r="D74" s="401"/>
      <c r="E74" s="417"/>
      <c r="F74" s="418"/>
      <c r="G74" s="419"/>
      <c r="H74" s="419"/>
      <c r="I74" s="419"/>
      <c r="J74" s="401"/>
      <c r="K74" s="407">
        <f t="shared" si="350"/>
        <v>76</v>
      </c>
      <c r="L74" s="407">
        <f t="shared" si="351"/>
        <v>76</v>
      </c>
      <c r="M74" s="407" t="str">
        <f t="shared" si="352"/>
        <v>X</v>
      </c>
      <c r="AG74" s="487">
        <v>28</v>
      </c>
      <c r="AH74" s="500">
        <f>'GASTOS EJER. 4'!M40</f>
        <v>0</v>
      </c>
      <c r="AI74" s="500">
        <f>'GASTOS EJER. 4'!X40</f>
        <v>0</v>
      </c>
      <c r="AJ74" s="490">
        <f t="shared" si="353"/>
        <v>0</v>
      </c>
      <c r="AL74" s="491">
        <f>'GASTOS EJER. 4'!F40+'GASTOS EJER. 4'!L40-'GASTOS EJER. 4'!X40-'GASTOS EJER. 4'!Y40</f>
        <v>0</v>
      </c>
      <c r="AM74" s="492" t="str">
        <f>IF('GASTOS EJER. 4'!AA40="","",'GASTOS EJER. 4'!AA40)</f>
        <v/>
      </c>
      <c r="AN74" s="489">
        <f>'GASTOS EJER. 4'!Y40</f>
        <v>0</v>
      </c>
      <c r="AO74" s="493" t="str">
        <f>IF('GASTOS EJER. 4'!AB40="","",'GASTOS EJER. 4'!AB40)</f>
        <v/>
      </c>
      <c r="AP74" s="494">
        <f>IF(AND(AM74&gt;=EXPEDIENTE!$I$25,AM74&lt;=EXPEDIENTE!$I$29),AL74,0)</f>
        <v>0</v>
      </c>
      <c r="AQ74" s="423">
        <f>IF(AND(AO74&gt;=EXPEDIENTE!$I$25,AO74&lt;=EXPEDIENTE!$I$29),AN74,0)</f>
        <v>0</v>
      </c>
      <c r="AR74" s="490">
        <f t="shared" si="354"/>
        <v>0</v>
      </c>
      <c r="AS74" s="495" t="str">
        <f>IF('GASTOS EJER. 4'!D40="","",'GASTOS EJER. 4'!D40)</f>
        <v/>
      </c>
      <c r="AT74" s="496" t="str">
        <f>IF('GASTOS EJER. 4'!E40="","",'GASTOS EJER. 4'!E40)</f>
        <v/>
      </c>
      <c r="AU74" s="497">
        <f t="shared" si="355"/>
        <v>0</v>
      </c>
      <c r="AV74" s="498">
        <f t="shared" si="331"/>
        <v>0</v>
      </c>
      <c r="AW74" s="439">
        <f t="shared" si="356"/>
        <v>0</v>
      </c>
      <c r="AY74" s="423">
        <v>4</v>
      </c>
      <c r="AZ74" s="424" t="e">
        <f t="shared" si="332"/>
        <v>#VALUE!</v>
      </c>
      <c r="BA74" s="433">
        <f t="shared" si="333"/>
        <v>0</v>
      </c>
      <c r="BB74" s="434">
        <f t="shared" si="334"/>
        <v>0</v>
      </c>
      <c r="BC74" s="434">
        <f t="shared" si="335"/>
        <v>0</v>
      </c>
      <c r="BD74" s="434">
        <f t="shared" si="336"/>
        <v>0</v>
      </c>
      <c r="BE74" s="434">
        <f t="shared" si="337"/>
        <v>0</v>
      </c>
      <c r="BF74" s="434">
        <f t="shared" si="338"/>
        <v>0</v>
      </c>
      <c r="BG74" s="434">
        <f t="shared" si="339"/>
        <v>0</v>
      </c>
      <c r="BH74" s="435">
        <f t="shared" si="357"/>
        <v>0</v>
      </c>
      <c r="BI74" s="436">
        <f t="shared" si="340"/>
        <v>0</v>
      </c>
      <c r="BU74" s="436">
        <f t="shared" si="358"/>
        <v>0</v>
      </c>
      <c r="BX74" s="487">
        <v>28</v>
      </c>
      <c r="BY74" s="500">
        <f>'GASTOS EJER. 4'!BN40</f>
        <v>0</v>
      </c>
      <c r="BZ74" s="500">
        <f>'GASTOS EJER. 4'!CM40</f>
        <v>0</v>
      </c>
      <c r="CA74" s="490">
        <f t="shared" si="359"/>
        <v>0</v>
      </c>
      <c r="CC74" s="491">
        <f>'GASTOS EJER. 4'!AW40+'GASTOS EJER. 4'!BM40-'GASTOS EJER. 4'!CM40-'GASTOS EJER. 4'!CP40</f>
        <v>0</v>
      </c>
      <c r="CD74" s="492" t="str">
        <f>IF('GASTOS EJER. 4'!CT40="","",'GASTOS EJER. 4'!CT40)</f>
        <v/>
      </c>
      <c r="CE74" s="489">
        <f>'GASTOS EJER. 4'!CP40</f>
        <v>0</v>
      </c>
      <c r="CF74" s="493" t="str">
        <f>IF('GASTOS EJER. 4'!CW40="","",'GASTOS EJER. 4'!CW40)</f>
        <v/>
      </c>
      <c r="CG74" s="494">
        <f>IF(AND(CD74&gt;=EXPEDIENTE!$I$25,CD74&lt;=EXPEDIENTE!$I$29),CC74,0)</f>
        <v>0</v>
      </c>
      <c r="CH74" s="423">
        <f>IF(AND(CF74&gt;=EXPEDIENTE!$I$25,CF74&lt;=EXPEDIENTE!$I$29),CE74,0)</f>
        <v>0</v>
      </c>
      <c r="CI74" s="490">
        <f t="shared" si="360"/>
        <v>0</v>
      </c>
      <c r="CJ74" s="495" t="str">
        <f>IF('GASTOS EJER. 4'!AQ40="","",'GASTOS EJER. 4'!AQ40)</f>
        <v/>
      </c>
      <c r="CK74" s="496" t="str">
        <f>IF('GASTOS EJER. 4'!AT40="","",'GASTOS EJER. 4'!AT40)</f>
        <v/>
      </c>
      <c r="CL74" s="497">
        <f t="shared" si="361"/>
        <v>0</v>
      </c>
      <c r="CM74" s="498">
        <f t="shared" si="341"/>
        <v>0</v>
      </c>
      <c r="CN74" s="439">
        <f t="shared" si="362"/>
        <v>0</v>
      </c>
      <c r="CP74" s="423">
        <v>4</v>
      </c>
      <c r="CQ74" s="424" t="e">
        <f t="shared" si="342"/>
        <v>#VALUE!</v>
      </c>
      <c r="CR74" s="437">
        <f t="shared" si="363"/>
        <v>0</v>
      </c>
      <c r="CS74" s="423">
        <f t="shared" si="364"/>
        <v>0</v>
      </c>
      <c r="CT74" s="423">
        <f t="shared" si="365"/>
        <v>0</v>
      </c>
      <c r="CU74" s="423">
        <f t="shared" si="366"/>
        <v>0</v>
      </c>
      <c r="CV74" s="423">
        <f t="shared" si="367"/>
        <v>0</v>
      </c>
      <c r="CW74" s="423">
        <f t="shared" si="368"/>
        <v>0</v>
      </c>
      <c r="CX74" s="423">
        <f t="shared" si="369"/>
        <v>0</v>
      </c>
      <c r="CY74" s="438">
        <f t="shared" si="370"/>
        <v>0</v>
      </c>
      <c r="CZ74" s="436">
        <f t="shared" si="343"/>
        <v>0</v>
      </c>
      <c r="DL74" s="436">
        <f t="shared" si="371"/>
        <v>0</v>
      </c>
      <c r="DN74" s="487">
        <v>28</v>
      </c>
      <c r="DO74" s="499">
        <f>'GASTOS EJER. 4'!$C40</f>
        <v>0</v>
      </c>
      <c r="DP74" s="496" t="str">
        <f t="shared" si="372"/>
        <v/>
      </c>
      <c r="DQ74" s="496" t="str">
        <f t="shared" si="373"/>
        <v/>
      </c>
      <c r="DR74" s="386">
        <f t="shared" si="374"/>
        <v>0</v>
      </c>
      <c r="DS74" s="500">
        <f>'GASTOS EJER. 4'!X40</f>
        <v>0</v>
      </c>
      <c r="DT74" s="492" t="str">
        <f>IF(DS74=0,"",'GASTOS EJER. 4'!AA40)</f>
        <v/>
      </c>
      <c r="DU74" s="492" t="str">
        <f t="shared" si="346"/>
        <v/>
      </c>
      <c r="DV74" s="490" t="e">
        <f>IF(AND(DU74&gt;=EXPEDIENTE!$F$25,DU74&lt;=EXPEDIENTE!$F$29),ROUNDDOWN(DS74/DR74,2),0)</f>
        <v>#DIV/0!</v>
      </c>
      <c r="FJ74" s="120">
        <v>4</v>
      </c>
      <c r="FK74" s="492">
        <f>DATE(YEAR(EXPEDIENTE!$F$25)+3,FJ74,1)</f>
        <v>46113</v>
      </c>
      <c r="FL74" s="492" t="str">
        <f>IF('GASTOS EJER. 4'!I52="","",'GASTOS EJER. 4'!I52)</f>
        <v/>
      </c>
      <c r="FM74" s="500">
        <f>'GASTOS EJER. 4'!X23</f>
        <v>0</v>
      </c>
      <c r="FN74" s="500">
        <f>'GASTOS EJER. 4'!H52</f>
        <v>0</v>
      </c>
      <c r="FO74" s="423">
        <f t="shared" si="375"/>
        <v>0</v>
      </c>
      <c r="FP74" s="500">
        <f t="shared" si="347"/>
        <v>0</v>
      </c>
      <c r="FR74" s="487">
        <v>28</v>
      </c>
      <c r="FS74" s="499">
        <f>'GASTOS EJER. 4'!$C40</f>
        <v>0</v>
      </c>
      <c r="FT74" s="496" t="str">
        <f t="shared" si="376"/>
        <v/>
      </c>
      <c r="FU74" s="496" t="str">
        <f t="shared" si="377"/>
        <v/>
      </c>
      <c r="FV74" s="386">
        <f t="shared" si="378"/>
        <v>0</v>
      </c>
      <c r="FW74" s="500">
        <f>'GASTOS EJER. 4'!CM40</f>
        <v>0</v>
      </c>
      <c r="FX74" s="492" t="str">
        <f>IF(FW74=0,"",'GASTOS EJER. 4'!CT40)</f>
        <v/>
      </c>
      <c r="FY74" s="492" t="str">
        <f t="shared" si="348"/>
        <v/>
      </c>
      <c r="FZ74" s="490" t="e">
        <f>IF(AND(FY74&gt;=EXPEDIENTE!$F$25,FY74&lt;=EXPEDIENTE!$F$29),ROUNDDOWN(FW74/FV74,2),0)</f>
        <v>#DIV/0!</v>
      </c>
      <c r="HO74" s="120">
        <v>4</v>
      </c>
      <c r="HP74" s="492">
        <f>DATE(YEAR(EXPEDIENTE!$F$25)+3,HO74,1)</f>
        <v>46113</v>
      </c>
      <c r="HQ74" s="492" t="str">
        <f>IF('GASTOS EJER. 4'!BF52="","",'GASTOS EJER. 4'!BF52)</f>
        <v/>
      </c>
      <c r="HR74" s="500">
        <f>'GASTOS EJER. 4'!CM23</f>
        <v>0</v>
      </c>
      <c r="HS74" s="500">
        <f>'GASTOS EJER. 4'!BA52</f>
        <v>0</v>
      </c>
      <c r="HT74" s="423">
        <f t="shared" si="379"/>
        <v>0</v>
      </c>
      <c r="HU74" s="500">
        <f t="shared" si="349"/>
        <v>0</v>
      </c>
      <c r="JC74" s="442">
        <v>70</v>
      </c>
      <c r="JD74" s="398">
        <f t="shared" si="100"/>
        <v>26</v>
      </c>
    </row>
    <row r="75" spans="3:264" x14ac:dyDescent="0.25">
      <c r="C75" s="206">
        <v>69</v>
      </c>
      <c r="D75" s="401"/>
      <c r="E75" s="417"/>
      <c r="F75" s="418"/>
      <c r="G75" s="419"/>
      <c r="H75" s="419"/>
      <c r="I75" s="419"/>
      <c r="J75" s="401"/>
      <c r="K75" s="407">
        <f t="shared" si="350"/>
        <v>76</v>
      </c>
      <c r="L75" s="407">
        <f t="shared" si="351"/>
        <v>76</v>
      </c>
      <c r="M75" s="407" t="str">
        <f t="shared" si="352"/>
        <v>X</v>
      </c>
      <c r="AG75" s="487">
        <v>29</v>
      </c>
      <c r="AH75" s="500">
        <f>'GASTOS EJER. 4'!M41</f>
        <v>0</v>
      </c>
      <c r="AI75" s="500">
        <f>'GASTOS EJER. 4'!X41</f>
        <v>0</v>
      </c>
      <c r="AJ75" s="490">
        <f t="shared" si="353"/>
        <v>0</v>
      </c>
      <c r="AL75" s="491">
        <f>'GASTOS EJER. 4'!F41+'GASTOS EJER. 4'!L41-'GASTOS EJER. 4'!X41-'GASTOS EJER. 4'!Y41</f>
        <v>0</v>
      </c>
      <c r="AM75" s="492" t="str">
        <f>IF('GASTOS EJER. 4'!AA41="","",'GASTOS EJER. 4'!AA41)</f>
        <v/>
      </c>
      <c r="AN75" s="489">
        <f>'GASTOS EJER. 4'!Y41</f>
        <v>0</v>
      </c>
      <c r="AO75" s="493" t="str">
        <f>IF('GASTOS EJER. 4'!AB41="","",'GASTOS EJER. 4'!AB41)</f>
        <v/>
      </c>
      <c r="AP75" s="494">
        <f>IF(AND(AM75&gt;=EXPEDIENTE!$I$25,AM75&lt;=EXPEDIENTE!$I$29),AL75,0)</f>
        <v>0</v>
      </c>
      <c r="AQ75" s="423">
        <f>IF(AND(AO75&gt;=EXPEDIENTE!$I$25,AO75&lt;=EXPEDIENTE!$I$29),AN75,0)</f>
        <v>0</v>
      </c>
      <c r="AR75" s="490">
        <f t="shared" si="354"/>
        <v>0</v>
      </c>
      <c r="AS75" s="495" t="str">
        <f>IF('GASTOS EJER. 4'!D41="","",'GASTOS EJER. 4'!D41)</f>
        <v/>
      </c>
      <c r="AT75" s="496" t="str">
        <f>IF('GASTOS EJER. 4'!E41="","",'GASTOS EJER. 4'!E41)</f>
        <v/>
      </c>
      <c r="AU75" s="497">
        <f t="shared" si="355"/>
        <v>0</v>
      </c>
      <c r="AV75" s="498">
        <f t="shared" si="331"/>
        <v>0</v>
      </c>
      <c r="AW75" s="439">
        <f t="shared" si="356"/>
        <v>0</v>
      </c>
      <c r="AY75" s="423">
        <v>5</v>
      </c>
      <c r="AZ75" s="424" t="e">
        <f t="shared" si="332"/>
        <v>#VALUE!</v>
      </c>
      <c r="BA75" s="433">
        <f t="shared" si="333"/>
        <v>0</v>
      </c>
      <c r="BB75" s="434">
        <f t="shared" si="334"/>
        <v>0</v>
      </c>
      <c r="BC75" s="434">
        <f t="shared" si="335"/>
        <v>0</v>
      </c>
      <c r="BD75" s="434">
        <f t="shared" si="336"/>
        <v>0</v>
      </c>
      <c r="BE75" s="434">
        <f t="shared" si="337"/>
        <v>0</v>
      </c>
      <c r="BF75" s="434">
        <f t="shared" si="338"/>
        <v>0</v>
      </c>
      <c r="BG75" s="434">
        <f t="shared" si="339"/>
        <v>0</v>
      </c>
      <c r="BH75" s="435">
        <f t="shared" si="357"/>
        <v>0</v>
      </c>
      <c r="BI75" s="436">
        <f t="shared" si="340"/>
        <v>0</v>
      </c>
      <c r="BU75" s="436">
        <f t="shared" si="358"/>
        <v>0</v>
      </c>
      <c r="BX75" s="487">
        <v>29</v>
      </c>
      <c r="BY75" s="500">
        <f>'GASTOS EJER. 4'!BN41</f>
        <v>0</v>
      </c>
      <c r="BZ75" s="500">
        <f>'GASTOS EJER. 4'!CM41</f>
        <v>0</v>
      </c>
      <c r="CA75" s="490">
        <f t="shared" si="359"/>
        <v>0</v>
      </c>
      <c r="CC75" s="491">
        <f>'GASTOS EJER. 4'!AW41+'GASTOS EJER. 4'!BM41-'GASTOS EJER. 4'!CM41-'GASTOS EJER. 4'!CP41</f>
        <v>0</v>
      </c>
      <c r="CD75" s="492" t="str">
        <f>IF('GASTOS EJER. 4'!CT41="","",'GASTOS EJER. 4'!CT41)</f>
        <v/>
      </c>
      <c r="CE75" s="489">
        <f>'GASTOS EJER. 4'!CP41</f>
        <v>0</v>
      </c>
      <c r="CF75" s="493" t="str">
        <f>IF('GASTOS EJER. 4'!CW41="","",'GASTOS EJER. 4'!CW41)</f>
        <v/>
      </c>
      <c r="CG75" s="494">
        <f>IF(AND(CD75&gt;=EXPEDIENTE!$I$25,CD75&lt;=EXPEDIENTE!$I$29),CC75,0)</f>
        <v>0</v>
      </c>
      <c r="CH75" s="423">
        <f>IF(AND(CF75&gt;=EXPEDIENTE!$I$25,CF75&lt;=EXPEDIENTE!$I$29),CE75,0)</f>
        <v>0</v>
      </c>
      <c r="CI75" s="490">
        <f t="shared" si="360"/>
        <v>0</v>
      </c>
      <c r="CJ75" s="495" t="str">
        <f>IF('GASTOS EJER. 4'!AQ41="","",'GASTOS EJER. 4'!AQ41)</f>
        <v/>
      </c>
      <c r="CK75" s="496" t="str">
        <f>IF('GASTOS EJER. 4'!AT41="","",'GASTOS EJER. 4'!AT41)</f>
        <v/>
      </c>
      <c r="CL75" s="497">
        <f t="shared" si="361"/>
        <v>0</v>
      </c>
      <c r="CM75" s="498">
        <f t="shared" si="341"/>
        <v>0</v>
      </c>
      <c r="CN75" s="439">
        <f t="shared" si="362"/>
        <v>0</v>
      </c>
      <c r="CP75" s="423">
        <v>5</v>
      </c>
      <c r="CQ75" s="424" t="e">
        <f t="shared" si="342"/>
        <v>#VALUE!</v>
      </c>
      <c r="CR75" s="437">
        <f t="shared" si="363"/>
        <v>0</v>
      </c>
      <c r="CS75" s="423">
        <f t="shared" si="364"/>
        <v>0</v>
      </c>
      <c r="CT75" s="423">
        <f t="shared" si="365"/>
        <v>0</v>
      </c>
      <c r="CU75" s="423">
        <f t="shared" si="366"/>
        <v>0</v>
      </c>
      <c r="CV75" s="423">
        <f t="shared" si="367"/>
        <v>0</v>
      </c>
      <c r="CW75" s="423">
        <f t="shared" si="368"/>
        <v>0</v>
      </c>
      <c r="CX75" s="423">
        <f t="shared" si="369"/>
        <v>0</v>
      </c>
      <c r="CY75" s="438">
        <f t="shared" si="370"/>
        <v>0</v>
      </c>
      <c r="CZ75" s="436">
        <f t="shared" si="343"/>
        <v>0</v>
      </c>
      <c r="DL75" s="436">
        <f t="shared" si="371"/>
        <v>0</v>
      </c>
      <c r="DN75" s="487">
        <v>29</v>
      </c>
      <c r="DO75" s="499">
        <f>'GASTOS EJER. 4'!$C41</f>
        <v>0</v>
      </c>
      <c r="DP75" s="496" t="str">
        <f t="shared" si="372"/>
        <v/>
      </c>
      <c r="DQ75" s="496" t="str">
        <f t="shared" si="373"/>
        <v/>
      </c>
      <c r="DR75" s="386">
        <f t="shared" si="374"/>
        <v>0</v>
      </c>
      <c r="DS75" s="500">
        <f>'GASTOS EJER. 4'!X41</f>
        <v>0</v>
      </c>
      <c r="DT75" s="492" t="str">
        <f>IF(DS75=0,"",'GASTOS EJER. 4'!AA41)</f>
        <v/>
      </c>
      <c r="DU75" s="492" t="str">
        <f t="shared" si="346"/>
        <v/>
      </c>
      <c r="DV75" s="490" t="e">
        <f>IF(AND(DU75&gt;=EXPEDIENTE!$F$25,DU75&lt;=EXPEDIENTE!$F$29),ROUNDDOWN(DS75/DR75,2),0)</f>
        <v>#DIV/0!</v>
      </c>
      <c r="FJ75" s="120">
        <v>5</v>
      </c>
      <c r="FK75" s="492">
        <f>DATE(YEAR(EXPEDIENTE!$F$25)+3,FJ75,1)</f>
        <v>46143</v>
      </c>
      <c r="FL75" s="492" t="str">
        <f>IF('GASTOS EJER. 4'!I53="","",'GASTOS EJER. 4'!I53)</f>
        <v/>
      </c>
      <c r="FM75" s="500">
        <f>'GASTOS EJER. 4'!X24</f>
        <v>0</v>
      </c>
      <c r="FN75" s="500">
        <f>'GASTOS EJER. 4'!H53</f>
        <v>0</v>
      </c>
      <c r="FO75" s="423">
        <f t="shared" si="375"/>
        <v>0</v>
      </c>
      <c r="FP75" s="500">
        <f t="shared" si="347"/>
        <v>0</v>
      </c>
      <c r="FR75" s="487">
        <v>29</v>
      </c>
      <c r="FS75" s="499">
        <f>'GASTOS EJER. 4'!$C41</f>
        <v>0</v>
      </c>
      <c r="FT75" s="496" t="str">
        <f t="shared" si="376"/>
        <v/>
      </c>
      <c r="FU75" s="496" t="str">
        <f t="shared" si="377"/>
        <v/>
      </c>
      <c r="FV75" s="386">
        <f t="shared" si="378"/>
        <v>0</v>
      </c>
      <c r="FW75" s="500">
        <f>'GASTOS EJER. 4'!CM41</f>
        <v>0</v>
      </c>
      <c r="FX75" s="492" t="str">
        <f>IF(FW75=0,"",'GASTOS EJER. 4'!CT41)</f>
        <v/>
      </c>
      <c r="FY75" s="492" t="str">
        <f t="shared" si="348"/>
        <v/>
      </c>
      <c r="FZ75" s="490" t="e">
        <f>IF(AND(FY75&gt;=EXPEDIENTE!$F$25,FY75&lt;=EXPEDIENTE!$F$29),ROUNDDOWN(FW75/FV75,2),0)</f>
        <v>#DIV/0!</v>
      </c>
      <c r="HO75" s="120">
        <v>5</v>
      </c>
      <c r="HP75" s="492">
        <f>DATE(YEAR(EXPEDIENTE!$F$25)+3,HO75,1)</f>
        <v>46143</v>
      </c>
      <c r="HQ75" s="492" t="str">
        <f>IF('GASTOS EJER. 4'!BF53="","",'GASTOS EJER. 4'!BF53)</f>
        <v/>
      </c>
      <c r="HR75" s="500">
        <f>'GASTOS EJER. 4'!CM24</f>
        <v>0</v>
      </c>
      <c r="HS75" s="500">
        <f>'GASTOS EJER. 4'!BA53</f>
        <v>0</v>
      </c>
      <c r="HT75" s="423">
        <f t="shared" si="379"/>
        <v>0</v>
      </c>
      <c r="HU75" s="500">
        <f t="shared" si="349"/>
        <v>0</v>
      </c>
      <c r="JC75" s="406">
        <v>71</v>
      </c>
      <c r="JD75" s="398">
        <f t="shared" ref="JD75:JD104" si="380">JD70+2</f>
        <v>28</v>
      </c>
    </row>
    <row r="76" spans="3:264" x14ac:dyDescent="0.25">
      <c r="C76" s="206">
        <v>70</v>
      </c>
      <c r="D76" s="401"/>
      <c r="E76" s="417"/>
      <c r="F76" s="418"/>
      <c r="G76" s="419"/>
      <c r="H76" s="419"/>
      <c r="I76" s="419"/>
      <c r="J76" s="401"/>
      <c r="K76" s="407">
        <f t="shared" si="350"/>
        <v>76</v>
      </c>
      <c r="L76" s="407">
        <f t="shared" si="351"/>
        <v>76</v>
      </c>
      <c r="M76" s="407" t="str">
        <f t="shared" si="352"/>
        <v>X</v>
      </c>
      <c r="AG76" s="487">
        <v>30</v>
      </c>
      <c r="AH76" s="500">
        <f>'GASTOS EJER. 4'!M42</f>
        <v>0</v>
      </c>
      <c r="AI76" s="500">
        <f>'GASTOS EJER. 4'!X42</f>
        <v>0</v>
      </c>
      <c r="AJ76" s="490">
        <f t="shared" si="353"/>
        <v>0</v>
      </c>
      <c r="AL76" s="491">
        <f>'GASTOS EJER. 4'!F42+'GASTOS EJER. 4'!L42-'GASTOS EJER. 4'!X42-'GASTOS EJER. 4'!Y42</f>
        <v>0</v>
      </c>
      <c r="AM76" s="492" t="str">
        <f>IF('GASTOS EJER. 4'!AA42="","",'GASTOS EJER. 4'!AA42)</f>
        <v/>
      </c>
      <c r="AN76" s="489">
        <f>'GASTOS EJER. 4'!Y42</f>
        <v>0</v>
      </c>
      <c r="AO76" s="493" t="str">
        <f>IF('GASTOS EJER. 4'!AB42="","",'GASTOS EJER. 4'!AB42)</f>
        <v/>
      </c>
      <c r="AP76" s="494">
        <f>IF(AND(AM76&gt;=EXPEDIENTE!$I$25,AM76&lt;=EXPEDIENTE!$I$29),AL76,0)</f>
        <v>0</v>
      </c>
      <c r="AQ76" s="423">
        <f>IF(AND(AO76&gt;=EXPEDIENTE!$I$25,AO76&lt;=EXPEDIENTE!$I$29),AN76,0)</f>
        <v>0</v>
      </c>
      <c r="AR76" s="490">
        <f t="shared" si="354"/>
        <v>0</v>
      </c>
      <c r="AS76" s="495" t="str">
        <f>IF('GASTOS EJER. 4'!D42="","",'GASTOS EJER. 4'!D42)</f>
        <v/>
      </c>
      <c r="AT76" s="496" t="str">
        <f>IF('GASTOS EJER. 4'!E42="","",'GASTOS EJER. 4'!E42)</f>
        <v/>
      </c>
      <c r="AU76" s="497">
        <f t="shared" si="355"/>
        <v>0</v>
      </c>
      <c r="AV76" s="498">
        <f t="shared" si="331"/>
        <v>0</v>
      </c>
      <c r="AW76" s="439">
        <f t="shared" si="356"/>
        <v>0</v>
      </c>
      <c r="AY76" s="423">
        <v>6</v>
      </c>
      <c r="AZ76" s="424" t="e">
        <f t="shared" si="332"/>
        <v>#VALUE!</v>
      </c>
      <c r="BA76" s="433">
        <f t="shared" si="333"/>
        <v>0</v>
      </c>
      <c r="BB76" s="434">
        <f t="shared" si="334"/>
        <v>0</v>
      </c>
      <c r="BC76" s="434">
        <f t="shared" si="335"/>
        <v>0</v>
      </c>
      <c r="BD76" s="434">
        <f t="shared" si="336"/>
        <v>0</v>
      </c>
      <c r="BE76" s="434">
        <f t="shared" si="337"/>
        <v>0</v>
      </c>
      <c r="BF76" s="434">
        <f t="shared" si="338"/>
        <v>0</v>
      </c>
      <c r="BG76" s="434">
        <f t="shared" si="339"/>
        <v>0</v>
      </c>
      <c r="BH76" s="435">
        <f t="shared" si="357"/>
        <v>0</v>
      </c>
      <c r="BI76" s="436">
        <f t="shared" si="340"/>
        <v>0</v>
      </c>
      <c r="BU76" s="436">
        <f t="shared" si="358"/>
        <v>0</v>
      </c>
      <c r="BX76" s="487">
        <v>30</v>
      </c>
      <c r="BY76" s="500">
        <f>'GASTOS EJER. 4'!BN42</f>
        <v>0</v>
      </c>
      <c r="BZ76" s="500">
        <f>'GASTOS EJER. 4'!CM42</f>
        <v>0</v>
      </c>
      <c r="CA76" s="490">
        <f t="shared" si="359"/>
        <v>0</v>
      </c>
      <c r="CC76" s="491">
        <f>'GASTOS EJER. 4'!AW42+'GASTOS EJER. 4'!BM42-'GASTOS EJER. 4'!CM42-'GASTOS EJER. 4'!CP42</f>
        <v>0</v>
      </c>
      <c r="CD76" s="492" t="str">
        <f>IF('GASTOS EJER. 4'!CT42="","",'GASTOS EJER. 4'!CT42)</f>
        <v/>
      </c>
      <c r="CE76" s="489">
        <f>'GASTOS EJER. 4'!CP42</f>
        <v>0</v>
      </c>
      <c r="CF76" s="493" t="str">
        <f>IF('GASTOS EJER. 4'!CW42="","",'GASTOS EJER. 4'!CW42)</f>
        <v/>
      </c>
      <c r="CG76" s="494">
        <f>IF(AND(CD76&gt;=EXPEDIENTE!$I$25,CD76&lt;=EXPEDIENTE!$I$29),CC76,0)</f>
        <v>0</v>
      </c>
      <c r="CH76" s="423">
        <f>IF(AND(CF76&gt;=EXPEDIENTE!$I$25,CF76&lt;=EXPEDIENTE!$I$29),CE76,0)</f>
        <v>0</v>
      </c>
      <c r="CI76" s="490">
        <f t="shared" si="360"/>
        <v>0</v>
      </c>
      <c r="CJ76" s="495" t="str">
        <f>IF('GASTOS EJER. 4'!AQ42="","",'GASTOS EJER. 4'!AQ42)</f>
        <v/>
      </c>
      <c r="CK76" s="496" t="str">
        <f>IF('GASTOS EJER. 4'!AT42="","",'GASTOS EJER. 4'!AT42)</f>
        <v/>
      </c>
      <c r="CL76" s="497">
        <f t="shared" si="361"/>
        <v>0</v>
      </c>
      <c r="CM76" s="498">
        <f t="shared" si="341"/>
        <v>0</v>
      </c>
      <c r="CN76" s="439">
        <f t="shared" si="362"/>
        <v>0</v>
      </c>
      <c r="CP76" s="423">
        <v>6</v>
      </c>
      <c r="CQ76" s="424" t="e">
        <f t="shared" si="342"/>
        <v>#VALUE!</v>
      </c>
      <c r="CR76" s="437">
        <f t="shared" si="363"/>
        <v>0</v>
      </c>
      <c r="CS76" s="423">
        <f t="shared" si="364"/>
        <v>0</v>
      </c>
      <c r="CT76" s="423">
        <f t="shared" si="365"/>
        <v>0</v>
      </c>
      <c r="CU76" s="423">
        <f t="shared" si="366"/>
        <v>0</v>
      </c>
      <c r="CV76" s="423">
        <f t="shared" si="367"/>
        <v>0</v>
      </c>
      <c r="CW76" s="423">
        <f t="shared" si="368"/>
        <v>0</v>
      </c>
      <c r="CX76" s="423">
        <f t="shared" si="369"/>
        <v>0</v>
      </c>
      <c r="CY76" s="438">
        <f t="shared" si="370"/>
        <v>0</v>
      </c>
      <c r="CZ76" s="436">
        <f t="shared" si="343"/>
        <v>0</v>
      </c>
      <c r="DL76" s="436">
        <f t="shared" si="371"/>
        <v>0</v>
      </c>
      <c r="DN76" s="487">
        <v>30</v>
      </c>
      <c r="DO76" s="499">
        <f>'GASTOS EJER. 4'!$C42</f>
        <v>0</v>
      </c>
      <c r="DP76" s="496" t="str">
        <f t="shared" si="372"/>
        <v/>
      </c>
      <c r="DQ76" s="496" t="str">
        <f t="shared" si="373"/>
        <v/>
      </c>
      <c r="DR76" s="386">
        <f t="shared" si="374"/>
        <v>0</v>
      </c>
      <c r="DS76" s="500">
        <f>'GASTOS EJER. 4'!X42</f>
        <v>0</v>
      </c>
      <c r="DT76" s="492" t="str">
        <f>IF(DS76=0,"",'GASTOS EJER. 4'!AA42)</f>
        <v/>
      </c>
      <c r="DU76" s="492" t="str">
        <f t="shared" si="346"/>
        <v/>
      </c>
      <c r="DV76" s="490" t="e">
        <f>IF(AND(DU76&gt;=EXPEDIENTE!$F$25,DU76&lt;=EXPEDIENTE!$F$29),ROUNDDOWN(DS76/DR76,2),0)</f>
        <v>#DIV/0!</v>
      </c>
      <c r="FJ76" s="120">
        <v>6</v>
      </c>
      <c r="FK76" s="492">
        <f>DATE(YEAR(EXPEDIENTE!$F$25)+3,FJ76,1)</f>
        <v>46174</v>
      </c>
      <c r="FL76" s="492" t="str">
        <f>IF('GASTOS EJER. 4'!I54="","",'GASTOS EJER. 4'!I54)</f>
        <v/>
      </c>
      <c r="FM76" s="500">
        <f>'GASTOS EJER. 4'!X25</f>
        <v>0</v>
      </c>
      <c r="FN76" s="500">
        <f>'GASTOS EJER. 4'!H54</f>
        <v>0</v>
      </c>
      <c r="FO76" s="423">
        <f t="shared" si="375"/>
        <v>0</v>
      </c>
      <c r="FP76" s="500">
        <f t="shared" si="347"/>
        <v>0</v>
      </c>
      <c r="FR76" s="487">
        <v>30</v>
      </c>
      <c r="FS76" s="499">
        <f>'GASTOS EJER. 4'!$C42</f>
        <v>0</v>
      </c>
      <c r="FT76" s="496" t="str">
        <f t="shared" si="376"/>
        <v/>
      </c>
      <c r="FU76" s="496" t="str">
        <f t="shared" si="377"/>
        <v/>
      </c>
      <c r="FV76" s="386">
        <f t="shared" si="378"/>
        <v>0</v>
      </c>
      <c r="FW76" s="500">
        <f>'GASTOS EJER. 4'!CM42</f>
        <v>0</v>
      </c>
      <c r="FX76" s="492" t="str">
        <f>IF(FW76=0,"",'GASTOS EJER. 4'!CT42)</f>
        <v/>
      </c>
      <c r="FY76" s="492" t="str">
        <f t="shared" si="348"/>
        <v/>
      </c>
      <c r="FZ76" s="490" t="e">
        <f>IF(AND(FY76&gt;=EXPEDIENTE!$F$25,FY76&lt;=EXPEDIENTE!$F$29),ROUNDDOWN(FW76/FV76,2),0)</f>
        <v>#DIV/0!</v>
      </c>
      <c r="HO76" s="120">
        <v>6</v>
      </c>
      <c r="HP76" s="492">
        <f>DATE(YEAR(EXPEDIENTE!$F$25)+3,HO76,1)</f>
        <v>46174</v>
      </c>
      <c r="HQ76" s="492" t="str">
        <f>IF('GASTOS EJER. 4'!BF54="","",'GASTOS EJER. 4'!BF54)</f>
        <v/>
      </c>
      <c r="HR76" s="500">
        <f>'GASTOS EJER. 4'!CM25</f>
        <v>0</v>
      </c>
      <c r="HS76" s="500">
        <f>'GASTOS EJER. 4'!BA54</f>
        <v>0</v>
      </c>
      <c r="HT76" s="423">
        <f t="shared" si="379"/>
        <v>0</v>
      </c>
      <c r="HU76" s="500">
        <f t="shared" si="349"/>
        <v>0</v>
      </c>
      <c r="JC76" s="416">
        <v>72</v>
      </c>
      <c r="JD76" s="398">
        <f t="shared" si="380"/>
        <v>28</v>
      </c>
    </row>
    <row r="77" spans="3:264" x14ac:dyDescent="0.25">
      <c r="C77" s="206">
        <v>71</v>
      </c>
      <c r="D77" s="401"/>
      <c r="E77" s="417"/>
      <c r="F77" s="418"/>
      <c r="G77" s="419"/>
      <c r="H77" s="419"/>
      <c r="I77" s="419"/>
      <c r="J77" s="401"/>
      <c r="K77" s="407">
        <f t="shared" si="350"/>
        <v>76</v>
      </c>
      <c r="L77" s="407">
        <f t="shared" si="351"/>
        <v>76</v>
      </c>
      <c r="M77" s="407" t="str">
        <f t="shared" si="352"/>
        <v>X</v>
      </c>
      <c r="AG77" s="487">
        <v>31</v>
      </c>
      <c r="AH77" s="500">
        <f>'GASTOS EJER. 4'!M43</f>
        <v>0</v>
      </c>
      <c r="AI77" s="500">
        <f>'GASTOS EJER. 4'!X43</f>
        <v>0</v>
      </c>
      <c r="AJ77" s="490">
        <f t="shared" si="353"/>
        <v>0</v>
      </c>
      <c r="AL77" s="491">
        <f>'GASTOS EJER. 4'!F43+'GASTOS EJER. 4'!L43-'GASTOS EJER. 4'!X43-'GASTOS EJER. 4'!Y43</f>
        <v>0</v>
      </c>
      <c r="AM77" s="492" t="str">
        <f>IF('GASTOS EJER. 4'!AA43="","",'GASTOS EJER. 4'!AA43)</f>
        <v/>
      </c>
      <c r="AN77" s="489">
        <f>'GASTOS EJER. 4'!Y43</f>
        <v>0</v>
      </c>
      <c r="AO77" s="493" t="str">
        <f>IF('GASTOS EJER. 4'!AB43="","",'GASTOS EJER. 4'!AB43)</f>
        <v/>
      </c>
      <c r="AP77" s="494">
        <f>IF(AND(AM77&gt;=EXPEDIENTE!$I$25,AM77&lt;=EXPEDIENTE!$I$29),AL77,0)</f>
        <v>0</v>
      </c>
      <c r="AQ77" s="423">
        <f>IF(AND(AO77&gt;=EXPEDIENTE!$I$25,AO77&lt;=EXPEDIENTE!$I$29),AN77,0)</f>
        <v>0</v>
      </c>
      <c r="AR77" s="490">
        <f t="shared" si="354"/>
        <v>0</v>
      </c>
      <c r="AS77" s="495" t="str">
        <f>IF('GASTOS EJER. 4'!D43="","",'GASTOS EJER. 4'!D43)</f>
        <v/>
      </c>
      <c r="AT77" s="496" t="str">
        <f>IF('GASTOS EJER. 4'!E43="","",'GASTOS EJER. 4'!E43)</f>
        <v/>
      </c>
      <c r="AU77" s="497">
        <f t="shared" si="355"/>
        <v>0</v>
      </c>
      <c r="AV77" s="498">
        <f t="shared" si="331"/>
        <v>0</v>
      </c>
      <c r="AW77" s="439">
        <f t="shared" si="356"/>
        <v>0</v>
      </c>
      <c r="AY77" s="423">
        <v>7</v>
      </c>
      <c r="AZ77" s="424" t="e">
        <f t="shared" si="332"/>
        <v>#VALUE!</v>
      </c>
      <c r="BA77" s="433">
        <f t="shared" si="333"/>
        <v>0</v>
      </c>
      <c r="BB77" s="434">
        <f t="shared" si="334"/>
        <v>0</v>
      </c>
      <c r="BC77" s="434">
        <f t="shared" si="335"/>
        <v>0</v>
      </c>
      <c r="BD77" s="434">
        <f t="shared" si="336"/>
        <v>0</v>
      </c>
      <c r="BE77" s="434">
        <f t="shared" si="337"/>
        <v>0</v>
      </c>
      <c r="BF77" s="434">
        <f t="shared" si="338"/>
        <v>0</v>
      </c>
      <c r="BG77" s="434">
        <f t="shared" si="339"/>
        <v>0</v>
      </c>
      <c r="BH77" s="435">
        <f t="shared" si="357"/>
        <v>0</v>
      </c>
      <c r="BI77" s="436">
        <f t="shared" si="340"/>
        <v>0</v>
      </c>
      <c r="BU77" s="436">
        <f t="shared" si="358"/>
        <v>0</v>
      </c>
      <c r="BX77" s="487">
        <v>31</v>
      </c>
      <c r="BY77" s="500">
        <f>'GASTOS EJER. 4'!BN43</f>
        <v>0</v>
      </c>
      <c r="BZ77" s="500">
        <f>'GASTOS EJER. 4'!CM43</f>
        <v>0</v>
      </c>
      <c r="CA77" s="490">
        <f t="shared" si="359"/>
        <v>0</v>
      </c>
      <c r="CC77" s="491">
        <f>'GASTOS EJER. 4'!AW43+'GASTOS EJER. 4'!BM43-'GASTOS EJER. 4'!CM43-'GASTOS EJER. 4'!CP43</f>
        <v>0</v>
      </c>
      <c r="CD77" s="492" t="str">
        <f>IF('GASTOS EJER. 4'!CT43="","",'GASTOS EJER. 4'!CT43)</f>
        <v/>
      </c>
      <c r="CE77" s="489">
        <f>'GASTOS EJER. 4'!CP43</f>
        <v>0</v>
      </c>
      <c r="CF77" s="493" t="str">
        <f>IF('GASTOS EJER. 4'!CW43="","",'GASTOS EJER. 4'!CW43)</f>
        <v/>
      </c>
      <c r="CG77" s="494">
        <f>IF(AND(CD77&gt;=EXPEDIENTE!$I$25,CD77&lt;=EXPEDIENTE!$I$29),CC77,0)</f>
        <v>0</v>
      </c>
      <c r="CH77" s="423">
        <f>IF(AND(CF77&gt;=EXPEDIENTE!$I$25,CF77&lt;=EXPEDIENTE!$I$29),CE77,0)</f>
        <v>0</v>
      </c>
      <c r="CI77" s="490">
        <f t="shared" si="360"/>
        <v>0</v>
      </c>
      <c r="CJ77" s="495" t="str">
        <f>IF('GASTOS EJER. 4'!AQ43="","",'GASTOS EJER. 4'!AQ43)</f>
        <v/>
      </c>
      <c r="CK77" s="496" t="str">
        <f>IF('GASTOS EJER. 4'!AT43="","",'GASTOS EJER. 4'!AT43)</f>
        <v/>
      </c>
      <c r="CL77" s="497">
        <f t="shared" si="361"/>
        <v>0</v>
      </c>
      <c r="CM77" s="498">
        <f t="shared" si="341"/>
        <v>0</v>
      </c>
      <c r="CN77" s="439">
        <f t="shared" si="362"/>
        <v>0</v>
      </c>
      <c r="CP77" s="423">
        <v>7</v>
      </c>
      <c r="CQ77" s="424" t="e">
        <f t="shared" si="342"/>
        <v>#VALUE!</v>
      </c>
      <c r="CR77" s="437">
        <f t="shared" si="363"/>
        <v>0</v>
      </c>
      <c r="CS77" s="423">
        <f t="shared" si="364"/>
        <v>0</v>
      </c>
      <c r="CT77" s="423">
        <f t="shared" si="365"/>
        <v>0</v>
      </c>
      <c r="CU77" s="423">
        <f t="shared" si="366"/>
        <v>0</v>
      </c>
      <c r="CV77" s="423">
        <f t="shared" si="367"/>
        <v>0</v>
      </c>
      <c r="CW77" s="423">
        <f t="shared" si="368"/>
        <v>0</v>
      </c>
      <c r="CX77" s="423">
        <f t="shared" si="369"/>
        <v>0</v>
      </c>
      <c r="CY77" s="438">
        <f t="shared" si="370"/>
        <v>0</v>
      </c>
      <c r="CZ77" s="436">
        <f t="shared" si="343"/>
        <v>0</v>
      </c>
      <c r="DL77" s="436">
        <f t="shared" si="371"/>
        <v>0</v>
      </c>
      <c r="DN77" s="487">
        <v>31</v>
      </c>
      <c r="DO77" s="499">
        <f>'GASTOS EJER. 4'!$C43</f>
        <v>0</v>
      </c>
      <c r="DP77" s="496" t="str">
        <f t="shared" si="372"/>
        <v/>
      </c>
      <c r="DQ77" s="496" t="str">
        <f t="shared" si="373"/>
        <v/>
      </c>
      <c r="DR77" s="386">
        <f t="shared" si="374"/>
        <v>0</v>
      </c>
      <c r="DS77" s="500">
        <f>'GASTOS EJER. 4'!X43</f>
        <v>0</v>
      </c>
      <c r="DT77" s="492" t="str">
        <f>IF(DS77=0,"",'GASTOS EJER. 4'!AA43)</f>
        <v/>
      </c>
      <c r="DU77" s="492" t="str">
        <f t="shared" si="346"/>
        <v/>
      </c>
      <c r="DV77" s="490" t="e">
        <f>IF(AND(DU77&gt;=EXPEDIENTE!$F$25,DU77&lt;=EXPEDIENTE!$F$29),ROUNDDOWN(DS77/DR77,2),0)</f>
        <v>#DIV/0!</v>
      </c>
      <c r="FJ77" s="120">
        <v>7</v>
      </c>
      <c r="FK77" s="492">
        <f>DATE(YEAR(EXPEDIENTE!$F$25)+3,FJ77,1)</f>
        <v>46204</v>
      </c>
      <c r="FL77" s="492" t="str">
        <f>IF('GASTOS EJER. 4'!I55="","",'GASTOS EJER. 4'!I55)</f>
        <v/>
      </c>
      <c r="FM77" s="500">
        <f>'GASTOS EJER. 4'!X26</f>
        <v>0</v>
      </c>
      <c r="FN77" s="500">
        <f>'GASTOS EJER. 4'!H55</f>
        <v>0</v>
      </c>
      <c r="FO77" s="423">
        <f t="shared" si="375"/>
        <v>0</v>
      </c>
      <c r="FP77" s="500">
        <f t="shared" si="347"/>
        <v>0</v>
      </c>
      <c r="FR77" s="487">
        <v>31</v>
      </c>
      <c r="FS77" s="499">
        <f>'GASTOS EJER. 4'!$C43</f>
        <v>0</v>
      </c>
      <c r="FT77" s="496" t="str">
        <f t="shared" si="376"/>
        <v/>
      </c>
      <c r="FU77" s="496" t="str">
        <f t="shared" si="377"/>
        <v/>
      </c>
      <c r="FV77" s="386">
        <f t="shared" si="378"/>
        <v>0</v>
      </c>
      <c r="FW77" s="500">
        <f>'GASTOS EJER. 4'!CM43</f>
        <v>0</v>
      </c>
      <c r="FX77" s="492" t="str">
        <f>IF(FW77=0,"",'GASTOS EJER. 4'!CT43)</f>
        <v/>
      </c>
      <c r="FY77" s="492" t="str">
        <f t="shared" si="348"/>
        <v/>
      </c>
      <c r="FZ77" s="490" t="e">
        <f>IF(AND(FY77&gt;=EXPEDIENTE!$F$25,FY77&lt;=EXPEDIENTE!$F$29),ROUNDDOWN(FW77/FV77,2),0)</f>
        <v>#DIV/0!</v>
      </c>
      <c r="HO77" s="120">
        <v>7</v>
      </c>
      <c r="HP77" s="492">
        <f>DATE(YEAR(EXPEDIENTE!$F$25)+3,HO77,1)</f>
        <v>46204</v>
      </c>
      <c r="HQ77" s="492" t="str">
        <f>IF('GASTOS EJER. 4'!BF55="","",'GASTOS EJER. 4'!BF55)</f>
        <v/>
      </c>
      <c r="HR77" s="500">
        <f>'GASTOS EJER. 4'!CM26</f>
        <v>0</v>
      </c>
      <c r="HS77" s="500">
        <f>'GASTOS EJER. 4'!BA55</f>
        <v>0</v>
      </c>
      <c r="HT77" s="423">
        <f t="shared" si="379"/>
        <v>0</v>
      </c>
      <c r="HU77" s="500">
        <f t="shared" si="349"/>
        <v>0</v>
      </c>
      <c r="JC77" s="416">
        <v>73</v>
      </c>
      <c r="JD77" s="398">
        <f t="shared" si="380"/>
        <v>28</v>
      </c>
    </row>
    <row r="78" spans="3:264" ht="15.75" thickBot="1" x14ac:dyDescent="0.3">
      <c r="C78" s="206">
        <v>72</v>
      </c>
      <c r="D78" s="401"/>
      <c r="E78" s="417"/>
      <c r="F78" s="418"/>
      <c r="G78" s="419"/>
      <c r="H78" s="419"/>
      <c r="I78" s="419"/>
      <c r="J78" s="401"/>
      <c r="K78" s="407">
        <f t="shared" si="350"/>
        <v>76</v>
      </c>
      <c r="L78" s="407">
        <f t="shared" si="351"/>
        <v>76</v>
      </c>
      <c r="M78" s="407" t="str">
        <f t="shared" si="352"/>
        <v>X</v>
      </c>
      <c r="AG78" s="501">
        <v>32</v>
      </c>
      <c r="AH78" s="515">
        <f>'GASTOS EJER. 4'!M44</f>
        <v>0</v>
      </c>
      <c r="AI78" s="515">
        <f>'GASTOS EJER. 4'!X44</f>
        <v>0</v>
      </c>
      <c r="AJ78" s="504">
        <f t="shared" si="353"/>
        <v>0</v>
      </c>
      <c r="AL78" s="505">
        <f>'GASTOS EJER. 4'!F44+'GASTOS EJER. 4'!L44-'GASTOS EJER. 4'!X44-'GASTOS EJER. 4'!Y44</f>
        <v>0</v>
      </c>
      <c r="AM78" s="506" t="str">
        <f>IF('GASTOS EJER. 4'!AA44="","",'GASTOS EJER. 4'!AA44)</f>
        <v/>
      </c>
      <c r="AN78" s="503">
        <f>'GASTOS EJER. 4'!Y44</f>
        <v>0</v>
      </c>
      <c r="AO78" s="507" t="str">
        <f>IF('GASTOS EJER. 4'!AB44="","",'GASTOS EJER. 4'!AB44)</f>
        <v/>
      </c>
      <c r="AP78" s="508">
        <f>IF(AND(AM78&gt;=EXPEDIENTE!$I$25,AM78&lt;=EXPEDIENTE!$I$29),AL78,0)</f>
        <v>0</v>
      </c>
      <c r="AQ78" s="451">
        <f>IF(AND(AO78&gt;=EXPEDIENTE!$I$25,AO78&lt;=EXPEDIENTE!$I$29),AN78,0)</f>
        <v>0</v>
      </c>
      <c r="AR78" s="504">
        <f t="shared" si="354"/>
        <v>0</v>
      </c>
      <c r="AS78" s="509" t="str">
        <f>IF('GASTOS EJER. 4'!D44="","",'GASTOS EJER. 4'!D44)</f>
        <v/>
      </c>
      <c r="AT78" s="510" t="str">
        <f>IF('GASTOS EJER. 4'!E44="","",'GASTOS EJER. 4'!E44)</f>
        <v/>
      </c>
      <c r="AU78" s="511">
        <f t="shared" si="355"/>
        <v>0</v>
      </c>
      <c r="AV78" s="512">
        <f t="shared" si="331"/>
        <v>0</v>
      </c>
      <c r="AW78" s="453">
        <f t="shared" si="356"/>
        <v>0</v>
      </c>
      <c r="AY78" s="423">
        <v>8</v>
      </c>
      <c r="AZ78" s="424" t="e">
        <f t="shared" si="332"/>
        <v>#VALUE!</v>
      </c>
      <c r="BA78" s="433">
        <f t="shared" si="333"/>
        <v>0</v>
      </c>
      <c r="BB78" s="434">
        <f t="shared" si="334"/>
        <v>0</v>
      </c>
      <c r="BC78" s="434">
        <f t="shared" si="335"/>
        <v>0</v>
      </c>
      <c r="BD78" s="434">
        <f t="shared" si="336"/>
        <v>0</v>
      </c>
      <c r="BE78" s="434">
        <f t="shared" si="337"/>
        <v>0</v>
      </c>
      <c r="BF78" s="434">
        <f t="shared" si="338"/>
        <v>0</v>
      </c>
      <c r="BG78" s="434">
        <f t="shared" si="339"/>
        <v>0</v>
      </c>
      <c r="BH78" s="435">
        <f t="shared" si="357"/>
        <v>0</v>
      </c>
      <c r="BI78" s="436">
        <f t="shared" si="340"/>
        <v>0</v>
      </c>
      <c r="BU78" s="436">
        <f t="shared" si="358"/>
        <v>0</v>
      </c>
      <c r="BX78" s="501">
        <v>32</v>
      </c>
      <c r="BY78" s="515">
        <f>'GASTOS EJER. 4'!BN44</f>
        <v>0</v>
      </c>
      <c r="BZ78" s="515">
        <f>'GASTOS EJER. 4'!CM44</f>
        <v>0</v>
      </c>
      <c r="CA78" s="504">
        <f t="shared" si="359"/>
        <v>0</v>
      </c>
      <c r="CC78" s="505">
        <f>'GASTOS EJER. 4'!AW44+'GASTOS EJER. 4'!BM44-'GASTOS EJER. 4'!CM44-'GASTOS EJER. 4'!CP44</f>
        <v>0</v>
      </c>
      <c r="CD78" s="506" t="str">
        <f>IF('GASTOS EJER. 4'!CT44="","",'GASTOS EJER. 4'!CT44)</f>
        <v/>
      </c>
      <c r="CE78" s="503">
        <f>'GASTOS EJER. 4'!CP44</f>
        <v>0</v>
      </c>
      <c r="CF78" s="507" t="str">
        <f>IF('GASTOS EJER. 4'!CW44="","",'GASTOS EJER. 4'!CW44)</f>
        <v/>
      </c>
      <c r="CG78" s="508">
        <f>IF(AND(CD78&gt;=EXPEDIENTE!$I$25,CD78&lt;=EXPEDIENTE!$I$29),CC78,0)</f>
        <v>0</v>
      </c>
      <c r="CH78" s="451">
        <f>IF(AND(CF78&gt;=EXPEDIENTE!$I$25,CF78&lt;=EXPEDIENTE!$I$29),CE78,0)</f>
        <v>0</v>
      </c>
      <c r="CI78" s="504">
        <f t="shared" si="360"/>
        <v>0</v>
      </c>
      <c r="CJ78" s="509" t="str">
        <f>IF('GASTOS EJER. 4'!AQ44="","",'GASTOS EJER. 4'!AQ44)</f>
        <v/>
      </c>
      <c r="CK78" s="510" t="str">
        <f>IF('GASTOS EJER. 4'!AT44="","",'GASTOS EJER. 4'!AT44)</f>
        <v/>
      </c>
      <c r="CL78" s="511">
        <f t="shared" si="361"/>
        <v>0</v>
      </c>
      <c r="CM78" s="512">
        <f t="shared" si="341"/>
        <v>0</v>
      </c>
      <c r="CN78" s="453">
        <f t="shared" si="362"/>
        <v>0</v>
      </c>
      <c r="CP78" s="423">
        <v>8</v>
      </c>
      <c r="CQ78" s="424" t="e">
        <f t="shared" si="342"/>
        <v>#VALUE!</v>
      </c>
      <c r="CR78" s="437">
        <f t="shared" si="363"/>
        <v>0</v>
      </c>
      <c r="CS78" s="423">
        <f t="shared" si="364"/>
        <v>0</v>
      </c>
      <c r="CT78" s="423">
        <f t="shared" si="365"/>
        <v>0</v>
      </c>
      <c r="CU78" s="423">
        <f t="shared" si="366"/>
        <v>0</v>
      </c>
      <c r="CV78" s="423">
        <f t="shared" si="367"/>
        <v>0</v>
      </c>
      <c r="CW78" s="423">
        <f t="shared" si="368"/>
        <v>0</v>
      </c>
      <c r="CX78" s="423">
        <f t="shared" si="369"/>
        <v>0</v>
      </c>
      <c r="CY78" s="438">
        <f t="shared" si="370"/>
        <v>0</v>
      </c>
      <c r="CZ78" s="436">
        <f t="shared" si="343"/>
        <v>0</v>
      </c>
      <c r="DL78" s="436">
        <f t="shared" si="371"/>
        <v>0</v>
      </c>
      <c r="DN78" s="501">
        <v>32</v>
      </c>
      <c r="DO78" s="513">
        <f>'GASTOS EJER. 4'!$C44</f>
        <v>0</v>
      </c>
      <c r="DP78" s="510" t="str">
        <f t="shared" si="372"/>
        <v/>
      </c>
      <c r="DQ78" s="510" t="str">
        <f t="shared" si="373"/>
        <v/>
      </c>
      <c r="DR78" s="514">
        <f t="shared" si="374"/>
        <v>0</v>
      </c>
      <c r="DS78" s="515">
        <f>'GASTOS EJER. 4'!X44</f>
        <v>0</v>
      </c>
      <c r="DT78" s="506" t="str">
        <f>IF(DS78=0,"",'GASTOS EJER. 4'!AA44)</f>
        <v/>
      </c>
      <c r="DU78" s="506" t="str">
        <f t="shared" si="346"/>
        <v/>
      </c>
      <c r="DV78" s="504" t="e">
        <f>IF(AND(DU78&gt;=EXPEDIENTE!$F$25,DU78&lt;=EXPEDIENTE!$F$29),ROUNDDOWN(DS78/DR78,2),0)</f>
        <v>#DIV/0!</v>
      </c>
      <c r="FJ78" s="120">
        <v>8</v>
      </c>
      <c r="FK78" s="492">
        <f>DATE(YEAR(EXPEDIENTE!$F$25)+3,FJ78,1)</f>
        <v>46235</v>
      </c>
      <c r="FL78" s="492" t="str">
        <f>IF('GASTOS EJER. 4'!I56="","",'GASTOS EJER. 4'!I56)</f>
        <v/>
      </c>
      <c r="FM78" s="500">
        <f>'GASTOS EJER. 4'!X27</f>
        <v>0</v>
      </c>
      <c r="FN78" s="500">
        <f>'GASTOS EJER. 4'!H56</f>
        <v>0</v>
      </c>
      <c r="FO78" s="423">
        <f t="shared" si="375"/>
        <v>0</v>
      </c>
      <c r="FP78" s="500">
        <f t="shared" si="347"/>
        <v>0</v>
      </c>
      <c r="FR78" s="501">
        <v>32</v>
      </c>
      <c r="FS78" s="513">
        <f>'GASTOS EJER. 4'!$C44</f>
        <v>0</v>
      </c>
      <c r="FT78" s="510" t="str">
        <f t="shared" si="376"/>
        <v/>
      </c>
      <c r="FU78" s="510" t="str">
        <f t="shared" si="377"/>
        <v/>
      </c>
      <c r="FV78" s="514">
        <f t="shared" si="378"/>
        <v>0</v>
      </c>
      <c r="FW78" s="515">
        <f>'GASTOS EJER. 4'!CM44</f>
        <v>0</v>
      </c>
      <c r="FX78" s="506" t="str">
        <f>IF(FW78=0,"",'GASTOS EJER. 4'!CT44)</f>
        <v/>
      </c>
      <c r="FY78" s="506" t="str">
        <f t="shared" si="348"/>
        <v/>
      </c>
      <c r="FZ78" s="504" t="e">
        <f>IF(AND(FY78&gt;=EXPEDIENTE!$F$25,FY78&lt;=EXPEDIENTE!$F$29),ROUNDDOWN(FW78/FV78,2),0)</f>
        <v>#DIV/0!</v>
      </c>
      <c r="HO78" s="120">
        <v>8</v>
      </c>
      <c r="HP78" s="492">
        <f>DATE(YEAR(EXPEDIENTE!$F$25)+3,HO78,1)</f>
        <v>46235</v>
      </c>
      <c r="HQ78" s="492" t="str">
        <f>IF('GASTOS EJER. 4'!BF56="","",'GASTOS EJER. 4'!BF56)</f>
        <v/>
      </c>
      <c r="HR78" s="500">
        <f>'GASTOS EJER. 4'!CM27</f>
        <v>0</v>
      </c>
      <c r="HS78" s="500">
        <f>'GASTOS EJER. 4'!BA56</f>
        <v>0</v>
      </c>
      <c r="HT78" s="423">
        <f t="shared" si="379"/>
        <v>0</v>
      </c>
      <c r="HU78" s="500">
        <f t="shared" si="349"/>
        <v>0</v>
      </c>
      <c r="JC78" s="416">
        <v>74</v>
      </c>
      <c r="JD78" s="398">
        <f t="shared" si="380"/>
        <v>28</v>
      </c>
    </row>
    <row r="79" spans="3:264" x14ac:dyDescent="0.25">
      <c r="C79" s="206">
        <v>73</v>
      </c>
      <c r="D79" s="401"/>
      <c r="E79" s="417"/>
      <c r="F79" s="418"/>
      <c r="G79" s="419"/>
      <c r="H79" s="419"/>
      <c r="I79" s="419"/>
      <c r="J79" s="401"/>
      <c r="K79" s="407">
        <f t="shared" si="350"/>
        <v>76</v>
      </c>
      <c r="L79" s="407">
        <f t="shared" si="351"/>
        <v>76</v>
      </c>
      <c r="M79" s="407" t="str">
        <f t="shared" si="352"/>
        <v>X</v>
      </c>
      <c r="AY79" s="423">
        <v>9</v>
      </c>
      <c r="AZ79" s="424" t="e">
        <f t="shared" si="332"/>
        <v>#VALUE!</v>
      </c>
      <c r="BA79" s="433">
        <f t="shared" si="333"/>
        <v>0</v>
      </c>
      <c r="BB79" s="434">
        <f t="shared" si="334"/>
        <v>0</v>
      </c>
      <c r="BC79" s="434">
        <f t="shared" si="335"/>
        <v>0</v>
      </c>
      <c r="BD79" s="434">
        <f t="shared" si="336"/>
        <v>0</v>
      </c>
      <c r="BE79" s="434">
        <f t="shared" si="337"/>
        <v>0</v>
      </c>
      <c r="BF79" s="434">
        <f t="shared" si="338"/>
        <v>0</v>
      </c>
      <c r="BG79" s="434">
        <f t="shared" si="339"/>
        <v>0</v>
      </c>
      <c r="BH79" s="435">
        <f t="shared" si="357"/>
        <v>0</v>
      </c>
      <c r="BI79" s="436">
        <f t="shared" si="340"/>
        <v>0</v>
      </c>
      <c r="BU79" s="436">
        <f t="shared" si="358"/>
        <v>0</v>
      </c>
      <c r="CP79" s="423">
        <v>9</v>
      </c>
      <c r="CQ79" s="424" t="e">
        <f t="shared" si="342"/>
        <v>#VALUE!</v>
      </c>
      <c r="CR79" s="437">
        <f t="shared" si="363"/>
        <v>0</v>
      </c>
      <c r="CS79" s="423">
        <f t="shared" si="364"/>
        <v>0</v>
      </c>
      <c r="CT79" s="423">
        <f t="shared" si="365"/>
        <v>0</v>
      </c>
      <c r="CU79" s="423">
        <f t="shared" si="366"/>
        <v>0</v>
      </c>
      <c r="CV79" s="423">
        <f t="shared" si="367"/>
        <v>0</v>
      </c>
      <c r="CW79" s="423">
        <f t="shared" si="368"/>
        <v>0</v>
      </c>
      <c r="CX79" s="423">
        <f t="shared" si="369"/>
        <v>0</v>
      </c>
      <c r="CY79" s="438">
        <f t="shared" si="370"/>
        <v>0</v>
      </c>
      <c r="CZ79" s="436">
        <f t="shared" si="343"/>
        <v>0</v>
      </c>
      <c r="DL79" s="436">
        <f t="shared" si="371"/>
        <v>0</v>
      </c>
      <c r="FJ79" s="120">
        <v>9</v>
      </c>
      <c r="FK79" s="492">
        <f>DATE(YEAR(EXPEDIENTE!$F$25)+3,FJ79,1)</f>
        <v>46266</v>
      </c>
      <c r="FL79" s="492" t="str">
        <f>IF('GASTOS EJER. 4'!I57="","",'GASTOS EJER. 4'!I57)</f>
        <v/>
      </c>
      <c r="FM79" s="500">
        <f>'GASTOS EJER. 4'!X28</f>
        <v>0</v>
      </c>
      <c r="FN79" s="500">
        <f>'GASTOS EJER. 4'!H57</f>
        <v>0</v>
      </c>
      <c r="FO79" s="423">
        <f t="shared" si="375"/>
        <v>0</v>
      </c>
      <c r="FP79" s="500">
        <f t="shared" si="347"/>
        <v>0</v>
      </c>
      <c r="HO79" s="120">
        <v>9</v>
      </c>
      <c r="HP79" s="492">
        <f>DATE(YEAR(EXPEDIENTE!$F$25)+3,HO79,1)</f>
        <v>46266</v>
      </c>
      <c r="HQ79" s="492" t="str">
        <f>IF('GASTOS EJER. 4'!BF57="","",'GASTOS EJER. 4'!BF57)</f>
        <v/>
      </c>
      <c r="HR79" s="500">
        <f>'GASTOS EJER. 4'!CM28</f>
        <v>0</v>
      </c>
      <c r="HS79" s="500">
        <f>'GASTOS EJER. 4'!BA57</f>
        <v>0</v>
      </c>
      <c r="HT79" s="423">
        <f t="shared" si="379"/>
        <v>0</v>
      </c>
      <c r="HU79" s="500">
        <f t="shared" si="349"/>
        <v>0</v>
      </c>
      <c r="JC79" s="442">
        <v>75</v>
      </c>
      <c r="JD79" s="398">
        <f t="shared" si="380"/>
        <v>28</v>
      </c>
    </row>
    <row r="80" spans="3:264" x14ac:dyDescent="0.25">
      <c r="C80" s="206">
        <v>74</v>
      </c>
      <c r="D80" s="401"/>
      <c r="E80" s="417"/>
      <c r="F80" s="418"/>
      <c r="G80" s="419"/>
      <c r="H80" s="419"/>
      <c r="I80" s="419"/>
      <c r="J80" s="401"/>
      <c r="K80" s="407">
        <f t="shared" si="350"/>
        <v>76</v>
      </c>
      <c r="L80" s="407">
        <f t="shared" si="351"/>
        <v>76</v>
      </c>
      <c r="M80" s="407" t="str">
        <f t="shared" si="352"/>
        <v>X</v>
      </c>
      <c r="AY80" s="423">
        <v>10</v>
      </c>
      <c r="AZ80" s="424" t="e">
        <f t="shared" si="332"/>
        <v>#VALUE!</v>
      </c>
      <c r="BA80" s="433">
        <f t="shared" si="333"/>
        <v>0</v>
      </c>
      <c r="BB80" s="434">
        <f t="shared" si="334"/>
        <v>0</v>
      </c>
      <c r="BC80" s="434">
        <f t="shared" si="335"/>
        <v>0</v>
      </c>
      <c r="BD80" s="434">
        <f t="shared" si="336"/>
        <v>0</v>
      </c>
      <c r="BE80" s="434">
        <f t="shared" si="337"/>
        <v>0</v>
      </c>
      <c r="BF80" s="434">
        <f t="shared" si="338"/>
        <v>0</v>
      </c>
      <c r="BG80" s="434">
        <f t="shared" si="339"/>
        <v>0</v>
      </c>
      <c r="BH80" s="435">
        <f t="shared" si="357"/>
        <v>0</v>
      </c>
      <c r="BI80" s="436">
        <f>SUM(BA80:BH80)</f>
        <v>0</v>
      </c>
      <c r="BU80" s="436">
        <f t="shared" si="358"/>
        <v>0</v>
      </c>
      <c r="CP80" s="423">
        <v>10</v>
      </c>
      <c r="CQ80" s="424" t="e">
        <f t="shared" si="342"/>
        <v>#VALUE!</v>
      </c>
      <c r="CR80" s="437">
        <f t="shared" si="363"/>
        <v>0</v>
      </c>
      <c r="CS80" s="423">
        <f t="shared" si="364"/>
        <v>0</v>
      </c>
      <c r="CT80" s="423">
        <f t="shared" si="365"/>
        <v>0</v>
      </c>
      <c r="CU80" s="423">
        <f t="shared" si="366"/>
        <v>0</v>
      </c>
      <c r="CV80" s="423">
        <f t="shared" si="367"/>
        <v>0</v>
      </c>
      <c r="CW80" s="423">
        <f t="shared" si="368"/>
        <v>0</v>
      </c>
      <c r="CX80" s="423">
        <f t="shared" si="369"/>
        <v>0</v>
      </c>
      <c r="CY80" s="438">
        <f t="shared" si="370"/>
        <v>0</v>
      </c>
      <c r="CZ80" s="436">
        <f>SUM(CR80:CY80)</f>
        <v>0</v>
      </c>
      <c r="DL80" s="436">
        <f t="shared" si="371"/>
        <v>0</v>
      </c>
      <c r="FJ80" s="120">
        <v>10</v>
      </c>
      <c r="FK80" s="492">
        <f>DATE(YEAR(EXPEDIENTE!$F$25)+3,FJ80,1)</f>
        <v>46296</v>
      </c>
      <c r="FL80" s="492" t="str">
        <f>IF('GASTOS EJER. 4'!I58="","",'GASTOS EJER. 4'!I58)</f>
        <v/>
      </c>
      <c r="FM80" s="500">
        <f>'GASTOS EJER. 4'!X29</f>
        <v>0</v>
      </c>
      <c r="FN80" s="500">
        <f>'GASTOS EJER. 4'!H58</f>
        <v>0</v>
      </c>
      <c r="FO80" s="423">
        <f t="shared" si="375"/>
        <v>0</v>
      </c>
      <c r="FP80" s="500">
        <f t="shared" si="347"/>
        <v>0</v>
      </c>
      <c r="HO80" s="120">
        <v>10</v>
      </c>
      <c r="HP80" s="492">
        <f>DATE(YEAR(EXPEDIENTE!$F$25)+3,HO80,1)</f>
        <v>46296</v>
      </c>
      <c r="HQ80" s="492" t="str">
        <f>IF('GASTOS EJER. 4'!BF58="","",'GASTOS EJER. 4'!BF58)</f>
        <v/>
      </c>
      <c r="HR80" s="500">
        <f>'GASTOS EJER. 4'!CM29</f>
        <v>0</v>
      </c>
      <c r="HS80" s="500">
        <f>'GASTOS EJER. 4'!BA58</f>
        <v>0</v>
      </c>
      <c r="HT80" s="423">
        <f t="shared" si="379"/>
        <v>0</v>
      </c>
      <c r="HU80" s="500">
        <f t="shared" si="349"/>
        <v>0</v>
      </c>
      <c r="JC80" s="406">
        <v>76</v>
      </c>
      <c r="JD80" s="398">
        <f t="shared" si="380"/>
        <v>30</v>
      </c>
    </row>
    <row r="81" spans="3:264" x14ac:dyDescent="0.25">
      <c r="C81" s="206">
        <v>75</v>
      </c>
      <c r="D81" s="401"/>
      <c r="E81" s="417"/>
      <c r="F81" s="418"/>
      <c r="G81" s="419"/>
      <c r="H81" s="419"/>
      <c r="I81" s="419"/>
      <c r="J81" s="401"/>
      <c r="K81" s="407">
        <f t="shared" si="350"/>
        <v>76</v>
      </c>
      <c r="L81" s="407">
        <f t="shared" si="351"/>
        <v>76</v>
      </c>
      <c r="M81" s="407" t="str">
        <f t="shared" si="352"/>
        <v>X</v>
      </c>
      <c r="AY81" s="423">
        <v>11</v>
      </c>
      <c r="AZ81" s="424" t="e">
        <f t="shared" si="332"/>
        <v>#VALUE!</v>
      </c>
      <c r="BA81" s="433">
        <f t="shared" si="333"/>
        <v>0</v>
      </c>
      <c r="BB81" s="434">
        <f t="shared" si="334"/>
        <v>0</v>
      </c>
      <c r="BC81" s="434">
        <f t="shared" si="335"/>
        <v>0</v>
      </c>
      <c r="BD81" s="434">
        <f t="shared" si="336"/>
        <v>0</v>
      </c>
      <c r="BE81" s="434">
        <f t="shared" si="337"/>
        <v>0</v>
      </c>
      <c r="BF81" s="434">
        <f t="shared" si="338"/>
        <v>0</v>
      </c>
      <c r="BG81" s="434">
        <f t="shared" si="339"/>
        <v>0</v>
      </c>
      <c r="BH81" s="435">
        <f t="shared" si="357"/>
        <v>0</v>
      </c>
      <c r="BI81" s="436">
        <f t="shared" si="340"/>
        <v>0</v>
      </c>
      <c r="BU81" s="436">
        <f t="shared" si="358"/>
        <v>0</v>
      </c>
      <c r="CP81" s="423">
        <v>11</v>
      </c>
      <c r="CQ81" s="424" t="e">
        <f t="shared" si="342"/>
        <v>#VALUE!</v>
      </c>
      <c r="CR81" s="437">
        <f t="shared" si="363"/>
        <v>0</v>
      </c>
      <c r="CS81" s="423">
        <f t="shared" si="364"/>
        <v>0</v>
      </c>
      <c r="CT81" s="423">
        <f t="shared" si="365"/>
        <v>0</v>
      </c>
      <c r="CU81" s="423">
        <f t="shared" si="366"/>
        <v>0</v>
      </c>
      <c r="CV81" s="423">
        <f t="shared" si="367"/>
        <v>0</v>
      </c>
      <c r="CW81" s="423">
        <f t="shared" si="368"/>
        <v>0</v>
      </c>
      <c r="CX81" s="423">
        <f t="shared" si="369"/>
        <v>0</v>
      </c>
      <c r="CY81" s="438">
        <f t="shared" si="370"/>
        <v>0</v>
      </c>
      <c r="CZ81" s="436">
        <f t="shared" ref="CZ81:CZ82" si="381">SUM(CR81:CY81)</f>
        <v>0</v>
      </c>
      <c r="DL81" s="436">
        <f t="shared" si="371"/>
        <v>0</v>
      </c>
      <c r="FJ81" s="120">
        <v>11</v>
      </c>
      <c r="FK81" s="492">
        <f>DATE(YEAR(EXPEDIENTE!$F$25)+3,FJ81,1)</f>
        <v>46327</v>
      </c>
      <c r="FL81" s="492" t="str">
        <f>IF('GASTOS EJER. 4'!I59="","",'GASTOS EJER. 4'!I59)</f>
        <v/>
      </c>
      <c r="FM81" s="500">
        <f>'GASTOS EJER. 4'!X30</f>
        <v>0</v>
      </c>
      <c r="FN81" s="500">
        <f>'GASTOS EJER. 4'!H59</f>
        <v>0</v>
      </c>
      <c r="FO81" s="423">
        <f t="shared" si="375"/>
        <v>0</v>
      </c>
      <c r="FP81" s="500">
        <f t="shared" si="347"/>
        <v>0</v>
      </c>
      <c r="HO81" s="120">
        <v>11</v>
      </c>
      <c r="HP81" s="492">
        <f>DATE(YEAR(EXPEDIENTE!$F$25)+3,HO81,1)</f>
        <v>46327</v>
      </c>
      <c r="HQ81" s="492" t="str">
        <f>IF('GASTOS EJER. 4'!BF59="","",'GASTOS EJER. 4'!BF59)</f>
        <v/>
      </c>
      <c r="HR81" s="500">
        <f>'GASTOS EJER. 4'!CM30</f>
        <v>0</v>
      </c>
      <c r="HS81" s="500">
        <f>'GASTOS EJER. 4'!BA59</f>
        <v>0</v>
      </c>
      <c r="HT81" s="423">
        <f t="shared" si="379"/>
        <v>0</v>
      </c>
      <c r="HU81" s="500">
        <f t="shared" si="349"/>
        <v>0</v>
      </c>
      <c r="JC81" s="416">
        <v>77</v>
      </c>
      <c r="JD81" s="398">
        <f t="shared" si="380"/>
        <v>30</v>
      </c>
    </row>
    <row r="82" spans="3:264" ht="15.75" thickBot="1" x14ac:dyDescent="0.3">
      <c r="AY82" s="423">
        <v>12</v>
      </c>
      <c r="AZ82" s="424" t="e">
        <f t="shared" si="332"/>
        <v>#VALUE!</v>
      </c>
      <c r="BA82" s="446">
        <f t="shared" si="333"/>
        <v>0</v>
      </c>
      <c r="BB82" s="447">
        <f t="shared" si="334"/>
        <v>0</v>
      </c>
      <c r="BC82" s="447">
        <f t="shared" si="335"/>
        <v>0</v>
      </c>
      <c r="BD82" s="447">
        <f t="shared" si="336"/>
        <v>0</v>
      </c>
      <c r="BE82" s="447">
        <f t="shared" si="337"/>
        <v>0</v>
      </c>
      <c r="BF82" s="447">
        <f t="shared" si="338"/>
        <v>0</v>
      </c>
      <c r="BG82" s="447">
        <f t="shared" si="339"/>
        <v>0</v>
      </c>
      <c r="BH82" s="448">
        <f t="shared" si="357"/>
        <v>0</v>
      </c>
      <c r="BI82" s="449">
        <f t="shared" si="340"/>
        <v>0</v>
      </c>
      <c r="BU82" s="449">
        <f t="shared" si="358"/>
        <v>0</v>
      </c>
      <c r="CP82" s="423">
        <v>12</v>
      </c>
      <c r="CQ82" s="424" t="e">
        <f t="shared" si="342"/>
        <v>#VALUE!</v>
      </c>
      <c r="CR82" s="450">
        <f t="shared" si="363"/>
        <v>0</v>
      </c>
      <c r="CS82" s="451">
        <f t="shared" si="364"/>
        <v>0</v>
      </c>
      <c r="CT82" s="451">
        <f t="shared" si="365"/>
        <v>0</v>
      </c>
      <c r="CU82" s="451">
        <f t="shared" si="366"/>
        <v>0</v>
      </c>
      <c r="CV82" s="451">
        <f t="shared" si="367"/>
        <v>0</v>
      </c>
      <c r="CW82" s="451">
        <f t="shared" si="368"/>
        <v>0</v>
      </c>
      <c r="CX82" s="451">
        <f t="shared" si="369"/>
        <v>0</v>
      </c>
      <c r="CY82" s="452">
        <f t="shared" si="370"/>
        <v>0</v>
      </c>
      <c r="CZ82" s="449">
        <f t="shared" si="381"/>
        <v>0</v>
      </c>
      <c r="DL82" s="449">
        <f t="shared" si="371"/>
        <v>0</v>
      </c>
      <c r="FJ82" s="120">
        <v>12</v>
      </c>
      <c r="FK82" s="492">
        <f>DATE(YEAR(EXPEDIENTE!$F$25)+3,FJ82,1)</f>
        <v>46357</v>
      </c>
      <c r="FL82" s="492" t="str">
        <f>IF('GASTOS EJER. 4'!I60="","",'GASTOS EJER. 4'!I60)</f>
        <v/>
      </c>
      <c r="FM82" s="500">
        <f>'GASTOS EJER. 4'!X31</f>
        <v>0</v>
      </c>
      <c r="FN82" s="500">
        <f>'GASTOS EJER. 4'!H60</f>
        <v>0</v>
      </c>
      <c r="FO82" s="423">
        <f t="shared" si="375"/>
        <v>0</v>
      </c>
      <c r="FP82" s="500">
        <f t="shared" si="347"/>
        <v>0</v>
      </c>
      <c r="HO82" s="120">
        <v>12</v>
      </c>
      <c r="HP82" s="492">
        <f>DATE(YEAR(EXPEDIENTE!$F$25)+3,HO82,1)</f>
        <v>46357</v>
      </c>
      <c r="HQ82" s="492" t="str">
        <f>IF('GASTOS EJER. 4'!BF60="","",'GASTOS EJER. 4'!BF60)</f>
        <v/>
      </c>
      <c r="HR82" s="500">
        <f>'GASTOS EJER. 4'!CM31</f>
        <v>0</v>
      </c>
      <c r="HS82" s="500">
        <f>'GASTOS EJER. 4'!BA60</f>
        <v>0</v>
      </c>
      <c r="HT82" s="423">
        <f t="shared" si="379"/>
        <v>0</v>
      </c>
      <c r="HU82" s="500">
        <f t="shared" si="349"/>
        <v>0</v>
      </c>
      <c r="JC82" s="416">
        <v>78</v>
      </c>
      <c r="JD82" s="398">
        <f t="shared" si="380"/>
        <v>30</v>
      </c>
    </row>
    <row r="83" spans="3:264" x14ac:dyDescent="0.25">
      <c r="JC83" s="416">
        <v>79</v>
      </c>
      <c r="JD83" s="398">
        <f t="shared" si="380"/>
        <v>30</v>
      </c>
    </row>
    <row r="84" spans="3:264" x14ac:dyDescent="0.25">
      <c r="JC84" s="442">
        <v>80</v>
      </c>
      <c r="JD84" s="398">
        <f t="shared" si="380"/>
        <v>30</v>
      </c>
    </row>
    <row r="85" spans="3:264" x14ac:dyDescent="0.25">
      <c r="JC85" s="406">
        <v>81</v>
      </c>
      <c r="JD85" s="398">
        <f t="shared" si="380"/>
        <v>32</v>
      </c>
    </row>
    <row r="86" spans="3:264" x14ac:dyDescent="0.25">
      <c r="JC86" s="416">
        <v>82</v>
      </c>
      <c r="JD86" s="398">
        <f t="shared" si="380"/>
        <v>32</v>
      </c>
    </row>
    <row r="87" spans="3:264" x14ac:dyDescent="0.25">
      <c r="JC87" s="416">
        <v>83</v>
      </c>
      <c r="JD87" s="398">
        <f t="shared" si="380"/>
        <v>32</v>
      </c>
    </row>
    <row r="88" spans="3:264" x14ac:dyDescent="0.25">
      <c r="JC88" s="416">
        <v>84</v>
      </c>
      <c r="JD88" s="398">
        <f t="shared" si="380"/>
        <v>32</v>
      </c>
    </row>
    <row r="89" spans="3:264" x14ac:dyDescent="0.25">
      <c r="JC89" s="442">
        <v>85</v>
      </c>
      <c r="JD89" s="398">
        <f t="shared" si="380"/>
        <v>32</v>
      </c>
    </row>
    <row r="90" spans="3:264" x14ac:dyDescent="0.25">
      <c r="JC90" s="406">
        <v>86</v>
      </c>
      <c r="JD90" s="398">
        <f t="shared" si="380"/>
        <v>34</v>
      </c>
    </row>
    <row r="91" spans="3:264" x14ac:dyDescent="0.25">
      <c r="JC91" s="416">
        <v>87</v>
      </c>
      <c r="JD91" s="398">
        <f t="shared" si="380"/>
        <v>34</v>
      </c>
    </row>
    <row r="92" spans="3:264" x14ac:dyDescent="0.25">
      <c r="JC92" s="416">
        <v>88</v>
      </c>
      <c r="JD92" s="398">
        <f t="shared" si="380"/>
        <v>34</v>
      </c>
    </row>
    <row r="93" spans="3:264" x14ac:dyDescent="0.25">
      <c r="JC93" s="416">
        <v>89</v>
      </c>
      <c r="JD93" s="398">
        <f t="shared" si="380"/>
        <v>34</v>
      </c>
    </row>
    <row r="94" spans="3:264" x14ac:dyDescent="0.25">
      <c r="JC94" s="442">
        <v>90</v>
      </c>
      <c r="JD94" s="398">
        <f t="shared" si="380"/>
        <v>34</v>
      </c>
    </row>
    <row r="95" spans="3:264" x14ac:dyDescent="0.25">
      <c r="JC95" s="406">
        <v>91</v>
      </c>
      <c r="JD95" s="398">
        <f t="shared" si="380"/>
        <v>36</v>
      </c>
    </row>
    <row r="96" spans="3:264" x14ac:dyDescent="0.25">
      <c r="JC96" s="416">
        <v>92</v>
      </c>
      <c r="JD96" s="398">
        <f t="shared" si="380"/>
        <v>36</v>
      </c>
    </row>
    <row r="97" spans="263:264" x14ac:dyDescent="0.25">
      <c r="JC97" s="416">
        <v>93</v>
      </c>
      <c r="JD97" s="398">
        <f t="shared" si="380"/>
        <v>36</v>
      </c>
    </row>
    <row r="98" spans="263:264" x14ac:dyDescent="0.25">
      <c r="JC98" s="416">
        <v>94</v>
      </c>
      <c r="JD98" s="398">
        <f t="shared" si="380"/>
        <v>36</v>
      </c>
    </row>
    <row r="99" spans="263:264" x14ac:dyDescent="0.25">
      <c r="JC99" s="442">
        <v>95</v>
      </c>
      <c r="JD99" s="398">
        <f t="shared" si="380"/>
        <v>36</v>
      </c>
    </row>
    <row r="100" spans="263:264" x14ac:dyDescent="0.25">
      <c r="JC100" s="406">
        <v>96</v>
      </c>
      <c r="JD100" s="398">
        <f t="shared" si="380"/>
        <v>38</v>
      </c>
    </row>
    <row r="101" spans="263:264" x14ac:dyDescent="0.25">
      <c r="JC101" s="416">
        <v>97</v>
      </c>
      <c r="JD101" s="398">
        <f t="shared" si="380"/>
        <v>38</v>
      </c>
    </row>
    <row r="102" spans="263:264" x14ac:dyDescent="0.25">
      <c r="JC102" s="416">
        <v>98</v>
      </c>
      <c r="JD102" s="398">
        <f t="shared" si="380"/>
        <v>38</v>
      </c>
    </row>
    <row r="103" spans="263:264" x14ac:dyDescent="0.25">
      <c r="JC103" s="416">
        <v>99</v>
      </c>
      <c r="JD103" s="398">
        <f t="shared" si="380"/>
        <v>38</v>
      </c>
    </row>
    <row r="104" spans="263:264" x14ac:dyDescent="0.25">
      <c r="JC104" s="442">
        <v>100</v>
      </c>
      <c r="JD104" s="398">
        <f t="shared" si="380"/>
        <v>38</v>
      </c>
    </row>
  </sheetData>
  <sheetProtection algorithmName="SHA-512" hashValue="tasnHZv5yognns6qmlLQ24JY04JW1iFCrnxg2OhNoBjsQLWqBtUq+2+rnJVUtn130dbdwlV8zWu3B2HeO58ZFQ==" saltValue="Z+38dFuFx3IFEnI+1Li2bQ==" spinCount="100000" sheet="1" selectLockedCells="1"/>
  <mergeCells count="473">
    <mergeCell ref="IL2:IY2"/>
    <mergeCell ref="DL68:DL69"/>
    <mergeCell ref="CR69:CR70"/>
    <mergeCell ref="CS69:CS70"/>
    <mergeCell ref="CT69:CT70"/>
    <mergeCell ref="CU69:CU70"/>
    <mergeCell ref="CV69:CV70"/>
    <mergeCell ref="CW69:CW70"/>
    <mergeCell ref="CX69:CX70"/>
    <mergeCell ref="CY69:CY70"/>
    <mergeCell ref="CZ69:CZ70"/>
    <mergeCell ref="DL52:DL53"/>
    <mergeCell ref="CR53:CR54"/>
    <mergeCell ref="CS53:CS54"/>
    <mergeCell ref="CT53:CT54"/>
    <mergeCell ref="CU53:CU54"/>
    <mergeCell ref="CV53:CV54"/>
    <mergeCell ref="CW53:CW54"/>
    <mergeCell ref="CX53:CX54"/>
    <mergeCell ref="CY53:CY54"/>
    <mergeCell ref="CZ53:CZ54"/>
    <mergeCell ref="DB53:DB54"/>
    <mergeCell ref="DC53:DC54"/>
    <mergeCell ref="DD53:DD54"/>
    <mergeCell ref="BY68:BY70"/>
    <mergeCell ref="BZ68:BZ70"/>
    <mergeCell ref="CA68:CA70"/>
    <mergeCell ref="CG68:CG70"/>
    <mergeCell ref="CH68:CH70"/>
    <mergeCell ref="DH53:DH54"/>
    <mergeCell ref="DI53:DI54"/>
    <mergeCell ref="DJ53:DJ54"/>
    <mergeCell ref="CC67:CC70"/>
    <mergeCell ref="CD67:CD70"/>
    <mergeCell ref="CE67:CE70"/>
    <mergeCell ref="CF67:CF70"/>
    <mergeCell ref="CG67:CI67"/>
    <mergeCell ref="CJ67:CL67"/>
    <mergeCell ref="CM67:CM69"/>
    <mergeCell ref="CN67:CN70"/>
    <mergeCell ref="CI68:CI70"/>
    <mergeCell ref="CJ68:CJ70"/>
    <mergeCell ref="CK68:CK70"/>
    <mergeCell ref="CL68:CL70"/>
    <mergeCell ref="CR68:CZ68"/>
    <mergeCell ref="BY52:BY54"/>
    <mergeCell ref="BZ52:BZ54"/>
    <mergeCell ref="CA52:CA54"/>
    <mergeCell ref="DE53:DE54"/>
    <mergeCell ref="DF53:DF54"/>
    <mergeCell ref="DG53:DG54"/>
    <mergeCell ref="CG52:CG54"/>
    <mergeCell ref="CH52:CH54"/>
    <mergeCell ref="DI37:DI38"/>
    <mergeCell ref="DJ37:DJ38"/>
    <mergeCell ref="CC51:CC54"/>
    <mergeCell ref="CD51:CD54"/>
    <mergeCell ref="CE51:CE54"/>
    <mergeCell ref="CF51:CF54"/>
    <mergeCell ref="CG51:CI51"/>
    <mergeCell ref="CJ51:CL51"/>
    <mergeCell ref="CM51:CM53"/>
    <mergeCell ref="CN51:CN54"/>
    <mergeCell ref="CI52:CI54"/>
    <mergeCell ref="CJ52:CJ54"/>
    <mergeCell ref="CK52:CK54"/>
    <mergeCell ref="CL52:CL54"/>
    <mergeCell ref="CR52:CZ52"/>
    <mergeCell ref="DB52:DJ52"/>
    <mergeCell ref="CR36:CZ36"/>
    <mergeCell ref="DB36:DJ36"/>
    <mergeCell ref="DL36:DL37"/>
    <mergeCell ref="CR37:CR38"/>
    <mergeCell ref="CS37:CS38"/>
    <mergeCell ref="CT37:CT38"/>
    <mergeCell ref="CU37:CU38"/>
    <mergeCell ref="CV37:CV38"/>
    <mergeCell ref="CW37:CW38"/>
    <mergeCell ref="CX37:CX38"/>
    <mergeCell ref="CY37:CY38"/>
    <mergeCell ref="CZ37:CZ38"/>
    <mergeCell ref="DB37:DB38"/>
    <mergeCell ref="DC37:DC38"/>
    <mergeCell ref="DD37:DD38"/>
    <mergeCell ref="DE37:DE38"/>
    <mergeCell ref="DF37:DF38"/>
    <mergeCell ref="DG37:DG38"/>
    <mergeCell ref="DH37:DH38"/>
    <mergeCell ref="CJ35:CL35"/>
    <mergeCell ref="CM35:CM37"/>
    <mergeCell ref="CN35:CN38"/>
    <mergeCell ref="BY36:BY38"/>
    <mergeCell ref="BZ36:BZ38"/>
    <mergeCell ref="CA36:CA38"/>
    <mergeCell ref="CG36:CG38"/>
    <mergeCell ref="CH36:CH38"/>
    <mergeCell ref="CI36:CI38"/>
    <mergeCell ref="CJ36:CJ38"/>
    <mergeCell ref="CK36:CK38"/>
    <mergeCell ref="CL36:CL38"/>
    <mergeCell ref="CC35:CC38"/>
    <mergeCell ref="CD35:CD38"/>
    <mergeCell ref="CE35:CE38"/>
    <mergeCell ref="CF35:CF38"/>
    <mergeCell ref="CG35:CI35"/>
    <mergeCell ref="DJ21:DJ22"/>
    <mergeCell ref="CR20:CZ20"/>
    <mergeCell ref="DB20:DJ20"/>
    <mergeCell ref="DL20:DL21"/>
    <mergeCell ref="CR21:CR22"/>
    <mergeCell ref="CS21:CS22"/>
    <mergeCell ref="CT21:CT22"/>
    <mergeCell ref="CU21:CU22"/>
    <mergeCell ref="CV21:CV22"/>
    <mergeCell ref="CW21:CW22"/>
    <mergeCell ref="CX21:CX22"/>
    <mergeCell ref="CY21:CY22"/>
    <mergeCell ref="CZ21:CZ22"/>
    <mergeCell ref="DB21:DB22"/>
    <mergeCell ref="DC21:DC22"/>
    <mergeCell ref="DD21:DD22"/>
    <mergeCell ref="DE21:DE22"/>
    <mergeCell ref="CH20:CH22"/>
    <mergeCell ref="CI20:CI22"/>
    <mergeCell ref="CJ20:CJ22"/>
    <mergeCell ref="CK20:CK22"/>
    <mergeCell ref="CL20:CL22"/>
    <mergeCell ref="DF21:DF22"/>
    <mergeCell ref="DG21:DG22"/>
    <mergeCell ref="DH21:DH22"/>
    <mergeCell ref="DI21:DI22"/>
    <mergeCell ref="BP53:BP54"/>
    <mergeCell ref="BQ53:BQ54"/>
    <mergeCell ref="BR53:BR54"/>
    <mergeCell ref="BK52:BS52"/>
    <mergeCell ref="BS53:BS54"/>
    <mergeCell ref="BU52:BU53"/>
    <mergeCell ref="BK53:BK54"/>
    <mergeCell ref="BL53:BL54"/>
    <mergeCell ref="BM53:BM54"/>
    <mergeCell ref="BN53:BN54"/>
    <mergeCell ref="BO53:BO54"/>
    <mergeCell ref="BA68:BI68"/>
    <mergeCell ref="BI69:BI70"/>
    <mergeCell ref="BU20:BU21"/>
    <mergeCell ref="BU36:BU37"/>
    <mergeCell ref="BU68:BU69"/>
    <mergeCell ref="BP21:BP22"/>
    <mergeCell ref="BQ21:BQ22"/>
    <mergeCell ref="BR21:BR22"/>
    <mergeCell ref="BL21:BL22"/>
    <mergeCell ref="BM21:BM22"/>
    <mergeCell ref="BN21:BN22"/>
    <mergeCell ref="BO21:BO22"/>
    <mergeCell ref="BK21:BK22"/>
    <mergeCell ref="BA69:BA70"/>
    <mergeCell ref="BB69:BB70"/>
    <mergeCell ref="BC69:BC70"/>
    <mergeCell ref="BD69:BD70"/>
    <mergeCell ref="BE69:BE70"/>
    <mergeCell ref="BF69:BF70"/>
    <mergeCell ref="BG69:BG70"/>
    <mergeCell ref="BH69:BH70"/>
    <mergeCell ref="BA53:BA54"/>
    <mergeCell ref="BB53:BB54"/>
    <mergeCell ref="BC53:BC54"/>
    <mergeCell ref="AS67:AU67"/>
    <mergeCell ref="AV67:AV69"/>
    <mergeCell ref="AW67:AW70"/>
    <mergeCell ref="AH68:AH70"/>
    <mergeCell ref="AI68:AI70"/>
    <mergeCell ref="AJ68:AJ70"/>
    <mergeCell ref="AP68:AP70"/>
    <mergeCell ref="AQ68:AQ70"/>
    <mergeCell ref="AR68:AR70"/>
    <mergeCell ref="AS68:AS70"/>
    <mergeCell ref="AT68:AT70"/>
    <mergeCell ref="AU68:AU70"/>
    <mergeCell ref="AL67:AL70"/>
    <mergeCell ref="AM67:AM70"/>
    <mergeCell ref="AN67:AN70"/>
    <mergeCell ref="AO67:AO70"/>
    <mergeCell ref="AP67:AR67"/>
    <mergeCell ref="AH52:AH54"/>
    <mergeCell ref="AI52:AI54"/>
    <mergeCell ref="AJ52:AJ54"/>
    <mergeCell ref="AP52:AP54"/>
    <mergeCell ref="AQ52:AQ54"/>
    <mergeCell ref="AW35:AW38"/>
    <mergeCell ref="AJ36:AJ38"/>
    <mergeCell ref="AU36:AU38"/>
    <mergeCell ref="AL51:AL54"/>
    <mergeCell ref="AM51:AM54"/>
    <mergeCell ref="AN51:AN54"/>
    <mergeCell ref="AO51:AO54"/>
    <mergeCell ref="AP51:AR51"/>
    <mergeCell ref="AS51:AU51"/>
    <mergeCell ref="AV51:AV53"/>
    <mergeCell ref="AW51:AW54"/>
    <mergeCell ref="AR52:AR54"/>
    <mergeCell ref="AS52:AS54"/>
    <mergeCell ref="AT52:AT54"/>
    <mergeCell ref="AU52:AU54"/>
    <mergeCell ref="AH36:AH38"/>
    <mergeCell ref="AI36:AI38"/>
    <mergeCell ref="AP36:AP38"/>
    <mergeCell ref="AQ36:AQ38"/>
    <mergeCell ref="BA36:BI36"/>
    <mergeCell ref="BK36:BS36"/>
    <mergeCell ref="BS37:BS38"/>
    <mergeCell ref="BK37:BK38"/>
    <mergeCell ref="BL37:BL38"/>
    <mergeCell ref="BM37:BM38"/>
    <mergeCell ref="BN37:BN38"/>
    <mergeCell ref="BO37:BO38"/>
    <mergeCell ref="BP37:BP38"/>
    <mergeCell ref="BQ37:BQ38"/>
    <mergeCell ref="BR37:BR38"/>
    <mergeCell ref="AR36:AR38"/>
    <mergeCell ref="AS36:AS38"/>
    <mergeCell ref="AT36:AT38"/>
    <mergeCell ref="AO35:AO38"/>
    <mergeCell ref="AP35:AR35"/>
    <mergeCell ref="AS35:AU35"/>
    <mergeCell ref="AV35:AV37"/>
    <mergeCell ref="AL35:AL38"/>
    <mergeCell ref="AM35:AM38"/>
    <mergeCell ref="AN35:AN38"/>
    <mergeCell ref="AS19:AU19"/>
    <mergeCell ref="BA20:BI20"/>
    <mergeCell ref="BK20:BS20"/>
    <mergeCell ref="AS20:AS22"/>
    <mergeCell ref="AT20:AT22"/>
    <mergeCell ref="AU20:AU22"/>
    <mergeCell ref="AV19:AV21"/>
    <mergeCell ref="BI21:BI22"/>
    <mergeCell ref="BS21:BS22"/>
    <mergeCell ref="BW2:DL2"/>
    <mergeCell ref="DB4:DJ4"/>
    <mergeCell ref="DB5:DB6"/>
    <mergeCell ref="DC5:DC6"/>
    <mergeCell ref="DD5:DD6"/>
    <mergeCell ref="DE5:DE6"/>
    <mergeCell ref="DJ5:DJ6"/>
    <mergeCell ref="BZ17:CA17"/>
    <mergeCell ref="CC19:CC22"/>
    <mergeCell ref="CD19:CD22"/>
    <mergeCell ref="CE19:CE22"/>
    <mergeCell ref="CF19:CF22"/>
    <mergeCell ref="DF5:DF6"/>
    <mergeCell ref="DG5:DG6"/>
    <mergeCell ref="DH5:DH6"/>
    <mergeCell ref="DI5:DI6"/>
    <mergeCell ref="CG19:CI19"/>
    <mergeCell ref="CJ19:CL19"/>
    <mergeCell ref="CM19:CM21"/>
    <mergeCell ref="CN19:CN22"/>
    <mergeCell ref="BY20:BY22"/>
    <mergeCell ref="BZ20:BZ22"/>
    <mergeCell ref="CA20:CA22"/>
    <mergeCell ref="CG20:CG22"/>
    <mergeCell ref="Y3:AD3"/>
    <mergeCell ref="AF2:BU2"/>
    <mergeCell ref="AI17:AJ17"/>
    <mergeCell ref="BA21:BA22"/>
    <mergeCell ref="BB21:BB22"/>
    <mergeCell ref="BC21:BC22"/>
    <mergeCell ref="BD21:BD22"/>
    <mergeCell ref="BE21:BE22"/>
    <mergeCell ref="BF21:BF22"/>
    <mergeCell ref="BG21:BG22"/>
    <mergeCell ref="BH21:BH22"/>
    <mergeCell ref="AP20:AP22"/>
    <mergeCell ref="AQ20:AQ22"/>
    <mergeCell ref="AR20:AR22"/>
    <mergeCell ref="AH20:AH22"/>
    <mergeCell ref="AI20:AI22"/>
    <mergeCell ref="AJ20:AJ22"/>
    <mergeCell ref="AP19:AR19"/>
    <mergeCell ref="AL19:AL22"/>
    <mergeCell ref="AM19:AM22"/>
    <mergeCell ref="AN19:AN22"/>
    <mergeCell ref="AO19:AO22"/>
    <mergeCell ref="AW19:AW22"/>
    <mergeCell ref="BK4:BS4"/>
    <mergeCell ref="BD53:BD54"/>
    <mergeCell ref="BE53:BE54"/>
    <mergeCell ref="BF53:BF54"/>
    <mergeCell ref="BG53:BG54"/>
    <mergeCell ref="BH53:BH54"/>
    <mergeCell ref="BF37:BF38"/>
    <mergeCell ref="BG37:BG38"/>
    <mergeCell ref="BH37:BH38"/>
    <mergeCell ref="BI37:BI38"/>
    <mergeCell ref="BD37:BD38"/>
    <mergeCell ref="BE37:BE38"/>
    <mergeCell ref="BI53:BI54"/>
    <mergeCell ref="BA52:BI52"/>
    <mergeCell ref="BA37:BA38"/>
    <mergeCell ref="BB37:BB38"/>
    <mergeCell ref="BC37:BC38"/>
    <mergeCell ref="JC2:JF2"/>
    <mergeCell ref="BK5:BK6"/>
    <mergeCell ref="BL5:BL6"/>
    <mergeCell ref="BM5:BM6"/>
    <mergeCell ref="BN5:BN6"/>
    <mergeCell ref="BO5:BO6"/>
    <mergeCell ref="BP5:BP6"/>
    <mergeCell ref="BQ5:BQ6"/>
    <mergeCell ref="BR5:BR6"/>
    <mergeCell ref="BS5:BS6"/>
    <mergeCell ref="HW2:IJ2"/>
    <mergeCell ref="EE4:EE6"/>
    <mergeCell ref="EF4:EF6"/>
    <mergeCell ref="EG4:EG6"/>
    <mergeCell ref="EH4:EH6"/>
    <mergeCell ref="EI4:EI6"/>
    <mergeCell ref="EJ4:EJ6"/>
    <mergeCell ref="EK4:EK6"/>
    <mergeCell ref="EL4:EL6"/>
    <mergeCell ref="EM4:EM6"/>
    <mergeCell ref="EN4:EN6"/>
    <mergeCell ref="EO4:EO6"/>
    <mergeCell ref="FH4:FH6"/>
    <mergeCell ref="EY4:EY6"/>
    <mergeCell ref="O11:O13"/>
    <mergeCell ref="V3:W3"/>
    <mergeCell ref="V8:V27"/>
    <mergeCell ref="V28:V32"/>
    <mergeCell ref="B3:M3"/>
    <mergeCell ref="O3:P3"/>
    <mergeCell ref="R3:S3"/>
    <mergeCell ref="D5:D6"/>
    <mergeCell ref="E5:E6"/>
    <mergeCell ref="F5:F6"/>
    <mergeCell ref="G5:I5"/>
    <mergeCell ref="J5:M5"/>
    <mergeCell ref="O5:O7"/>
    <mergeCell ref="J6:M6"/>
    <mergeCell ref="O15:P15"/>
    <mergeCell ref="DO20:DO22"/>
    <mergeCell ref="DS20:DS22"/>
    <mergeCell ref="DT20:DT22"/>
    <mergeCell ref="DO36:DO38"/>
    <mergeCell ref="DS36:DS38"/>
    <mergeCell ref="DT36:DT38"/>
    <mergeCell ref="DN2:FP2"/>
    <mergeCell ref="DO52:DO54"/>
    <mergeCell ref="DP52:DR52"/>
    <mergeCell ref="DS52:DS54"/>
    <mergeCell ref="DT52:DT54"/>
    <mergeCell ref="EU4:EU6"/>
    <mergeCell ref="EV4:EV6"/>
    <mergeCell ref="EW4:EW6"/>
    <mergeCell ref="EX4:EX6"/>
    <mergeCell ref="DU20:DU22"/>
    <mergeCell ref="DV20:DV22"/>
    <mergeCell ref="DP20:DR20"/>
    <mergeCell ref="DZ4:DZ6"/>
    <mergeCell ref="DY4:DY6"/>
    <mergeCell ref="EA4:EA6"/>
    <mergeCell ref="EB4:EB6"/>
    <mergeCell ref="EC4:EC6"/>
    <mergeCell ref="ED4:ED6"/>
    <mergeCell ref="DP21:DP22"/>
    <mergeCell ref="DQ21:DQ22"/>
    <mergeCell ref="DR21:DR22"/>
    <mergeCell ref="DP36:DR36"/>
    <mergeCell ref="DU36:DU38"/>
    <mergeCell ref="DV36:DV38"/>
    <mergeCell ref="DP37:DP38"/>
    <mergeCell ref="DQ37:DQ38"/>
    <mergeCell ref="DR37:DR38"/>
    <mergeCell ref="EZ4:EZ6"/>
    <mergeCell ref="FA4:FA6"/>
    <mergeCell ref="FB4:FB6"/>
    <mergeCell ref="FC4:FC6"/>
    <mergeCell ref="FD4:FD6"/>
    <mergeCell ref="FE4:FE6"/>
    <mergeCell ref="FF4:FF6"/>
    <mergeCell ref="FG4:FG6"/>
    <mergeCell ref="EP4:EP6"/>
    <mergeCell ref="EQ4:EQ6"/>
    <mergeCell ref="ER4:ER6"/>
    <mergeCell ref="ES4:ES6"/>
    <mergeCell ref="ET4:ET6"/>
    <mergeCell ref="DU52:DU54"/>
    <mergeCell ref="DV52:DV54"/>
    <mergeCell ref="DP53:DP54"/>
    <mergeCell ref="DQ53:DQ54"/>
    <mergeCell ref="DR53:DR54"/>
    <mergeCell ref="DO68:DO70"/>
    <mergeCell ref="DP68:DR68"/>
    <mergeCell ref="DS68:DS70"/>
    <mergeCell ref="DT68:DT70"/>
    <mergeCell ref="DU68:DU70"/>
    <mergeCell ref="DV68:DV70"/>
    <mergeCell ref="DP69:DP70"/>
    <mergeCell ref="DQ69:DQ70"/>
    <mergeCell ref="DR69:DR70"/>
    <mergeCell ref="FR2:HU2"/>
    <mergeCell ref="GC4:GC6"/>
    <mergeCell ref="GD4:GD6"/>
    <mergeCell ref="GE4:GE6"/>
    <mergeCell ref="GF4:GF6"/>
    <mergeCell ref="GG4:GG6"/>
    <mergeCell ref="GH4:GH6"/>
    <mergeCell ref="GI4:GI6"/>
    <mergeCell ref="GJ4:GJ6"/>
    <mergeCell ref="GK4:GK6"/>
    <mergeCell ref="GL4:GL6"/>
    <mergeCell ref="GM4:GM6"/>
    <mergeCell ref="GN4:GN6"/>
    <mergeCell ref="GO4:GO6"/>
    <mergeCell ref="GP4:GP6"/>
    <mergeCell ref="GQ4:GQ6"/>
    <mergeCell ref="GR4:GR6"/>
    <mergeCell ref="GS4:GS6"/>
    <mergeCell ref="GT4:GT6"/>
    <mergeCell ref="GU4:GU6"/>
    <mergeCell ref="GV4:GV6"/>
    <mergeCell ref="GW4:GW6"/>
    <mergeCell ref="GX4:GX6"/>
    <mergeCell ref="GY4:GY6"/>
    <mergeCell ref="HI4:HI6"/>
    <mergeCell ref="HJ4:HJ6"/>
    <mergeCell ref="HK4:HK6"/>
    <mergeCell ref="HL4:HL6"/>
    <mergeCell ref="FS20:FS22"/>
    <mergeCell ref="FT20:FV20"/>
    <mergeCell ref="FW20:FW22"/>
    <mergeCell ref="FX20:FX22"/>
    <mergeCell ref="FY20:FY22"/>
    <mergeCell ref="FZ20:FZ22"/>
    <mergeCell ref="FT21:FT22"/>
    <mergeCell ref="FU21:FU22"/>
    <mergeCell ref="FV21:FV22"/>
    <mergeCell ref="GZ4:GZ6"/>
    <mergeCell ref="HA4:HA6"/>
    <mergeCell ref="HB4:HB6"/>
    <mergeCell ref="HC4:HC6"/>
    <mergeCell ref="HD4:HD6"/>
    <mergeCell ref="HE4:HE6"/>
    <mergeCell ref="HF4:HF6"/>
    <mergeCell ref="HG4:HG6"/>
    <mergeCell ref="HH4:HH6"/>
    <mergeCell ref="FS36:FS38"/>
    <mergeCell ref="FT36:FV36"/>
    <mergeCell ref="FW36:FW38"/>
    <mergeCell ref="FX36:FX38"/>
    <mergeCell ref="FY36:FY38"/>
    <mergeCell ref="FZ36:FZ38"/>
    <mergeCell ref="FT37:FT38"/>
    <mergeCell ref="FU37:FU38"/>
    <mergeCell ref="FV37:FV38"/>
    <mergeCell ref="FS52:FS54"/>
    <mergeCell ref="FT52:FV52"/>
    <mergeCell ref="FW52:FW54"/>
    <mergeCell ref="FX52:FX54"/>
    <mergeCell ref="FY52:FY54"/>
    <mergeCell ref="FZ52:FZ54"/>
    <mergeCell ref="FT53:FT54"/>
    <mergeCell ref="FU53:FU54"/>
    <mergeCell ref="FV53:FV54"/>
    <mergeCell ref="FS68:FS70"/>
    <mergeCell ref="FT68:FV68"/>
    <mergeCell ref="FW68:FW70"/>
    <mergeCell ref="FX68:FX70"/>
    <mergeCell ref="FY68:FY70"/>
    <mergeCell ref="FZ68:FZ70"/>
    <mergeCell ref="FT69:FT70"/>
    <mergeCell ref="FU69:FU70"/>
    <mergeCell ref="FV69:FV70"/>
  </mergeCells>
  <phoneticPr fontId="10" type="noConversion"/>
  <dataValidations count="2">
    <dataValidation type="list" allowBlank="1" showInputMessage="1" showErrorMessage="1" sqref="J7:J81" xr:uid="{99A39884-97A7-468D-8C91-96EBFAF5ABD0}">
      <formula1>"SÍ"</formula1>
    </dataValidation>
    <dataValidation type="list" allowBlank="1" showInputMessage="1" showErrorMessage="1" sqref="S5" xr:uid="{886EAB5A-48B6-4F03-8B8B-9DC617E81158}">
      <formula1>"SÍ,NO"</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stopIfTrue="1" id="{27388252-46D3-4945-9D2F-F3890A085C9A}">
            <xm:f>OR(USUARIO!$C$2="",$W$6&lt;&gt;USUARIO!$C$2)</xm:f>
            <x14:dxf>
              <font>
                <color theme="0"/>
              </font>
              <fill>
                <patternFill>
                  <bgColor theme="0"/>
                </patternFill>
              </fill>
              <border>
                <left/>
                <right/>
                <top/>
                <bottom/>
                <vertical/>
                <horizontal/>
              </border>
            </x14:dxf>
          </x14:cfRule>
          <xm:sqref>B1:JF1048576</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268F5-DF01-49C7-ACC1-7F54DE7F041D}">
  <dimension ref="B2:C2"/>
  <sheetViews>
    <sheetView showGridLines="0" workbookViewId="0">
      <selection activeCell="C2" sqref="C2"/>
    </sheetView>
  </sheetViews>
  <sheetFormatPr baseColWidth="10" defaultColWidth="11.42578125" defaultRowHeight="15" x14ac:dyDescent="0.3"/>
  <cols>
    <col min="1" max="1" width="5.7109375" style="143" customWidth="1"/>
    <col min="2" max="2" width="10.7109375" style="143" customWidth="1"/>
    <col min="3" max="3" width="10.7109375" style="144" customWidth="1"/>
    <col min="4" max="16384" width="11.42578125" style="143"/>
  </cols>
  <sheetData>
    <row r="2" spans="2:3" x14ac:dyDescent="0.3">
      <c r="B2" s="142" t="s">
        <v>247</v>
      </c>
      <c r="C2" s="616"/>
    </row>
  </sheetData>
  <sheetProtection algorithmName="SHA-512" hashValue="LD2IweTH2wO8DoLhn/gXGHG0l9+awfVb8hXMFBMtSbNUfmf2R0cfdfsaEIuezkmtQ6Up/lawkBKniUKaLPqNtA==" saltValue="Ax7c7XlLSDi1y1qKryst1Q==" spinCount="100000" sheet="1" objects="1" scenarios="1"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016C-FC44-4540-A92E-66E8DF240CD9}">
  <dimension ref="B1:I35"/>
  <sheetViews>
    <sheetView showGridLines="0" zoomScaleNormal="100" workbookViewId="0">
      <selection activeCell="F28" sqref="F28"/>
    </sheetView>
  </sheetViews>
  <sheetFormatPr baseColWidth="10" defaultColWidth="11.42578125" defaultRowHeight="15" customHeight="1" x14ac:dyDescent="0.25"/>
  <cols>
    <col min="1" max="1" width="5.5703125" style="110" customWidth="1"/>
    <col min="2" max="2" width="17" style="110" customWidth="1"/>
    <col min="3" max="3" width="15.42578125" style="110" bestFit="1" customWidth="1"/>
    <col min="4" max="4" width="6.5703125" style="110" customWidth="1"/>
    <col min="5" max="8" width="10.5703125" style="110" customWidth="1"/>
    <col min="9" max="9" width="35.5703125" style="110" customWidth="1"/>
    <col min="10" max="16384" width="11.42578125" style="110"/>
  </cols>
  <sheetData>
    <row r="1" spans="2:9" ht="13.5" x14ac:dyDescent="0.25"/>
    <row r="9" spans="2:9" ht="15" customHeight="1" x14ac:dyDescent="0.25">
      <c r="B9" s="620" t="s">
        <v>9</v>
      </c>
      <c r="C9" s="621"/>
      <c r="D9" s="622"/>
      <c r="E9" s="622"/>
      <c r="F9" s="622"/>
      <c r="G9" s="622"/>
      <c r="H9" s="622"/>
      <c r="I9" s="623"/>
    </row>
    <row r="10" spans="2:9" ht="15" customHeight="1" x14ac:dyDescent="0.25">
      <c r="B10" s="620"/>
      <c r="C10" s="624"/>
      <c r="D10" s="625"/>
      <c r="E10" s="625"/>
      <c r="F10" s="625"/>
      <c r="G10" s="625"/>
      <c r="H10" s="625"/>
      <c r="I10" s="626"/>
    </row>
    <row r="11" spans="2:9" ht="15" customHeight="1" x14ac:dyDescent="0.25">
      <c r="B11" s="111"/>
    </row>
    <row r="12" spans="2:9" ht="15" customHeight="1" x14ac:dyDescent="0.25">
      <c r="B12" s="627" t="s">
        <v>10</v>
      </c>
      <c r="C12" s="628" t="str">
        <f>VLOOKUP(AUXILIAR!$B$7,AUXILIAR!$D$7:$F$81,3,FALSE)</f>
        <v>PROGRAMA DE AYUDAS PARA LA REALZIACIÓN DE PROYECTOS EMPRESARIALES EN LA FASE DE CREACIÓN Y CONSOLIDACIÓN DE EMPRESAS CON POTENCIAL TECNOLÓGICO Y ESCALABLES</v>
      </c>
      <c r="D12" s="629"/>
      <c r="E12" s="629"/>
      <c r="F12" s="629"/>
      <c r="G12" s="629"/>
      <c r="H12" s="629"/>
      <c r="I12" s="630"/>
    </row>
    <row r="13" spans="2:9" ht="15" customHeight="1" x14ac:dyDescent="0.25">
      <c r="B13" s="627"/>
      <c r="C13" s="631"/>
      <c r="D13" s="632"/>
      <c r="E13" s="632"/>
      <c r="F13" s="632"/>
      <c r="G13" s="632"/>
      <c r="H13" s="632"/>
      <c r="I13" s="633"/>
    </row>
    <row r="14" spans="2:9" ht="15" customHeight="1" x14ac:dyDescent="0.25">
      <c r="B14" s="627"/>
      <c r="C14" s="634"/>
      <c r="D14" s="635"/>
      <c r="E14" s="635"/>
      <c r="F14" s="635"/>
      <c r="G14" s="635"/>
      <c r="H14" s="635"/>
      <c r="I14" s="636"/>
    </row>
    <row r="15" spans="2:9" ht="15" customHeight="1" x14ac:dyDescent="0.25">
      <c r="B15" s="111"/>
    </row>
    <row r="16" spans="2:9" ht="15" customHeight="1" x14ac:dyDescent="0.25">
      <c r="B16" s="111" t="s">
        <v>11</v>
      </c>
      <c r="C16" s="136">
        <f>AUXILIAR!$P$9</f>
        <v>2024</v>
      </c>
      <c r="D16" s="112"/>
      <c r="F16" s="637" t="s">
        <v>243</v>
      </c>
      <c r="G16" s="637"/>
      <c r="H16" s="637"/>
      <c r="I16" s="638" t="str">
        <f>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 100, 2 de mayo de 2024</v>
      </c>
    </row>
    <row r="17" spans="2:9" ht="15" customHeight="1" x14ac:dyDescent="0.25">
      <c r="B17" s="111"/>
      <c r="F17" s="637"/>
      <c r="G17" s="637"/>
      <c r="H17" s="637"/>
      <c r="I17" s="638"/>
    </row>
    <row r="18" spans="2:9" ht="15" customHeight="1" x14ac:dyDescent="0.25">
      <c r="B18" s="111" t="s">
        <v>12</v>
      </c>
      <c r="C18" s="137">
        <f>VLOOKUP(AUXILIAR!$B$7,AUXILIAR!$D$7:$F$81,2,FALSE)</f>
        <v>8</v>
      </c>
      <c r="D18" s="113"/>
      <c r="F18" s="637"/>
      <c r="G18" s="637"/>
      <c r="H18" s="637"/>
      <c r="I18" s="638"/>
    </row>
    <row r="19" spans="2:9" ht="15" customHeight="1" x14ac:dyDescent="0.25">
      <c r="B19" s="111"/>
      <c r="F19" s="135"/>
      <c r="G19" s="135"/>
      <c r="H19" s="135"/>
      <c r="I19" s="135"/>
    </row>
    <row r="20" spans="2:9" ht="15" customHeight="1" x14ac:dyDescent="0.25">
      <c r="B20" s="111" t="s">
        <v>13</v>
      </c>
      <c r="C20" s="137" t="s">
        <v>439</v>
      </c>
      <c r="D20" s="112"/>
      <c r="E20" s="112"/>
      <c r="F20" s="637" t="s">
        <v>244</v>
      </c>
      <c r="G20" s="637"/>
      <c r="H20" s="637"/>
      <c r="I20" s="639" t="str">
        <f>IF(AND(AUXILIAR!$P$11="",AUXILIAR!$P$12="",AUXILIAR!$P$13=""),"",IF(AND(AUXILIAR!$P$12="",AUXILIAR!$P$13=""),AUXILIAR!$P$11,IF(AND(AUXILIAR!$P$12&lt;&gt;"",AUXILIAR!$P$13=""),CONCATENATE(AUXILIAR!$P$11,"
",AUXILIAR!$P$12),CONCATENATE(AUXILIAR!$P$11,"
",AUXILIAR!$P$12,"
",AUXILIAR!$P$13))))</f>
        <v>nº 145, 24 de junio de 2024</v>
      </c>
    </row>
    <row r="21" spans="2:9" ht="15" customHeight="1" x14ac:dyDescent="0.25">
      <c r="B21" s="111"/>
      <c r="F21" s="637"/>
      <c r="G21" s="637"/>
      <c r="H21" s="637"/>
      <c r="I21" s="639"/>
    </row>
    <row r="22" spans="2:9" ht="15" customHeight="1" x14ac:dyDescent="0.25">
      <c r="B22" s="111" t="s">
        <v>14</v>
      </c>
      <c r="C22" s="138" t="str">
        <f>CONCATENATE(C16,".",TEXT(C18,"00"),".",C20,".")</f>
        <v>2024.08.EPTE.</v>
      </c>
      <c r="D22" s="2"/>
      <c r="F22" s="637"/>
      <c r="G22" s="637"/>
      <c r="H22" s="637"/>
      <c r="I22" s="639"/>
    </row>
    <row r="23" spans="2:9" ht="15" customHeight="1" x14ac:dyDescent="0.25">
      <c r="B23" s="111"/>
      <c r="C23" s="111"/>
      <c r="D23" s="111"/>
      <c r="E23" s="111"/>
      <c r="F23" s="111"/>
      <c r="H23" s="114"/>
    </row>
    <row r="24" spans="2:9" ht="15" customHeight="1" x14ac:dyDescent="0.25">
      <c r="F24" s="115" t="s">
        <v>15</v>
      </c>
      <c r="H24" s="139" t="s">
        <v>245</v>
      </c>
      <c r="I24" s="139" t="s">
        <v>246</v>
      </c>
    </row>
    <row r="25" spans="2:9" ht="15" customHeight="1" x14ac:dyDescent="0.25">
      <c r="B25" s="117" t="s">
        <v>146</v>
      </c>
      <c r="C25" s="3"/>
      <c r="D25" s="3"/>
      <c r="F25" s="617">
        <f>AUXILIAR!S8</f>
        <v>45107</v>
      </c>
      <c r="H25" s="118"/>
      <c r="I25" s="118">
        <f>IF(AND(F25="",H25=""),"",IF(AND(F25&lt;&gt;"",H25=""),F25,IF(AND(F25&lt;&gt;"",H25&lt;&gt;""),H25,H25)))</f>
        <v>45107</v>
      </c>
    </row>
    <row r="26" spans="2:9" ht="15" customHeight="1" x14ac:dyDescent="0.25">
      <c r="B26" s="3"/>
      <c r="C26" s="3"/>
      <c r="D26" s="3"/>
      <c r="F26" s="210"/>
      <c r="H26" s="116"/>
      <c r="I26" s="116"/>
    </row>
    <row r="27" spans="2:9" ht="15" customHeight="1" x14ac:dyDescent="0.25">
      <c r="B27" s="117" t="s">
        <v>147</v>
      </c>
      <c r="C27" s="3"/>
      <c r="D27" s="3"/>
      <c r="F27" s="5"/>
      <c r="H27" s="118"/>
      <c r="I27" s="118" t="str">
        <f>IF(AND(F27="",H27=""),"",IF(AND(F27&lt;&gt;"",H27=""),F27,IF(AND(F27&lt;&gt;"",H27&lt;&gt;""),H27,H27)))</f>
        <v/>
      </c>
    </row>
    <row r="28" spans="2:9" ht="15" customHeight="1" x14ac:dyDescent="0.25">
      <c r="B28" s="3"/>
      <c r="C28" s="3"/>
      <c r="D28" s="3"/>
      <c r="F28" s="116"/>
      <c r="H28" s="116"/>
      <c r="I28" s="116"/>
    </row>
    <row r="29" spans="2:9" ht="15" customHeight="1" x14ac:dyDescent="0.25">
      <c r="B29" s="117" t="s">
        <v>16</v>
      </c>
      <c r="C29" s="3"/>
      <c r="D29" s="3"/>
      <c r="F29" s="141" t="str">
        <f>IF(F27="","",AUXILIAR!S18)</f>
        <v/>
      </c>
      <c r="H29" s="118" t="str">
        <f>IF(E29="","",E29)</f>
        <v/>
      </c>
      <c r="I29" s="118" t="str">
        <f>IF(AND(F29="",H29=""),"",IF(AND(F29&lt;&gt;"",H29=""),F29,IF(AND(F29&lt;&gt;"",H29&lt;&gt;""),H29,H29)))</f>
        <v/>
      </c>
    </row>
    <row r="33" spans="2:9" ht="75" customHeight="1" x14ac:dyDescent="0.25">
      <c r="B33" s="619" t="str">
        <f>IF(AUXILIAR!$S$5="SÍ","(*): La fecha final del plazo de ejecución del proyecto/actividad viene reflejada en el segundo punto de las condiciones particulares de la 
Resolución Individual de Concesión de Ayuda.",IF(AUXILIAR!$S$5="NO",
CONCATENATE(AUXILIAR!$R$20," 
",AUXILIAR!$R$22),""))</f>
        <v>(*): La fecha final del plazo de ejecución del proyecto/actividad viene reflejada en el segundo punto de las condiciones particulares de la 
Resolución Individual de Concesión de Ayuda.</v>
      </c>
      <c r="C33" s="619"/>
      <c r="D33" s="619"/>
      <c r="E33" s="619"/>
      <c r="F33" s="619"/>
      <c r="G33" s="619"/>
      <c r="H33" s="619"/>
      <c r="I33" s="619"/>
    </row>
    <row r="34" spans="2:9" ht="15" customHeight="1" x14ac:dyDescent="0.25">
      <c r="B34" s="140"/>
      <c r="C34" s="140"/>
      <c r="D34" s="140"/>
      <c r="E34" s="140"/>
      <c r="F34" s="140"/>
      <c r="G34" s="140"/>
      <c r="H34" s="140"/>
      <c r="I34" s="140"/>
    </row>
    <row r="35" spans="2:9" ht="15" customHeight="1" x14ac:dyDescent="0.25">
      <c r="B35" s="140"/>
      <c r="C35" s="140"/>
      <c r="D35" s="140"/>
      <c r="E35" s="140"/>
      <c r="F35" s="140"/>
      <c r="G35" s="140"/>
      <c r="H35" s="140"/>
      <c r="I35" s="140"/>
    </row>
  </sheetData>
  <sheetProtection algorithmName="SHA-512" hashValue="cFzdgxxGwg2bjQYL3kJuzaVZUedtWxWCrvLys5gdyCURDv5hRsKoA2cgcGOJtH7wRCriemSqjc6plXmf6Us79g==" saltValue="muE3hAdrdHuN7xRdrxo2qQ==" spinCount="100000" sheet="1" objects="1" scenarios="1"/>
  <protectedRanges>
    <protectedRange algorithmName="SHA-512" hashValue="g07ICFhCBafus3CgkLUEDzKin5SzCUAZMQLHhoa4kocnaNqpZXvdf8mGfe/KBltSe88ETvl8umKWUwWIQ3geqw==" saltValue="9W1L0THo7M55u2LdRlUG4A==" spinCount="100000" sqref="H25 H27 H29" name="Rango1"/>
  </protectedRanges>
  <mergeCells count="9">
    <mergeCell ref="B33:I33"/>
    <mergeCell ref="B9:B10"/>
    <mergeCell ref="C9:I10"/>
    <mergeCell ref="B12:B14"/>
    <mergeCell ref="C12:I14"/>
    <mergeCell ref="F16:H18"/>
    <mergeCell ref="F20:H22"/>
    <mergeCell ref="I16:I18"/>
    <mergeCell ref="I20:I22"/>
  </mergeCells>
  <conditionalFormatting sqref="H25:I25 H27:I27 H29:I29">
    <cfRule type="expression" dxfId="542" priority="161">
      <formula>$I25&lt;&gt;$F25</formula>
    </cfRule>
  </conditionalFormatting>
  <printOptions horizontalCentered="1"/>
  <pageMargins left="0.59055118110236227" right="0.59055118110236227" top="0.78740157480314965" bottom="0.39370078740157483" header="0.19685039370078741" footer="0.19685039370078741"/>
  <pageSetup paperSize="9" scale="78"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4" id="{69231DCB-F504-4118-91E3-E725677D8924}">
            <xm:f>AUXILIAR!$S$5="SÍ"</xm:f>
            <x14:dxf>
              <font>
                <b val="0"/>
                <i val="0"/>
              </font>
              <fill>
                <patternFill>
                  <bgColor rgb="FFDDEE00"/>
                </patternFill>
              </fill>
            </x14:dxf>
          </x14:cfRule>
          <xm:sqref>F25</xm:sqref>
        </x14:conditionalFormatting>
        <x14:conditionalFormatting xmlns:xm="http://schemas.microsoft.com/office/excel/2006/main">
          <x14:cfRule type="expression" priority="1" stopIfTrue="1" id="{00000000-000E-0000-0100-000003000000}">
            <xm:f>OR(USUARIO!$C$2="",AUXILIAR!$W$6&lt;&gt;USUARIO!$C$2)</xm:f>
            <x14:dxf>
              <font>
                <color theme="0"/>
              </font>
              <fill>
                <patternFill patternType="none">
                  <bgColor auto="1"/>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22E0FDD3-E31A-4F44-9CED-D573BB9F99BF}">
          <x14:formula1>
            <xm:f>OFFSET(AUXILIAR!$M$7,0,,COUNTIF(LÍNEA,"&lt;&gt;X"))</xm:f>
          </x14:formula1>
          <xm:sqref>C20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CC0F8-E231-4136-A650-435AF994CF14}">
  <dimension ref="B2:X61"/>
  <sheetViews>
    <sheetView showGridLines="0" zoomScaleNormal="100" workbookViewId="0">
      <selection activeCell="N51" sqref="N51"/>
    </sheetView>
  </sheetViews>
  <sheetFormatPr baseColWidth="10" defaultRowHeight="13.5" x14ac:dyDescent="0.25"/>
  <cols>
    <col min="1" max="1" width="5.5703125" customWidth="1"/>
    <col min="2" max="2" width="12.5703125" customWidth="1"/>
    <col min="5" max="6" width="20.7109375" customWidth="1"/>
    <col min="7" max="7" width="5.7109375" customWidth="1"/>
    <col min="8" max="8" width="12.5703125" customWidth="1"/>
    <col min="11" max="12" width="20.7109375" customWidth="1"/>
    <col min="13" max="13" width="5.7109375" customWidth="1"/>
    <col min="14" max="14" width="12.5703125" customWidth="1"/>
    <col min="17" max="18" width="20.7109375" customWidth="1"/>
    <col min="19" max="19" width="5.7109375" customWidth="1"/>
    <col min="20" max="20" width="12.5703125" customWidth="1"/>
    <col min="23" max="24" width="20.7109375" customWidth="1"/>
    <col min="25" max="25" width="5.7109375" customWidth="1"/>
  </cols>
  <sheetData>
    <row r="2" spans="2:20" ht="15" x14ac:dyDescent="0.25">
      <c r="B2" s="84"/>
      <c r="H2" s="84"/>
      <c r="N2" s="84"/>
      <c r="T2" s="84"/>
    </row>
    <row r="3" spans="2:20" x14ac:dyDescent="0.25">
      <c r="B3" s="83"/>
      <c r="H3" s="83"/>
      <c r="N3" s="83"/>
      <c r="T3" s="83"/>
    </row>
    <row r="4" spans="2:20" ht="15.75" x14ac:dyDescent="0.25">
      <c r="F4" s="103" t="str">
        <f>CONCATENATE("Nº DE EXPEDIENTE: ",EXPEDIENTE!C16,".",TEXT(EXPEDIENTE!C18,"00"),".",EXPEDIENTE!C20,".",TEXT(EXPEDIENTE!D22,"0000"))</f>
        <v>Nº DE EXPEDIENTE: 2024.08.EPTE.0000</v>
      </c>
    </row>
    <row r="6" spans="2:20" x14ac:dyDescent="0.25">
      <c r="E6" s="643" t="str">
        <f>IF(EXPEDIENTE!$I$25="","ERROR: no se ha cumplimentado la fecha de inicio en la pestaña EXPEDIENTE",IF(EXPEDIENTE!$I$27="","ERROR: no se ha cumplimentado la fecha de final en la pestaña EXPEDIENTE",""))</f>
        <v>ERROR: no se ha cumplimentado la fecha de final en la pestaña EXPEDIENTE</v>
      </c>
      <c r="F6" s="643"/>
    </row>
    <row r="7" spans="2:20" x14ac:dyDescent="0.25">
      <c r="E7" s="643"/>
      <c r="F7" s="643"/>
    </row>
    <row r="9" spans="2:20" ht="13.9" customHeight="1" thickBot="1" x14ac:dyDescent="0.3"/>
    <row r="10" spans="2:20" ht="20.100000000000001" customHeight="1" thickBot="1" x14ac:dyDescent="0.3">
      <c r="B10" s="647" t="s">
        <v>65</v>
      </c>
      <c r="C10" s="648"/>
      <c r="D10" s="648"/>
      <c r="E10" s="648"/>
      <c r="F10" s="649"/>
    </row>
    <row r="11" spans="2:20" ht="20.100000000000001" customHeight="1" x14ac:dyDescent="0.25">
      <c r="B11" s="650" t="s">
        <v>24</v>
      </c>
      <c r="C11" s="651"/>
      <c r="D11" s="654"/>
      <c r="E11" s="654"/>
      <c r="F11" s="654"/>
    </row>
    <row r="12" spans="2:20" ht="20.100000000000001" customHeight="1" x14ac:dyDescent="0.25">
      <c r="B12" s="652" t="s">
        <v>25</v>
      </c>
      <c r="C12" s="653"/>
      <c r="D12" s="642"/>
      <c r="E12" s="642"/>
      <c r="F12" s="642"/>
    </row>
    <row r="13" spans="2:20" ht="20.100000000000001" customHeight="1" x14ac:dyDescent="0.25">
      <c r="B13" s="652" t="s">
        <v>26</v>
      </c>
      <c r="C13" s="653"/>
      <c r="D13" s="642"/>
      <c r="E13" s="642"/>
      <c r="F13" s="642"/>
    </row>
    <row r="14" spans="2:20" ht="20.100000000000001" customHeight="1" x14ac:dyDescent="0.25">
      <c r="B14" s="652" t="s">
        <v>27</v>
      </c>
      <c r="C14" s="653"/>
      <c r="D14" s="145" t="str">
        <f>SUBSTITUTE( SUBSTITUTE( SUBSTITUTE( SUBSTITUTE( SUBSTITUTE(E14, "Á", "A"), "É", "E"), "Í", "I"), "Ó", "O"), "Ú", "U")</f>
        <v/>
      </c>
      <c r="E14" s="146" t="str">
        <f>UPPER(CONCATENATE(LEFT(D12,2),LEFT(D13,2),LEFT(D11,1)))</f>
        <v/>
      </c>
    </row>
    <row r="15" spans="2:20" ht="15" customHeight="1" thickBot="1" x14ac:dyDescent="0.3"/>
    <row r="16" spans="2:20" ht="20.100000000000001" customHeight="1" thickBot="1" x14ac:dyDescent="0.3">
      <c r="B16" s="647" t="s">
        <v>418</v>
      </c>
      <c r="C16" s="648"/>
      <c r="D16" s="648"/>
      <c r="E16" s="648"/>
      <c r="F16" s="649"/>
    </row>
    <row r="17" spans="2:24" ht="39.950000000000003" customHeight="1" x14ac:dyDescent="0.25">
      <c r="B17" s="655" t="s">
        <v>419</v>
      </c>
      <c r="C17" s="655"/>
      <c r="D17" s="655"/>
      <c r="E17" s="655"/>
      <c r="F17" s="390"/>
      <c r="H17" s="102"/>
      <c r="I17" s="102"/>
      <c r="J17" s="102"/>
      <c r="L17" s="102"/>
      <c r="N17" s="102"/>
      <c r="O17" s="102"/>
      <c r="P17" s="102"/>
      <c r="R17" s="102"/>
      <c r="T17" s="102"/>
      <c r="U17" s="102"/>
      <c r="V17" s="102"/>
      <c r="X17" s="102"/>
    </row>
    <row r="18" spans="2:24" ht="20.100000000000001" customHeight="1" x14ac:dyDescent="0.25">
      <c r="B18" s="655" t="s">
        <v>421</v>
      </c>
      <c r="C18" s="655"/>
      <c r="D18" s="655"/>
      <c r="E18" s="655"/>
      <c r="F18" s="64"/>
      <c r="H18" s="640" t="str">
        <f>IF(AND($F$17="SÍ",$F$18&gt;$E$22),"ERROR: LA FECHA DE INICIO DE CONTRATO ES POSTERIOR AL INICIO DEL PLAZO DE EJECUCIÓN.","")</f>
        <v/>
      </c>
      <c r="I18" s="640"/>
      <c r="J18" s="640"/>
      <c r="K18" s="640"/>
      <c r="L18" s="640"/>
      <c r="M18" s="4"/>
      <c r="N18" s="4"/>
      <c r="O18" s="102"/>
      <c r="P18" s="102"/>
      <c r="R18" s="102"/>
      <c r="T18" s="102"/>
      <c r="U18" s="102"/>
      <c r="V18" s="102"/>
      <c r="X18" s="102"/>
    </row>
    <row r="19" spans="2:24" ht="39.950000000000003" customHeight="1" x14ac:dyDescent="0.25">
      <c r="B19" s="656" t="s">
        <v>422</v>
      </c>
      <c r="C19" s="657"/>
      <c r="D19" s="657"/>
      <c r="E19" s="658"/>
      <c r="F19" s="64"/>
      <c r="H19" s="641" t="str">
        <f>IF(AND($F$17="NO",$F$18&lt;&gt;"",$F$19=""),"INDICAR SI EL TRABAJADOR SEGUÍA CONTRATADO EN EL MOMENTO DE FINALIZAR EL PLAZO DE EJECUCIÓN.","")</f>
        <v/>
      </c>
      <c r="I19" s="641"/>
      <c r="J19" s="641"/>
      <c r="K19" s="641"/>
      <c r="L19" s="641"/>
      <c r="M19" s="4"/>
      <c r="N19" s="4"/>
      <c r="O19" s="102"/>
      <c r="P19" s="102"/>
      <c r="R19" s="102"/>
      <c r="T19" s="102"/>
      <c r="U19" s="102"/>
      <c r="V19" s="102"/>
      <c r="X19" s="102"/>
    </row>
    <row r="20" spans="2:24" ht="15" customHeight="1" x14ac:dyDescent="0.25">
      <c r="B20" s="659" t="s">
        <v>423</v>
      </c>
      <c r="C20" s="659"/>
      <c r="D20" s="659"/>
      <c r="E20" s="659"/>
      <c r="F20" s="64"/>
      <c r="H20" s="640" t="str">
        <f>IF(AND($F$19="NO",$F$20=""),"CUMPLIMENTAR FECHA FINALIZACIÓN DEL CONTRATO.",IF(AND($E$25&lt;&gt;"",$F$20&lt;&gt;"",$E$25&lt;$F$18),"ERROR: LA FECHA DE FIN DE CONTRATO ES ANTERIOR A LA DE SU FIRMA.",IF(AND($F$17="NO",$F$19="NO",$F$20&gt;$E$23),"ERROR: A LA FINALIZACIÓN DEL PLAZO DE EJECUCIÓN EL TRABAJADOR SÍ SEGUÍA CONTRATADO.","")))</f>
        <v/>
      </c>
      <c r="I20" s="640"/>
      <c r="J20" s="640"/>
      <c r="K20" s="640"/>
      <c r="L20" s="640"/>
      <c r="M20" s="4"/>
      <c r="N20" s="4"/>
      <c r="O20" s="102"/>
      <c r="P20" s="102"/>
      <c r="R20" s="102"/>
      <c r="T20" s="102"/>
      <c r="U20" s="102"/>
      <c r="V20" s="102"/>
      <c r="X20" s="102"/>
    </row>
    <row r="21" spans="2:24" ht="15" customHeight="1" thickBot="1" x14ac:dyDescent="0.3">
      <c r="B21" s="102"/>
      <c r="C21" s="102"/>
      <c r="D21" s="102"/>
      <c r="F21" s="102"/>
      <c r="H21" s="102"/>
      <c r="I21" s="102"/>
      <c r="J21" s="102"/>
      <c r="L21" s="102"/>
      <c r="N21" s="102"/>
      <c r="O21" s="102"/>
      <c r="P21" s="102"/>
      <c r="R21" s="102"/>
      <c r="T21" s="102"/>
      <c r="U21" s="102"/>
      <c r="V21" s="102"/>
      <c r="X21" s="102"/>
    </row>
    <row r="22" spans="2:24" ht="15" hidden="1" customHeight="1" x14ac:dyDescent="0.25">
      <c r="B22" s="608" t="s">
        <v>424</v>
      </c>
      <c r="C22" s="9"/>
      <c r="D22" s="10"/>
      <c r="E22" s="609">
        <f>EXPEDIENTE!$I$25</f>
        <v>45107</v>
      </c>
      <c r="F22" s="102"/>
      <c r="H22" s="102"/>
      <c r="I22" s="102"/>
      <c r="J22" s="102"/>
      <c r="L22" s="102"/>
      <c r="N22" s="102"/>
      <c r="O22" s="102"/>
      <c r="P22" s="102"/>
      <c r="R22" s="102"/>
      <c r="T22" s="102"/>
      <c r="U22" s="102"/>
      <c r="V22" s="102"/>
      <c r="X22" s="102"/>
    </row>
    <row r="23" spans="2:24" ht="15" hidden="1" customHeight="1" x14ac:dyDescent="0.25">
      <c r="B23" s="608" t="s">
        <v>425</v>
      </c>
      <c r="C23" s="9"/>
      <c r="D23" s="10"/>
      <c r="E23" s="609" t="str">
        <f>EXPEDIENTE!$I$27</f>
        <v/>
      </c>
      <c r="F23" s="102"/>
      <c r="H23" s="102"/>
      <c r="I23" s="102"/>
      <c r="J23" s="102"/>
      <c r="L23" s="102"/>
      <c r="N23" s="102"/>
      <c r="O23" s="102"/>
      <c r="P23" s="102"/>
      <c r="R23" s="102"/>
      <c r="T23" s="102"/>
      <c r="U23" s="102"/>
      <c r="V23" s="102"/>
      <c r="X23" s="102"/>
    </row>
    <row r="24" spans="2:24" ht="15" hidden="1" customHeight="1" x14ac:dyDescent="0.25">
      <c r="B24" s="608" t="s">
        <v>426</v>
      </c>
      <c r="C24" s="9"/>
      <c r="D24" s="10"/>
      <c r="E24" s="609">
        <f>IF($F$17="SÍ",$E$22,IF(AND($F$17="NO",$F$18=""),"",MAX($E$22,$F$18)))</f>
        <v>45107</v>
      </c>
      <c r="F24" s="102"/>
      <c r="H24" s="102"/>
      <c r="I24" s="102"/>
      <c r="J24" s="102"/>
      <c r="L24" s="102"/>
      <c r="N24" s="102"/>
      <c r="O24" s="102"/>
      <c r="P24" s="102"/>
      <c r="R24" s="102"/>
      <c r="T24" s="102"/>
      <c r="U24" s="102"/>
      <c r="V24" s="102"/>
      <c r="X24" s="102"/>
    </row>
    <row r="25" spans="2:24" ht="15" hidden="1" customHeight="1" x14ac:dyDescent="0.25">
      <c r="B25" s="608" t="s">
        <v>427</v>
      </c>
      <c r="C25" s="9"/>
      <c r="D25" s="10"/>
      <c r="E25" s="609" t="b">
        <f>IF($F$17="SÍ",$E$23,IF(F17="NO",MIN($F$20,E23)))</f>
        <v>0</v>
      </c>
      <c r="F25" s="102"/>
      <c r="H25" s="102"/>
      <c r="I25" s="102"/>
      <c r="J25" s="102"/>
      <c r="L25" s="102"/>
      <c r="N25" s="102"/>
      <c r="O25" s="102"/>
      <c r="P25" s="102"/>
      <c r="R25" s="102"/>
      <c r="T25" s="102"/>
      <c r="U25" s="102"/>
      <c r="V25" s="102"/>
      <c r="X25" s="102"/>
    </row>
    <row r="26" spans="2:24" ht="15" hidden="1" customHeight="1" x14ac:dyDescent="0.25">
      <c r="B26" s="102"/>
      <c r="C26" s="102"/>
      <c r="D26" s="102"/>
      <c r="F26" s="102"/>
      <c r="H26" s="102"/>
      <c r="I26" s="102"/>
      <c r="J26" s="102"/>
      <c r="L26" s="102"/>
      <c r="N26" s="102"/>
      <c r="O26" s="102"/>
      <c r="P26" s="102"/>
      <c r="R26" s="102"/>
      <c r="T26" s="102"/>
      <c r="U26" s="102"/>
      <c r="V26" s="102"/>
      <c r="X26" s="102"/>
    </row>
    <row r="27" spans="2:24" ht="15" hidden="1" customHeight="1" x14ac:dyDescent="0.25">
      <c r="B27" s="7" t="str">
        <f>IF(EXPEDIENTE!$F$25="","EJERCICIO",CONCATENATE("EJERCICIO ",YEAR(EXPEDIENTE!$F$25)))</f>
        <v>EJERCICIO 2023</v>
      </c>
      <c r="C27" s="4"/>
      <c r="D27" s="4"/>
      <c r="E27" s="6" t="s">
        <v>234</v>
      </c>
      <c r="F27" s="6" t="s">
        <v>420</v>
      </c>
      <c r="H27" s="102"/>
      <c r="I27" s="102"/>
      <c r="J27" s="102"/>
      <c r="L27" s="102"/>
      <c r="N27" s="102"/>
      <c r="O27" s="102"/>
      <c r="P27" s="102"/>
      <c r="R27" s="102"/>
      <c r="T27" s="102"/>
      <c r="U27" s="102"/>
      <c r="V27" s="102"/>
      <c r="X27" s="102"/>
    </row>
    <row r="28" spans="2:24" ht="15" hidden="1" customHeight="1" x14ac:dyDescent="0.25">
      <c r="B28" s="4"/>
      <c r="C28" s="610">
        <f>IF($E$22="","",DATE(YEAR($E$22),1,1))</f>
        <v>44927</v>
      </c>
      <c r="D28" s="88" t="s">
        <v>182</v>
      </c>
      <c r="E28" s="609" t="str">
        <f>IF(OR($F$18="",$F$17="",$E$22="",$E$23=""),"",IF($F$17="NO","",IF($E$23&lt;C28,"",IF(AND($F$17="SÍ",$E$22&lt;C28),C28,IF(AND($F$17="SÍ",YEAR($E$22)=YEAR(C28)),C28,IF(AND($F$17="SÍ",$E$22&gt;C29),"Error"))))))</f>
        <v/>
      </c>
      <c r="F28" s="609" t="str">
        <f>IF(OR($F$18="",$F$17="",$E$22="",$E$23="",$E$25=""),"",IF($F$17="SÍ","",IF($E$25&lt;$F$18,"",IF(AND($F$18&lt;C28,$E$25&lt;C28),"",IF(AND($F$18&lt;C28,$E$25&gt;=C28,$E$25&lt;=C29),C28,IF(AND($F$18&lt;C28,$E$25&gt;C29),C28,IF(AND($F$18&gt;=C28,$F$18&lt;=C29,$E$25&gt;=C28,$E$25&lt;=C29),$F$18,IF(AND($F$18&gt;=C28,$F$18&lt;=C29,$E$25&gt;C29),$F$18,IF(AND($F$18&gt;C29,$E$25&gt;C29),"","Error")))))))))</f>
        <v/>
      </c>
      <c r="H28" s="102"/>
      <c r="I28" s="102"/>
      <c r="J28" s="102"/>
      <c r="L28" s="102"/>
      <c r="N28" s="102"/>
      <c r="O28" s="102"/>
      <c r="P28" s="102"/>
      <c r="R28" s="102"/>
      <c r="T28" s="102"/>
      <c r="U28" s="102"/>
      <c r="V28" s="102"/>
      <c r="X28" s="102"/>
    </row>
    <row r="29" spans="2:24" ht="15" hidden="1" customHeight="1" x14ac:dyDescent="0.25">
      <c r="B29" s="4"/>
      <c r="C29" s="610" t="str">
        <f>IF($E$23="","",DATE(YEAR($E$22),12,31))</f>
        <v/>
      </c>
      <c r="D29" s="88" t="s">
        <v>428</v>
      </c>
      <c r="E29" s="609" t="str">
        <f>IF(OR($F$18="",$F$17="",$E$22="",$E$23=""),"",IF($F$17="NO","",IF($E$23&lt;C28,"",IF($F$17="SÍ",MIN(DATE(YEAR(EXPEDIENTE!$I$25),12,31),$E$23),"Error"))))</f>
        <v/>
      </c>
      <c r="F29" s="609" t="str">
        <f>IF(OR($F$18="",$F$17="",$E$22="",$E$23="",$E$25=""),"",IF($F$17="SÍ","",IF($E$25&lt;$F$18,"",IF(AND($F$18&lt;C28,$E$25&lt;C28),"",IF(AND($F$18&lt;C28,$E$25&gt;=C28,$E$25&lt;=C29),$E$25,IF(AND($F$18&lt;C28,$E$25&gt;C29),C29,IF(AND($F$18&gt;=C28,$F$18&lt;=C29,$E$25&gt;=C28,$E$25&lt;=C29),$E$25,IF(AND($F$18&gt;=C28,$F$18&lt;=C29,$E$25&gt;C29),C29,IF(AND($F$18&gt;C29,$E$25&gt;C29),"","Error")))))))))</f>
        <v/>
      </c>
      <c r="H29" s="102"/>
      <c r="I29" s="102"/>
      <c r="J29" s="102"/>
      <c r="L29" s="102"/>
      <c r="N29" s="102"/>
      <c r="O29" s="102"/>
      <c r="P29" s="102"/>
      <c r="R29" s="102"/>
      <c r="T29" s="102"/>
      <c r="U29" s="102"/>
      <c r="V29" s="102"/>
      <c r="X29" s="102"/>
    </row>
    <row r="30" spans="2:24" ht="15" hidden="1" customHeight="1" x14ac:dyDescent="0.25">
      <c r="B30" s="4"/>
      <c r="C30" s="4"/>
      <c r="D30" s="88" t="s">
        <v>429</v>
      </c>
      <c r="E30" s="611" t="str">
        <f>IF(OR($E$22="",$E$23="",$F$18="",$F$17=""),"",IF(AND($F$17="SÍ",E28&lt;&gt;"",E29&lt;&gt;""),DAYS360(E28,E29),IF(AND($F$17="NO",F28&lt;&gt;"",F29&lt;&gt;""),DAYS360(F28,F29),"")))</f>
        <v/>
      </c>
      <c r="F30" s="612"/>
      <c r="H30" s="102"/>
      <c r="I30" s="102"/>
      <c r="J30" s="102"/>
      <c r="L30" s="102"/>
      <c r="N30" s="102"/>
      <c r="O30" s="102"/>
      <c r="P30" s="102"/>
      <c r="R30" s="102"/>
      <c r="T30" s="102"/>
      <c r="U30" s="102"/>
      <c r="V30" s="102"/>
      <c r="X30" s="102"/>
    </row>
    <row r="31" spans="2:24" ht="15" hidden="1" customHeight="1" x14ac:dyDescent="0.25">
      <c r="B31" s="7" t="str">
        <f>IF(EXPEDIENTE!$F$25="","EJERCICIO",CONCATENATE("EJERCICIO ",YEAR(EXPEDIENTE!$F$25)+1))</f>
        <v>EJERCICIO 2024</v>
      </c>
      <c r="C31" s="4"/>
      <c r="D31" s="613"/>
      <c r="E31" s="612"/>
      <c r="F31" s="612"/>
      <c r="H31" s="102"/>
      <c r="I31" s="102"/>
      <c r="J31" s="102"/>
      <c r="L31" s="102"/>
      <c r="N31" s="102"/>
      <c r="O31" s="102"/>
      <c r="P31" s="102"/>
      <c r="R31" s="102"/>
      <c r="T31" s="102"/>
      <c r="U31" s="102"/>
      <c r="V31" s="102"/>
      <c r="X31" s="102"/>
    </row>
    <row r="32" spans="2:24" ht="15" hidden="1" customHeight="1" x14ac:dyDescent="0.25">
      <c r="B32" s="4"/>
      <c r="C32" s="610">
        <f>IF($E$22="","",DATE(YEAR($E$22)+1,1,1))</f>
        <v>45292</v>
      </c>
      <c r="D32" s="88" t="s">
        <v>182</v>
      </c>
      <c r="E32" s="609" t="str">
        <f>IF(OR($F$18="",$F$17="",$E$22="",$E$23=""),"",IF($F$17="NO","",IF($E$23&lt;C32,"",IF(AND($F$17="SÍ",$E$22&lt;C32),C32,IF(AND($F$17="SÍ",YEAR($E$22)=YEAR(C32)),C32,IF(AND($F$17="SÍ",$E$22&gt;C33),"Error"))))))</f>
        <v/>
      </c>
      <c r="F32" s="609" t="str">
        <f>IF(OR($F$18="",$F$17="",$E$22="",$E$23="",$E$25=""),"",IF($F$17="SÍ","",IF($E$25&lt;$F$18,"",IF(AND($F$18&lt;C32,$E$25&lt;C32),"",IF(AND($F$18&lt;C32,$E$25&gt;=C32,$E$25&lt;=C33),C32,IF(AND($F$18&lt;C32,$E$25&gt;C33),C32,IF(AND($F$18&gt;=C32,$F$18&lt;=C33,$E$25&gt;=C32,$E$25&lt;=C33),$F$18,IF(AND($F$18&gt;=C32,$F$18&lt;=C33,$E$25&gt;C33),$F$18,IF(AND($F$18&gt;C33,$E$25&gt;C33),"","Error")))))))))</f>
        <v/>
      </c>
      <c r="H32" s="102"/>
      <c r="I32" s="102"/>
      <c r="J32" s="102"/>
      <c r="L32" s="102"/>
      <c r="N32" s="102"/>
      <c r="O32" s="102"/>
      <c r="P32" s="102"/>
      <c r="R32" s="102"/>
      <c r="T32" s="102"/>
      <c r="U32" s="102"/>
      <c r="V32" s="102"/>
      <c r="X32" s="102"/>
    </row>
    <row r="33" spans="2:24" ht="15" hidden="1" customHeight="1" x14ac:dyDescent="0.25">
      <c r="B33" s="4"/>
      <c r="C33" s="610" t="str">
        <f>IF($E$23="","",DATE(YEAR($E$22)+1,12,31))</f>
        <v/>
      </c>
      <c r="D33" s="88" t="s">
        <v>428</v>
      </c>
      <c r="E33" s="609" t="str">
        <f>IF(OR($F$18="",$F$17="",$E$22="",$E$23=""),"",IF($F$17="NO","",IF($E$23&lt;C32,"",IF($F$17="SÍ",MIN(DATE(YEAR(EXPEDIENTE!$I$25)+1,12,31),$E$23),"Error"))))</f>
        <v/>
      </c>
      <c r="F33" s="609" t="str">
        <f>IF(OR($F$18="",$F$17="",$E$22="",$E$23="",$E$25=""),"",IF($F$17="SÍ","",IF($E$25&lt;$F$18,"",IF(AND($F$18&lt;C32,$E$25&lt;C32),"",IF(AND($F$18&lt;C32,$E$25&gt;=C32,$E$25&lt;=C33),$E$25,IF(AND($F$18&lt;C32,$E$25&gt;C33),C33,IF(AND($F$18&gt;=C32,$F$18&lt;=C33,$E$25&gt;=C32,$E$25&lt;=C33),$E$25,IF(AND($F$18&gt;=C32,$F$18&lt;=C33,$E$25&gt;C33),C33,IF(AND($F$18&gt;C33,$E$25&gt;C33),"","Error")))))))))</f>
        <v/>
      </c>
      <c r="H33" s="102"/>
      <c r="I33" s="102"/>
      <c r="J33" s="102"/>
      <c r="L33" s="102"/>
      <c r="N33" s="102"/>
      <c r="O33" s="102"/>
      <c r="P33" s="102"/>
      <c r="R33" s="102"/>
      <c r="T33" s="102"/>
      <c r="U33" s="102"/>
      <c r="V33" s="102"/>
      <c r="X33" s="102"/>
    </row>
    <row r="34" spans="2:24" ht="15" hidden="1" customHeight="1" x14ac:dyDescent="0.25">
      <c r="B34" s="4"/>
      <c r="C34" s="4"/>
      <c r="D34" s="88" t="s">
        <v>429</v>
      </c>
      <c r="E34" s="611" t="str">
        <f>IF(OR($E$22="",$E$23="",$F$18="",$F$17=""),"",IF(AND($F$17="SÍ",E32&lt;&gt;"",E33&lt;&gt;""),DAYS360(E32,E33),IF(AND($F$17="NO",F32&lt;&gt;"",F33&lt;&gt;""),DAYS360(F32,F33),"")))</f>
        <v/>
      </c>
      <c r="F34" s="612"/>
      <c r="H34" s="102"/>
      <c r="I34" s="102"/>
      <c r="J34" s="102"/>
      <c r="L34" s="102"/>
      <c r="N34" s="102"/>
      <c r="O34" s="102"/>
      <c r="P34" s="102"/>
      <c r="R34" s="102"/>
      <c r="T34" s="102"/>
      <c r="U34" s="102"/>
      <c r="V34" s="102"/>
      <c r="X34" s="102"/>
    </row>
    <row r="35" spans="2:24" ht="15" hidden="1" customHeight="1" x14ac:dyDescent="0.25">
      <c r="B35" s="7" t="str">
        <f>IF(EXPEDIENTE!$F$25="","EJERCICIO",CONCATENATE("EJERCICIO ",YEAR(EXPEDIENTE!$F$25)+2))</f>
        <v>EJERCICIO 2025</v>
      </c>
      <c r="C35" s="4"/>
      <c r="D35" s="613"/>
      <c r="E35" s="612"/>
      <c r="F35" s="612"/>
      <c r="H35" s="102"/>
      <c r="I35" s="102"/>
      <c r="J35" s="102"/>
      <c r="L35" s="102"/>
      <c r="N35" s="102"/>
      <c r="O35" s="102"/>
      <c r="P35" s="102"/>
      <c r="R35" s="102"/>
      <c r="T35" s="102"/>
      <c r="U35" s="102"/>
      <c r="V35" s="102"/>
      <c r="X35" s="102"/>
    </row>
    <row r="36" spans="2:24" ht="15" hidden="1" customHeight="1" x14ac:dyDescent="0.25">
      <c r="B36" s="4"/>
      <c r="C36" s="610">
        <f>IF($E$22="","",DATE(YEAR($E$22)+2,1,1))</f>
        <v>45658</v>
      </c>
      <c r="D36" s="88" t="s">
        <v>182</v>
      </c>
      <c r="E36" s="609" t="str">
        <f>IF(OR($F$18="",$F$17="",$E$22="",$E$23=""),"",IF($F$17="NO","",IF($E$23&lt;C36,"",IF(AND($F$17="SÍ",$E$22&lt;C36),C36,IF(AND($F$17="SÍ",YEAR($E$22)=YEAR(C36)),C36,IF(AND($F$17="SÍ",$E$22&gt;C37),"Error"))))))</f>
        <v/>
      </c>
      <c r="F36" s="609" t="str">
        <f>IF(OR($F$18="",$F$17="",$E$22="",$E$23="",$E$25=""),"",IF($F$17="SÍ","",IF($E$25&lt;$F$18,"",IF(AND($F$18&lt;C36,$E$25&lt;C36),"",IF(AND($F$18&lt;C36,$E$25&gt;=C36,$E$25&lt;=C37),C36,IF(AND($F$18&lt;C36,$E$25&gt;C37),C36,IF(AND($F$18&gt;=C36,$F$18&lt;=C37,$E$25&gt;=C36,$E$25&lt;=C37),$F$18,IF(AND($F$18&gt;=C36,$F$18&lt;=C37,$E$25&gt;C37),$F$18,IF(AND($F$18&gt;C37,$E$25&gt;C37),"","Error")))))))))</f>
        <v/>
      </c>
      <c r="H36" s="102"/>
      <c r="I36" s="102"/>
      <c r="J36" s="102"/>
      <c r="L36" s="102"/>
      <c r="N36" s="102"/>
      <c r="O36" s="102"/>
      <c r="P36" s="102"/>
      <c r="R36" s="102"/>
      <c r="T36" s="102"/>
      <c r="U36" s="102"/>
      <c r="V36" s="102"/>
      <c r="X36" s="102"/>
    </row>
    <row r="37" spans="2:24" ht="15" hidden="1" customHeight="1" x14ac:dyDescent="0.25">
      <c r="B37" s="4"/>
      <c r="C37" s="610" t="str">
        <f>IF($E$23="","",DATE(YEAR($E$22)+2,12,31))</f>
        <v/>
      </c>
      <c r="D37" s="88" t="s">
        <v>428</v>
      </c>
      <c r="E37" s="609" t="str">
        <f>IF(OR($F$18="",$F$17="",$E$22="",$E$23=""),"",IF($F$17="NO","",IF($E$23&lt;C36,"",IF($F$17="SÍ",MIN(DATE(YEAR(EXPEDIENTE!$I$25)+2,12,31),$E$23),"Error"))))</f>
        <v/>
      </c>
      <c r="F37" s="609" t="str">
        <f>IF(OR($F$18="",$F$17="",$E$22="",$E$23="",$E$25=""),"",IF($F$17="SÍ","",IF($E$25&lt;$F$18,"",IF(AND($F$18&lt;C36,$E$25&lt;C36),"",IF(AND($F$18&lt;C36,$E$25&gt;=C36,$E$25&lt;=C37),$E$25,IF(AND($F$18&lt;C36,$E$25&gt;C37),C37,IF(AND($F$18&gt;=C36,$F$18&lt;=C37,$E$25&gt;=C36,$E$25&lt;=C37),$E$25,IF(AND($F$18&gt;=C36,$F$18&lt;=C37,$E$25&gt;C37),C37,IF(AND($F$18&gt;C37,$E$25&gt;C37),"","Error")))))))))</f>
        <v/>
      </c>
      <c r="H37" s="102"/>
      <c r="I37" s="102"/>
      <c r="J37" s="102"/>
      <c r="L37" s="102"/>
      <c r="N37" s="102"/>
      <c r="O37" s="102"/>
      <c r="P37" s="102"/>
      <c r="R37" s="102"/>
      <c r="T37" s="102"/>
      <c r="U37" s="102"/>
      <c r="V37" s="102"/>
      <c r="X37" s="102"/>
    </row>
    <row r="38" spans="2:24" ht="15" hidden="1" customHeight="1" x14ac:dyDescent="0.25">
      <c r="B38" s="4"/>
      <c r="C38" s="4"/>
      <c r="D38" s="88" t="s">
        <v>429</v>
      </c>
      <c r="E38" s="611" t="str">
        <f>IF(OR($E$22="",$E$23="",$F$18="",$F$17=""),"",IF(AND($F$17="SÍ",E36&lt;&gt;"",E37&lt;&gt;""),DAYS360(E36,E37),IF(AND($F$17="NO",F36&lt;&gt;"",F37&lt;&gt;""),DAYS360(F36,F37),"")))</f>
        <v/>
      </c>
      <c r="F38" s="612"/>
      <c r="H38" s="102"/>
      <c r="I38" s="102"/>
      <c r="J38" s="102"/>
      <c r="L38" s="102"/>
      <c r="N38" s="102"/>
      <c r="O38" s="102"/>
      <c r="P38" s="102"/>
      <c r="R38" s="102"/>
      <c r="T38" s="102"/>
      <c r="U38" s="102"/>
      <c r="V38" s="102"/>
      <c r="X38" s="102"/>
    </row>
    <row r="39" spans="2:24" ht="15" hidden="1" customHeight="1" x14ac:dyDescent="0.25">
      <c r="B39" s="7" t="str">
        <f>IF(EXPEDIENTE!$F$25="","EJERCICIO",CONCATENATE("EJERCICIO ",YEAR(EXPEDIENTE!$F$25)+3))</f>
        <v>EJERCICIO 2026</v>
      </c>
      <c r="C39" s="4"/>
      <c r="D39" s="613"/>
      <c r="E39" s="612"/>
      <c r="F39" s="612"/>
      <c r="H39" s="102"/>
      <c r="I39" s="102"/>
      <c r="J39" s="102"/>
      <c r="L39" s="102"/>
      <c r="N39" s="102"/>
      <c r="O39" s="102"/>
      <c r="P39" s="102"/>
      <c r="R39" s="102"/>
      <c r="T39" s="102"/>
      <c r="U39" s="102"/>
      <c r="V39" s="102"/>
      <c r="X39" s="102"/>
    </row>
    <row r="40" spans="2:24" ht="15" hidden="1" customHeight="1" x14ac:dyDescent="0.25">
      <c r="B40" s="4"/>
      <c r="C40" s="610">
        <f>IF($E$22="","",DATE(YEAR($E$22)+3,1,1))</f>
        <v>46023</v>
      </c>
      <c r="D40" s="88" t="s">
        <v>182</v>
      </c>
      <c r="E40" s="609" t="str">
        <f>IF(OR($F$18="",$F$17="",$E$22="",$E$23=""),"",IF($F$17="NO","",IF($E$23&lt;C40,"",IF(AND($F$17="SÍ",$E$22&lt;C40),C40,IF(AND($F$17="SÍ",YEAR($E$22)=YEAR(C40)),C40,IF(AND($F$17="SÍ",$E$22&gt;C41),"Error"))))))</f>
        <v/>
      </c>
      <c r="F40" s="609" t="str">
        <f>IF(OR($F$18="",$F$17="",$E$22="",$E$23="",$E$25=""),"",IF($F$17="SÍ","",IF($E$25&lt;$F$18,"",IF(AND($F$18&lt;C40,$E$25&lt;C40),"",IF(AND($F$18&lt;C40,$E$25&gt;=C40,$E$25&lt;=C41),C40,IF(AND($F$18&lt;C40,$E$25&gt;C41),C40,IF(AND($F$18&gt;=C40,$F$18&lt;=C41,$E$25&gt;=C40,$E$25&lt;=C41),$F$18,IF(AND($F$18&gt;=C40,$F$18&lt;=C41,$E$25&gt;C41),$F$18,IF(AND($F$18&gt;C41,$E$25&gt;C41),"","Error")))))))))</f>
        <v/>
      </c>
      <c r="H40" s="102"/>
      <c r="I40" s="102"/>
      <c r="J40" s="102"/>
      <c r="L40" s="102"/>
      <c r="N40" s="102"/>
      <c r="O40" s="102"/>
      <c r="P40" s="102"/>
      <c r="R40" s="102"/>
      <c r="T40" s="102"/>
      <c r="U40" s="102"/>
      <c r="V40" s="102"/>
      <c r="X40" s="102"/>
    </row>
    <row r="41" spans="2:24" ht="15" hidden="1" customHeight="1" x14ac:dyDescent="0.25">
      <c r="B41" s="4"/>
      <c r="C41" s="610">
        <v>46387</v>
      </c>
      <c r="D41" s="88" t="s">
        <v>428</v>
      </c>
      <c r="E41" s="609" t="str">
        <f>IF(OR($F$18="",$F$17="",$E$22="",$E$23=""),"",IF($F$17="NO","",IF($E$23&lt;C40,"",IF($F$17="SÍ",MIN(DATE(YEAR(EXPEDIENTE!$I$25)+3,12,31),$E$23),"Error"))))</f>
        <v/>
      </c>
      <c r="F41" s="609" t="str">
        <f>IF(OR($F$18="",$F$17="",$E$22="",$E$23="",$E$25=""),"",IF($F$17="SÍ","",IF($E$25&lt;$F$18,"",IF(AND($F$18&lt;C40,$E$25&lt;C40),"",IF(AND($F$18&lt;C40,$E$25&gt;=C40,$E$25&lt;=C41),$E$25,IF(AND($F$18&lt;C40,$E$25&gt;C41),C41,IF(AND($F$18&gt;=C40,$F$18&lt;=C41,$E$25&gt;=C40,$E$25&lt;=C41),$E$25,IF(AND($F$18&gt;=C40,$F$18&lt;=C41,$E$25&gt;C41),C41,IF(AND($F$18&gt;C41,$E$25&gt;C41),"","Error")))))))))</f>
        <v/>
      </c>
      <c r="H41" s="102"/>
      <c r="I41" s="102"/>
      <c r="J41" s="102"/>
      <c r="L41" s="102"/>
      <c r="N41" s="102"/>
      <c r="O41" s="102"/>
      <c r="P41" s="102"/>
      <c r="R41" s="102"/>
      <c r="T41" s="102"/>
      <c r="U41" s="102"/>
      <c r="V41" s="102"/>
      <c r="X41" s="102"/>
    </row>
    <row r="42" spans="2:24" ht="15" hidden="1" customHeight="1" x14ac:dyDescent="0.25">
      <c r="B42" s="4"/>
      <c r="C42" s="4"/>
      <c r="D42" s="88" t="s">
        <v>429</v>
      </c>
      <c r="E42" s="611" t="str">
        <f>IF(OR($E$22="",$E$23="",$F$18="",$F$17=""),"",IF(AND($F$17="SÍ",E40&lt;&gt;"",E41&lt;&gt;""),DAYS360(E40,E41),IF(AND($F$17="NO",F40&lt;&gt;"",F41&lt;&gt;""),DAYS360(F40,F41),"")))</f>
        <v/>
      </c>
      <c r="F42" s="612"/>
      <c r="H42" s="102"/>
      <c r="I42" s="102"/>
      <c r="J42" s="102"/>
      <c r="L42" s="102"/>
      <c r="N42" s="102"/>
      <c r="O42" s="102"/>
      <c r="P42" s="102"/>
      <c r="R42" s="102"/>
      <c r="T42" s="102"/>
      <c r="U42" s="102"/>
      <c r="V42" s="102"/>
      <c r="X42" s="102"/>
    </row>
    <row r="43" spans="2:24" ht="15" hidden="1" customHeight="1" x14ac:dyDescent="0.25">
      <c r="B43" s="102"/>
      <c r="C43" s="102"/>
      <c r="D43" s="102"/>
      <c r="F43" s="102"/>
      <c r="H43" s="102"/>
      <c r="I43" s="102"/>
      <c r="J43" s="102"/>
      <c r="L43" s="102"/>
      <c r="N43" s="102"/>
      <c r="O43" s="102"/>
      <c r="P43" s="102"/>
      <c r="R43" s="102"/>
      <c r="T43" s="102"/>
      <c r="U43" s="102"/>
      <c r="V43" s="102"/>
      <c r="X43" s="102"/>
    </row>
    <row r="44" spans="2:24" ht="15" hidden="1" customHeight="1" x14ac:dyDescent="0.25">
      <c r="B44" s="102"/>
      <c r="C44" s="102"/>
      <c r="D44" s="102"/>
      <c r="F44" s="102"/>
      <c r="H44" s="102"/>
      <c r="I44" s="102"/>
      <c r="J44" s="102"/>
      <c r="L44" s="102"/>
      <c r="N44" s="102"/>
      <c r="O44" s="102"/>
      <c r="P44" s="102"/>
      <c r="R44" s="102"/>
      <c r="T44" s="102"/>
      <c r="U44" s="102"/>
      <c r="V44" s="102"/>
      <c r="X44" s="102"/>
    </row>
    <row r="45" spans="2:24" ht="15" hidden="1" customHeight="1" thickBot="1" x14ac:dyDescent="0.3">
      <c r="B45" s="119">
        <f>SUM(C45:D45)</f>
        <v>0</v>
      </c>
      <c r="C45" s="119">
        <f>SUM(C50:C61)</f>
        <v>0</v>
      </c>
      <c r="D45" s="119">
        <f>SUM(D50:D61)</f>
        <v>0</v>
      </c>
      <c r="F45" s="119">
        <f>VLOOKUP(B45,AUXILIAR!$JC$4:$JD$104,2,FALSE)</f>
        <v>0</v>
      </c>
      <c r="H45" s="119">
        <f>SUM(I45:J45)</f>
        <v>0</v>
      </c>
      <c r="I45" s="119">
        <f>SUM(I50:I61)</f>
        <v>0</v>
      </c>
      <c r="J45" s="119">
        <f>SUM(J50:J61)</f>
        <v>0</v>
      </c>
      <c r="L45" s="119">
        <f>VLOOKUP(H45,AUXILIAR!$JC$4:$JD$104,2,FALSE)</f>
        <v>0</v>
      </c>
      <c r="N45" s="119">
        <f>SUM(O45:P45)</f>
        <v>0</v>
      </c>
      <c r="O45" s="119">
        <f>SUM(O50:O61)</f>
        <v>0</v>
      </c>
      <c r="P45" s="119">
        <f>SUM(P50:P61)</f>
        <v>0</v>
      </c>
      <c r="R45" s="119">
        <f>VLOOKUP(N45,AUXILIAR!$JC$4:$JD$104,2,FALSE)</f>
        <v>0</v>
      </c>
      <c r="T45" s="119">
        <f>SUM(U45:V45)</f>
        <v>0</v>
      </c>
      <c r="U45" s="119">
        <f>SUM(U50:U61)</f>
        <v>0</v>
      </c>
      <c r="V45" s="119">
        <f>SUM(V50:V61)</f>
        <v>0</v>
      </c>
      <c r="X45" s="119">
        <f>VLOOKUP(T45,AUXILIAR!$JC$4:$JD$104,2,FALSE)</f>
        <v>0</v>
      </c>
    </row>
    <row r="46" spans="2:24" ht="20.100000000000001" customHeight="1" thickBot="1" x14ac:dyDescent="0.3">
      <c r="B46" s="647" t="str">
        <f>IF(EXPEDIENTE!$I$25="","",CONCATENATE("EJERCICIO ",YEAR(EXPEDIENTE!F25)))</f>
        <v>EJERCICIO 2023</v>
      </c>
      <c r="C46" s="648"/>
      <c r="D46" s="648"/>
      <c r="E46" s="648"/>
      <c r="F46" s="649"/>
      <c r="H46" s="647" t="str">
        <f>IF(EXPEDIENTE!$I$25="","",CONCATENATE("EJERCICIO ",YEAR(EXPEDIENTE!F25)+1))</f>
        <v>EJERCICIO 2024</v>
      </c>
      <c r="I46" s="648"/>
      <c r="J46" s="648"/>
      <c r="K46" s="648"/>
      <c r="L46" s="649"/>
      <c r="N46" s="647" t="str">
        <f>IF(EXPEDIENTE!$I$25="","",CONCATENATE("EJERCICIO ",YEAR(EXPEDIENTE!F25)+2))</f>
        <v>EJERCICIO 2025</v>
      </c>
      <c r="O46" s="648"/>
      <c r="P46" s="648"/>
      <c r="Q46" s="648"/>
      <c r="R46" s="649"/>
      <c r="T46" s="647" t="str">
        <f>IF(EXPEDIENTE!$I$25="","",CONCATENATE("EJERCICIO ",YEAR(EXPEDIENTE!F25)+3))</f>
        <v>EJERCICIO 2026</v>
      </c>
      <c r="U46" s="648"/>
      <c r="V46" s="648"/>
      <c r="W46" s="648"/>
      <c r="X46" s="649"/>
    </row>
    <row r="47" spans="2:24" ht="39.950000000000003" customHeight="1" thickBot="1" x14ac:dyDescent="0.3">
      <c r="B47" s="644" t="s">
        <v>214</v>
      </c>
      <c r="C47" s="645"/>
      <c r="D47" s="645"/>
      <c r="E47" s="645"/>
      <c r="F47" s="646"/>
      <c r="H47" s="644" t="s">
        <v>214</v>
      </c>
      <c r="I47" s="645"/>
      <c r="J47" s="645"/>
      <c r="K47" s="645"/>
      <c r="L47" s="646"/>
      <c r="N47" s="644" t="s">
        <v>214</v>
      </c>
      <c r="O47" s="645"/>
      <c r="P47" s="645"/>
      <c r="Q47" s="645"/>
      <c r="R47" s="646"/>
      <c r="T47" s="644" t="s">
        <v>214</v>
      </c>
      <c r="U47" s="645"/>
      <c r="V47" s="645"/>
      <c r="W47" s="645"/>
      <c r="X47" s="646"/>
    </row>
    <row r="48" spans="2:24" s="102" customFormat="1" ht="80.099999999999994" customHeight="1" thickBot="1" x14ac:dyDescent="0.3">
      <c r="B48" s="147" t="s">
        <v>76</v>
      </c>
      <c r="C48" s="148" t="s">
        <v>219</v>
      </c>
      <c r="D48" s="148" t="s">
        <v>218</v>
      </c>
      <c r="E48" s="149" t="s">
        <v>162</v>
      </c>
      <c r="F48" s="150" t="s">
        <v>178</v>
      </c>
      <c r="H48" s="147" t="s">
        <v>76</v>
      </c>
      <c r="I48" s="148" t="s">
        <v>219</v>
      </c>
      <c r="J48" s="148" t="s">
        <v>218</v>
      </c>
      <c r="K48" s="149" t="s">
        <v>162</v>
      </c>
      <c r="L48" s="150" t="s">
        <v>178</v>
      </c>
      <c r="N48" s="147" t="s">
        <v>76</v>
      </c>
      <c r="O48" s="148" t="s">
        <v>219</v>
      </c>
      <c r="P48" s="148" t="s">
        <v>218</v>
      </c>
      <c r="Q48" s="149" t="s">
        <v>162</v>
      </c>
      <c r="R48" s="150" t="s">
        <v>178</v>
      </c>
      <c r="T48" s="147" t="s">
        <v>76</v>
      </c>
      <c r="U48" s="148" t="s">
        <v>219</v>
      </c>
      <c r="V48" s="148" t="s">
        <v>218</v>
      </c>
      <c r="W48" s="149" t="s">
        <v>162</v>
      </c>
      <c r="X48" s="150" t="s">
        <v>178</v>
      </c>
    </row>
    <row r="49" spans="2:24" s="102" customFormat="1" ht="5.0999999999999996" customHeight="1" x14ac:dyDescent="0.25"/>
    <row r="50" spans="2:24" ht="35.1" customHeight="1" x14ac:dyDescent="0.25">
      <c r="B50" s="389"/>
      <c r="C50" s="390"/>
      <c r="D50" s="390"/>
      <c r="E50" s="391"/>
      <c r="F50" s="391"/>
      <c r="H50" s="389"/>
      <c r="I50" s="390"/>
      <c r="J50" s="390"/>
      <c r="K50" s="391"/>
      <c r="L50" s="391"/>
      <c r="N50" s="389"/>
      <c r="O50" s="390"/>
      <c r="P50" s="390"/>
      <c r="Q50" s="391"/>
      <c r="R50" s="391"/>
      <c r="T50" s="389"/>
      <c r="U50" s="390"/>
      <c r="V50" s="390"/>
      <c r="W50" s="391"/>
      <c r="X50" s="391"/>
    </row>
    <row r="51" spans="2:24" ht="35.1" customHeight="1" x14ac:dyDescent="0.25">
      <c r="B51" s="98"/>
      <c r="C51" s="99"/>
      <c r="D51" s="99"/>
      <c r="E51" s="100"/>
      <c r="F51" s="100"/>
      <c r="H51" s="98"/>
      <c r="I51" s="99"/>
      <c r="J51" s="99"/>
      <c r="K51" s="100"/>
      <c r="L51" s="100"/>
      <c r="N51" s="98"/>
      <c r="O51" s="99"/>
      <c r="P51" s="99"/>
      <c r="Q51" s="100"/>
      <c r="R51" s="100"/>
      <c r="T51" s="98"/>
      <c r="U51" s="99"/>
      <c r="V51" s="99"/>
      <c r="W51" s="100"/>
      <c r="X51" s="100"/>
    </row>
    <row r="52" spans="2:24" ht="35.1" customHeight="1" x14ac:dyDescent="0.25">
      <c r="B52" s="98"/>
      <c r="C52" s="99"/>
      <c r="D52" s="99"/>
      <c r="E52" s="101"/>
      <c r="F52" s="101"/>
      <c r="H52" s="98"/>
      <c r="I52" s="99"/>
      <c r="J52" s="99"/>
      <c r="K52" s="101"/>
      <c r="L52" s="101"/>
      <c r="N52" s="98"/>
      <c r="O52" s="99"/>
      <c r="P52" s="99"/>
      <c r="Q52" s="101"/>
      <c r="R52" s="101"/>
      <c r="T52" s="98"/>
      <c r="U52" s="99"/>
      <c r="V52" s="99"/>
      <c r="W52" s="101"/>
      <c r="X52" s="101"/>
    </row>
    <row r="53" spans="2:24" ht="35.1" customHeight="1" x14ac:dyDescent="0.25">
      <c r="B53" s="98"/>
      <c r="C53" s="99"/>
      <c r="D53" s="99"/>
      <c r="E53" s="101"/>
      <c r="F53" s="101"/>
      <c r="H53" s="98"/>
      <c r="I53" s="99"/>
      <c r="J53" s="99"/>
      <c r="K53" s="101"/>
      <c r="L53" s="101"/>
      <c r="N53" s="98"/>
      <c r="O53" s="99"/>
      <c r="P53" s="99"/>
      <c r="Q53" s="101"/>
      <c r="R53" s="101"/>
      <c r="T53" s="98"/>
      <c r="U53" s="99"/>
      <c r="V53" s="99"/>
      <c r="W53" s="101"/>
      <c r="X53" s="101"/>
    </row>
    <row r="54" spans="2:24" ht="35.1" customHeight="1" x14ac:dyDescent="0.25">
      <c r="B54" s="98"/>
      <c r="C54" s="99"/>
      <c r="D54" s="99"/>
      <c r="E54" s="101"/>
      <c r="F54" s="101"/>
      <c r="H54" s="98"/>
      <c r="I54" s="99"/>
      <c r="J54" s="99"/>
      <c r="K54" s="101"/>
      <c r="L54" s="101"/>
      <c r="N54" s="98"/>
      <c r="O54" s="99"/>
      <c r="P54" s="99"/>
      <c r="Q54" s="101"/>
      <c r="R54" s="101"/>
      <c r="T54" s="98"/>
      <c r="U54" s="99"/>
      <c r="V54" s="99"/>
      <c r="W54" s="101"/>
      <c r="X54" s="101"/>
    </row>
    <row r="55" spans="2:24" ht="35.1" customHeight="1" x14ac:dyDescent="0.25">
      <c r="B55" s="98" t="s">
        <v>163</v>
      </c>
      <c r="C55" s="99"/>
      <c r="D55" s="99"/>
      <c r="E55" s="101"/>
      <c r="F55" s="101"/>
      <c r="H55" s="98"/>
      <c r="I55" s="99"/>
      <c r="J55" s="99"/>
      <c r="K55" s="101"/>
      <c r="L55" s="101"/>
      <c r="N55" s="98"/>
      <c r="O55" s="99"/>
      <c r="P55" s="99"/>
      <c r="Q55" s="101"/>
      <c r="R55" s="101"/>
      <c r="T55" s="98"/>
      <c r="U55" s="99"/>
      <c r="V55" s="99"/>
      <c r="W55" s="101"/>
      <c r="X55" s="101"/>
    </row>
    <row r="56" spans="2:24" ht="35.1" customHeight="1" x14ac:dyDescent="0.25">
      <c r="B56" s="98"/>
      <c r="C56" s="99"/>
      <c r="D56" s="99"/>
      <c r="E56" s="101"/>
      <c r="F56" s="101"/>
      <c r="H56" s="98"/>
      <c r="I56" s="99"/>
      <c r="J56" s="99"/>
      <c r="K56" s="101"/>
      <c r="L56" s="101"/>
      <c r="N56" s="98"/>
      <c r="O56" s="99"/>
      <c r="P56" s="99"/>
      <c r="Q56" s="101"/>
      <c r="R56" s="101"/>
      <c r="T56" s="98"/>
      <c r="U56" s="99"/>
      <c r="V56" s="99"/>
      <c r="W56" s="101"/>
      <c r="X56" s="101"/>
    </row>
    <row r="57" spans="2:24" ht="35.1" customHeight="1" x14ac:dyDescent="0.25">
      <c r="B57" s="98"/>
      <c r="C57" s="99"/>
      <c r="D57" s="99"/>
      <c r="E57" s="101"/>
      <c r="F57" s="101"/>
      <c r="H57" s="98"/>
      <c r="I57" s="99"/>
      <c r="J57" s="99"/>
      <c r="K57" s="101"/>
      <c r="L57" s="101"/>
      <c r="N57" s="98"/>
      <c r="O57" s="99"/>
      <c r="P57" s="99"/>
      <c r="Q57" s="101"/>
      <c r="R57" s="101"/>
      <c r="T57" s="98"/>
      <c r="U57" s="99"/>
      <c r="V57" s="99"/>
      <c r="W57" s="101"/>
      <c r="X57" s="101"/>
    </row>
    <row r="58" spans="2:24" ht="35.1" customHeight="1" x14ac:dyDescent="0.25">
      <c r="B58" s="98"/>
      <c r="C58" s="99"/>
      <c r="D58" s="99"/>
      <c r="E58" s="101"/>
      <c r="F58" s="101"/>
      <c r="H58" s="98"/>
      <c r="I58" s="99"/>
      <c r="J58" s="99"/>
      <c r="K58" s="101"/>
      <c r="L58" s="101"/>
      <c r="N58" s="98"/>
      <c r="O58" s="99"/>
      <c r="P58" s="99"/>
      <c r="Q58" s="101"/>
      <c r="R58" s="101"/>
      <c r="T58" s="98"/>
      <c r="U58" s="99"/>
      <c r="V58" s="99"/>
      <c r="W58" s="101"/>
      <c r="X58" s="101"/>
    </row>
    <row r="59" spans="2:24" ht="35.1" customHeight="1" x14ac:dyDescent="0.25">
      <c r="B59" s="98"/>
      <c r="C59" s="99"/>
      <c r="D59" s="99"/>
      <c r="E59" s="101"/>
      <c r="F59" s="101"/>
      <c r="H59" s="98"/>
      <c r="I59" s="99"/>
      <c r="J59" s="99"/>
      <c r="K59" s="101"/>
      <c r="L59" s="101"/>
      <c r="N59" s="98"/>
      <c r="O59" s="99"/>
      <c r="P59" s="99"/>
      <c r="Q59" s="101"/>
      <c r="R59" s="101"/>
      <c r="T59" s="98"/>
      <c r="U59" s="99"/>
      <c r="V59" s="99"/>
      <c r="W59" s="101"/>
      <c r="X59" s="101"/>
    </row>
    <row r="60" spans="2:24" ht="35.1" customHeight="1" x14ac:dyDescent="0.25">
      <c r="B60" s="98"/>
      <c r="C60" s="99"/>
      <c r="D60" s="99"/>
      <c r="E60" s="101"/>
      <c r="F60" s="101"/>
      <c r="H60" s="98"/>
      <c r="I60" s="99"/>
      <c r="J60" s="99"/>
      <c r="K60" s="101"/>
      <c r="L60" s="101"/>
      <c r="N60" s="98"/>
      <c r="O60" s="99"/>
      <c r="P60" s="99"/>
      <c r="Q60" s="101"/>
      <c r="R60" s="101"/>
      <c r="T60" s="98"/>
      <c r="U60" s="99"/>
      <c r="V60" s="99"/>
      <c r="W60" s="101"/>
      <c r="X60" s="101"/>
    </row>
    <row r="61" spans="2:24" ht="35.1" customHeight="1" x14ac:dyDescent="0.25">
      <c r="B61" s="98"/>
      <c r="C61" s="99"/>
      <c r="D61" s="99"/>
      <c r="E61" s="101"/>
      <c r="F61" s="101"/>
      <c r="H61" s="98"/>
      <c r="I61" s="99"/>
      <c r="J61" s="99"/>
      <c r="K61" s="101"/>
      <c r="L61" s="101"/>
      <c r="N61" s="98"/>
      <c r="O61" s="99"/>
      <c r="P61" s="99"/>
      <c r="Q61" s="101"/>
      <c r="R61" s="101"/>
      <c r="T61" s="98"/>
      <c r="U61" s="99"/>
      <c r="V61" s="99"/>
      <c r="W61" s="101"/>
      <c r="X61" s="101"/>
    </row>
  </sheetData>
  <sheetProtection algorithmName="SHA-512" hashValue="jzhFSkNZ2sxBiPB8Q/Y5c/VEok9Rj7IyhOjr+3pHBGr/J7B8pMeyYarQ3ovo9GvoBVItiHTUCfuMvrtdXPWuKg==" saltValue="5L2k3VUCs5dO1YSn5Bq0rA==" spinCount="100000" sheet="1" selectLockedCells="1"/>
  <mergeCells count="25">
    <mergeCell ref="T46:X46"/>
    <mergeCell ref="T47:X47"/>
    <mergeCell ref="H46:L46"/>
    <mergeCell ref="H47:L47"/>
    <mergeCell ref="N46:R46"/>
    <mergeCell ref="N47:R47"/>
    <mergeCell ref="E6:F7"/>
    <mergeCell ref="B47:F47"/>
    <mergeCell ref="B46:F46"/>
    <mergeCell ref="B10:F10"/>
    <mergeCell ref="B11:C11"/>
    <mergeCell ref="B12:C12"/>
    <mergeCell ref="B13:C13"/>
    <mergeCell ref="B14:C14"/>
    <mergeCell ref="D11:F11"/>
    <mergeCell ref="B16:F16"/>
    <mergeCell ref="B17:E17"/>
    <mergeCell ref="B18:E18"/>
    <mergeCell ref="B19:E19"/>
    <mergeCell ref="B20:E20"/>
    <mergeCell ref="H18:L18"/>
    <mergeCell ref="H19:L19"/>
    <mergeCell ref="H20:L20"/>
    <mergeCell ref="D12:F12"/>
    <mergeCell ref="D13:F13"/>
  </mergeCells>
  <phoneticPr fontId="10" type="noConversion"/>
  <conditionalFormatting sqref="B51:D61">
    <cfRule type="expression" dxfId="541" priority="32">
      <formula>$B50&lt;&gt;""</formula>
    </cfRule>
  </conditionalFormatting>
  <conditionalFormatting sqref="B19:F19">
    <cfRule type="expression" dxfId="540" priority="7" stopIfTrue="1">
      <formula>OR($F$17="",$F$17="SÍ")</formula>
    </cfRule>
  </conditionalFormatting>
  <conditionalFormatting sqref="B20:F20">
    <cfRule type="expression" dxfId="539" priority="3" stopIfTrue="1">
      <formula>OR($F$17="",$F$17="SÍ")</formula>
    </cfRule>
    <cfRule type="expression" dxfId="538" priority="4" stopIfTrue="1">
      <formula>OR($F$17="",$F$17="SÍ",$F$19="")</formula>
    </cfRule>
    <cfRule type="expression" dxfId="537" priority="5" stopIfTrue="1">
      <formula>OR($F$17="",$F$17="SÍ",$F$19="",$F$19="SÍ")</formula>
    </cfRule>
  </conditionalFormatting>
  <conditionalFormatting sqref="E50:F61">
    <cfRule type="expression" dxfId="536" priority="33">
      <formula>OR($C50&gt;0,$D50&gt;0)</formula>
    </cfRule>
  </conditionalFormatting>
  <conditionalFormatting sqref="F17:F18">
    <cfRule type="expression" dxfId="535" priority="1">
      <formula>$H$18&lt;&gt;""</formula>
    </cfRule>
  </conditionalFormatting>
  <conditionalFormatting sqref="F19:F20">
    <cfRule type="expression" dxfId="534" priority="2">
      <formula>AND($F$19="NO",$F$20&gt;$E$23)</formula>
    </cfRule>
  </conditionalFormatting>
  <conditionalFormatting sqref="H18:H20 M18:N20">
    <cfRule type="cellIs" dxfId="533" priority="8" operator="notEqual">
      <formula>""</formula>
    </cfRule>
  </conditionalFormatting>
  <conditionalFormatting sqref="H51:J61">
    <cfRule type="expression" dxfId="532" priority="28">
      <formula>$H50&lt;&gt;""</formula>
    </cfRule>
  </conditionalFormatting>
  <conditionalFormatting sqref="K50:L61">
    <cfRule type="expression" dxfId="530" priority="29">
      <formula>OR($I50&gt;0,$J50&gt;0)</formula>
    </cfRule>
  </conditionalFormatting>
  <conditionalFormatting sqref="N51:P61">
    <cfRule type="expression" dxfId="0" priority="26">
      <formula>$N50&lt;&gt;""</formula>
    </cfRule>
  </conditionalFormatting>
  <conditionalFormatting sqref="Q50:R61">
    <cfRule type="expression" dxfId="528" priority="27">
      <formula>OR($O50&gt;0,$P50&gt;0)</formula>
    </cfRule>
  </conditionalFormatting>
  <conditionalFormatting sqref="T51:V61">
    <cfRule type="expression" dxfId="527" priority="24">
      <formula>$T50&lt;&gt;""</formula>
    </cfRule>
  </conditionalFormatting>
  <conditionalFormatting sqref="W50:X61">
    <cfRule type="expression" dxfId="524" priority="25">
      <formula>OR($U50&gt;0,$V50)</formula>
    </cfRule>
  </conditionalFormatting>
  <dataValidations count="1">
    <dataValidation type="list" allowBlank="1" showInputMessage="1" showErrorMessage="1" sqref="F17 F19" xr:uid="{5765E232-ED99-4C67-9D72-5A12828F20CE}">
      <formula1>"SÍ,NO"</formula1>
    </dataValidation>
  </dataValidations>
  <printOptions horizontalCentered="1" verticalCentered="1"/>
  <pageMargins left="0.39370078740157483" right="0.39370078740157483" top="0.59055118110236227" bottom="0.39370078740157483" header="0.19685039370078741" footer="0.19685039370078741"/>
  <pageSetup paperSize="9" scale="42"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0" stopIfTrue="1" id="{59A0415B-2E3C-425A-B344-1ACF4E457F5D}">
            <xm:f>OR(EXPEDIENTE!$I$25="",EXPEDIENTE!$I$27="")</xm:f>
            <x14:dxf>
              <font>
                <color theme="0"/>
              </font>
              <fill>
                <patternFill>
                  <bgColor theme="0"/>
                </patternFill>
              </fill>
              <border>
                <left/>
                <right/>
                <top/>
                <bottom/>
                <vertical/>
                <horizontal/>
              </border>
            </x14:dxf>
          </x14:cfRule>
          <xm:sqref>B46:X61</xm:sqref>
        </x14:conditionalFormatting>
        <x14:conditionalFormatting xmlns:xm="http://schemas.microsoft.com/office/excel/2006/main">
          <x14:cfRule type="expression" priority="13" stopIfTrue="1" id="{E8ACAB0A-67E0-4A80-8109-6F26B2B59850}">
            <xm:f>OR(EXPEDIENTE!$I$25="",EXPEDIENTE!$I$27="",YEAR(EXPEDIENTE!$I$27)&lt;YEAR(EXPEDIENTE!$I$25)+1)</xm:f>
            <x14:dxf>
              <font>
                <color theme="0"/>
              </font>
              <fill>
                <patternFill>
                  <bgColor theme="0"/>
                </patternFill>
              </fill>
              <border>
                <left/>
                <right/>
                <top/>
                <bottom/>
                <vertical/>
                <horizontal/>
              </border>
            </x14:dxf>
          </x14:cfRule>
          <xm:sqref>H16:X16</xm:sqref>
        </x14:conditionalFormatting>
        <x14:conditionalFormatting xmlns:xm="http://schemas.microsoft.com/office/excel/2006/main">
          <x14:cfRule type="expression" priority="21" stopIfTrue="1" id="{7EA63C44-1C99-4345-9673-922BB74A2097}">
            <xm:f>OR(EXPEDIENTE!$I$25="",EXPEDIENTE!$I$27="",YEAR(EXPEDIENTE!$I$27)&lt;YEAR(EXPEDIENTE!$I$25)+1)</xm:f>
            <x14:dxf>
              <font>
                <color theme="0"/>
              </font>
              <fill>
                <patternFill>
                  <bgColor theme="0"/>
                </patternFill>
              </fill>
              <border>
                <left/>
                <right/>
                <top/>
                <bottom/>
                <vertical/>
                <horizontal/>
              </border>
            </x14:dxf>
          </x14:cfRule>
          <xm:sqref>H20:X61 H1:X18 H19 M19:X19</xm:sqref>
        </x14:conditionalFormatting>
        <x14:conditionalFormatting xmlns:xm="http://schemas.microsoft.com/office/excel/2006/main">
          <x14:cfRule type="expression" priority="22" stopIfTrue="1" id="{6E181690-BDDF-4D19-B44A-55F9D6FEFD18}">
            <xm:f>OR(EXPEDIENTE!$I$25="",EXPEDIENTE!$I$27="",YEAR(EXPEDIENTE!$I$27)&lt;YEAR(EXPEDIENTE!$I$25)+2)</xm:f>
            <x14:dxf>
              <font>
                <color theme="0"/>
              </font>
              <fill>
                <patternFill>
                  <bgColor theme="0"/>
                </patternFill>
              </fill>
              <border>
                <left/>
                <right/>
                <top/>
                <bottom/>
                <vertical/>
                <horizontal/>
              </border>
            </x14:dxf>
          </x14:cfRule>
          <xm:sqref>N1:X61</xm:sqref>
        </x14:conditionalFormatting>
        <x14:conditionalFormatting xmlns:xm="http://schemas.microsoft.com/office/excel/2006/main">
          <x14:cfRule type="expression" priority="14" stopIfTrue="1" id="{59AF003F-E62A-4524-A726-CD016E239F8B}">
            <xm:f>OR(EXPEDIENTE!$I$25="",EXPEDIENTE!$I$27="",YEAR(EXPEDIENTE!$I$27)&lt;YEAR(EXPEDIENTE!$I$25)+2)</xm:f>
            <x14:dxf>
              <font>
                <color theme="0"/>
              </font>
              <fill>
                <patternFill>
                  <bgColor theme="0"/>
                </patternFill>
              </fill>
              <border>
                <left/>
                <right/>
                <top/>
                <bottom/>
                <vertical/>
                <horizontal/>
              </border>
            </x14:dxf>
          </x14:cfRule>
          <xm:sqref>N16:X16</xm:sqref>
        </x14:conditionalFormatting>
        <x14:conditionalFormatting xmlns:xm="http://schemas.microsoft.com/office/excel/2006/main">
          <x14:cfRule type="expression" priority="23" stopIfTrue="1" id="{5F5D8030-B60E-4174-994A-193F60F1A7B0}">
            <xm:f>OR(EXPEDIENTE!$I$25="",EXPEDIENTE!$I$27="",YEAR(EXPEDIENTE!$I$27)&lt;YEAR(EXPEDIENTE!$I$25)+3)</xm:f>
            <x14:dxf>
              <font>
                <color theme="0"/>
              </font>
              <fill>
                <patternFill>
                  <bgColor theme="0"/>
                </patternFill>
              </fill>
              <border>
                <left/>
                <right/>
                <top/>
                <bottom/>
                <vertical/>
                <horizontal/>
              </border>
            </x14:dxf>
          </x14:cfRule>
          <xm:sqref>T1:X61</xm:sqref>
        </x14:conditionalFormatting>
        <x14:conditionalFormatting xmlns:xm="http://schemas.microsoft.com/office/excel/2006/main">
          <x14:cfRule type="expression" priority="15" stopIfTrue="1" id="{FD470628-2E13-4CA8-B2C8-52B94DCD9415}">
            <xm:f>OR(EXPEDIENTE!$I$25="",EXPEDIENTE!$I$27="",YEAR(EXPEDIENTE!$I$27)&lt;YEAR(EXPEDIENTE!$I$25)+3)</xm:f>
            <x14:dxf>
              <font>
                <color theme="0"/>
              </font>
              <fill>
                <patternFill>
                  <bgColor theme="0"/>
                </patternFill>
              </fill>
              <border>
                <left/>
                <right/>
                <top/>
                <bottom/>
                <vertical/>
                <horizontal/>
              </border>
            </x14:dxf>
          </x14:cfRule>
          <xm:sqref>T16:X16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CD6A44FC-DBC4-42FF-A53D-A9E22F3299AD}">
          <x14:formula1>
            <xm:f>AUXILIAR!$AA$5:$AA$52</xm:f>
          </x14:formula1>
          <xm:sqref>B50:B61</xm:sqref>
        </x14:dataValidation>
        <x14:dataValidation type="list" allowBlank="1" showInputMessage="1" showErrorMessage="1" xr:uid="{2B9C3285-9109-4FDE-AD52-16C31C7D8DA1}">
          <x14:formula1>
            <xm:f>AUXILIAR!$AB$5:$AB$52</xm:f>
          </x14:formula1>
          <xm:sqref>H50:H61</xm:sqref>
        </x14:dataValidation>
        <x14:dataValidation type="list" allowBlank="1" showInputMessage="1" showErrorMessage="1" xr:uid="{B25091C4-C90C-4971-82F7-A98D968E144D}">
          <x14:formula1>
            <xm:f>AUXILIAR!$AC$5:$AC$52</xm:f>
          </x14:formula1>
          <xm:sqref>N50 N51:N61</xm:sqref>
        </x14:dataValidation>
        <x14:dataValidation type="list" allowBlank="1" showInputMessage="1" showErrorMessage="1" xr:uid="{338EDA8D-9F4F-48D6-877D-8A821E22B236}">
          <x14:formula1>
            <xm:f>AUXILIAR!$AD$5:$AD$52</xm:f>
          </x14:formula1>
          <xm:sqref>T50:T61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B8DFE-8AAD-4928-9234-6674A7B0C12D}">
  <dimension ref="B1:V47"/>
  <sheetViews>
    <sheetView showGridLines="0" zoomScaleNormal="100" workbookViewId="0">
      <selection activeCell="F15" sqref="F15"/>
    </sheetView>
  </sheetViews>
  <sheetFormatPr baseColWidth="10" defaultColWidth="10.85546875" defaultRowHeight="13.5" x14ac:dyDescent="0.25"/>
  <cols>
    <col min="1" max="1" width="5.5703125" style="126" customWidth="1"/>
    <col min="2" max="2" width="7.42578125" style="123" hidden="1" customWidth="1"/>
    <col min="3" max="4" width="10.7109375" style="123" hidden="1" customWidth="1"/>
    <col min="5" max="6" width="30.5703125" style="126" customWidth="1"/>
    <col min="7" max="18" width="7.42578125" style="126" customWidth="1"/>
    <col min="19" max="19" width="5.5703125" style="123" customWidth="1"/>
    <col min="20" max="20" width="89.5703125" style="126" bestFit="1" customWidth="1"/>
    <col min="21" max="21" width="12.42578125" style="550" bestFit="1" customWidth="1"/>
    <col min="22" max="22" width="10.85546875" style="550"/>
    <col min="23" max="16384" width="10.85546875" style="126"/>
  </cols>
  <sheetData>
    <row r="1" spans="2:18" ht="15" customHeight="1" x14ac:dyDescent="0.25"/>
    <row r="2" spans="2:18" ht="15" customHeight="1" x14ac:dyDescent="0.25"/>
    <row r="3" spans="2:18" ht="15" customHeight="1" x14ac:dyDescent="0.25">
      <c r="G3" s="551"/>
    </row>
    <row r="4" spans="2:18" ht="15" customHeight="1" x14ac:dyDescent="0.25">
      <c r="F4" s="551" t="str">
        <f>'IDENTIFICACIÓN TRABAJADOR'!F4</f>
        <v>Nº DE EXPEDIENTE: 2024.08.EPTE.0000</v>
      </c>
    </row>
    <row r="5" spans="2:18" ht="20.100000000000001" customHeight="1" x14ac:dyDescent="0.25"/>
    <row r="6" spans="2:18" ht="20.100000000000001" customHeight="1" x14ac:dyDescent="0.25">
      <c r="F6" s="216" t="str" cm="1">
        <f t="array" ref="F6">IF(AND('IDENTIFICACIÓN TRABAJADOR'!D11:E11="",'IDENTIFICACIÓN TRABAJADOR'!D12:E12="",'IDENTIFICACIÓN TRABAJADOR'!D13:E13=""),"TRABAJADOR:",CONCATENATE("TRABAJADOR: ",CONCATENATE(UPPER('IDENTIFICACIÓN TRABAJADOR'!$D$11)," ",UPPER('IDENTIFICACIÓN TRABAJADOR'!$D$12)," ",UPPER('IDENTIFICACIÓN TRABAJADOR'!$D$13))))</f>
        <v>TRABAJADOR:</v>
      </c>
    </row>
    <row r="7" spans="2:18" ht="20.25" customHeight="1" x14ac:dyDescent="0.25">
      <c r="F7" s="216" t="str" cm="1">
        <f t="array" ref="F7">IF(AND('IDENTIFICACIÓN TRABAJADOR'!D11:E11="",'IDENTIFICACIÓN TRABAJADOR'!D12:E12="",'IDENTIFICACIÓN TRABAJADOR'!D13:E13=""),"ACRÓNIMO:",CONCATENATE("ACRÓNIMO: ",'IDENTIFICACIÓN TRABAJADOR'!D14))</f>
        <v>ACRÓNIMO:</v>
      </c>
    </row>
    <row r="8" spans="2:18" ht="20.25" customHeight="1" thickBot="1" x14ac:dyDescent="0.3">
      <c r="B8" s="208"/>
    </row>
    <row r="9" spans="2:18" ht="20.25" customHeight="1" thickBot="1" x14ac:dyDescent="0.3">
      <c r="B9" s="120" t="str">
        <f>IF(F9="","",IF(EXPEDIENTE!F27="",1,IF(F9&gt;F27,2,IF(F30&lt;F31,3,0))))</f>
        <v/>
      </c>
      <c r="E9" s="552" t="s">
        <v>142</v>
      </c>
      <c r="F9" s="553"/>
      <c r="H9" s="676" t="str">
        <f>IF(B9=1,"ERROR: FALTA INDICAR FECHA DE FINALIZACIÓN DEL PROYECTO (PESTAÑA EXPEDIENTE)",IF(B9=2,"ERROR: LA FECHA DE EMISIÓN ES POSTERIOR A LA FINALIZACIÓN DEL PLAZO DE EJECUCIÓN",IF(B9=3,"ERROR: EXISTE DEDICACIÓN AL PROYECTO ANTERIOR A LA FECHA DE EMISIÓN DEL FORMULARIO","")))</f>
        <v/>
      </c>
      <c r="I9" s="676"/>
      <c r="J9" s="676"/>
      <c r="K9" s="676"/>
      <c r="L9" s="676"/>
      <c r="M9" s="676"/>
      <c r="N9" s="676"/>
      <c r="O9" s="676"/>
      <c r="P9" s="676"/>
      <c r="Q9" s="676"/>
      <c r="R9" s="676"/>
    </row>
    <row r="10" spans="2:18" ht="9.9499999999999993" customHeight="1" thickBot="1" x14ac:dyDescent="0.3">
      <c r="B10" s="126"/>
    </row>
    <row r="11" spans="2:18" ht="15" customHeight="1" x14ac:dyDescent="0.25">
      <c r="E11" s="554" t="s">
        <v>132</v>
      </c>
      <c r="F11" s="677" t="s">
        <v>129</v>
      </c>
      <c r="G11" s="677"/>
      <c r="H11" s="677"/>
      <c r="I11" s="677"/>
      <c r="J11" s="677"/>
      <c r="K11" s="677"/>
      <c r="L11" s="677"/>
      <c r="M11" s="677"/>
      <c r="N11" s="677"/>
      <c r="O11" s="677"/>
      <c r="P11" s="677"/>
      <c r="Q11" s="677"/>
      <c r="R11" s="678"/>
    </row>
    <row r="12" spans="2:18" ht="14.25" thickBot="1" x14ac:dyDescent="0.3">
      <c r="E12" s="555"/>
      <c r="F12" s="681"/>
      <c r="G12" s="681"/>
      <c r="H12" s="681"/>
      <c r="I12" s="681"/>
      <c r="J12" s="681"/>
      <c r="K12" s="681"/>
      <c r="L12" s="681"/>
      <c r="M12" s="681"/>
      <c r="N12" s="681"/>
      <c r="O12" s="681"/>
      <c r="P12" s="681"/>
      <c r="Q12" s="681"/>
      <c r="R12" s="682"/>
    </row>
    <row r="13" spans="2:18" ht="9.9499999999999993" customHeight="1" thickBot="1" x14ac:dyDescent="0.3"/>
    <row r="14" spans="2:18" s="134" customFormat="1" ht="30" customHeight="1" thickBot="1" x14ac:dyDescent="0.3">
      <c r="E14" s="556" t="s">
        <v>140</v>
      </c>
      <c r="F14" s="556" t="s">
        <v>141</v>
      </c>
      <c r="G14" s="683" t="s">
        <v>153</v>
      </c>
      <c r="H14" s="684"/>
      <c r="I14" s="684"/>
      <c r="J14" s="685"/>
      <c r="K14" s="683" t="s">
        <v>143</v>
      </c>
      <c r="L14" s="684"/>
      <c r="M14" s="684"/>
      <c r="N14" s="685"/>
      <c r="O14" s="670" t="s">
        <v>154</v>
      </c>
      <c r="P14" s="686"/>
      <c r="Q14" s="686"/>
      <c r="R14" s="671"/>
    </row>
    <row r="15" spans="2:18" ht="75" customHeight="1" thickBot="1" x14ac:dyDescent="0.3">
      <c r="E15" s="557"/>
      <c r="F15" s="557"/>
      <c r="G15" s="687"/>
      <c r="H15" s="688"/>
      <c r="I15" s="688"/>
      <c r="J15" s="689"/>
      <c r="K15" s="687"/>
      <c r="L15" s="688"/>
      <c r="M15" s="688"/>
      <c r="N15" s="689"/>
      <c r="O15" s="687"/>
      <c r="P15" s="688"/>
      <c r="Q15" s="688"/>
      <c r="R15" s="689"/>
    </row>
    <row r="16" spans="2:18" ht="9.9499999999999993" customHeight="1" thickBot="1" x14ac:dyDescent="0.3"/>
    <row r="17" spans="2:20" ht="15" customHeight="1" x14ac:dyDescent="0.25">
      <c r="E17" s="554" t="s">
        <v>93</v>
      </c>
      <c r="F17" s="677" t="s">
        <v>131</v>
      </c>
      <c r="G17" s="677"/>
      <c r="H17" s="677"/>
      <c r="I17" s="677"/>
      <c r="J17" s="677"/>
      <c r="K17" s="677"/>
      <c r="L17" s="677"/>
      <c r="M17" s="677"/>
      <c r="N17" s="677"/>
      <c r="O17" s="677"/>
      <c r="P17" s="677"/>
      <c r="Q17" s="677"/>
      <c r="R17" s="678"/>
    </row>
    <row r="18" spans="2:20" ht="15" customHeight="1" x14ac:dyDescent="0.25">
      <c r="E18" s="558"/>
      <c r="F18" s="679"/>
      <c r="G18" s="679"/>
      <c r="H18" s="679"/>
      <c r="I18" s="679"/>
      <c r="J18" s="679"/>
      <c r="K18" s="679"/>
      <c r="L18" s="679"/>
      <c r="M18" s="679"/>
      <c r="N18" s="679"/>
      <c r="O18" s="679"/>
      <c r="P18" s="679"/>
      <c r="Q18" s="679"/>
      <c r="R18" s="680"/>
      <c r="T18" s="559"/>
    </row>
    <row r="19" spans="2:20" ht="15" customHeight="1" x14ac:dyDescent="0.25">
      <c r="E19" s="558"/>
      <c r="F19" s="679"/>
      <c r="G19" s="679"/>
      <c r="H19" s="679"/>
      <c r="I19" s="679"/>
      <c r="J19" s="679"/>
      <c r="K19" s="679"/>
      <c r="L19" s="679"/>
      <c r="M19" s="679"/>
      <c r="N19" s="679"/>
      <c r="O19" s="679"/>
      <c r="P19" s="679"/>
      <c r="Q19" s="679"/>
      <c r="R19" s="680"/>
    </row>
    <row r="20" spans="2:20" ht="15" customHeight="1" thickBot="1" x14ac:dyDescent="0.3">
      <c r="E20" s="560"/>
      <c r="F20" s="668" t="s">
        <v>160</v>
      </c>
      <c r="G20" s="668"/>
      <c r="H20" s="668"/>
      <c r="I20" s="668"/>
      <c r="J20" s="668"/>
      <c r="K20" s="668"/>
      <c r="L20" s="668"/>
      <c r="M20" s="668"/>
      <c r="N20" s="668"/>
      <c r="O20" s="668"/>
      <c r="P20" s="668"/>
      <c r="Q20" s="668"/>
      <c r="R20" s="669"/>
    </row>
    <row r="21" spans="2:20" ht="15" customHeight="1" thickBot="1" x14ac:dyDescent="0.3">
      <c r="E21" s="561" t="s">
        <v>94</v>
      </c>
      <c r="F21" s="562" t="s">
        <v>95</v>
      </c>
      <c r="G21" s="562"/>
      <c r="H21" s="563"/>
      <c r="I21" s="563"/>
      <c r="J21" s="563"/>
      <c r="K21" s="563"/>
      <c r="L21" s="563"/>
      <c r="M21" s="563"/>
      <c r="N21" s="563"/>
      <c r="O21" s="563"/>
      <c r="P21" s="563"/>
      <c r="Q21" s="563"/>
      <c r="R21" s="564"/>
    </row>
    <row r="22" spans="2:20" ht="15" customHeight="1" x14ac:dyDescent="0.25">
      <c r="E22" s="554" t="s">
        <v>133</v>
      </c>
      <c r="F22" s="677" t="s">
        <v>144</v>
      </c>
      <c r="G22" s="677"/>
      <c r="H22" s="677"/>
      <c r="I22" s="677"/>
      <c r="J22" s="677"/>
      <c r="K22" s="677"/>
      <c r="L22" s="677"/>
      <c r="M22" s="677"/>
      <c r="N22" s="677"/>
      <c r="O22" s="677"/>
      <c r="P22" s="677"/>
      <c r="Q22" s="677"/>
      <c r="R22" s="678"/>
    </row>
    <row r="23" spans="2:20" ht="15" customHeight="1" thickBot="1" x14ac:dyDescent="0.3">
      <c r="E23" s="555"/>
      <c r="F23" s="681"/>
      <c r="G23" s="681"/>
      <c r="H23" s="681"/>
      <c r="I23" s="681"/>
      <c r="J23" s="681"/>
      <c r="K23" s="681"/>
      <c r="L23" s="681"/>
      <c r="M23" s="681"/>
      <c r="N23" s="681"/>
      <c r="O23" s="681"/>
      <c r="P23" s="681"/>
      <c r="Q23" s="681"/>
      <c r="R23" s="682"/>
    </row>
    <row r="24" spans="2:20" ht="15" customHeight="1" thickBot="1" x14ac:dyDescent="0.3">
      <c r="B24" s="126"/>
      <c r="C24" s="565"/>
      <c r="D24" s="565"/>
      <c r="F24" s="566"/>
      <c r="G24" s="566"/>
      <c r="H24" s="566"/>
      <c r="I24" s="566"/>
      <c r="J24" s="566"/>
      <c r="K24" s="566"/>
      <c r="L24" s="566"/>
      <c r="M24" s="566"/>
      <c r="N24" s="566"/>
      <c r="O24" s="566"/>
      <c r="P24" s="566"/>
      <c r="Q24" s="566"/>
    </row>
    <row r="25" spans="2:20" ht="15" hidden="1" customHeight="1" x14ac:dyDescent="0.25">
      <c r="B25" s="126"/>
      <c r="C25" s="565"/>
      <c r="D25" s="565"/>
      <c r="F25" s="566"/>
      <c r="G25" s="566"/>
      <c r="H25" s="566"/>
      <c r="I25" s="566"/>
      <c r="J25" s="566"/>
      <c r="K25" s="566"/>
      <c r="L25" s="566"/>
      <c r="M25" s="566"/>
      <c r="N25" s="566"/>
      <c r="O25" s="566"/>
      <c r="P25" s="566"/>
      <c r="Q25" s="566"/>
    </row>
    <row r="26" spans="2:20" ht="15" hidden="1" customHeight="1" x14ac:dyDescent="0.25">
      <c r="C26" s="565"/>
      <c r="D26" s="565"/>
      <c r="E26" s="126" t="s">
        <v>182</v>
      </c>
      <c r="F26" s="567">
        <f>EXPEDIENTE!F25</f>
        <v>45107</v>
      </c>
      <c r="G26" s="568"/>
      <c r="H26" s="568"/>
      <c r="I26" s="568"/>
      <c r="J26" s="568"/>
      <c r="K26" s="568"/>
      <c r="L26" s="568"/>
      <c r="M26" s="568"/>
      <c r="N26" s="568"/>
      <c r="O26" s="568"/>
      <c r="P26" s="568"/>
      <c r="Q26" s="568"/>
      <c r="R26" s="568"/>
    </row>
    <row r="27" spans="2:20" ht="15" hidden="1" customHeight="1" x14ac:dyDescent="0.25">
      <c r="C27" s="565"/>
      <c r="D27" s="565"/>
      <c r="E27" s="126" t="s">
        <v>181</v>
      </c>
      <c r="F27" s="567">
        <f>EXPEDIENTE!F27</f>
        <v>0</v>
      </c>
      <c r="G27" s="568"/>
      <c r="H27" s="568"/>
      <c r="I27" s="568"/>
      <c r="J27" s="568"/>
      <c r="K27" s="568"/>
      <c r="L27" s="568"/>
      <c r="M27" s="568"/>
      <c r="N27" s="568"/>
      <c r="O27" s="568"/>
      <c r="P27" s="568"/>
      <c r="Q27" s="568"/>
      <c r="R27" s="568"/>
    </row>
    <row r="28" spans="2:20" ht="15" hidden="1" customHeight="1" x14ac:dyDescent="0.25">
      <c r="C28" s="565"/>
      <c r="D28" s="565"/>
      <c r="E28" s="126" t="s">
        <v>183</v>
      </c>
      <c r="F28" s="567">
        <f>DATE(YEAR($F$26),MONTH($F$26),1)</f>
        <v>45078</v>
      </c>
      <c r="G28" s="568"/>
      <c r="H28" s="568"/>
      <c r="I28" s="568"/>
      <c r="J28" s="568"/>
      <c r="K28" s="568"/>
      <c r="L28" s="568"/>
      <c r="M28" s="568"/>
      <c r="N28" s="568"/>
      <c r="O28" s="568"/>
      <c r="P28" s="568"/>
      <c r="Q28" s="568"/>
      <c r="R28" s="568"/>
    </row>
    <row r="29" spans="2:20" ht="15" hidden="1" customHeight="1" x14ac:dyDescent="0.25">
      <c r="C29" s="565"/>
      <c r="D29" s="565"/>
      <c r="E29" s="126" t="s">
        <v>184</v>
      </c>
      <c r="F29" s="567">
        <f>DATE(YEAR($F$27),MONTH($F$27)+1,1)-1</f>
        <v>31</v>
      </c>
      <c r="G29" s="568"/>
      <c r="H29" s="568"/>
      <c r="I29" s="568"/>
      <c r="J29" s="568"/>
      <c r="K29" s="568"/>
      <c r="L29" s="568"/>
      <c r="M29" s="568"/>
      <c r="N29" s="568"/>
      <c r="O29" s="568"/>
      <c r="P29" s="568"/>
      <c r="Q29" s="568"/>
      <c r="R29" s="568"/>
    </row>
    <row r="30" spans="2:20" ht="15" hidden="1" customHeight="1" x14ac:dyDescent="0.25">
      <c r="C30" s="565"/>
      <c r="D30" s="565"/>
      <c r="E30" s="126" t="s">
        <v>198</v>
      </c>
      <c r="F30" s="569" t="str">
        <f>IF(AND(C44="",C45="",C46="",C47=""),"SIN DEDICACIÓN",MIN(G33:R33,G35:R35,G37:R37,G39:R39))</f>
        <v>SIN DEDICACIÓN</v>
      </c>
      <c r="G30" s="568"/>
      <c r="H30" s="568"/>
      <c r="I30" s="568"/>
      <c r="J30" s="568"/>
      <c r="K30" s="568"/>
      <c r="L30" s="568"/>
      <c r="M30" s="568"/>
      <c r="N30" s="568"/>
      <c r="O30" s="568"/>
      <c r="P30" s="568"/>
      <c r="Q30" s="568"/>
      <c r="R30" s="568"/>
    </row>
    <row r="31" spans="2:20" ht="15" hidden="1" customHeight="1" x14ac:dyDescent="0.25">
      <c r="C31" s="565"/>
      <c r="D31" s="565"/>
      <c r="E31" s="126" t="s">
        <v>199</v>
      </c>
      <c r="F31" s="567">
        <f>DATE(YEAR($F$9),MONTH($F$9),1)</f>
        <v>1</v>
      </c>
      <c r="G31" s="568"/>
      <c r="H31" s="568"/>
      <c r="I31" s="568"/>
      <c r="J31" s="568"/>
      <c r="K31" s="568"/>
      <c r="L31" s="568"/>
      <c r="M31" s="568"/>
      <c r="N31" s="568"/>
      <c r="O31" s="568"/>
      <c r="P31" s="568"/>
      <c r="Q31" s="568"/>
      <c r="R31" s="568"/>
    </row>
    <row r="32" spans="2:20" ht="15" hidden="1" customHeight="1" x14ac:dyDescent="0.25">
      <c r="C32" s="565"/>
      <c r="D32" s="565"/>
      <c r="E32" s="570" t="s">
        <v>180</v>
      </c>
      <c r="F32" s="571">
        <f>YEAR(F26)</f>
        <v>2023</v>
      </c>
      <c r="G32" s="572" t="str">
        <f>IF(G$44&gt;0,G40,"")</f>
        <v/>
      </c>
      <c r="H32" s="572" t="str">
        <f t="shared" ref="H32:R32" si="0">IF(H$44&gt;0,H40,"")</f>
        <v/>
      </c>
      <c r="I32" s="572" t="str">
        <f t="shared" si="0"/>
        <v/>
      </c>
      <c r="J32" s="572" t="str">
        <f t="shared" si="0"/>
        <v/>
      </c>
      <c r="K32" s="572" t="str">
        <f t="shared" si="0"/>
        <v/>
      </c>
      <c r="L32" s="572" t="str">
        <f t="shared" si="0"/>
        <v/>
      </c>
      <c r="M32" s="572" t="str">
        <f t="shared" si="0"/>
        <v/>
      </c>
      <c r="N32" s="572" t="str">
        <f t="shared" si="0"/>
        <v/>
      </c>
      <c r="O32" s="572" t="str">
        <f t="shared" si="0"/>
        <v/>
      </c>
      <c r="P32" s="572" t="str">
        <f t="shared" si="0"/>
        <v/>
      </c>
      <c r="Q32" s="572" t="str">
        <f t="shared" si="0"/>
        <v/>
      </c>
      <c r="R32" s="573" t="str">
        <f t="shared" si="0"/>
        <v/>
      </c>
    </row>
    <row r="33" spans="2:22" ht="15" hidden="1" customHeight="1" x14ac:dyDescent="0.25">
      <c r="C33" s="565"/>
      <c r="D33" s="565"/>
      <c r="E33" s="574"/>
      <c r="F33" s="575" t="s">
        <v>179</v>
      </c>
      <c r="G33" s="576" t="str">
        <f>IF(G32="","",DATE($F$32,G32,1))</f>
        <v/>
      </c>
      <c r="H33" s="576" t="str">
        <f t="shared" ref="H33:R33" si="1">IF(H32="","",DATE($F$32,H32,1))</f>
        <v/>
      </c>
      <c r="I33" s="576" t="str">
        <f t="shared" si="1"/>
        <v/>
      </c>
      <c r="J33" s="576" t="str">
        <f t="shared" si="1"/>
        <v/>
      </c>
      <c r="K33" s="576" t="str">
        <f t="shared" si="1"/>
        <v/>
      </c>
      <c r="L33" s="576" t="str">
        <f t="shared" si="1"/>
        <v/>
      </c>
      <c r="M33" s="576" t="str">
        <f t="shared" si="1"/>
        <v/>
      </c>
      <c r="N33" s="576" t="str">
        <f t="shared" si="1"/>
        <v/>
      </c>
      <c r="O33" s="576" t="str">
        <f t="shared" si="1"/>
        <v/>
      </c>
      <c r="P33" s="576" t="str">
        <f t="shared" si="1"/>
        <v/>
      </c>
      <c r="Q33" s="576" t="str">
        <f t="shared" si="1"/>
        <v/>
      </c>
      <c r="R33" s="577" t="str">
        <f t="shared" si="1"/>
        <v/>
      </c>
    </row>
    <row r="34" spans="2:22" ht="15" hidden="1" customHeight="1" x14ac:dyDescent="0.25">
      <c r="C34" s="565"/>
      <c r="D34" s="565"/>
      <c r="E34" s="570" t="s">
        <v>180</v>
      </c>
      <c r="F34" s="571" t="str">
        <f>IF(YEAR(EXPEDIENTE!$F$27)&gt;=YEAR(EXPEDIENTE!$F$25)+1,YEAR(EXPEDIENTE!$F$25)+1,"")</f>
        <v/>
      </c>
      <c r="G34" s="572" t="str">
        <f>IF(G$45&gt;0,G40,"")</f>
        <v/>
      </c>
      <c r="H34" s="572" t="str">
        <f t="shared" ref="H34:R34" si="2">IF(H$45&gt;0,H40,"")</f>
        <v/>
      </c>
      <c r="I34" s="572" t="str">
        <f t="shared" si="2"/>
        <v/>
      </c>
      <c r="J34" s="572" t="str">
        <f t="shared" si="2"/>
        <v/>
      </c>
      <c r="K34" s="572" t="str">
        <f t="shared" si="2"/>
        <v/>
      </c>
      <c r="L34" s="572" t="str">
        <f t="shared" si="2"/>
        <v/>
      </c>
      <c r="M34" s="572" t="str">
        <f t="shared" si="2"/>
        <v/>
      </c>
      <c r="N34" s="572" t="str">
        <f t="shared" si="2"/>
        <v/>
      </c>
      <c r="O34" s="572" t="str">
        <f t="shared" si="2"/>
        <v/>
      </c>
      <c r="P34" s="572" t="str">
        <f t="shared" si="2"/>
        <v/>
      </c>
      <c r="Q34" s="572" t="str">
        <f t="shared" si="2"/>
        <v/>
      </c>
      <c r="R34" s="573" t="str">
        <f t="shared" si="2"/>
        <v/>
      </c>
    </row>
    <row r="35" spans="2:22" ht="15" hidden="1" customHeight="1" x14ac:dyDescent="0.25">
      <c r="C35" s="565"/>
      <c r="D35" s="565"/>
      <c r="E35" s="574"/>
      <c r="F35" s="575" t="s">
        <v>179</v>
      </c>
      <c r="G35" s="576" t="str">
        <f>IF($F$34="","",IF(G34="","",DATE($F$34,G34,1)))</f>
        <v/>
      </c>
      <c r="H35" s="576" t="str">
        <f t="shared" ref="H35:R35" si="3">IF($F$34="","",IF(H34="","",DATE($F$34,H34,1)))</f>
        <v/>
      </c>
      <c r="I35" s="576" t="str">
        <f t="shared" si="3"/>
        <v/>
      </c>
      <c r="J35" s="576" t="str">
        <f t="shared" si="3"/>
        <v/>
      </c>
      <c r="K35" s="576" t="str">
        <f t="shared" si="3"/>
        <v/>
      </c>
      <c r="L35" s="576" t="str">
        <f t="shared" si="3"/>
        <v/>
      </c>
      <c r="M35" s="576" t="str">
        <f t="shared" si="3"/>
        <v/>
      </c>
      <c r="N35" s="576" t="str">
        <f t="shared" si="3"/>
        <v/>
      </c>
      <c r="O35" s="576" t="str">
        <f t="shared" si="3"/>
        <v/>
      </c>
      <c r="P35" s="576" t="str">
        <f t="shared" si="3"/>
        <v/>
      </c>
      <c r="Q35" s="576" t="str">
        <f t="shared" si="3"/>
        <v/>
      </c>
      <c r="R35" s="577" t="str">
        <f t="shared" si="3"/>
        <v/>
      </c>
    </row>
    <row r="36" spans="2:22" ht="15" hidden="1" customHeight="1" x14ac:dyDescent="0.25">
      <c r="C36" s="565"/>
      <c r="D36" s="565"/>
      <c r="E36" s="570" t="s">
        <v>180</v>
      </c>
      <c r="F36" s="571" t="str">
        <f>IF(YEAR(EXPEDIENTE!$F$27)&gt;=YEAR(EXPEDIENTE!$F$25)+2,YEAR(EXPEDIENTE!$F$25)+2,"")</f>
        <v/>
      </c>
      <c r="G36" s="572" t="str">
        <f>IF(G$46&gt;0,G40,"")</f>
        <v/>
      </c>
      <c r="H36" s="572" t="str">
        <f t="shared" ref="H36:R36" si="4">IF(H$46&gt;0,H40,"")</f>
        <v/>
      </c>
      <c r="I36" s="572" t="str">
        <f t="shared" si="4"/>
        <v/>
      </c>
      <c r="J36" s="572" t="str">
        <f t="shared" si="4"/>
        <v/>
      </c>
      <c r="K36" s="572" t="str">
        <f t="shared" si="4"/>
        <v/>
      </c>
      <c r="L36" s="572" t="str">
        <f t="shared" si="4"/>
        <v/>
      </c>
      <c r="M36" s="572" t="str">
        <f t="shared" si="4"/>
        <v/>
      </c>
      <c r="N36" s="572" t="str">
        <f t="shared" si="4"/>
        <v/>
      </c>
      <c r="O36" s="572" t="str">
        <f t="shared" si="4"/>
        <v/>
      </c>
      <c r="P36" s="572" t="str">
        <f t="shared" si="4"/>
        <v/>
      </c>
      <c r="Q36" s="572" t="str">
        <f t="shared" si="4"/>
        <v/>
      </c>
      <c r="R36" s="573" t="str">
        <f t="shared" si="4"/>
        <v/>
      </c>
    </row>
    <row r="37" spans="2:22" ht="15" hidden="1" customHeight="1" x14ac:dyDescent="0.25">
      <c r="C37" s="565"/>
      <c r="D37" s="565"/>
      <c r="E37" s="574"/>
      <c r="F37" s="575" t="s">
        <v>179</v>
      </c>
      <c r="G37" s="576" t="str">
        <f>IF($F$36="","",IF(G36="","",DATE($F$36,G36,1)))</f>
        <v/>
      </c>
      <c r="H37" s="576" t="str">
        <f t="shared" ref="H37:R37" si="5">IF($F$36="","",IF(H36="","",DATE($F$36,H36,1)))</f>
        <v/>
      </c>
      <c r="I37" s="576" t="str">
        <f t="shared" si="5"/>
        <v/>
      </c>
      <c r="J37" s="576" t="str">
        <f t="shared" si="5"/>
        <v/>
      </c>
      <c r="K37" s="576" t="str">
        <f t="shared" si="5"/>
        <v/>
      </c>
      <c r="L37" s="576" t="str">
        <f t="shared" si="5"/>
        <v/>
      </c>
      <c r="M37" s="576" t="str">
        <f t="shared" si="5"/>
        <v/>
      </c>
      <c r="N37" s="576" t="str">
        <f t="shared" si="5"/>
        <v/>
      </c>
      <c r="O37" s="576" t="str">
        <f t="shared" si="5"/>
        <v/>
      </c>
      <c r="P37" s="576" t="str">
        <f t="shared" si="5"/>
        <v/>
      </c>
      <c r="Q37" s="576" t="str">
        <f t="shared" si="5"/>
        <v/>
      </c>
      <c r="R37" s="577" t="str">
        <f t="shared" si="5"/>
        <v/>
      </c>
    </row>
    <row r="38" spans="2:22" ht="15" hidden="1" customHeight="1" x14ac:dyDescent="0.25">
      <c r="C38" s="565"/>
      <c r="D38" s="565"/>
      <c r="E38" s="570" t="s">
        <v>180</v>
      </c>
      <c r="F38" s="571" t="str">
        <f>IF(YEAR(EXPEDIENTE!$F$27)&gt;=YEAR(EXPEDIENTE!$F$25)+3,YEAR(EXPEDIENTE!$F$25)+3,"")</f>
        <v/>
      </c>
      <c r="G38" s="572" t="str">
        <f>IF(G$47&gt;0,G40,"")</f>
        <v/>
      </c>
      <c r="H38" s="572" t="str">
        <f t="shared" ref="H38:R38" si="6">IF(H$47&gt;0,H40,"")</f>
        <v/>
      </c>
      <c r="I38" s="572" t="str">
        <f t="shared" si="6"/>
        <v/>
      </c>
      <c r="J38" s="572" t="str">
        <f t="shared" si="6"/>
        <v/>
      </c>
      <c r="K38" s="572" t="str">
        <f t="shared" si="6"/>
        <v/>
      </c>
      <c r="L38" s="572" t="str">
        <f t="shared" si="6"/>
        <v/>
      </c>
      <c r="M38" s="572" t="str">
        <f t="shared" si="6"/>
        <v/>
      </c>
      <c r="N38" s="572" t="str">
        <f t="shared" si="6"/>
        <v/>
      </c>
      <c r="O38" s="572" t="str">
        <f t="shared" si="6"/>
        <v/>
      </c>
      <c r="P38" s="572" t="str">
        <f t="shared" si="6"/>
        <v/>
      </c>
      <c r="Q38" s="572" t="str">
        <f t="shared" si="6"/>
        <v/>
      </c>
      <c r="R38" s="573" t="str">
        <f t="shared" si="6"/>
        <v/>
      </c>
    </row>
    <row r="39" spans="2:22" ht="15" hidden="1" customHeight="1" x14ac:dyDescent="0.25">
      <c r="C39" s="565"/>
      <c r="D39" s="565"/>
      <c r="E39" s="574"/>
      <c r="F39" s="575" t="s">
        <v>179</v>
      </c>
      <c r="G39" s="576" t="str">
        <f>IF($F$38="","",IF(G38="","",DATE($F$38,G38,1)))</f>
        <v/>
      </c>
      <c r="H39" s="576" t="str">
        <f t="shared" ref="H39:R39" si="7">IF($F$38="","",IF(H38="","",DATE($F$38,H38,1)))</f>
        <v/>
      </c>
      <c r="I39" s="576" t="str">
        <f t="shared" si="7"/>
        <v/>
      </c>
      <c r="J39" s="576" t="str">
        <f t="shared" si="7"/>
        <v/>
      </c>
      <c r="K39" s="576" t="str">
        <f t="shared" si="7"/>
        <v/>
      </c>
      <c r="L39" s="576" t="str">
        <f t="shared" si="7"/>
        <v/>
      </c>
      <c r="M39" s="576" t="str">
        <f t="shared" si="7"/>
        <v/>
      </c>
      <c r="N39" s="576" t="str">
        <f t="shared" si="7"/>
        <v/>
      </c>
      <c r="O39" s="576" t="str">
        <f t="shared" si="7"/>
        <v/>
      </c>
      <c r="P39" s="576" t="str">
        <f t="shared" si="7"/>
        <v/>
      </c>
      <c r="Q39" s="576" t="str">
        <f t="shared" si="7"/>
        <v/>
      </c>
      <c r="R39" s="577" t="str">
        <f t="shared" si="7"/>
        <v/>
      </c>
    </row>
    <row r="40" spans="2:22" ht="15" hidden="1" customHeight="1" thickBot="1" x14ac:dyDescent="0.3">
      <c r="C40" s="565"/>
      <c r="D40" s="565"/>
      <c r="E40" s="570" t="s">
        <v>76</v>
      </c>
      <c r="F40" s="578"/>
      <c r="G40" s="572">
        <v>1</v>
      </c>
      <c r="H40" s="572">
        <v>2</v>
      </c>
      <c r="I40" s="572">
        <v>3</v>
      </c>
      <c r="J40" s="572">
        <v>4</v>
      </c>
      <c r="K40" s="572">
        <v>5</v>
      </c>
      <c r="L40" s="572">
        <v>6</v>
      </c>
      <c r="M40" s="572">
        <v>7</v>
      </c>
      <c r="N40" s="572">
        <v>8</v>
      </c>
      <c r="O40" s="572">
        <v>9</v>
      </c>
      <c r="P40" s="572">
        <v>10</v>
      </c>
      <c r="Q40" s="572">
        <v>11</v>
      </c>
      <c r="R40" s="573">
        <v>12</v>
      </c>
    </row>
    <row r="41" spans="2:22" s="559" customFormat="1" ht="20.100000000000001" customHeight="1" thickBot="1" x14ac:dyDescent="0.35">
      <c r="B41" s="123"/>
      <c r="C41" s="565"/>
      <c r="D41" s="565"/>
      <c r="E41" s="661" t="s">
        <v>167</v>
      </c>
      <c r="F41" s="662"/>
      <c r="G41" s="662"/>
      <c r="H41" s="662"/>
      <c r="I41" s="662"/>
      <c r="J41" s="662"/>
      <c r="K41" s="662"/>
      <c r="L41" s="662"/>
      <c r="M41" s="662"/>
      <c r="N41" s="662"/>
      <c r="O41" s="662"/>
      <c r="P41" s="662"/>
      <c r="Q41" s="662"/>
      <c r="R41" s="663"/>
      <c r="S41" s="579"/>
      <c r="T41" s="580"/>
      <c r="U41" s="581"/>
      <c r="V41" s="581"/>
    </row>
    <row r="42" spans="2:22" ht="15" customHeight="1" thickBot="1" x14ac:dyDescent="0.3">
      <c r="B42" s="123" t="s">
        <v>135</v>
      </c>
      <c r="C42" s="674" t="s">
        <v>200</v>
      </c>
      <c r="D42" s="674" t="s">
        <v>201</v>
      </c>
      <c r="E42" s="670" t="s">
        <v>171</v>
      </c>
      <c r="F42" s="671"/>
      <c r="G42" s="582" t="s">
        <v>28</v>
      </c>
      <c r="H42" s="583" t="s">
        <v>29</v>
      </c>
      <c r="I42" s="583" t="s">
        <v>30</v>
      </c>
      <c r="J42" s="583" t="s">
        <v>31</v>
      </c>
      <c r="K42" s="583" t="s">
        <v>32</v>
      </c>
      <c r="L42" s="583" t="s">
        <v>33</v>
      </c>
      <c r="M42" s="583" t="s">
        <v>34</v>
      </c>
      <c r="N42" s="583" t="s">
        <v>35</v>
      </c>
      <c r="O42" s="583" t="s">
        <v>36</v>
      </c>
      <c r="P42" s="583" t="s">
        <v>37</v>
      </c>
      <c r="Q42" s="583" t="s">
        <v>38</v>
      </c>
      <c r="R42" s="584" t="s">
        <v>39</v>
      </c>
      <c r="T42" s="580"/>
    </row>
    <row r="43" spans="2:22" ht="20.100000000000001" customHeight="1" thickBot="1" x14ac:dyDescent="0.3">
      <c r="C43" s="675"/>
      <c r="D43" s="675"/>
      <c r="E43" s="672"/>
      <c r="F43" s="673"/>
      <c r="G43" s="664" t="s">
        <v>168</v>
      </c>
      <c r="H43" s="665"/>
      <c r="I43" s="665"/>
      <c r="J43" s="665"/>
      <c r="K43" s="665"/>
      <c r="L43" s="665"/>
      <c r="M43" s="665"/>
      <c r="N43" s="665"/>
      <c r="O43" s="665"/>
      <c r="P43" s="665"/>
      <c r="Q43" s="665"/>
      <c r="R43" s="666"/>
    </row>
    <row r="44" spans="2:22" ht="35.1" customHeight="1" x14ac:dyDescent="0.25">
      <c r="B44" s="123">
        <f>COUNTIF(G44:R44,"&gt;100%")</f>
        <v>0</v>
      </c>
      <c r="C44" s="585" t="str">
        <f>IF(SUM(G44:R44)=0,"",IF(SUM($G$32:$R$32)=0,$F$26,MIN($G$33:$R$33)))</f>
        <v/>
      </c>
      <c r="D44" s="585" t="str">
        <f>IF(SUM(G44:R44)=0,"",IF(SUM($G$32:$R$32)=0,$F$27,DATE($F$32,MAX($G$32:$R$32)+1,1)-1))</f>
        <v/>
      </c>
      <c r="E44" s="667" t="str">
        <f>CONCATENATE("DEDICACIÓN EJERCICIO ",YEAR(EXPEDIENTE!F25))</f>
        <v>DEDICACIÓN EJERCICIO 2023</v>
      </c>
      <c r="F44" s="667"/>
      <c r="G44" s="586"/>
      <c r="H44" s="586"/>
      <c r="I44" s="586"/>
      <c r="J44" s="586"/>
      <c r="K44" s="586"/>
      <c r="L44" s="586"/>
      <c r="M44" s="586"/>
      <c r="N44" s="586"/>
      <c r="O44" s="586"/>
      <c r="P44" s="586"/>
      <c r="Q44" s="586"/>
      <c r="R44" s="586"/>
      <c r="T44" s="126" t="str">
        <f>IF(SUM(G44:R44)=0,"",IF(AND(SUM(G44:R44)&gt;0,OR(C44&lt;$F$28,D44&gt;$F$29)),"ERROR: SE HA INDICADO % DEDICACIÓN EN EL EJERCICIO FUERA DEL PLAZO DE EJECUCIÓN.",IF(AND($F$30&lt;&gt;"SIN DEDICACIÓN",DATE(YEAR(C44),MONTH(C44)+1,1)-1&lt;DATE(YEAR($F$9),MONTH($F$9),1)),"ERROR: EXISTE DEDICACIÓN AL PROYECTO ANTERIOR A LA FECHA DE EMISÓN DE FORMULARIO.",IF(B44&gt;0,"ERROR: EL PORCENTAJE INDICADO ES SUPERIOR AL 100%.",IF(SUM(G44:R44)&gt;1100%,"LA SUMA DE PORCENTAJES MENSUALES SUPERA EL MÁXIMO","")))))</f>
        <v/>
      </c>
    </row>
    <row r="45" spans="2:22" ht="35.1" customHeight="1" x14ac:dyDescent="0.25">
      <c r="B45" s="123">
        <f>COUNTIF(G45:R45,"&gt;100%")</f>
        <v>0</v>
      </c>
      <c r="C45" s="585" t="str">
        <f>IF(SUM(G45:R45)=0,"",IF(SUM($G$34:$R$34)=0,$F$26,MIN($G$35:$R$35)))</f>
        <v/>
      </c>
      <c r="D45" s="585" t="str">
        <f>IF(F34="","",IF(SUM(G45:R45)=0,"",IF(SUM($G$34:$R$34)=0,$F$27,DATE($F$34,MAX($G$34:$R$34)+1,1)-1)))</f>
        <v/>
      </c>
      <c r="E45" s="660" t="str">
        <f>IF(YEAR(EXPEDIENTE!F27)&gt;=YEAR(EXPEDIENTE!F25)+1,CONCATENATE("DEDICACIÓN EJERCICIO ",YEAR(EXPEDIENTE!F25)+1),"")</f>
        <v/>
      </c>
      <c r="F45" s="660"/>
      <c r="G45" s="587"/>
      <c r="H45" s="587"/>
      <c r="I45" s="587"/>
      <c r="J45" s="587"/>
      <c r="K45" s="587"/>
      <c r="L45" s="587"/>
      <c r="M45" s="587"/>
      <c r="N45" s="587"/>
      <c r="O45" s="587"/>
      <c r="P45" s="587"/>
      <c r="Q45" s="587"/>
      <c r="R45" s="587"/>
      <c r="T45" s="126" t="str">
        <f t="shared" ref="T45:T47" si="8">IF(SUM(G45:R45)=0,"",IF(AND(SUM(G45:R45)&gt;0,OR(C45&lt;$F$28,D45&gt;$F$29)),"ERROR: SE HA INDICADO % DEDICACIÓN EN EL EJERCICIO FUERA DEL PLAZO DE EJECUCIÓN.",IF(AND($F$30&lt;&gt;"SIN DEDICACIÓN",DATE(YEAR(C45),MONTH(C45)+1,1)-1&lt;DATE(YEAR($F$9),MONTH($F$9),1)),"ERROR: EXISTE DEDICACIÓN AL PROYECTO ANTERIOR A LA FECHA DE EMISÓN DE FORMULARIO.",IF(B45&gt;0,"ERROR: EL PORCENTAJE INDICADO ES SUPERIOR AL 100%.",IF(SUM(G45:R45)&gt;1100%,"LA SUMA DE PORCENTAJES MENSUALES SUPERA EL MÁXIMO","")))))</f>
        <v/>
      </c>
    </row>
    <row r="46" spans="2:22" ht="35.1" customHeight="1" x14ac:dyDescent="0.25">
      <c r="B46" s="123">
        <f>COUNTIF(G46:R46,"&gt;100%")</f>
        <v>0</v>
      </c>
      <c r="C46" s="585" t="str">
        <f>IF(SUM(G46:R46)=0,"",IF(SUM($G$36:$R$36)=0,$F$26,MIN($G$37:$R$37)))</f>
        <v/>
      </c>
      <c r="D46" s="585" t="str">
        <f>IF(F36="","",IF(SUM(G46:R46)=0,"",IF(SUM($G$36:$R$36)=0,$F$27,DATE($F$36,MAX($G$36:$R$36)+1,1)-1)))</f>
        <v/>
      </c>
      <c r="E46" s="660" t="str">
        <f>IF(YEAR(EXPEDIENTE!F27)&gt;=YEAR(EXPEDIENTE!F25)+2,CONCATENATE("DEDICACIÓN EJERCICIO ",YEAR(EXPEDIENTE!F25)+2),"")</f>
        <v/>
      </c>
      <c r="F46" s="660"/>
      <c r="G46" s="587"/>
      <c r="H46" s="587"/>
      <c r="I46" s="587"/>
      <c r="J46" s="587"/>
      <c r="K46" s="587"/>
      <c r="L46" s="587"/>
      <c r="M46" s="587"/>
      <c r="N46" s="587"/>
      <c r="O46" s="587"/>
      <c r="P46" s="587"/>
      <c r="Q46" s="587"/>
      <c r="R46" s="587"/>
      <c r="T46" s="126" t="str">
        <f t="shared" si="8"/>
        <v/>
      </c>
    </row>
    <row r="47" spans="2:22" ht="35.1" customHeight="1" x14ac:dyDescent="0.25">
      <c r="B47" s="123">
        <f>COUNTIF(G47:R47,"&gt;100%")</f>
        <v>0</v>
      </c>
      <c r="C47" s="585" t="str">
        <f>IF(SUM(G47:R47)=0,"",IF(SUM($G$38:$R$38)=0,$F$26,MIN($G$39:$R$39)))</f>
        <v/>
      </c>
      <c r="D47" s="585" t="str">
        <f>IF(F38="","",IF(SUM(G47:R47)=0,"",IF(SUM($G$38:$R$38)=0,$F$27,DATE($F$38,MAX($G$38:$R$38)+1,1)-1)))</f>
        <v/>
      </c>
      <c r="E47" s="660" t="str">
        <f>IF(YEAR(EXPEDIENTE!F27)&gt;=YEAR(EXPEDIENTE!F25)+3,CONCATENATE("DEDICACIÓN EJERCICIO ",YEAR(EXPEDIENTE!F25)+3),"")</f>
        <v/>
      </c>
      <c r="F47" s="660"/>
      <c r="G47" s="587"/>
      <c r="H47" s="587"/>
      <c r="I47" s="587"/>
      <c r="J47" s="587"/>
      <c r="K47" s="587"/>
      <c r="L47" s="587"/>
      <c r="M47" s="587"/>
      <c r="N47" s="587"/>
      <c r="O47" s="587"/>
      <c r="P47" s="587"/>
      <c r="Q47" s="587"/>
      <c r="R47" s="587"/>
      <c r="T47" s="126" t="str">
        <f t="shared" si="8"/>
        <v/>
      </c>
    </row>
  </sheetData>
  <sheetProtection algorithmName="SHA-512" hashValue="gecqjgY6gcmM75J7SXwtTlmPUHarLg55hnN1fP0WkUGYLMCFXlyJctiIsCnxrTdjKUZ0RtKkwBJvjHtMwURcGQ==" saltValue="gNdjUcovwlgpSX4fnDEzfg==" spinCount="100000" sheet="1" selectLockedCells="1"/>
  <mergeCells count="20">
    <mergeCell ref="F20:R20"/>
    <mergeCell ref="E42:F43"/>
    <mergeCell ref="C42:C43"/>
    <mergeCell ref="D42:D43"/>
    <mergeCell ref="H9:R9"/>
    <mergeCell ref="F17:R19"/>
    <mergeCell ref="F22:R23"/>
    <mergeCell ref="F11:R12"/>
    <mergeCell ref="K14:N14"/>
    <mergeCell ref="O14:R14"/>
    <mergeCell ref="K15:N15"/>
    <mergeCell ref="O15:R15"/>
    <mergeCell ref="G14:J14"/>
    <mergeCell ref="G15:J15"/>
    <mergeCell ref="E46:F46"/>
    <mergeCell ref="E47:F47"/>
    <mergeCell ref="E41:R41"/>
    <mergeCell ref="G43:R43"/>
    <mergeCell ref="E44:F44"/>
    <mergeCell ref="E45:F45"/>
  </mergeCells>
  <phoneticPr fontId="10" type="noConversion"/>
  <conditionalFormatting sqref="A14:XFD47">
    <cfRule type="expression" dxfId="523" priority="1" stopIfTrue="1">
      <formula>$F$9=""</formula>
    </cfRule>
  </conditionalFormatting>
  <conditionalFormatting sqref="E45:R45">
    <cfRule type="expression" dxfId="522" priority="2" stopIfTrue="1">
      <formula>$E45=""</formula>
    </cfRule>
  </conditionalFormatting>
  <conditionalFormatting sqref="E45:R47">
    <cfRule type="expression" dxfId="521" priority="77">
      <formula>$E45&lt;&gt;""</formula>
    </cfRule>
  </conditionalFormatting>
  <conditionalFormatting sqref="E45:T47">
    <cfRule type="expression" dxfId="520" priority="4" stopIfTrue="1">
      <formula>$E45=""</formula>
    </cfRule>
  </conditionalFormatting>
  <conditionalFormatting sqref="F9 E11:R12">
    <cfRule type="expression" dxfId="519" priority="6">
      <formula>AND($B$9&lt;&gt;"",$B$9&gt;=2)</formula>
    </cfRule>
  </conditionalFormatting>
  <conditionalFormatting sqref="G44:R44">
    <cfRule type="expression" dxfId="518" priority="11">
      <formula>AND(G44&lt;&gt;"",G$32&lt;&gt;"",OR(G$33&lt;$F$28,G$33&gt;$F$29,G$33&lt;$F$31))</formula>
    </cfRule>
  </conditionalFormatting>
  <conditionalFormatting sqref="G44:R47">
    <cfRule type="cellIs" dxfId="517" priority="10" operator="greaterThan">
      <formula>1</formula>
    </cfRule>
  </conditionalFormatting>
  <conditionalFormatting sqref="G45:R45">
    <cfRule type="expression" dxfId="516" priority="14">
      <formula>AND(G45&lt;&gt;"",G$34&lt;&gt;"",OR(G$35&lt;$F$28,G$35&gt;$F$29,G$35&lt;$F$31))</formula>
    </cfRule>
  </conditionalFormatting>
  <conditionalFormatting sqref="G46:R46">
    <cfRule type="expression" dxfId="515" priority="15">
      <formula>AND(G46&lt;&gt;"",G$36&lt;&gt;"",OR(G$37&lt;$F$28,G$37&gt;$F$29,G$37&lt;$F$31))</formula>
    </cfRule>
  </conditionalFormatting>
  <conditionalFormatting sqref="G47:R47">
    <cfRule type="expression" dxfId="514" priority="16">
      <formula>AND(G47&lt;&gt;"",G$38&lt;&gt;"",OR(G$39&lt;$F$28,G$39&gt;$F$29,G$39&lt;$F$31))</formula>
    </cfRule>
  </conditionalFormatting>
  <conditionalFormatting sqref="T44:T47 H9:R9">
    <cfRule type="cellIs" dxfId="513" priority="125" operator="notEqual">
      <formula>""</formula>
    </cfRule>
  </conditionalFormatting>
  <printOptions horizontalCentered="1" verticalCentered="1"/>
  <pageMargins left="0.59055118110236227" right="0.59055118110236227" top="0.59055118110236227" bottom="0.39370078740157483" header="0.19685039370078741" footer="0.19685039370078741"/>
  <pageSetup paperSize="9" scale="83" fitToHeight="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CA74B-1541-49B8-A1FA-C5322BEA96A2}">
  <dimension ref="B1:DX62"/>
  <sheetViews>
    <sheetView showGridLines="0" zoomScaleNormal="100" zoomScaleSheetLayoutView="55" workbookViewId="0">
      <selection activeCell="BG60" sqref="BG60"/>
    </sheetView>
  </sheetViews>
  <sheetFormatPr baseColWidth="10" defaultColWidth="11.42578125" defaultRowHeight="13.5" outlineLevelCol="1" x14ac:dyDescent="0.25"/>
  <cols>
    <col min="1" max="2" width="5.5703125" style="4" customWidth="1"/>
    <col min="3" max="3" width="13.7109375" style="4" customWidth="1"/>
    <col min="4" max="5" width="10.5703125" style="4" customWidth="1"/>
    <col min="6" max="6" width="9.5703125" style="4" customWidth="1"/>
    <col min="7" max="12" width="11.5703125" style="4" customWidth="1"/>
    <col min="13" max="13" width="15.5703125" style="4" customWidth="1"/>
    <col min="14" max="14" width="1.5703125" style="4" customWidth="1"/>
    <col min="15" max="20" width="11.5703125" style="4" customWidth="1"/>
    <col min="21" max="21" width="12.5703125" style="4" customWidth="1"/>
    <col min="22" max="22" width="1.5703125" style="4" customWidth="1"/>
    <col min="23" max="27" width="12.5703125" style="4" customWidth="1"/>
    <col min="28" max="30" width="13.5703125" style="4" customWidth="1"/>
    <col min="31" max="31" width="40.7109375" style="4" customWidth="1"/>
    <col min="32" max="32" width="5.5703125" style="4" customWidth="1"/>
    <col min="33" max="34" width="5.7109375" style="6" hidden="1" customWidth="1"/>
    <col min="35" max="37" width="8.7109375" style="6" hidden="1" customWidth="1"/>
    <col min="38" max="38" width="5.7109375" style="126" hidden="1" customWidth="1" outlineLevel="1"/>
    <col min="39" max="39" width="5.5703125" style="126" hidden="1" customWidth="1" outlineLevel="1"/>
    <col min="40" max="40" width="13.7109375" style="126" hidden="1" customWidth="1" outlineLevel="1"/>
    <col min="41" max="46" width="9.7109375" style="126" hidden="1" customWidth="1" outlineLevel="1"/>
    <col min="47" max="49" width="9.5703125" style="126" hidden="1" customWidth="1" outlineLevel="1"/>
    <col min="50" max="66" width="9.7109375" style="126" hidden="1" customWidth="1" outlineLevel="1"/>
    <col min="67" max="67" width="1.5703125" style="126" hidden="1" customWidth="1" outlineLevel="1"/>
    <col min="68" max="86" width="9.7109375" style="126" hidden="1" customWidth="1" outlineLevel="1"/>
    <col min="87" max="87" width="1.5703125" style="126" hidden="1" customWidth="1" outlineLevel="1"/>
    <col min="88" max="88" width="11.28515625" style="126" hidden="1" customWidth="1" outlineLevel="1"/>
    <col min="89" max="101" width="9.7109375" style="126" hidden="1" customWidth="1" outlineLevel="1"/>
    <col min="102" max="102" width="5.7109375" style="126" hidden="1" customWidth="1" outlineLevel="1"/>
    <col min="103" max="103" width="90.7109375" style="126" hidden="1" customWidth="1" outlineLevel="1"/>
    <col min="104" max="104" width="5.5703125" style="126" customWidth="1" collapsed="1"/>
    <col min="105" max="106" width="5.7109375" style="6" hidden="1" customWidth="1"/>
    <col min="107" max="107" width="5.7109375" style="4" hidden="1" customWidth="1"/>
    <col min="108" max="125" width="5.7109375" style="6" hidden="1" customWidth="1"/>
    <col min="126" max="126" width="5.7109375" style="4" hidden="1" customWidth="1"/>
    <col min="127" max="128" width="11.42578125" style="4" hidden="1" customWidth="1"/>
    <col min="129" max="16384" width="11.42578125" style="4"/>
  </cols>
  <sheetData>
    <row r="1" spans="2:128" ht="20.100000000000001" customHeight="1" x14ac:dyDescent="0.25"/>
    <row r="2" spans="2:128" ht="20.100000000000001" customHeight="1" x14ac:dyDescent="0.25">
      <c r="F2" s="86"/>
      <c r="G2" s="90"/>
      <c r="I2" s="85"/>
      <c r="AU2" s="127"/>
      <c r="AV2" s="127"/>
      <c r="AW2" s="127"/>
      <c r="AX2" s="214"/>
      <c r="AY2" s="214"/>
      <c r="AZ2" s="214"/>
      <c r="BD2" s="258"/>
      <c r="BE2" s="258"/>
      <c r="BF2" s="258"/>
    </row>
    <row r="3" spans="2:128" ht="20.100000000000001" customHeight="1" x14ac:dyDescent="0.25">
      <c r="E3" s="90" t="str">
        <f>'IDENTIFICACIÓN TRABAJADOR'!$F$4</f>
        <v>Nº DE EXPEDIENTE: 2024.08.EPTE.0000</v>
      </c>
      <c r="AR3" s="214" t="str">
        <f>'IDENTIFICACIÓN TRABAJADOR'!$F$4</f>
        <v>Nº DE EXPEDIENTE: 2024.08.EPTE.0000</v>
      </c>
      <c r="AS3" s="214"/>
      <c r="AT3" s="214"/>
    </row>
    <row r="4" spans="2:128" ht="20.100000000000001" customHeight="1" x14ac:dyDescent="0.25">
      <c r="E4" s="849"/>
      <c r="F4" s="849"/>
      <c r="G4" s="87"/>
      <c r="AR4" s="763"/>
      <c r="AS4" s="763"/>
      <c r="AT4" s="763"/>
      <c r="AU4" s="763"/>
      <c r="AV4" s="131"/>
      <c r="AW4" s="131"/>
      <c r="AX4" s="208"/>
      <c r="AY4" s="208"/>
      <c r="AZ4" s="208"/>
    </row>
    <row r="5" spans="2:128" ht="20.100000000000001" customHeight="1" x14ac:dyDescent="0.25">
      <c r="E5" s="91" t="str">
        <f>'% DEDICACIÓN TRABAJADOR'!$F$6</f>
        <v>TRABAJADOR:</v>
      </c>
      <c r="F5" s="7"/>
      <c r="G5" s="7"/>
      <c r="H5" s="7"/>
      <c r="I5" s="7"/>
      <c r="J5" s="7"/>
      <c r="L5" s="7"/>
      <c r="M5" s="7"/>
      <c r="N5" s="7"/>
      <c r="O5" s="7"/>
      <c r="P5" s="7"/>
      <c r="Q5" s="7"/>
      <c r="R5" s="7"/>
      <c r="S5" s="7"/>
      <c r="T5" s="7"/>
      <c r="AR5" s="215" t="str">
        <f>'% DEDICACIÓN TRABAJADOR'!$F$6</f>
        <v>TRABAJADOR:</v>
      </c>
      <c r="AS5" s="215"/>
      <c r="AT5" s="215"/>
      <c r="AU5" s="216"/>
      <c r="AV5" s="216"/>
      <c r="AW5" s="216"/>
      <c r="AX5" s="216"/>
      <c r="AY5" s="216"/>
      <c r="AZ5" s="216"/>
      <c r="BA5" s="216"/>
      <c r="BB5" s="216"/>
      <c r="BC5" s="216"/>
      <c r="BD5" s="216"/>
      <c r="BE5" s="216"/>
      <c r="BF5" s="216"/>
      <c r="BG5" s="216"/>
      <c r="BH5" s="216"/>
      <c r="BI5" s="216"/>
      <c r="BM5" s="216"/>
      <c r="BN5" s="216"/>
      <c r="BO5" s="216"/>
      <c r="BP5" s="216"/>
      <c r="BQ5" s="216"/>
      <c r="BR5" s="216"/>
      <c r="BS5" s="216"/>
      <c r="BT5" s="216"/>
      <c r="BU5" s="216"/>
      <c r="BV5" s="216"/>
      <c r="BW5" s="216"/>
      <c r="BX5" s="216"/>
      <c r="BY5" s="216"/>
      <c r="BZ5" s="216"/>
      <c r="CA5" s="216"/>
      <c r="CB5" s="216"/>
      <c r="CC5" s="216"/>
      <c r="CD5" s="216"/>
      <c r="CE5" s="216"/>
    </row>
    <row r="6" spans="2:128" ht="20.100000000000001" customHeight="1" x14ac:dyDescent="0.25">
      <c r="E6" s="91" t="str">
        <f>'% DEDICACIÓN TRABAJADOR'!$F$7</f>
        <v>ACRÓNIMO:</v>
      </c>
      <c r="F6" s="7"/>
      <c r="G6" s="7"/>
      <c r="H6" s="7"/>
      <c r="I6" s="7"/>
      <c r="J6" s="7"/>
      <c r="K6" s="7"/>
      <c r="L6" s="7"/>
      <c r="M6" s="7"/>
      <c r="N6" s="7"/>
      <c r="O6" s="7"/>
      <c r="P6" s="7"/>
      <c r="Q6" s="7"/>
      <c r="R6" s="7"/>
      <c r="S6" s="7"/>
      <c r="T6" s="7"/>
      <c r="AR6" s="215" t="str">
        <f>'% DEDICACIÓN TRABAJADOR'!$F$7</f>
        <v>ACRÓNIMO:</v>
      </c>
      <c r="AS6" s="215"/>
      <c r="AT6" s="215"/>
      <c r="AU6" s="216"/>
      <c r="AV6" s="216"/>
      <c r="AW6" s="216"/>
      <c r="AX6" s="216"/>
      <c r="AY6" s="216"/>
      <c r="AZ6" s="216"/>
      <c r="BA6" s="216"/>
      <c r="BB6" s="216"/>
      <c r="BC6" s="216"/>
      <c r="BD6" s="216"/>
      <c r="BE6" s="216"/>
      <c r="BF6" s="216"/>
      <c r="BG6" s="216"/>
      <c r="BH6" s="216"/>
      <c r="BI6" s="216"/>
      <c r="BJ6" s="216"/>
      <c r="BM6" s="216"/>
      <c r="BN6" s="216"/>
      <c r="BO6" s="216"/>
      <c r="BP6" s="216"/>
      <c r="BQ6" s="216"/>
      <c r="BR6" s="216"/>
      <c r="BS6" s="216"/>
      <c r="BT6" s="216"/>
      <c r="BU6" s="216"/>
      <c r="BV6" s="216"/>
      <c r="BW6" s="216"/>
      <c r="BX6" s="216"/>
      <c r="BY6" s="216"/>
      <c r="BZ6" s="216"/>
      <c r="CA6" s="216"/>
      <c r="CB6" s="216"/>
      <c r="CC6" s="216"/>
      <c r="CD6" s="216"/>
      <c r="CE6" s="216"/>
    </row>
    <row r="7" spans="2:128" ht="20.100000000000001" customHeight="1" thickBot="1" x14ac:dyDescent="0.3">
      <c r="BA7" s="216"/>
      <c r="BB7" s="216"/>
      <c r="BC7" s="216"/>
      <c r="BD7" s="216"/>
      <c r="BE7" s="216"/>
      <c r="BF7" s="216"/>
      <c r="BG7" s="216"/>
      <c r="BH7" s="216"/>
      <c r="BI7" s="216"/>
      <c r="BJ7" s="216"/>
      <c r="BM7" s="216"/>
      <c r="BN7" s="216"/>
      <c r="BO7" s="216"/>
      <c r="BP7" s="216"/>
      <c r="BQ7" s="216"/>
      <c r="BR7" s="216"/>
      <c r="BS7" s="216"/>
      <c r="BT7" s="216"/>
      <c r="BU7" s="216"/>
      <c r="BV7" s="216"/>
      <c r="BW7" s="216"/>
      <c r="BX7" s="216"/>
      <c r="BY7" s="216"/>
      <c r="BZ7" s="216"/>
      <c r="CA7" s="216"/>
      <c r="CB7" s="216"/>
      <c r="CC7" s="216"/>
      <c r="CD7" s="216"/>
      <c r="CE7" s="216"/>
      <c r="DD7" s="691" t="s">
        <v>342</v>
      </c>
      <c r="DE7" s="691"/>
      <c r="DF7" s="691"/>
      <c r="DG7" s="691"/>
      <c r="DH7" s="691"/>
      <c r="DI7" s="691"/>
      <c r="DJ7" s="691"/>
      <c r="DK7" s="691"/>
      <c r="DL7" s="691"/>
      <c r="DM7" s="691"/>
      <c r="DN7" s="691"/>
      <c r="DO7" s="691"/>
      <c r="DP7" s="691"/>
      <c r="DQ7" s="691"/>
      <c r="DR7" s="691"/>
      <c r="DS7" s="691"/>
      <c r="DT7" s="691"/>
      <c r="DU7" s="691"/>
      <c r="DW7" s="690" t="s">
        <v>341</v>
      </c>
      <c r="DX7" s="690"/>
    </row>
    <row r="8" spans="2:128" ht="30" customHeight="1" thickTop="1" thickBot="1" x14ac:dyDescent="0.3">
      <c r="B8" s="874" t="str">
        <f>CONCATENATE("GASTO DEL TRABAJADOR ",'IDENTIFICACIÓN TRABAJADOR'!$D$14," EJERCICIO ",YEAR(EXPEDIENTE!$F$25))</f>
        <v>GASTO DEL TRABAJADOR  EJERCICIO 2023</v>
      </c>
      <c r="C8" s="850" t="str">
        <f>CONCATENATE("TABLA DE COTIZACIONES ",YEAR(EXPEDIENTE!$F$25))</f>
        <v>TABLA DE COTIZACIONES 2023</v>
      </c>
      <c r="D8" s="850"/>
      <c r="E8" s="850"/>
      <c r="F8" s="851"/>
      <c r="H8" s="89" t="s">
        <v>112</v>
      </c>
      <c r="I8" s="869" t="s">
        <v>115</v>
      </c>
      <c r="J8" s="869"/>
      <c r="K8" s="869"/>
      <c r="L8" s="869"/>
      <c r="M8" s="869"/>
      <c r="N8" s="869"/>
      <c r="O8" s="869"/>
      <c r="P8" s="869"/>
      <c r="Q8" s="869"/>
      <c r="R8" s="869"/>
      <c r="S8" s="869"/>
      <c r="T8" s="870"/>
      <c r="AM8" s="727" t="str">
        <f>CONCATENATE("GASTO DEL TRABAJADOR ",'IDENTIFICACIÓN TRABAJADOR'!$D$14," EJERCICIO ",YEAR(EXPEDIENTE!$F$25))</f>
        <v>GASTO DEL TRABAJADOR  EJERCICIO 2023</v>
      </c>
      <c r="AN8" s="808" t="str">
        <f>CONCATENATE("COTIZACIONES ",YEAR(EXPEDIENTE!$F$25))</f>
        <v>COTIZACIONES 2023</v>
      </c>
      <c r="AO8" s="808"/>
      <c r="AP8" s="808"/>
      <c r="AQ8" s="259"/>
      <c r="AR8" s="260" t="s">
        <v>270</v>
      </c>
      <c r="AS8" s="261" t="s">
        <v>245</v>
      </c>
      <c r="AT8" s="262" t="s">
        <v>271</v>
      </c>
      <c r="AU8" s="774" t="s">
        <v>269</v>
      </c>
      <c r="AV8" s="774"/>
      <c r="AW8" s="774"/>
      <c r="AX8" s="774"/>
      <c r="AY8" s="774"/>
      <c r="AZ8" s="774"/>
      <c r="BA8" s="774"/>
      <c r="BB8" s="774"/>
      <c r="BC8" s="774"/>
      <c r="BD8" s="774"/>
      <c r="BE8" s="774"/>
      <c r="BF8" s="774"/>
      <c r="BG8" s="775"/>
      <c r="BJ8" s="216"/>
      <c r="BK8" s="216"/>
      <c r="BL8" s="216"/>
      <c r="BM8" s="216"/>
      <c r="BN8" s="216"/>
      <c r="BO8" s="216"/>
      <c r="BP8" s="216"/>
      <c r="BQ8" s="216"/>
      <c r="BR8" s="216"/>
      <c r="BS8" s="216"/>
      <c r="BT8" s="216"/>
      <c r="BU8" s="216"/>
      <c r="BV8" s="216"/>
      <c r="BW8" s="216"/>
      <c r="BX8" s="216"/>
      <c r="BY8" s="216"/>
      <c r="BZ8" s="216"/>
      <c r="CA8" s="216"/>
      <c r="CB8" s="216"/>
      <c r="CY8" s="123"/>
      <c r="CZ8" s="123"/>
      <c r="DD8" s="88" t="s">
        <v>322</v>
      </c>
      <c r="DE8" s="88" t="s">
        <v>323</v>
      </c>
      <c r="DF8" s="88" t="s">
        <v>324</v>
      </c>
      <c r="DG8" s="88" t="s">
        <v>325</v>
      </c>
      <c r="DH8" s="88" t="s">
        <v>326</v>
      </c>
      <c r="DI8" s="88" t="s">
        <v>327</v>
      </c>
      <c r="DJ8" s="88" t="s">
        <v>328</v>
      </c>
      <c r="DK8" s="88" t="s">
        <v>329</v>
      </c>
      <c r="DL8" s="88" t="s">
        <v>330</v>
      </c>
      <c r="DM8" s="88" t="s">
        <v>331</v>
      </c>
      <c r="DN8" s="88" t="s">
        <v>332</v>
      </c>
      <c r="DO8" s="88" t="s">
        <v>333</v>
      </c>
      <c r="DP8" s="88" t="s">
        <v>334</v>
      </c>
      <c r="DQ8" s="88" t="s">
        <v>335</v>
      </c>
      <c r="DR8" s="88" t="s">
        <v>336</v>
      </c>
      <c r="DS8" s="88" t="s">
        <v>337</v>
      </c>
      <c r="DT8" s="88" t="s">
        <v>338</v>
      </c>
      <c r="DU8" s="88" t="s">
        <v>339</v>
      </c>
    </row>
    <row r="9" spans="2:128" ht="15" customHeight="1" thickTop="1" x14ac:dyDescent="0.25">
      <c r="B9" s="875"/>
      <c r="C9" s="92" t="s">
        <v>40</v>
      </c>
      <c r="D9" s="8"/>
      <c r="E9" s="8"/>
      <c r="F9" s="47"/>
      <c r="H9" s="94" t="s">
        <v>130</v>
      </c>
      <c r="I9" s="757" t="s">
        <v>114</v>
      </c>
      <c r="J9" s="757"/>
      <c r="K9" s="757"/>
      <c r="L9" s="757"/>
      <c r="M9" s="757"/>
      <c r="N9" s="757"/>
      <c r="O9" s="757"/>
      <c r="P9" s="757"/>
      <c r="Q9" s="757"/>
      <c r="R9" s="757"/>
      <c r="S9" s="757"/>
      <c r="T9" s="758"/>
      <c r="AM9" s="728"/>
      <c r="AN9" s="809" t="s">
        <v>40</v>
      </c>
      <c r="AO9" s="810"/>
      <c r="AP9" s="811"/>
      <c r="AQ9" s="263"/>
      <c r="AR9" s="264">
        <f>IF(F9="",0,F9)</f>
        <v>0</v>
      </c>
      <c r="AS9" s="265"/>
      <c r="AT9" s="266">
        <f>IF(AS9="",AR9,AS9)</f>
        <v>0</v>
      </c>
      <c r="AU9" s="813"/>
      <c r="AV9" s="813"/>
      <c r="AW9" s="813"/>
      <c r="AX9" s="813"/>
      <c r="AY9" s="813"/>
      <c r="AZ9" s="813"/>
      <c r="BA9" s="813"/>
      <c r="BB9" s="813"/>
      <c r="BC9" s="813"/>
      <c r="BD9" s="813"/>
      <c r="BE9" s="813"/>
      <c r="BF9" s="813"/>
      <c r="BG9" s="814"/>
      <c r="BJ9" s="216"/>
      <c r="BK9" s="216"/>
      <c r="BL9" s="216"/>
      <c r="BM9" s="216"/>
      <c r="BN9" s="216"/>
      <c r="BO9" s="216"/>
      <c r="BP9" s="216"/>
      <c r="BQ9" s="216"/>
      <c r="BR9" s="216"/>
      <c r="BS9" s="216"/>
      <c r="BT9" s="216"/>
      <c r="BU9" s="216"/>
      <c r="BV9" s="216"/>
      <c r="BW9" s="216"/>
      <c r="BX9" s="216"/>
      <c r="BY9" s="216"/>
      <c r="BZ9" s="216"/>
      <c r="CA9" s="216"/>
      <c r="CB9" s="216"/>
      <c r="CY9" s="123"/>
      <c r="CZ9" s="123"/>
      <c r="DD9" s="160">
        <f>SUM(DE9:DU9)</f>
        <v>0</v>
      </c>
      <c r="DE9" s="160">
        <f>IF(AS9="",0,1)</f>
        <v>0</v>
      </c>
      <c r="DW9" s="88">
        <f>IF(AU9&lt;&gt;"",1,0)</f>
        <v>0</v>
      </c>
      <c r="DX9" s="182" t="str">
        <f>IF(DW9=0,"",AU9)</f>
        <v/>
      </c>
    </row>
    <row r="10" spans="2:128" ht="15" customHeight="1" x14ac:dyDescent="0.25">
      <c r="B10" s="875"/>
      <c r="C10" s="93" t="s">
        <v>61</v>
      </c>
      <c r="D10" s="9"/>
      <c r="E10" s="10"/>
      <c r="F10" s="48"/>
      <c r="H10" s="95"/>
      <c r="I10" s="867" t="s">
        <v>113</v>
      </c>
      <c r="J10" s="867"/>
      <c r="K10" s="867"/>
      <c r="L10" s="867"/>
      <c r="M10" s="867"/>
      <c r="N10" s="867"/>
      <c r="O10" s="867"/>
      <c r="P10" s="867"/>
      <c r="Q10" s="867"/>
      <c r="R10" s="867"/>
      <c r="S10" s="867"/>
      <c r="T10" s="868"/>
      <c r="AM10" s="728"/>
      <c r="AN10" s="783" t="s">
        <v>61</v>
      </c>
      <c r="AO10" s="784"/>
      <c r="AP10" s="785"/>
      <c r="AQ10" s="267"/>
      <c r="AR10" s="268">
        <f>IF(F10="",0,F10)</f>
        <v>0</v>
      </c>
      <c r="AS10" s="269"/>
      <c r="AT10" s="270">
        <f t="shared" ref="AT10:AT13" si="0">IF(AS10="",AR10,AS10)</f>
        <v>0</v>
      </c>
      <c r="AU10" s="786"/>
      <c r="AV10" s="786"/>
      <c r="AW10" s="786"/>
      <c r="AX10" s="786"/>
      <c r="AY10" s="786"/>
      <c r="AZ10" s="786"/>
      <c r="BA10" s="786"/>
      <c r="BB10" s="786"/>
      <c r="BC10" s="786"/>
      <c r="BD10" s="786"/>
      <c r="BE10" s="786"/>
      <c r="BF10" s="786"/>
      <c r="BG10" s="787"/>
      <c r="BJ10" s="216"/>
      <c r="BK10" s="216"/>
      <c r="BL10" s="216"/>
      <c r="BM10" s="216"/>
      <c r="BN10" s="216"/>
      <c r="BO10" s="216"/>
      <c r="BP10" s="216"/>
      <c r="BQ10" s="216"/>
      <c r="BR10" s="216"/>
      <c r="BS10" s="216"/>
      <c r="BT10" s="216"/>
      <c r="BU10" s="216"/>
      <c r="BV10" s="216"/>
      <c r="BW10" s="216"/>
      <c r="BX10" s="216"/>
      <c r="BY10" s="216"/>
      <c r="BZ10" s="216"/>
      <c r="CA10" s="216"/>
      <c r="CB10" s="216"/>
      <c r="CY10" s="123"/>
      <c r="CZ10" s="123"/>
      <c r="DD10" s="88">
        <f t="shared" ref="DD10:DD13" si="1">SUM(DE10:DU10)</f>
        <v>0</v>
      </c>
      <c r="DE10" s="88">
        <f t="shared" ref="DE10:DE13" si="2">IF(AS10="",0,1)</f>
        <v>0</v>
      </c>
      <c r="DW10" s="88">
        <f>IF(AU10&lt;&gt;"",MAX($DW$9:DW9)+1,0)</f>
        <v>0</v>
      </c>
      <c r="DX10" s="182" t="str">
        <f t="shared" ref="DX10:DX14" si="3">IF(DW10=0,"",AU10)</f>
        <v/>
      </c>
    </row>
    <row r="11" spans="2:128" ht="15" customHeight="1" thickBot="1" x14ac:dyDescent="0.3">
      <c r="B11" s="875"/>
      <c r="C11" s="93" t="s">
        <v>41</v>
      </c>
      <c r="D11" s="9"/>
      <c r="E11" s="10"/>
      <c r="F11" s="48"/>
      <c r="H11" s="96"/>
      <c r="I11" s="856" t="str">
        <f>CONCATENATE("b) La fecha valor de abono de la nómina y/o de su IRPF sea anterior a la finalización del plazo de justificación (",TEXT(EXPEDIENTE!F29,"dd/mm/aa"),").")</f>
        <v>b) La fecha valor de abono de la nómina y/o de su IRPF sea anterior a la finalización del plazo de justificación ().</v>
      </c>
      <c r="J11" s="856"/>
      <c r="K11" s="856"/>
      <c r="L11" s="856"/>
      <c r="M11" s="856"/>
      <c r="N11" s="856"/>
      <c r="O11" s="856"/>
      <c r="P11" s="856"/>
      <c r="Q11" s="856"/>
      <c r="R11" s="856"/>
      <c r="S11" s="856"/>
      <c r="T11" s="857"/>
      <c r="AM11" s="728"/>
      <c r="AN11" s="783" t="s">
        <v>41</v>
      </c>
      <c r="AO11" s="784"/>
      <c r="AP11" s="785"/>
      <c r="AQ11" s="267"/>
      <c r="AR11" s="268">
        <f>IF(F11="",0,F11)</f>
        <v>0</v>
      </c>
      <c r="AS11" s="269"/>
      <c r="AT11" s="270">
        <f t="shared" si="0"/>
        <v>0</v>
      </c>
      <c r="AU11" s="786"/>
      <c r="AV11" s="786"/>
      <c r="AW11" s="786"/>
      <c r="AX11" s="786"/>
      <c r="AY11" s="786"/>
      <c r="AZ11" s="786"/>
      <c r="BA11" s="786"/>
      <c r="BB11" s="786"/>
      <c r="BC11" s="786"/>
      <c r="BD11" s="786"/>
      <c r="BE11" s="786"/>
      <c r="BF11" s="786"/>
      <c r="BG11" s="787"/>
      <c r="BJ11" s="216"/>
      <c r="BK11" s="216"/>
      <c r="BL11" s="216"/>
      <c r="BM11" s="216"/>
      <c r="BN11" s="216"/>
      <c r="BO11" s="216"/>
      <c r="BP11" s="216"/>
      <c r="BQ11" s="216"/>
      <c r="BR11" s="216"/>
      <c r="BS11" s="216"/>
      <c r="BT11" s="216"/>
      <c r="BU11" s="216"/>
      <c r="BV11" s="216"/>
      <c r="BW11" s="216"/>
      <c r="BX11" s="216"/>
      <c r="BY11" s="216"/>
      <c r="BZ11" s="216"/>
      <c r="CA11" s="216"/>
      <c r="CB11" s="216"/>
      <c r="CY11" s="123"/>
      <c r="CZ11" s="123"/>
      <c r="DD11" s="88">
        <f t="shared" si="1"/>
        <v>0</v>
      </c>
      <c r="DE11" s="88">
        <f t="shared" si="2"/>
        <v>0</v>
      </c>
      <c r="DW11" s="88">
        <f>IF(AU11&lt;&gt;"",MAX($DW$9:DW10)+1,0)</f>
        <v>0</v>
      </c>
      <c r="DX11" s="182" t="str">
        <f t="shared" si="3"/>
        <v/>
      </c>
    </row>
    <row r="12" spans="2:128" ht="15" customHeight="1" x14ac:dyDescent="0.25">
      <c r="B12" s="875"/>
      <c r="C12" s="93" t="s">
        <v>42</v>
      </c>
      <c r="D12" s="9"/>
      <c r="E12" s="10"/>
      <c r="F12" s="48"/>
      <c r="H12" s="755" t="s">
        <v>210</v>
      </c>
      <c r="I12" s="757" t="s">
        <v>290</v>
      </c>
      <c r="J12" s="757"/>
      <c r="K12" s="757"/>
      <c r="L12" s="757"/>
      <c r="M12" s="757"/>
      <c r="N12" s="757"/>
      <c r="O12" s="757"/>
      <c r="P12" s="757"/>
      <c r="Q12" s="757"/>
      <c r="R12" s="757"/>
      <c r="S12" s="757"/>
      <c r="T12" s="758"/>
      <c r="AM12" s="728"/>
      <c r="AN12" s="783" t="s">
        <v>42</v>
      </c>
      <c r="AO12" s="784"/>
      <c r="AP12" s="785"/>
      <c r="AQ12" s="267"/>
      <c r="AR12" s="268">
        <f>IF(F12="",0,F12)</f>
        <v>0</v>
      </c>
      <c r="AS12" s="269"/>
      <c r="AT12" s="270">
        <f t="shared" si="0"/>
        <v>0</v>
      </c>
      <c r="AU12" s="786"/>
      <c r="AV12" s="786"/>
      <c r="AW12" s="786"/>
      <c r="AX12" s="786"/>
      <c r="AY12" s="786"/>
      <c r="AZ12" s="786"/>
      <c r="BA12" s="786"/>
      <c r="BB12" s="786"/>
      <c r="BC12" s="786"/>
      <c r="BD12" s="786"/>
      <c r="BE12" s="786"/>
      <c r="BF12" s="786"/>
      <c r="BG12" s="787"/>
      <c r="BJ12" s="216"/>
      <c r="BK12" s="216"/>
      <c r="BL12" s="216"/>
      <c r="BM12" s="216"/>
      <c r="BN12" s="216"/>
      <c r="BO12" s="216"/>
      <c r="BP12" s="216"/>
      <c r="BQ12" s="216"/>
      <c r="BR12" s="216"/>
      <c r="BS12" s="216"/>
      <c r="BT12" s="216"/>
      <c r="BU12" s="216"/>
      <c r="BV12" s="216"/>
      <c r="BW12" s="216"/>
      <c r="BX12" s="216"/>
      <c r="BY12" s="216"/>
      <c r="BZ12" s="216"/>
      <c r="CA12" s="216"/>
      <c r="CB12" s="216"/>
      <c r="CY12" s="123"/>
      <c r="CZ12" s="123"/>
      <c r="DD12" s="88">
        <f t="shared" si="1"/>
        <v>0</v>
      </c>
      <c r="DE12" s="88">
        <f t="shared" si="2"/>
        <v>0</v>
      </c>
      <c r="DW12" s="88">
        <f>IF(AU12&lt;&gt;"",MAX($DW$9:DW11)+1,0)</f>
        <v>0</v>
      </c>
      <c r="DX12" s="182" t="str">
        <f t="shared" si="3"/>
        <v/>
      </c>
    </row>
    <row r="13" spans="2:128" ht="15" customHeight="1" thickBot="1" x14ac:dyDescent="0.3">
      <c r="B13" s="875"/>
      <c r="C13" s="93" t="s">
        <v>62</v>
      </c>
      <c r="D13" s="9"/>
      <c r="E13" s="10"/>
      <c r="F13" s="48"/>
      <c r="H13" s="756"/>
      <c r="I13" s="759"/>
      <c r="J13" s="759"/>
      <c r="K13" s="759"/>
      <c r="L13" s="759"/>
      <c r="M13" s="759"/>
      <c r="N13" s="759"/>
      <c r="O13" s="759"/>
      <c r="P13" s="759"/>
      <c r="Q13" s="759"/>
      <c r="R13" s="759"/>
      <c r="S13" s="759"/>
      <c r="T13" s="760"/>
      <c r="AM13" s="728"/>
      <c r="AN13" s="783" t="s">
        <v>62</v>
      </c>
      <c r="AO13" s="784"/>
      <c r="AP13" s="785"/>
      <c r="AQ13" s="267"/>
      <c r="AR13" s="268">
        <f>IF(F13="",0,F13)</f>
        <v>0</v>
      </c>
      <c r="AS13" s="269"/>
      <c r="AT13" s="270">
        <f t="shared" si="0"/>
        <v>0</v>
      </c>
      <c r="AU13" s="792"/>
      <c r="AV13" s="792"/>
      <c r="AW13" s="792"/>
      <c r="AX13" s="792"/>
      <c r="AY13" s="792"/>
      <c r="AZ13" s="792"/>
      <c r="BA13" s="792"/>
      <c r="BB13" s="792"/>
      <c r="BC13" s="792"/>
      <c r="BD13" s="792"/>
      <c r="BE13" s="792"/>
      <c r="BF13" s="792"/>
      <c r="BG13" s="793"/>
      <c r="BJ13" s="216"/>
      <c r="BK13" s="216"/>
      <c r="BL13" s="216"/>
      <c r="BM13" s="216"/>
      <c r="BN13" s="216"/>
      <c r="BO13" s="216"/>
      <c r="BP13" s="216"/>
      <c r="BQ13" s="216"/>
      <c r="BR13" s="216"/>
      <c r="BS13" s="216"/>
      <c r="BT13" s="216"/>
      <c r="BU13" s="216"/>
      <c r="BV13" s="216"/>
      <c r="BW13" s="216"/>
      <c r="BX13" s="216"/>
      <c r="BY13" s="216"/>
      <c r="BZ13" s="216"/>
      <c r="CA13" s="216"/>
      <c r="CB13" s="216"/>
      <c r="CY13" s="123"/>
      <c r="CZ13" s="123"/>
      <c r="DD13" s="88">
        <f t="shared" si="1"/>
        <v>0</v>
      </c>
      <c r="DE13" s="88">
        <f t="shared" si="2"/>
        <v>0</v>
      </c>
      <c r="DW13" s="88">
        <f>IF(AU13&lt;&gt;"",MAX($DW$9:DW12)+1,0)</f>
        <v>0</v>
      </c>
      <c r="DX13" s="182" t="str">
        <f t="shared" si="3"/>
        <v/>
      </c>
    </row>
    <row r="14" spans="2:128" ht="15" customHeight="1" thickBot="1" x14ac:dyDescent="0.3">
      <c r="B14" s="875"/>
      <c r="C14" s="93" t="s">
        <v>43</v>
      </c>
      <c r="D14" s="9"/>
      <c r="E14" s="10"/>
      <c r="F14" s="11">
        <f>SUM(F9:F13)</f>
        <v>0</v>
      </c>
      <c r="AM14" s="728"/>
      <c r="AN14" s="796" t="s">
        <v>43</v>
      </c>
      <c r="AO14" s="797"/>
      <c r="AP14" s="798"/>
      <c r="AQ14" s="271"/>
      <c r="AR14" s="272">
        <f>SUM(AR9:AR13)</f>
        <v>0</v>
      </c>
      <c r="AS14" s="273"/>
      <c r="AT14" s="274">
        <f>SUM(AT9:AT13)</f>
        <v>0</v>
      </c>
      <c r="AU14" s="275"/>
      <c r="AV14" s="275"/>
      <c r="AW14" s="275"/>
      <c r="AX14" s="275"/>
      <c r="AY14" s="275"/>
      <c r="AZ14" s="275"/>
      <c r="BA14" s="275"/>
      <c r="BB14" s="275"/>
      <c r="BC14" s="275"/>
      <c r="BD14" s="275"/>
      <c r="BE14" s="275"/>
      <c r="BF14" s="275"/>
      <c r="BG14" s="276"/>
      <c r="BJ14" s="216"/>
      <c r="BK14" s="216"/>
      <c r="CY14" s="123"/>
      <c r="CZ14" s="123"/>
      <c r="DW14" s="88">
        <f>IF(AU14&lt;&gt;"",MAX($DW$9:DW13)+1,0)</f>
        <v>0</v>
      </c>
      <c r="DX14" s="182" t="str">
        <f t="shared" si="3"/>
        <v/>
      </c>
    </row>
    <row r="15" spans="2:128" ht="9.9499999999999993" customHeight="1" thickBot="1" x14ac:dyDescent="0.3">
      <c r="B15" s="875"/>
      <c r="C15" s="12"/>
      <c r="D15" s="13"/>
      <c r="E15" s="14"/>
      <c r="F15" s="15"/>
      <c r="G15" s="6"/>
      <c r="H15" s="6"/>
      <c r="I15" s="6"/>
      <c r="J15" s="6"/>
      <c r="K15" s="6"/>
      <c r="L15" s="6"/>
      <c r="M15" s="6"/>
      <c r="N15" s="6"/>
      <c r="O15" s="6"/>
      <c r="P15" s="6"/>
      <c r="Q15" s="6"/>
      <c r="R15" s="6"/>
      <c r="S15" s="6"/>
      <c r="T15" s="6"/>
      <c r="U15" s="6"/>
      <c r="V15" s="6"/>
      <c r="W15" s="6"/>
      <c r="X15" s="6"/>
      <c r="Y15" s="6"/>
      <c r="Z15" s="6"/>
      <c r="AA15" s="6"/>
      <c r="AB15" s="6"/>
      <c r="AC15" s="6"/>
      <c r="AD15" s="6"/>
      <c r="AE15" s="6"/>
      <c r="AF15" s="6"/>
      <c r="AG15" s="761" t="s">
        <v>211</v>
      </c>
      <c r="AH15" s="761"/>
      <c r="AI15" s="761" t="s">
        <v>212</v>
      </c>
      <c r="AJ15" s="761" t="s">
        <v>213</v>
      </c>
      <c r="AK15" s="761" t="s">
        <v>215</v>
      </c>
      <c r="AL15" s="123"/>
      <c r="AM15" s="728"/>
      <c r="AN15" s="277"/>
      <c r="AO15" s="278"/>
      <c r="AP15" s="278"/>
      <c r="AQ15" s="278"/>
      <c r="AR15" s="278"/>
      <c r="AS15" s="278"/>
      <c r="AT15" s="278"/>
      <c r="AU15" s="278"/>
      <c r="AV15" s="278"/>
      <c r="AW15" s="278"/>
      <c r="AX15" s="278"/>
      <c r="AY15" s="278"/>
      <c r="AZ15" s="278"/>
      <c r="BA15" s="278"/>
      <c r="BB15" s="278"/>
      <c r="BC15" s="278"/>
      <c r="BD15" s="278"/>
      <c r="BE15" s="278"/>
      <c r="BF15" s="278"/>
      <c r="BG15" s="279"/>
      <c r="BH15" s="123"/>
      <c r="BI15" s="123"/>
      <c r="BJ15" s="123"/>
      <c r="BK15" s="123"/>
      <c r="BL15" s="123"/>
      <c r="BM15" s="123"/>
      <c r="BN15" s="123"/>
      <c r="BO15" s="123"/>
      <c r="BP15" s="123"/>
      <c r="BQ15" s="123"/>
      <c r="BR15" s="123"/>
      <c r="BS15" s="123"/>
      <c r="BT15" s="123"/>
      <c r="BU15" s="123"/>
      <c r="BV15" s="123"/>
      <c r="BW15" s="123"/>
      <c r="BX15" s="123"/>
      <c r="BY15" s="123"/>
      <c r="BZ15" s="123"/>
      <c r="CA15" s="123"/>
      <c r="CB15" s="123"/>
      <c r="CC15" s="123"/>
      <c r="CD15" s="123"/>
      <c r="CE15" s="123"/>
      <c r="CF15" s="123"/>
      <c r="CG15" s="123"/>
      <c r="CH15" s="123"/>
      <c r="CI15" s="123"/>
      <c r="CJ15" s="123"/>
      <c r="CK15" s="123"/>
      <c r="CL15" s="123"/>
      <c r="CM15" s="123"/>
      <c r="CN15" s="123"/>
      <c r="CO15" s="123"/>
      <c r="CP15" s="123"/>
      <c r="CQ15" s="123"/>
      <c r="CR15" s="123"/>
      <c r="CS15" s="123"/>
      <c r="CT15" s="123"/>
      <c r="CU15" s="123"/>
      <c r="CV15" s="123"/>
      <c r="CW15" s="123"/>
      <c r="CX15" s="123"/>
      <c r="DA15" s="761" t="s">
        <v>211</v>
      </c>
      <c r="DB15" s="761"/>
    </row>
    <row r="16" spans="2:128" ht="30" customHeight="1" thickTop="1" thickBot="1" x14ac:dyDescent="0.3">
      <c r="B16" s="875"/>
      <c r="C16" s="850" t="str">
        <f>CONCATENATE("NÓMINAS MENSUALES EJERCICIO ",YEAR(EXPEDIENTE!$F$25))</f>
        <v>NÓMINAS MENSUALES EJERCICIO 2023</v>
      </c>
      <c r="D16" s="850"/>
      <c r="E16" s="850"/>
      <c r="F16" s="850"/>
      <c r="G16" s="850"/>
      <c r="H16" s="850"/>
      <c r="I16" s="850"/>
      <c r="J16" s="850"/>
      <c r="K16" s="850"/>
      <c r="L16" s="850"/>
      <c r="M16" s="850"/>
      <c r="N16" s="850"/>
      <c r="O16" s="850"/>
      <c r="P16" s="850"/>
      <c r="Q16" s="850"/>
      <c r="R16" s="850"/>
      <c r="S16" s="850"/>
      <c r="T16" s="850"/>
      <c r="U16" s="850"/>
      <c r="V16" s="850"/>
      <c r="W16" s="850"/>
      <c r="X16" s="850"/>
      <c r="Y16" s="850"/>
      <c r="Z16" s="850"/>
      <c r="AA16" s="850"/>
      <c r="AB16" s="850"/>
      <c r="AC16" s="850"/>
      <c r="AD16" s="850"/>
      <c r="AE16" s="851"/>
      <c r="AG16" s="761"/>
      <c r="AH16" s="761"/>
      <c r="AI16" s="690"/>
      <c r="AJ16" s="690"/>
      <c r="AK16" s="690"/>
      <c r="AM16" s="728"/>
      <c r="AN16" s="794" t="str">
        <f>CONCATENATE("NÓMINAS MENSUALES EJERCICIO ",YEAR(EXPEDIENTE!$F$25))</f>
        <v>NÓMINAS MENSUALES EJERCICIO 2023</v>
      </c>
      <c r="AO16" s="794"/>
      <c r="AP16" s="794"/>
      <c r="AQ16" s="794"/>
      <c r="AR16" s="794"/>
      <c r="AS16" s="794"/>
      <c r="AT16" s="794"/>
      <c r="AU16" s="794"/>
      <c r="AV16" s="794"/>
      <c r="AW16" s="794"/>
      <c r="AX16" s="794"/>
      <c r="AY16" s="794"/>
      <c r="AZ16" s="794"/>
      <c r="BA16" s="794"/>
      <c r="BB16" s="794"/>
      <c r="BC16" s="794"/>
      <c r="BD16" s="794"/>
      <c r="BE16" s="794"/>
      <c r="BF16" s="794"/>
      <c r="BG16" s="794"/>
      <c r="BH16" s="794"/>
      <c r="BI16" s="794"/>
      <c r="BJ16" s="794"/>
      <c r="BK16" s="794"/>
      <c r="BL16" s="794"/>
      <c r="BM16" s="794"/>
      <c r="BN16" s="794"/>
      <c r="BO16" s="794"/>
      <c r="BP16" s="794"/>
      <c r="BQ16" s="794"/>
      <c r="BR16" s="794"/>
      <c r="BS16" s="794"/>
      <c r="BT16" s="794"/>
      <c r="BU16" s="794"/>
      <c r="BV16" s="794"/>
      <c r="BW16" s="794"/>
      <c r="BX16" s="794"/>
      <c r="BY16" s="794"/>
      <c r="BZ16" s="794"/>
      <c r="CA16" s="794"/>
      <c r="CB16" s="794"/>
      <c r="CC16" s="794"/>
      <c r="CD16" s="794"/>
      <c r="CE16" s="794"/>
      <c r="CF16" s="794"/>
      <c r="CG16" s="794"/>
      <c r="CH16" s="794"/>
      <c r="CI16" s="794"/>
      <c r="CJ16" s="794"/>
      <c r="CK16" s="794"/>
      <c r="CL16" s="794"/>
      <c r="CM16" s="794"/>
      <c r="CN16" s="794"/>
      <c r="CO16" s="794"/>
      <c r="CP16" s="794"/>
      <c r="CQ16" s="794"/>
      <c r="CR16" s="794"/>
      <c r="CS16" s="794"/>
      <c r="CT16" s="794"/>
      <c r="CU16" s="794"/>
      <c r="CV16" s="794"/>
      <c r="CW16" s="794"/>
      <c r="CX16" s="794"/>
      <c r="CY16" s="795"/>
      <c r="DA16" s="812"/>
      <c r="DB16" s="812"/>
    </row>
    <row r="17" spans="2:128" ht="20.100000000000001" customHeight="1" thickTop="1" thickBot="1" x14ac:dyDescent="0.3">
      <c r="B17" s="875"/>
      <c r="C17" s="858" t="s">
        <v>87</v>
      </c>
      <c r="D17" s="859"/>
      <c r="E17" s="860"/>
      <c r="F17" s="861" t="s">
        <v>85</v>
      </c>
      <c r="G17" s="862"/>
      <c r="H17" s="862"/>
      <c r="I17" s="862"/>
      <c r="J17" s="862"/>
      <c r="K17" s="862"/>
      <c r="L17" s="862"/>
      <c r="M17" s="863"/>
      <c r="N17" s="740" t="s">
        <v>88</v>
      </c>
      <c r="O17" s="741"/>
      <c r="P17" s="741"/>
      <c r="Q17" s="741"/>
      <c r="R17" s="741"/>
      <c r="S17" s="741"/>
      <c r="T17" s="741"/>
      <c r="U17" s="741"/>
      <c r="V17" s="742"/>
      <c r="W17" s="864" t="s">
        <v>79</v>
      </c>
      <c r="X17" s="746" t="s">
        <v>66</v>
      </c>
      <c r="Y17" s="743" t="s">
        <v>59</v>
      </c>
      <c r="Z17" s="743" t="s">
        <v>60</v>
      </c>
      <c r="AA17" s="743" t="s">
        <v>64</v>
      </c>
      <c r="AB17" s="789" t="s">
        <v>84</v>
      </c>
      <c r="AC17" s="746" t="s">
        <v>91</v>
      </c>
      <c r="AD17" s="789" t="s">
        <v>90</v>
      </c>
      <c r="AE17" s="871" t="s">
        <v>67</v>
      </c>
      <c r="AG17" s="762" t="s">
        <v>406</v>
      </c>
      <c r="AH17" s="704" t="s">
        <v>71</v>
      </c>
      <c r="AM17" s="728"/>
      <c r="AN17" s="732" t="s">
        <v>87</v>
      </c>
      <c r="AO17" s="733"/>
      <c r="AP17" s="733"/>
      <c r="AQ17" s="733"/>
      <c r="AR17" s="825" t="s">
        <v>312</v>
      </c>
      <c r="AS17" s="733"/>
      <c r="AT17" s="734"/>
      <c r="AU17" s="764" t="s">
        <v>85</v>
      </c>
      <c r="AV17" s="765"/>
      <c r="AW17" s="765"/>
      <c r="AX17" s="765"/>
      <c r="AY17" s="765"/>
      <c r="AZ17" s="765"/>
      <c r="BA17" s="765"/>
      <c r="BB17" s="765"/>
      <c r="BC17" s="765"/>
      <c r="BD17" s="765"/>
      <c r="BE17" s="765"/>
      <c r="BF17" s="765"/>
      <c r="BG17" s="765"/>
      <c r="BH17" s="765"/>
      <c r="BI17" s="765"/>
      <c r="BJ17" s="765"/>
      <c r="BK17" s="765"/>
      <c r="BL17" s="765"/>
      <c r="BM17" s="765"/>
      <c r="BN17" s="766"/>
      <c r="BO17" s="767" t="s">
        <v>407</v>
      </c>
      <c r="BP17" s="768"/>
      <c r="BQ17" s="768"/>
      <c r="BR17" s="768"/>
      <c r="BS17" s="768"/>
      <c r="BT17" s="768"/>
      <c r="BU17" s="768"/>
      <c r="BV17" s="768"/>
      <c r="BW17" s="768"/>
      <c r="BX17" s="768"/>
      <c r="BY17" s="768"/>
      <c r="BZ17" s="768"/>
      <c r="CA17" s="768"/>
      <c r="CB17" s="768"/>
      <c r="CC17" s="768"/>
      <c r="CD17" s="768"/>
      <c r="CE17" s="768"/>
      <c r="CF17" s="769"/>
      <c r="CG17" s="769"/>
      <c r="CH17" s="769"/>
      <c r="CI17" s="770"/>
      <c r="CJ17" s="827" t="s">
        <v>79</v>
      </c>
      <c r="CK17" s="695" t="s">
        <v>316</v>
      </c>
      <c r="CL17" s="696"/>
      <c r="CM17" s="697"/>
      <c r="CN17" s="714" t="s">
        <v>317</v>
      </c>
      <c r="CO17" s="715"/>
      <c r="CP17" s="716"/>
      <c r="CQ17" s="828" t="s">
        <v>60</v>
      </c>
      <c r="CR17" s="706" t="s">
        <v>319</v>
      </c>
      <c r="CS17" s="707"/>
      <c r="CT17" s="708"/>
      <c r="CU17" s="709" t="s">
        <v>318</v>
      </c>
      <c r="CV17" s="710"/>
      <c r="CW17" s="711"/>
      <c r="CX17" s="280"/>
      <c r="CY17" s="712" t="s">
        <v>320</v>
      </c>
      <c r="DA17" s="762" t="s">
        <v>406</v>
      </c>
      <c r="DB17" s="704" t="s">
        <v>71</v>
      </c>
    </row>
    <row r="18" spans="2:128" ht="15" customHeight="1" x14ac:dyDescent="0.25">
      <c r="B18" s="875"/>
      <c r="C18" s="879" t="s">
        <v>44</v>
      </c>
      <c r="D18" s="880"/>
      <c r="E18" s="852" t="s">
        <v>86</v>
      </c>
      <c r="F18" s="854" t="s">
        <v>57</v>
      </c>
      <c r="G18" s="753" t="s">
        <v>72</v>
      </c>
      <c r="H18" s="753"/>
      <c r="I18" s="753"/>
      <c r="J18" s="753"/>
      <c r="K18" s="753"/>
      <c r="L18" s="753"/>
      <c r="M18" s="749" t="s">
        <v>96</v>
      </c>
      <c r="N18" s="16"/>
      <c r="O18" s="788" t="s">
        <v>73</v>
      </c>
      <c r="P18" s="753"/>
      <c r="Q18" s="753"/>
      <c r="R18" s="753"/>
      <c r="S18" s="753"/>
      <c r="T18" s="753"/>
      <c r="U18" s="749" t="s">
        <v>89</v>
      </c>
      <c r="V18" s="17"/>
      <c r="W18" s="865"/>
      <c r="X18" s="747"/>
      <c r="Y18" s="744"/>
      <c r="Z18" s="744"/>
      <c r="AA18" s="744"/>
      <c r="AB18" s="790"/>
      <c r="AC18" s="747"/>
      <c r="AD18" s="790"/>
      <c r="AE18" s="872"/>
      <c r="AG18" s="705"/>
      <c r="AH18" s="705"/>
      <c r="AM18" s="728"/>
      <c r="AN18" s="815" t="s">
        <v>44</v>
      </c>
      <c r="AO18" s="816"/>
      <c r="AP18" s="776"/>
      <c r="AQ18" s="777"/>
      <c r="AR18" s="819" t="s">
        <v>270</v>
      </c>
      <c r="AS18" s="826" t="s">
        <v>245</v>
      </c>
      <c r="AT18" s="773" t="s">
        <v>271</v>
      </c>
      <c r="AU18" s="778" t="s">
        <v>272</v>
      </c>
      <c r="AV18" s="779"/>
      <c r="AW18" s="780"/>
      <c r="AX18" s="820" t="s">
        <v>72</v>
      </c>
      <c r="AY18" s="821"/>
      <c r="AZ18" s="821"/>
      <c r="BA18" s="821"/>
      <c r="BB18" s="821"/>
      <c r="BC18" s="821"/>
      <c r="BD18" s="821"/>
      <c r="BE18" s="821"/>
      <c r="BF18" s="821"/>
      <c r="BG18" s="821"/>
      <c r="BH18" s="821"/>
      <c r="BI18" s="821"/>
      <c r="BJ18" s="821"/>
      <c r="BK18" s="821"/>
      <c r="BL18" s="821"/>
      <c r="BM18" s="822"/>
      <c r="BN18" s="823" t="s">
        <v>273</v>
      </c>
      <c r="BO18" s="281"/>
      <c r="BP18" s="799" t="s">
        <v>411</v>
      </c>
      <c r="BQ18" s="800"/>
      <c r="BR18" s="800"/>
      <c r="BS18" s="801"/>
      <c r="BT18" s="801"/>
      <c r="BU18" s="801"/>
      <c r="BV18" s="801"/>
      <c r="BW18" s="801"/>
      <c r="BX18" s="801"/>
      <c r="BY18" s="801"/>
      <c r="BZ18" s="801"/>
      <c r="CA18" s="801"/>
      <c r="CB18" s="801"/>
      <c r="CC18" s="801"/>
      <c r="CD18" s="801"/>
      <c r="CE18" s="802"/>
      <c r="CF18" s="692" t="s">
        <v>409</v>
      </c>
      <c r="CG18" s="693"/>
      <c r="CH18" s="694"/>
      <c r="CI18" s="282"/>
      <c r="CJ18" s="738"/>
      <c r="CK18" s="698" t="s">
        <v>270</v>
      </c>
      <c r="CL18" s="700" t="s">
        <v>245</v>
      </c>
      <c r="CM18" s="702" t="s">
        <v>271</v>
      </c>
      <c r="CN18" s="698" t="s">
        <v>270</v>
      </c>
      <c r="CO18" s="700" t="s">
        <v>245</v>
      </c>
      <c r="CP18" s="702" t="s">
        <v>271</v>
      </c>
      <c r="CQ18" s="829"/>
      <c r="CR18" s="698" t="s">
        <v>270</v>
      </c>
      <c r="CS18" s="700" t="s">
        <v>245</v>
      </c>
      <c r="CT18" s="702" t="s">
        <v>271</v>
      </c>
      <c r="CU18" s="698" t="s">
        <v>270</v>
      </c>
      <c r="CV18" s="700" t="s">
        <v>245</v>
      </c>
      <c r="CW18" s="702" t="s">
        <v>271</v>
      </c>
      <c r="CX18" s="283"/>
      <c r="CY18" s="713"/>
      <c r="DA18" s="705"/>
      <c r="DB18" s="705"/>
    </row>
    <row r="19" spans="2:128" ht="45" customHeight="1" thickBot="1" x14ac:dyDescent="0.3">
      <c r="B19" s="875"/>
      <c r="C19" s="881"/>
      <c r="D19" s="882"/>
      <c r="E19" s="853"/>
      <c r="F19" s="855"/>
      <c r="G19" s="18" t="s">
        <v>97</v>
      </c>
      <c r="H19" s="18" t="s">
        <v>98</v>
      </c>
      <c r="I19" s="18" t="s">
        <v>99</v>
      </c>
      <c r="J19" s="18" t="s">
        <v>100</v>
      </c>
      <c r="K19" s="18" t="s">
        <v>101</v>
      </c>
      <c r="L19" s="19" t="s">
        <v>108</v>
      </c>
      <c r="M19" s="750"/>
      <c r="N19" s="20"/>
      <c r="O19" s="21" t="s">
        <v>102</v>
      </c>
      <c r="P19" s="18" t="s">
        <v>103</v>
      </c>
      <c r="Q19" s="18" t="s">
        <v>104</v>
      </c>
      <c r="R19" s="18" t="s">
        <v>105</v>
      </c>
      <c r="S19" s="18" t="s">
        <v>106</v>
      </c>
      <c r="T19" s="18" t="s">
        <v>107</v>
      </c>
      <c r="U19" s="750"/>
      <c r="V19" s="22"/>
      <c r="W19" s="866"/>
      <c r="X19" s="748"/>
      <c r="Y19" s="745"/>
      <c r="Z19" s="745"/>
      <c r="AA19" s="745"/>
      <c r="AB19" s="791"/>
      <c r="AC19" s="748"/>
      <c r="AD19" s="791"/>
      <c r="AE19" s="873"/>
      <c r="AG19" s="88">
        <f>SUM(AG20:AG31,AG37:AG44,AG49:AG60)</f>
        <v>0</v>
      </c>
      <c r="AH19" s="88">
        <f>SUM(AH20:AH31,AH37:AH44)</f>
        <v>0</v>
      </c>
      <c r="AM19" s="728"/>
      <c r="AN19" s="817"/>
      <c r="AO19" s="818"/>
      <c r="AP19" s="719"/>
      <c r="AQ19" s="720"/>
      <c r="AR19" s="699"/>
      <c r="AS19" s="701"/>
      <c r="AT19" s="703"/>
      <c r="AU19" s="284" t="s">
        <v>270</v>
      </c>
      <c r="AV19" s="285" t="s">
        <v>245</v>
      </c>
      <c r="AW19" s="286" t="s">
        <v>271</v>
      </c>
      <c r="AX19" s="287" t="s">
        <v>274</v>
      </c>
      <c r="AY19" s="288" t="s">
        <v>275</v>
      </c>
      <c r="AZ19" s="289" t="s">
        <v>276</v>
      </c>
      <c r="BA19" s="289" t="s">
        <v>277</v>
      </c>
      <c r="BB19" s="288" t="s">
        <v>278</v>
      </c>
      <c r="BC19" s="289" t="s">
        <v>279</v>
      </c>
      <c r="BD19" s="289" t="s">
        <v>280</v>
      </c>
      <c r="BE19" s="288" t="s">
        <v>281</v>
      </c>
      <c r="BF19" s="289" t="s">
        <v>282</v>
      </c>
      <c r="BG19" s="289" t="s">
        <v>283</v>
      </c>
      <c r="BH19" s="288" t="s">
        <v>284</v>
      </c>
      <c r="BI19" s="289" t="s">
        <v>285</v>
      </c>
      <c r="BJ19" s="289" t="s">
        <v>286</v>
      </c>
      <c r="BK19" s="288" t="s">
        <v>287</v>
      </c>
      <c r="BL19" s="289" t="s">
        <v>288</v>
      </c>
      <c r="BM19" s="290" t="s">
        <v>289</v>
      </c>
      <c r="BN19" s="824"/>
      <c r="BO19" s="291"/>
      <c r="BP19" s="287" t="s">
        <v>291</v>
      </c>
      <c r="BQ19" s="288" t="s">
        <v>292</v>
      </c>
      <c r="BR19" s="289" t="s">
        <v>293</v>
      </c>
      <c r="BS19" s="289" t="s">
        <v>294</v>
      </c>
      <c r="BT19" s="288" t="s">
        <v>295</v>
      </c>
      <c r="BU19" s="289" t="s">
        <v>296</v>
      </c>
      <c r="BV19" s="289" t="s">
        <v>297</v>
      </c>
      <c r="BW19" s="288" t="s">
        <v>298</v>
      </c>
      <c r="BX19" s="289" t="s">
        <v>299</v>
      </c>
      <c r="BY19" s="289" t="s">
        <v>300</v>
      </c>
      <c r="BZ19" s="288" t="s">
        <v>301</v>
      </c>
      <c r="CA19" s="289" t="s">
        <v>302</v>
      </c>
      <c r="CB19" s="289" t="s">
        <v>303</v>
      </c>
      <c r="CC19" s="288" t="s">
        <v>304</v>
      </c>
      <c r="CD19" s="289" t="s">
        <v>305</v>
      </c>
      <c r="CE19" s="290" t="s">
        <v>306</v>
      </c>
      <c r="CF19" s="292" t="s">
        <v>270</v>
      </c>
      <c r="CG19" s="293" t="s">
        <v>245</v>
      </c>
      <c r="CH19" s="294" t="s">
        <v>271</v>
      </c>
      <c r="CI19" s="295"/>
      <c r="CJ19" s="739"/>
      <c r="CK19" s="699"/>
      <c r="CL19" s="701"/>
      <c r="CM19" s="703"/>
      <c r="CN19" s="699"/>
      <c r="CO19" s="701"/>
      <c r="CP19" s="703"/>
      <c r="CQ19" s="830"/>
      <c r="CR19" s="699"/>
      <c r="CS19" s="701"/>
      <c r="CT19" s="703"/>
      <c r="CU19" s="699"/>
      <c r="CV19" s="701"/>
      <c r="CW19" s="703"/>
      <c r="CX19" s="296" t="s">
        <v>321</v>
      </c>
      <c r="CY19" s="297" t="s">
        <v>245</v>
      </c>
      <c r="DA19" s="88">
        <f>SUM(DA20:DA31,DA37:DA44,DA49:DA60)</f>
        <v>0</v>
      </c>
      <c r="DB19" s="88">
        <f>SUM(DB20:DB31,DB37:DB44)</f>
        <v>0</v>
      </c>
      <c r="DD19" s="88" t="s">
        <v>322</v>
      </c>
      <c r="DE19" s="88" t="s">
        <v>323</v>
      </c>
      <c r="DF19" s="88" t="s">
        <v>324</v>
      </c>
      <c r="DG19" s="88" t="s">
        <v>325</v>
      </c>
      <c r="DH19" s="88" t="s">
        <v>326</v>
      </c>
      <c r="DI19" s="88" t="s">
        <v>327</v>
      </c>
      <c r="DJ19" s="88" t="s">
        <v>328</v>
      </c>
      <c r="DK19" s="88" t="s">
        <v>329</v>
      </c>
      <c r="DL19" s="88" t="s">
        <v>330</v>
      </c>
      <c r="DM19" s="88" t="s">
        <v>331</v>
      </c>
      <c r="DN19" s="88" t="s">
        <v>332</v>
      </c>
      <c r="DO19" s="88" t="s">
        <v>333</v>
      </c>
      <c r="DP19" s="88" t="s">
        <v>334</v>
      </c>
      <c r="DQ19" s="88" t="s">
        <v>335</v>
      </c>
      <c r="DR19" s="88" t="s">
        <v>336</v>
      </c>
      <c r="DS19" s="88" t="s">
        <v>337</v>
      </c>
      <c r="DT19" s="88" t="s">
        <v>338</v>
      </c>
      <c r="DU19" s="88" t="s">
        <v>339</v>
      </c>
    </row>
    <row r="20" spans="2:128" ht="30" customHeight="1" x14ac:dyDescent="0.25">
      <c r="B20" s="875"/>
      <c r="C20" s="883" t="s">
        <v>45</v>
      </c>
      <c r="D20" s="884"/>
      <c r="E20" s="49"/>
      <c r="F20" s="50"/>
      <c r="G20" s="51"/>
      <c r="H20" s="51"/>
      <c r="I20" s="51"/>
      <c r="J20" s="51"/>
      <c r="K20" s="51"/>
      <c r="L20" s="23">
        <f>SUM(G20:K20)</f>
        <v>0</v>
      </c>
      <c r="M20" s="24">
        <f t="shared" ref="M20" si="4">F20+L20</f>
        <v>0</v>
      </c>
      <c r="N20" s="25"/>
      <c r="O20" s="50"/>
      <c r="P20" s="51"/>
      <c r="Q20" s="51"/>
      <c r="R20" s="51"/>
      <c r="S20" s="51"/>
      <c r="T20" s="26">
        <f>SUM(O20:S20)</f>
        <v>0</v>
      </c>
      <c r="U20" s="59"/>
      <c r="V20" s="27"/>
      <c r="W20" s="24">
        <f t="shared" ref="W20" si="5">M20+T20+U20</f>
        <v>0</v>
      </c>
      <c r="X20" s="50"/>
      <c r="Y20" s="51"/>
      <c r="Z20" s="26">
        <f>F20+L20+T20+U20-X20-Y20</f>
        <v>0</v>
      </c>
      <c r="AA20" s="62"/>
      <c r="AB20" s="63"/>
      <c r="AC20" s="66"/>
      <c r="AD20" s="67"/>
      <c r="AE20" s="68"/>
      <c r="AG20" s="6">
        <f>IF(AND(AA20&lt;&gt;"",OR(AA20&lt;EXPEDIENTE!$I$25,AA20&gt;EXPEDIENTE!$I$29)),1,0)</f>
        <v>0</v>
      </c>
      <c r="AH20" s="6">
        <f>IF(AND(AB20&lt;&gt;"",OR(AB20&lt;EXPEDIENTE!$I$25,AB20&gt;EXPEDIENTE!$I$29)),1,0)</f>
        <v>0</v>
      </c>
      <c r="AI20" s="6">
        <f>IF(DATE(YEAR(EXPEDIENTE!$I$25),MONTH(DATEVALUE($C20&amp;"1")),1)&gt;=DATE(YEAR(EXPEDIENTE!$I$25),MONTH(EXPEDIENTE!$I$25),1),0,1)</f>
        <v>1</v>
      </c>
      <c r="AJ20" s="6" t="e">
        <f>IF(DATE(YEAR(EXPEDIENTE!$I$25),MONTH(DATEVALUE($C20&amp;"1")),1)&lt;=DATE(YEAR(EXPEDIENTE!$I$29),MONTH(EXPEDIENTE!$I$29),1),0,1)</f>
        <v>#VALUE!</v>
      </c>
      <c r="AK20" s="6" t="e">
        <f>SUM(AI20:AJ20)</f>
        <v>#VALUE!</v>
      </c>
      <c r="AM20" s="728"/>
      <c r="AN20" s="771" t="s">
        <v>45</v>
      </c>
      <c r="AO20" s="772"/>
      <c r="AP20" s="719"/>
      <c r="AQ20" s="720"/>
      <c r="AR20" s="299">
        <f t="shared" ref="AR20:AR31" si="6">IF(E20="",0,E20)</f>
        <v>0</v>
      </c>
      <c r="AS20" s="522"/>
      <c r="AT20" s="300">
        <f>IF(AS20="",AR20,AS20)</f>
        <v>0</v>
      </c>
      <c r="AU20" s="301">
        <f t="shared" ref="AU20:AU31" si="7">IF(F20="",0,F20)</f>
        <v>0</v>
      </c>
      <c r="AV20" s="523"/>
      <c r="AW20" s="302">
        <f>IF(AV20="",AU20,AV20)</f>
        <v>0</v>
      </c>
      <c r="AX20" s="301">
        <f t="shared" ref="AX20:AX31" si="8">IF(G20="",0,G20)</f>
        <v>0</v>
      </c>
      <c r="AY20" s="524"/>
      <c r="AZ20" s="303">
        <f>IF(AY20="",AX20,AY20)</f>
        <v>0</v>
      </c>
      <c r="BA20" s="303">
        <f t="shared" ref="BA20:BA31" si="9">IF(H20="",0,H20)</f>
        <v>0</v>
      </c>
      <c r="BB20" s="524"/>
      <c r="BC20" s="303">
        <f>IF(BB20="",BA20,BB20)</f>
        <v>0</v>
      </c>
      <c r="BD20" s="303">
        <f t="shared" ref="BD20:BD31" si="10">IF(I20="",0,I20)</f>
        <v>0</v>
      </c>
      <c r="BE20" s="524"/>
      <c r="BF20" s="303">
        <f>IF(BE20="",BD20,BE20)</f>
        <v>0</v>
      </c>
      <c r="BG20" s="303">
        <f t="shared" ref="BG20:BG31" si="11">IF(J20="",0,J20)</f>
        <v>0</v>
      </c>
      <c r="BH20" s="524"/>
      <c r="BI20" s="303">
        <f>IF(BH20="",BG20,BH20)</f>
        <v>0</v>
      </c>
      <c r="BJ20" s="303">
        <f t="shared" ref="BJ20:BJ31" si="12">IF(K20="",0,K20)</f>
        <v>0</v>
      </c>
      <c r="BK20" s="524"/>
      <c r="BL20" s="303">
        <f>IF(BK20="",BJ20,BK20)</f>
        <v>0</v>
      </c>
      <c r="BM20" s="304">
        <f>AZ20+BC20+BF20+BI20+BL20</f>
        <v>0</v>
      </c>
      <c r="BN20" s="305">
        <f>AW20+BM20</f>
        <v>0</v>
      </c>
      <c r="BO20" s="306"/>
      <c r="BP20" s="301">
        <f t="shared" ref="BP20:BP31" si="13">IF(O20="",0,O20)</f>
        <v>0</v>
      </c>
      <c r="BQ20" s="523"/>
      <c r="BR20" s="307">
        <f>IF(BQ20="",BP20,BQ20)</f>
        <v>0</v>
      </c>
      <c r="BS20" s="303">
        <f t="shared" ref="BS20:BS31" si="14">IF(P20="",0,P20)</f>
        <v>0</v>
      </c>
      <c r="BT20" s="524"/>
      <c r="BU20" s="303">
        <f>IF(BT20="",BS20,BT20)</f>
        <v>0</v>
      </c>
      <c r="BV20" s="303">
        <f t="shared" ref="BV20:BV31" si="15">IF(Q20="",0,Q20)</f>
        <v>0</v>
      </c>
      <c r="BW20" s="524"/>
      <c r="BX20" s="303">
        <f>IF(BW20="",BV20,BW20)</f>
        <v>0</v>
      </c>
      <c r="BY20" s="303">
        <f t="shared" ref="BY20:BY31" si="16">IF(R20="",0,R20)</f>
        <v>0</v>
      </c>
      <c r="BZ20" s="524"/>
      <c r="CA20" s="303">
        <f>IF(BZ20="",BY20,BZ20)</f>
        <v>0</v>
      </c>
      <c r="CB20" s="303">
        <f t="shared" ref="CB20:CB31" si="17">IF(S20="",0,S20)</f>
        <v>0</v>
      </c>
      <c r="CC20" s="524"/>
      <c r="CD20" s="303">
        <f>IF(CC20="",CB20,CC20)</f>
        <v>0</v>
      </c>
      <c r="CE20" s="304">
        <f>BR20+BU20+BX20+CA20+CD20</f>
        <v>0</v>
      </c>
      <c r="CF20" s="308">
        <f t="shared" ref="CF20:CF31" si="18">IF(U20="",0,U20)</f>
        <v>0</v>
      </c>
      <c r="CG20" s="525"/>
      <c r="CH20" s="309">
        <f>IF(CG20="",CF20,CG20)</f>
        <v>0</v>
      </c>
      <c r="CI20" s="310"/>
      <c r="CJ20" s="311">
        <f>BN20+CE20+CH20</f>
        <v>0</v>
      </c>
      <c r="CK20" s="301">
        <f t="shared" ref="CK20:CK31" si="19">IF(X20="",0,X20)</f>
        <v>0</v>
      </c>
      <c r="CL20" s="523"/>
      <c r="CM20" s="302">
        <f>IF(CL20="",CK20,CL20)</f>
        <v>0</v>
      </c>
      <c r="CN20" s="308">
        <f t="shared" ref="CN20:CN31" si="20">IF(Y20="",0,Y20)</f>
        <v>0</v>
      </c>
      <c r="CO20" s="525"/>
      <c r="CP20" s="309">
        <f>IF(CO20="",CN20,CO20)</f>
        <v>0</v>
      </c>
      <c r="CQ20" s="312">
        <f>AW20+BM20+CE20+CH20-CM20-CP20</f>
        <v>0</v>
      </c>
      <c r="CR20" s="313" t="str">
        <f t="shared" ref="CR20:CR31" si="21">IF(AA20="","",AA20)</f>
        <v/>
      </c>
      <c r="CS20" s="526"/>
      <c r="CT20" s="314" t="str">
        <f>IF(CS20="",CR20,CS20)</f>
        <v/>
      </c>
      <c r="CU20" s="315" t="str">
        <f t="shared" ref="CU20:CU31" si="22">IF(AB20="","",AB20)</f>
        <v/>
      </c>
      <c r="CV20" s="236"/>
      <c r="CW20" s="316" t="str">
        <f>IF(CV20="",CU20,CV20)</f>
        <v/>
      </c>
      <c r="CX20" s="317" t="str">
        <f>IF(DD20=0,"",DD20)</f>
        <v/>
      </c>
      <c r="CY20" s="527"/>
      <c r="DA20" s="6">
        <f>IF(AND(CT20&lt;&gt;"",OR(CT20&lt;EXPEDIENTE!$I$25,CT20&gt;EXPEDIENTE!$I$29)),1,0)</f>
        <v>0</v>
      </c>
      <c r="DB20" s="6">
        <f>IF(AND(CW20&lt;&gt;"",OR(CW20&lt;EXPEDIENTE!$I$25,CW20&gt;EXPEDIENTE!$I$29)),1,0)</f>
        <v>0</v>
      </c>
      <c r="DD20" s="88">
        <f t="shared" ref="DD20" si="23">SUM(DE20:DU20)</f>
        <v>0</v>
      </c>
      <c r="DE20" s="88">
        <f>IF(AS20="",0,1)</f>
        <v>0</v>
      </c>
      <c r="DF20" s="88">
        <f>IF(AV20="",0,1)</f>
        <v>0</v>
      </c>
      <c r="DG20" s="88">
        <f>IF(AY20="",0,1)</f>
        <v>0</v>
      </c>
      <c r="DH20" s="88">
        <f>IF(BB20="",0,1)</f>
        <v>0</v>
      </c>
      <c r="DI20" s="88">
        <f>IF(BE20="",0,1)</f>
        <v>0</v>
      </c>
      <c r="DJ20" s="88">
        <f>IF(BH20="",0,1)</f>
        <v>0</v>
      </c>
      <c r="DK20" s="88">
        <f>IF(BK20="",0,1)</f>
        <v>0</v>
      </c>
      <c r="DL20" s="88">
        <f>IF(BQ20="",0,1)</f>
        <v>0</v>
      </c>
      <c r="DM20" s="88">
        <f>IF(BT20="",0,1)</f>
        <v>0</v>
      </c>
      <c r="DN20" s="88">
        <f>IF(BW20="",0,1)</f>
        <v>0</v>
      </c>
      <c r="DO20" s="88">
        <f>IF(BZ20="",0,1)</f>
        <v>0</v>
      </c>
      <c r="DP20" s="88">
        <f>IF(CC20="",0,1)</f>
        <v>0</v>
      </c>
      <c r="DQ20" s="88">
        <f>IF(CG20="",0,1)</f>
        <v>0</v>
      </c>
      <c r="DR20" s="88">
        <f>IF(CL20="",0,1)</f>
        <v>0</v>
      </c>
      <c r="DS20" s="88">
        <f>IF(CO20="",0,1)</f>
        <v>0</v>
      </c>
      <c r="DT20" s="88">
        <f>IF(CS20="",0,1)</f>
        <v>0</v>
      </c>
      <c r="DU20" s="88">
        <f>IF(CV20="",0,1)</f>
        <v>0</v>
      </c>
      <c r="DW20" s="88">
        <f>IF(CY20&lt;&gt;"",MAX($DW$9:DW19)+1,0)</f>
        <v>0</v>
      </c>
      <c r="DX20" s="182" t="str">
        <f>IF(DW20=0,"",CY20)</f>
        <v/>
      </c>
    </row>
    <row r="21" spans="2:128" ht="30" customHeight="1" x14ac:dyDescent="0.25">
      <c r="B21" s="875"/>
      <c r="C21" s="885" t="s">
        <v>46</v>
      </c>
      <c r="D21" s="886"/>
      <c r="E21" s="52"/>
      <c r="F21" s="53"/>
      <c r="G21" s="54"/>
      <c r="H21" s="54"/>
      <c r="I21" s="54"/>
      <c r="J21" s="54"/>
      <c r="K21" s="54"/>
      <c r="L21" s="23">
        <f t="shared" ref="L21:L31" si="24">SUM(G21:K21)</f>
        <v>0</v>
      </c>
      <c r="M21" s="28">
        <f>F21+L21</f>
        <v>0</v>
      </c>
      <c r="N21" s="25"/>
      <c r="O21" s="53"/>
      <c r="P21" s="54"/>
      <c r="Q21" s="54"/>
      <c r="R21" s="54"/>
      <c r="S21" s="54"/>
      <c r="T21" s="23">
        <f t="shared" ref="T21:T31" si="25">SUM(O21:S21)</f>
        <v>0</v>
      </c>
      <c r="U21" s="60"/>
      <c r="V21" s="27"/>
      <c r="W21" s="28">
        <f>M21+T21+U21</f>
        <v>0</v>
      </c>
      <c r="X21" s="53"/>
      <c r="Y21" s="54"/>
      <c r="Z21" s="23">
        <f t="shared" ref="Z21:Z31" si="26">F21+L21+T21+U21-X21-Y21</f>
        <v>0</v>
      </c>
      <c r="AA21" s="62"/>
      <c r="AB21" s="63"/>
      <c r="AC21" s="69"/>
      <c r="AD21" s="70"/>
      <c r="AE21" s="71"/>
      <c r="AG21" s="6">
        <f>IF(AND(AA21&lt;&gt;"",OR(AA21&lt;EXPEDIENTE!$I$25,AA21&gt;EXPEDIENTE!$I$29)),1,0)</f>
        <v>0</v>
      </c>
      <c r="AH21" s="6">
        <f>IF(AND(AB21&lt;&gt;"",OR(AB21&lt;EXPEDIENTE!$I$25,AB21&gt;EXPEDIENTE!$I$29)),1,0)</f>
        <v>0</v>
      </c>
      <c r="AI21" s="6">
        <f>IF(DATE(YEAR(EXPEDIENTE!$I$25),MONTH(DATEVALUE($C21&amp;"1")),1)&gt;=DATE(YEAR(EXPEDIENTE!$I$25),MONTH(EXPEDIENTE!$I$25),1),0,1)</f>
        <v>1</v>
      </c>
      <c r="AJ21" s="6" t="e">
        <f>IF(DATE(YEAR(EXPEDIENTE!$I$25),MONTH(DATEVALUE($C21&amp;"1")),1)&lt;=DATE(YEAR(EXPEDIENTE!$I$29),MONTH(EXPEDIENTE!$I$29),1),0,1)</f>
        <v>#VALUE!</v>
      </c>
      <c r="AK21" s="6" t="e">
        <f t="shared" ref="AK21:AK31" si="27">SUM(AI21:AJ21)</f>
        <v>#VALUE!</v>
      </c>
      <c r="AM21" s="728"/>
      <c r="AN21" s="723" t="s">
        <v>46</v>
      </c>
      <c r="AO21" s="724"/>
      <c r="AP21" s="719"/>
      <c r="AQ21" s="720"/>
      <c r="AR21" s="319">
        <f t="shared" si="6"/>
        <v>0</v>
      </c>
      <c r="AS21" s="120"/>
      <c r="AT21" s="320">
        <f t="shared" ref="AT21:AT31" si="28">IF(AS21="",AR21,AS21)</f>
        <v>0</v>
      </c>
      <c r="AU21" s="321">
        <f t="shared" si="7"/>
        <v>0</v>
      </c>
      <c r="AV21" s="528"/>
      <c r="AW21" s="322">
        <f t="shared" ref="AW21:AW31" si="29">IF(AV21="",AU21,AV21)</f>
        <v>0</v>
      </c>
      <c r="AX21" s="321">
        <f t="shared" si="8"/>
        <v>0</v>
      </c>
      <c r="AY21" s="529"/>
      <c r="AZ21" s="323">
        <f t="shared" ref="AZ21:AZ31" si="30">IF(AY21="",AX21,AY21)</f>
        <v>0</v>
      </c>
      <c r="BA21" s="323">
        <f t="shared" si="9"/>
        <v>0</v>
      </c>
      <c r="BB21" s="529"/>
      <c r="BC21" s="323">
        <f t="shared" ref="BC21:BC31" si="31">IF(BB21="",BA21,BB21)</f>
        <v>0</v>
      </c>
      <c r="BD21" s="323">
        <f t="shared" si="10"/>
        <v>0</v>
      </c>
      <c r="BE21" s="529"/>
      <c r="BF21" s="323">
        <f t="shared" ref="BF21:BF31" si="32">IF(BE21="",BD21,BE21)</f>
        <v>0</v>
      </c>
      <c r="BG21" s="323">
        <f t="shared" si="11"/>
        <v>0</v>
      </c>
      <c r="BH21" s="529"/>
      <c r="BI21" s="323">
        <f t="shared" ref="BI21:BI31" si="33">IF(BH21="",BG21,BH21)</f>
        <v>0</v>
      </c>
      <c r="BJ21" s="323">
        <f t="shared" si="12"/>
        <v>0</v>
      </c>
      <c r="BK21" s="529"/>
      <c r="BL21" s="323">
        <f t="shared" ref="BL21:BL31" si="34">IF(BK21="",BJ21,BK21)</f>
        <v>0</v>
      </c>
      <c r="BM21" s="304">
        <f t="shared" ref="BM21:BM31" si="35">AZ21+BC21+BF21+BI21+BL21</f>
        <v>0</v>
      </c>
      <c r="BN21" s="324">
        <f t="shared" ref="BN21:BN31" si="36">AW21+BM21</f>
        <v>0</v>
      </c>
      <c r="BO21" s="306"/>
      <c r="BP21" s="321">
        <f t="shared" si="13"/>
        <v>0</v>
      </c>
      <c r="BQ21" s="528"/>
      <c r="BR21" s="325">
        <f t="shared" ref="BR21:BR31" si="37">IF(BQ21="",BP21,BQ21)</f>
        <v>0</v>
      </c>
      <c r="BS21" s="323">
        <f t="shared" si="14"/>
        <v>0</v>
      </c>
      <c r="BT21" s="529"/>
      <c r="BU21" s="323">
        <f t="shared" ref="BU21:BU31" si="38">IF(BT21="",BS21,BT21)</f>
        <v>0</v>
      </c>
      <c r="BV21" s="323">
        <f t="shared" si="15"/>
        <v>0</v>
      </c>
      <c r="BW21" s="529"/>
      <c r="BX21" s="323">
        <f t="shared" ref="BX21:BX31" si="39">IF(BW21="",BV21,BW21)</f>
        <v>0</v>
      </c>
      <c r="BY21" s="323">
        <f t="shared" si="16"/>
        <v>0</v>
      </c>
      <c r="BZ21" s="529"/>
      <c r="CA21" s="323">
        <f t="shared" ref="CA21:CA31" si="40">IF(BZ21="",BY21,BZ21)</f>
        <v>0</v>
      </c>
      <c r="CB21" s="323">
        <f t="shared" si="17"/>
        <v>0</v>
      </c>
      <c r="CC21" s="529"/>
      <c r="CD21" s="323">
        <f t="shared" ref="CD21:CD31" si="41">IF(CC21="",CB21,CC21)</f>
        <v>0</v>
      </c>
      <c r="CE21" s="304">
        <f t="shared" ref="CE21:CE31" si="42">BR21+BU21+BX21+CA21+CD21</f>
        <v>0</v>
      </c>
      <c r="CF21" s="321">
        <f t="shared" si="18"/>
        <v>0</v>
      </c>
      <c r="CG21" s="529"/>
      <c r="CH21" s="326">
        <f t="shared" ref="CH21:CH31" si="43">IF(CG21="",CF21,CG21)</f>
        <v>0</v>
      </c>
      <c r="CI21" s="310"/>
      <c r="CJ21" s="327">
        <f t="shared" ref="CJ21:CJ31" si="44">BN21+CE21+CH21</f>
        <v>0</v>
      </c>
      <c r="CK21" s="321">
        <f t="shared" si="19"/>
        <v>0</v>
      </c>
      <c r="CL21" s="528"/>
      <c r="CM21" s="322">
        <f t="shared" ref="CM21:CM31" si="45">IF(CL21="",CK21,CL21)</f>
        <v>0</v>
      </c>
      <c r="CN21" s="321">
        <f t="shared" si="20"/>
        <v>0</v>
      </c>
      <c r="CO21" s="529"/>
      <c r="CP21" s="326">
        <f t="shared" ref="CP21:CP31" si="46">IF(CO21="",CN21,CO21)</f>
        <v>0</v>
      </c>
      <c r="CQ21" s="327">
        <f t="shared" ref="CQ21:CQ31" si="47">AW21+BM21+CE21+CH21-CM21-CP21</f>
        <v>0</v>
      </c>
      <c r="CR21" s="313" t="str">
        <f t="shared" si="21"/>
        <v/>
      </c>
      <c r="CS21" s="526"/>
      <c r="CT21" s="314" t="str">
        <f t="shared" ref="CT21:CT31" si="48">IF(CS21="",CR21,CS21)</f>
        <v/>
      </c>
      <c r="CU21" s="315" t="str">
        <f t="shared" si="22"/>
        <v/>
      </c>
      <c r="CV21" s="236"/>
      <c r="CW21" s="316" t="str">
        <f t="shared" ref="CW21:CW31" si="49">IF(CV21="",CU21,CV21)</f>
        <v/>
      </c>
      <c r="CX21" s="328" t="str">
        <f t="shared" ref="CX21:CX31" si="50">IF(DD21=0,"",DD21)</f>
        <v/>
      </c>
      <c r="CY21" s="530"/>
      <c r="DA21" s="6">
        <f>IF(AND(CT21&lt;&gt;"",OR(CT21&lt;EXPEDIENTE!$I$25,CT21&gt;EXPEDIENTE!$I$29)),1,0)</f>
        <v>0</v>
      </c>
      <c r="DB21" s="6">
        <f>IF(AND(CW21&lt;&gt;"",OR(CW21&lt;EXPEDIENTE!$I$25,CW21&gt;EXPEDIENTE!$I$29)),1,0)</f>
        <v>0</v>
      </c>
      <c r="DD21" s="88">
        <f t="shared" ref="DD21:DD31" si="51">SUM(DE21:DU21)</f>
        <v>0</v>
      </c>
      <c r="DE21" s="88">
        <f t="shared" ref="DE21:DE31" si="52">IF(AS21="",0,1)</f>
        <v>0</v>
      </c>
      <c r="DF21" s="88">
        <f t="shared" ref="DF21:DF31" si="53">IF(AV21="",0,1)</f>
        <v>0</v>
      </c>
      <c r="DG21" s="88">
        <f t="shared" ref="DG21:DG31" si="54">IF(AY21="",0,1)</f>
        <v>0</v>
      </c>
      <c r="DH21" s="88">
        <f t="shared" ref="DH21:DH31" si="55">IF(BB21="",0,1)</f>
        <v>0</v>
      </c>
      <c r="DI21" s="88">
        <f t="shared" ref="DI21:DI31" si="56">IF(BE21="",0,1)</f>
        <v>0</v>
      </c>
      <c r="DJ21" s="88">
        <f t="shared" ref="DJ21:DJ31" si="57">IF(BH21="",0,1)</f>
        <v>0</v>
      </c>
      <c r="DK21" s="88">
        <f t="shared" ref="DK21:DK31" si="58">IF(BK21="",0,1)</f>
        <v>0</v>
      </c>
      <c r="DL21" s="88">
        <f t="shared" ref="DL21:DL31" si="59">IF(BQ21="",0,1)</f>
        <v>0</v>
      </c>
      <c r="DM21" s="88">
        <f t="shared" ref="DM21:DM31" si="60">IF(BT21="",0,1)</f>
        <v>0</v>
      </c>
      <c r="DN21" s="88">
        <f t="shared" ref="DN21:DN31" si="61">IF(BW21="",0,1)</f>
        <v>0</v>
      </c>
      <c r="DO21" s="88">
        <f t="shared" ref="DO21:DO31" si="62">IF(BZ21="",0,1)</f>
        <v>0</v>
      </c>
      <c r="DP21" s="88">
        <f t="shared" ref="DP21:DP31" si="63">IF(CC21="",0,1)</f>
        <v>0</v>
      </c>
      <c r="DQ21" s="88">
        <f t="shared" ref="DQ21:DQ31" si="64">IF(CG21="",0,1)</f>
        <v>0</v>
      </c>
      <c r="DR21" s="88">
        <f t="shared" ref="DR21:DR31" si="65">IF(CL21="",0,1)</f>
        <v>0</v>
      </c>
      <c r="DS21" s="88">
        <f t="shared" ref="DS21:DS31" si="66">IF(CO21="",0,1)</f>
        <v>0</v>
      </c>
      <c r="DT21" s="88">
        <f t="shared" ref="DT21:DT31" si="67">IF(CS21="",0,1)</f>
        <v>0</v>
      </c>
      <c r="DU21" s="88">
        <f t="shared" ref="DU21:DU31" si="68">IF(CV21="",0,1)</f>
        <v>0</v>
      </c>
      <c r="DW21" s="88">
        <f>IF(CY21&lt;&gt;"",MAX($DW$9:DW20)+1,0)</f>
        <v>0</v>
      </c>
      <c r="DX21" s="182" t="str">
        <f t="shared" ref="DX21:DX31" si="69">IF(DW21=0,"",CY21)</f>
        <v/>
      </c>
    </row>
    <row r="22" spans="2:128" ht="30" customHeight="1" x14ac:dyDescent="0.25">
      <c r="B22" s="875"/>
      <c r="C22" s="885" t="s">
        <v>47</v>
      </c>
      <c r="D22" s="886"/>
      <c r="E22" s="52"/>
      <c r="F22" s="53"/>
      <c r="G22" s="54"/>
      <c r="H22" s="54"/>
      <c r="I22" s="54"/>
      <c r="J22" s="54"/>
      <c r="K22" s="54"/>
      <c r="L22" s="23">
        <f t="shared" si="24"/>
        <v>0</v>
      </c>
      <c r="M22" s="28">
        <f t="shared" ref="M22:M31" si="70">F22+L22</f>
        <v>0</v>
      </c>
      <c r="N22" s="25"/>
      <c r="O22" s="53"/>
      <c r="P22" s="54"/>
      <c r="Q22" s="54"/>
      <c r="R22" s="54"/>
      <c r="S22" s="54"/>
      <c r="T22" s="23">
        <f t="shared" si="25"/>
        <v>0</v>
      </c>
      <c r="U22" s="60"/>
      <c r="V22" s="27"/>
      <c r="W22" s="28">
        <f t="shared" ref="W22:W31" si="71">M22+T22+U22</f>
        <v>0</v>
      </c>
      <c r="X22" s="53"/>
      <c r="Y22" s="54"/>
      <c r="Z22" s="23">
        <f t="shared" si="26"/>
        <v>0</v>
      </c>
      <c r="AA22" s="62"/>
      <c r="AB22" s="63"/>
      <c r="AC22" s="69"/>
      <c r="AD22" s="70"/>
      <c r="AE22" s="71"/>
      <c r="AG22" s="6">
        <f>IF(AND(AA22&lt;&gt;"",OR(AA22&lt;EXPEDIENTE!$I$25,AA22&gt;EXPEDIENTE!$I$29)),1,0)</f>
        <v>0</v>
      </c>
      <c r="AH22" s="6">
        <f>IF(AND(AB22&lt;&gt;"",OR(AB22&lt;EXPEDIENTE!$I$25,AB22&gt;EXPEDIENTE!$I$29)),1,0)</f>
        <v>0</v>
      </c>
      <c r="AI22" s="6">
        <f>IF(DATE(YEAR(EXPEDIENTE!$I$25),MONTH(DATEVALUE($C22&amp;"1")),1)&gt;=DATE(YEAR(EXPEDIENTE!$I$25),MONTH(EXPEDIENTE!$I$25),1),0,1)</f>
        <v>1</v>
      </c>
      <c r="AJ22" s="6" t="e">
        <f>IF(DATE(YEAR(EXPEDIENTE!$I$25),MONTH(DATEVALUE($C22&amp;"1")),1)&lt;=DATE(YEAR(EXPEDIENTE!$I$29),MONTH(EXPEDIENTE!$I$29),1),0,1)</f>
        <v>#VALUE!</v>
      </c>
      <c r="AK22" s="6" t="e">
        <f t="shared" si="27"/>
        <v>#VALUE!</v>
      </c>
      <c r="AM22" s="728"/>
      <c r="AN22" s="723" t="s">
        <v>47</v>
      </c>
      <c r="AO22" s="724"/>
      <c r="AP22" s="719"/>
      <c r="AQ22" s="720"/>
      <c r="AR22" s="319">
        <f t="shared" si="6"/>
        <v>0</v>
      </c>
      <c r="AS22" s="120"/>
      <c r="AT22" s="320">
        <f t="shared" si="28"/>
        <v>0</v>
      </c>
      <c r="AU22" s="321">
        <f t="shared" si="7"/>
        <v>0</v>
      </c>
      <c r="AV22" s="528"/>
      <c r="AW22" s="322">
        <f t="shared" si="29"/>
        <v>0</v>
      </c>
      <c r="AX22" s="321">
        <f t="shared" si="8"/>
        <v>0</v>
      </c>
      <c r="AY22" s="529"/>
      <c r="AZ22" s="323">
        <f t="shared" si="30"/>
        <v>0</v>
      </c>
      <c r="BA22" s="323">
        <f t="shared" si="9"/>
        <v>0</v>
      </c>
      <c r="BB22" s="529"/>
      <c r="BC22" s="323">
        <f t="shared" si="31"/>
        <v>0</v>
      </c>
      <c r="BD22" s="323">
        <f t="shared" si="10"/>
        <v>0</v>
      </c>
      <c r="BE22" s="529"/>
      <c r="BF22" s="323">
        <f t="shared" si="32"/>
        <v>0</v>
      </c>
      <c r="BG22" s="323">
        <f t="shared" si="11"/>
        <v>0</v>
      </c>
      <c r="BH22" s="529"/>
      <c r="BI22" s="323">
        <f t="shared" si="33"/>
        <v>0</v>
      </c>
      <c r="BJ22" s="323">
        <f t="shared" si="12"/>
        <v>0</v>
      </c>
      <c r="BK22" s="529"/>
      <c r="BL22" s="323">
        <f t="shared" si="34"/>
        <v>0</v>
      </c>
      <c r="BM22" s="304">
        <f t="shared" si="35"/>
        <v>0</v>
      </c>
      <c r="BN22" s="324">
        <f t="shared" si="36"/>
        <v>0</v>
      </c>
      <c r="BO22" s="306"/>
      <c r="BP22" s="321">
        <f t="shared" si="13"/>
        <v>0</v>
      </c>
      <c r="BQ22" s="528"/>
      <c r="BR22" s="325">
        <f t="shared" si="37"/>
        <v>0</v>
      </c>
      <c r="BS22" s="323">
        <f t="shared" si="14"/>
        <v>0</v>
      </c>
      <c r="BT22" s="529"/>
      <c r="BU22" s="323">
        <f t="shared" si="38"/>
        <v>0</v>
      </c>
      <c r="BV22" s="323">
        <f t="shared" si="15"/>
        <v>0</v>
      </c>
      <c r="BW22" s="529"/>
      <c r="BX22" s="323">
        <f t="shared" si="39"/>
        <v>0</v>
      </c>
      <c r="BY22" s="323">
        <f t="shared" si="16"/>
        <v>0</v>
      </c>
      <c r="BZ22" s="529"/>
      <c r="CA22" s="323">
        <f t="shared" si="40"/>
        <v>0</v>
      </c>
      <c r="CB22" s="323">
        <f t="shared" si="17"/>
        <v>0</v>
      </c>
      <c r="CC22" s="529"/>
      <c r="CD22" s="323">
        <f t="shared" si="41"/>
        <v>0</v>
      </c>
      <c r="CE22" s="304">
        <f t="shared" si="42"/>
        <v>0</v>
      </c>
      <c r="CF22" s="321">
        <f t="shared" si="18"/>
        <v>0</v>
      </c>
      <c r="CG22" s="529"/>
      <c r="CH22" s="326">
        <f t="shared" si="43"/>
        <v>0</v>
      </c>
      <c r="CI22" s="310"/>
      <c r="CJ22" s="327">
        <f t="shared" si="44"/>
        <v>0</v>
      </c>
      <c r="CK22" s="321">
        <f t="shared" si="19"/>
        <v>0</v>
      </c>
      <c r="CL22" s="528"/>
      <c r="CM22" s="322">
        <f t="shared" si="45"/>
        <v>0</v>
      </c>
      <c r="CN22" s="321">
        <f t="shared" si="20"/>
        <v>0</v>
      </c>
      <c r="CO22" s="529"/>
      <c r="CP22" s="326">
        <f t="shared" si="46"/>
        <v>0</v>
      </c>
      <c r="CQ22" s="327">
        <f t="shared" si="47"/>
        <v>0</v>
      </c>
      <c r="CR22" s="313" t="str">
        <f t="shared" si="21"/>
        <v/>
      </c>
      <c r="CS22" s="526"/>
      <c r="CT22" s="314" t="str">
        <f t="shared" si="48"/>
        <v/>
      </c>
      <c r="CU22" s="315" t="str">
        <f t="shared" si="22"/>
        <v/>
      </c>
      <c r="CV22" s="236"/>
      <c r="CW22" s="316" t="str">
        <f t="shared" si="49"/>
        <v/>
      </c>
      <c r="CX22" s="328" t="str">
        <f t="shared" si="50"/>
        <v/>
      </c>
      <c r="CY22" s="530"/>
      <c r="DA22" s="6">
        <f>IF(AND(CT22&lt;&gt;"",OR(CT22&lt;EXPEDIENTE!$I$25,CT22&gt;EXPEDIENTE!$I$29)),1,0)</f>
        <v>0</v>
      </c>
      <c r="DB22" s="6">
        <f>IF(AND(CW22&lt;&gt;"",OR(CW22&lt;EXPEDIENTE!$I$25,CW22&gt;EXPEDIENTE!$I$29)),1,0)</f>
        <v>0</v>
      </c>
      <c r="DD22" s="88">
        <f t="shared" si="51"/>
        <v>0</v>
      </c>
      <c r="DE22" s="88">
        <f t="shared" si="52"/>
        <v>0</v>
      </c>
      <c r="DF22" s="88">
        <f t="shared" si="53"/>
        <v>0</v>
      </c>
      <c r="DG22" s="88">
        <f t="shared" si="54"/>
        <v>0</v>
      </c>
      <c r="DH22" s="88">
        <f t="shared" si="55"/>
        <v>0</v>
      </c>
      <c r="DI22" s="88">
        <f t="shared" si="56"/>
        <v>0</v>
      </c>
      <c r="DJ22" s="88">
        <f t="shared" si="57"/>
        <v>0</v>
      </c>
      <c r="DK22" s="88">
        <f t="shared" si="58"/>
        <v>0</v>
      </c>
      <c r="DL22" s="88">
        <f t="shared" si="59"/>
        <v>0</v>
      </c>
      <c r="DM22" s="88">
        <f t="shared" si="60"/>
        <v>0</v>
      </c>
      <c r="DN22" s="88">
        <f t="shared" si="61"/>
        <v>0</v>
      </c>
      <c r="DO22" s="88">
        <f t="shared" si="62"/>
        <v>0</v>
      </c>
      <c r="DP22" s="88">
        <f t="shared" si="63"/>
        <v>0</v>
      </c>
      <c r="DQ22" s="88">
        <f t="shared" si="64"/>
        <v>0</v>
      </c>
      <c r="DR22" s="88">
        <f t="shared" si="65"/>
        <v>0</v>
      </c>
      <c r="DS22" s="88">
        <f t="shared" si="66"/>
        <v>0</v>
      </c>
      <c r="DT22" s="88">
        <f t="shared" si="67"/>
        <v>0</v>
      </c>
      <c r="DU22" s="88">
        <f t="shared" si="68"/>
        <v>0</v>
      </c>
      <c r="DW22" s="88">
        <f>IF(CY22&lt;&gt;"",MAX($DW$9:DW21)+1,0)</f>
        <v>0</v>
      </c>
      <c r="DX22" s="182" t="str">
        <f t="shared" si="69"/>
        <v/>
      </c>
    </row>
    <row r="23" spans="2:128" ht="30" customHeight="1" x14ac:dyDescent="0.25">
      <c r="B23" s="875"/>
      <c r="C23" s="885" t="s">
        <v>48</v>
      </c>
      <c r="D23" s="886"/>
      <c r="E23" s="52"/>
      <c r="F23" s="53"/>
      <c r="G23" s="54"/>
      <c r="H23" s="54"/>
      <c r="I23" s="54"/>
      <c r="J23" s="54"/>
      <c r="K23" s="54"/>
      <c r="L23" s="23">
        <f t="shared" si="24"/>
        <v>0</v>
      </c>
      <c r="M23" s="28">
        <f t="shared" si="70"/>
        <v>0</v>
      </c>
      <c r="N23" s="25"/>
      <c r="O23" s="53"/>
      <c r="P23" s="54"/>
      <c r="Q23" s="54"/>
      <c r="R23" s="54"/>
      <c r="S23" s="54"/>
      <c r="T23" s="23">
        <f t="shared" si="25"/>
        <v>0</v>
      </c>
      <c r="U23" s="60"/>
      <c r="V23" s="27"/>
      <c r="W23" s="28">
        <f t="shared" si="71"/>
        <v>0</v>
      </c>
      <c r="X23" s="53"/>
      <c r="Y23" s="54"/>
      <c r="Z23" s="23">
        <f t="shared" si="26"/>
        <v>0</v>
      </c>
      <c r="AA23" s="62"/>
      <c r="AB23" s="63"/>
      <c r="AC23" s="69"/>
      <c r="AD23" s="70"/>
      <c r="AE23" s="71"/>
      <c r="AG23" s="6">
        <f>IF(AND(AA23&lt;&gt;"",OR(AA23&lt;EXPEDIENTE!$I$25,AA23&gt;EXPEDIENTE!$I$29)),1,0)</f>
        <v>0</v>
      </c>
      <c r="AH23" s="6">
        <f>IF(AND(AB23&lt;&gt;"",OR(AB23&lt;EXPEDIENTE!$I$25,AB23&gt;EXPEDIENTE!$I$29)),1,0)</f>
        <v>0</v>
      </c>
      <c r="AI23" s="6">
        <f>IF(DATE(YEAR(EXPEDIENTE!$I$25),MONTH(DATEVALUE($C23&amp;"1")),1)&gt;=DATE(YEAR(EXPEDIENTE!$I$25),MONTH(EXPEDIENTE!$I$25),1),0,1)</f>
        <v>1</v>
      </c>
      <c r="AJ23" s="6" t="e">
        <f>IF(DATE(YEAR(EXPEDIENTE!$I$25),MONTH(DATEVALUE($C23&amp;"1")),1)&lt;=DATE(YEAR(EXPEDIENTE!$I$29),MONTH(EXPEDIENTE!$I$29),1),0,1)</f>
        <v>#VALUE!</v>
      </c>
      <c r="AK23" s="6" t="e">
        <f t="shared" si="27"/>
        <v>#VALUE!</v>
      </c>
      <c r="AM23" s="728"/>
      <c r="AN23" s="723" t="s">
        <v>48</v>
      </c>
      <c r="AO23" s="724"/>
      <c r="AP23" s="719"/>
      <c r="AQ23" s="720"/>
      <c r="AR23" s="319">
        <f t="shared" si="6"/>
        <v>0</v>
      </c>
      <c r="AS23" s="120"/>
      <c r="AT23" s="320">
        <f t="shared" si="28"/>
        <v>0</v>
      </c>
      <c r="AU23" s="321">
        <f t="shared" si="7"/>
        <v>0</v>
      </c>
      <c r="AV23" s="528"/>
      <c r="AW23" s="322">
        <f t="shared" si="29"/>
        <v>0</v>
      </c>
      <c r="AX23" s="321">
        <f t="shared" si="8"/>
        <v>0</v>
      </c>
      <c r="AY23" s="529"/>
      <c r="AZ23" s="323">
        <f t="shared" si="30"/>
        <v>0</v>
      </c>
      <c r="BA23" s="323">
        <f t="shared" si="9"/>
        <v>0</v>
      </c>
      <c r="BB23" s="529"/>
      <c r="BC23" s="323">
        <f t="shared" si="31"/>
        <v>0</v>
      </c>
      <c r="BD23" s="323">
        <f t="shared" si="10"/>
        <v>0</v>
      </c>
      <c r="BE23" s="529"/>
      <c r="BF23" s="323">
        <f t="shared" si="32"/>
        <v>0</v>
      </c>
      <c r="BG23" s="323">
        <f t="shared" si="11"/>
        <v>0</v>
      </c>
      <c r="BH23" s="529"/>
      <c r="BI23" s="323">
        <f t="shared" si="33"/>
        <v>0</v>
      </c>
      <c r="BJ23" s="323">
        <f t="shared" si="12"/>
        <v>0</v>
      </c>
      <c r="BK23" s="529"/>
      <c r="BL23" s="323">
        <f t="shared" si="34"/>
        <v>0</v>
      </c>
      <c r="BM23" s="304">
        <f t="shared" si="35"/>
        <v>0</v>
      </c>
      <c r="BN23" s="324">
        <f t="shared" si="36"/>
        <v>0</v>
      </c>
      <c r="BO23" s="306"/>
      <c r="BP23" s="321">
        <f t="shared" si="13"/>
        <v>0</v>
      </c>
      <c r="BQ23" s="528"/>
      <c r="BR23" s="325">
        <f t="shared" si="37"/>
        <v>0</v>
      </c>
      <c r="BS23" s="323">
        <f t="shared" si="14"/>
        <v>0</v>
      </c>
      <c r="BT23" s="529"/>
      <c r="BU23" s="323">
        <f t="shared" si="38"/>
        <v>0</v>
      </c>
      <c r="BV23" s="323">
        <f t="shared" si="15"/>
        <v>0</v>
      </c>
      <c r="BW23" s="529"/>
      <c r="BX23" s="323">
        <f t="shared" si="39"/>
        <v>0</v>
      </c>
      <c r="BY23" s="323">
        <f t="shared" si="16"/>
        <v>0</v>
      </c>
      <c r="BZ23" s="529"/>
      <c r="CA23" s="323">
        <f t="shared" si="40"/>
        <v>0</v>
      </c>
      <c r="CB23" s="323">
        <f t="shared" si="17"/>
        <v>0</v>
      </c>
      <c r="CC23" s="529"/>
      <c r="CD23" s="323">
        <f t="shared" si="41"/>
        <v>0</v>
      </c>
      <c r="CE23" s="304">
        <f t="shared" si="42"/>
        <v>0</v>
      </c>
      <c r="CF23" s="321">
        <f t="shared" si="18"/>
        <v>0</v>
      </c>
      <c r="CG23" s="529"/>
      <c r="CH23" s="326">
        <f t="shared" si="43"/>
        <v>0</v>
      </c>
      <c r="CI23" s="310"/>
      <c r="CJ23" s="327">
        <f t="shared" si="44"/>
        <v>0</v>
      </c>
      <c r="CK23" s="321">
        <f t="shared" si="19"/>
        <v>0</v>
      </c>
      <c r="CL23" s="528"/>
      <c r="CM23" s="322">
        <f t="shared" si="45"/>
        <v>0</v>
      </c>
      <c r="CN23" s="321">
        <f t="shared" si="20"/>
        <v>0</v>
      </c>
      <c r="CO23" s="529"/>
      <c r="CP23" s="326">
        <f t="shared" si="46"/>
        <v>0</v>
      </c>
      <c r="CQ23" s="327">
        <f t="shared" si="47"/>
        <v>0</v>
      </c>
      <c r="CR23" s="313" t="str">
        <f t="shared" si="21"/>
        <v/>
      </c>
      <c r="CS23" s="526"/>
      <c r="CT23" s="314" t="str">
        <f t="shared" si="48"/>
        <v/>
      </c>
      <c r="CU23" s="315" t="str">
        <f t="shared" si="22"/>
        <v/>
      </c>
      <c r="CV23" s="236"/>
      <c r="CW23" s="316" t="str">
        <f t="shared" si="49"/>
        <v/>
      </c>
      <c r="CX23" s="328" t="str">
        <f t="shared" si="50"/>
        <v/>
      </c>
      <c r="CY23" s="530"/>
      <c r="DA23" s="6">
        <f>IF(AND(CT23&lt;&gt;"",OR(CT23&lt;EXPEDIENTE!$I$25,CT23&gt;EXPEDIENTE!$I$29)),1,0)</f>
        <v>0</v>
      </c>
      <c r="DB23" s="6">
        <f>IF(AND(CW23&lt;&gt;"",OR(CW23&lt;EXPEDIENTE!$I$25,CW23&gt;EXPEDIENTE!$I$29)),1,0)</f>
        <v>0</v>
      </c>
      <c r="DD23" s="88">
        <f t="shared" si="51"/>
        <v>0</v>
      </c>
      <c r="DE23" s="88">
        <f t="shared" si="52"/>
        <v>0</v>
      </c>
      <c r="DF23" s="88">
        <f t="shared" si="53"/>
        <v>0</v>
      </c>
      <c r="DG23" s="88">
        <f t="shared" si="54"/>
        <v>0</v>
      </c>
      <c r="DH23" s="88">
        <f t="shared" si="55"/>
        <v>0</v>
      </c>
      <c r="DI23" s="88">
        <f t="shared" si="56"/>
        <v>0</v>
      </c>
      <c r="DJ23" s="88">
        <f t="shared" si="57"/>
        <v>0</v>
      </c>
      <c r="DK23" s="88">
        <f t="shared" si="58"/>
        <v>0</v>
      </c>
      <c r="DL23" s="88">
        <f t="shared" si="59"/>
        <v>0</v>
      </c>
      <c r="DM23" s="88">
        <f t="shared" si="60"/>
        <v>0</v>
      </c>
      <c r="DN23" s="88">
        <f t="shared" si="61"/>
        <v>0</v>
      </c>
      <c r="DO23" s="88">
        <f t="shared" si="62"/>
        <v>0</v>
      </c>
      <c r="DP23" s="88">
        <f t="shared" si="63"/>
        <v>0</v>
      </c>
      <c r="DQ23" s="88">
        <f t="shared" si="64"/>
        <v>0</v>
      </c>
      <c r="DR23" s="88">
        <f t="shared" si="65"/>
        <v>0</v>
      </c>
      <c r="DS23" s="88">
        <f t="shared" si="66"/>
        <v>0</v>
      </c>
      <c r="DT23" s="88">
        <f t="shared" si="67"/>
        <v>0</v>
      </c>
      <c r="DU23" s="88">
        <f t="shared" si="68"/>
        <v>0</v>
      </c>
      <c r="DW23" s="88">
        <f>IF(CY23&lt;&gt;"",MAX($DW$9:DW22)+1,0)</f>
        <v>0</v>
      </c>
      <c r="DX23" s="182" t="str">
        <f t="shared" si="69"/>
        <v/>
      </c>
    </row>
    <row r="24" spans="2:128" ht="30" customHeight="1" x14ac:dyDescent="0.25">
      <c r="B24" s="875"/>
      <c r="C24" s="885" t="s">
        <v>49</v>
      </c>
      <c r="D24" s="886"/>
      <c r="E24" s="52"/>
      <c r="F24" s="53"/>
      <c r="G24" s="54"/>
      <c r="H24" s="54"/>
      <c r="I24" s="54"/>
      <c r="J24" s="54"/>
      <c r="K24" s="54"/>
      <c r="L24" s="23">
        <f t="shared" si="24"/>
        <v>0</v>
      </c>
      <c r="M24" s="28">
        <f t="shared" si="70"/>
        <v>0</v>
      </c>
      <c r="N24" s="25"/>
      <c r="O24" s="53"/>
      <c r="P24" s="54"/>
      <c r="Q24" s="54"/>
      <c r="R24" s="54"/>
      <c r="S24" s="54"/>
      <c r="T24" s="23">
        <f t="shared" si="25"/>
        <v>0</v>
      </c>
      <c r="U24" s="60"/>
      <c r="V24" s="27"/>
      <c r="W24" s="28">
        <f t="shared" si="71"/>
        <v>0</v>
      </c>
      <c r="X24" s="53"/>
      <c r="Y24" s="54"/>
      <c r="Z24" s="23">
        <f t="shared" si="26"/>
        <v>0</v>
      </c>
      <c r="AA24" s="62"/>
      <c r="AB24" s="63"/>
      <c r="AC24" s="69"/>
      <c r="AD24" s="70"/>
      <c r="AE24" s="71"/>
      <c r="AG24" s="6">
        <f>IF(AND(AA24&lt;&gt;"",OR(AA24&lt;EXPEDIENTE!$I$25,AA24&gt;EXPEDIENTE!$I$29)),1,0)</f>
        <v>0</v>
      </c>
      <c r="AH24" s="6">
        <f>IF(AND(AB24&lt;&gt;"",OR(AB24&lt;EXPEDIENTE!$I$25,AB24&gt;EXPEDIENTE!$I$29)),1,0)</f>
        <v>0</v>
      </c>
      <c r="AI24" s="6">
        <f>IF(DATE(YEAR(EXPEDIENTE!$I$25),MONTH(DATEVALUE($C24&amp;"1")),1)&gt;=DATE(YEAR(EXPEDIENTE!$I$25),MONTH(EXPEDIENTE!$I$25),1),0,1)</f>
        <v>1</v>
      </c>
      <c r="AJ24" s="6" t="e">
        <f>IF(DATE(YEAR(EXPEDIENTE!$I$25),MONTH(DATEVALUE($C24&amp;"1")),1)&lt;=DATE(YEAR(EXPEDIENTE!$I$29),MONTH(EXPEDIENTE!$I$29),1),0,1)</f>
        <v>#VALUE!</v>
      </c>
      <c r="AK24" s="6" t="e">
        <f t="shared" si="27"/>
        <v>#VALUE!</v>
      </c>
      <c r="AM24" s="728"/>
      <c r="AN24" s="723" t="s">
        <v>49</v>
      </c>
      <c r="AO24" s="724"/>
      <c r="AP24" s="719"/>
      <c r="AQ24" s="720"/>
      <c r="AR24" s="319">
        <f t="shared" si="6"/>
        <v>0</v>
      </c>
      <c r="AS24" s="120"/>
      <c r="AT24" s="320">
        <f t="shared" si="28"/>
        <v>0</v>
      </c>
      <c r="AU24" s="321">
        <f t="shared" si="7"/>
        <v>0</v>
      </c>
      <c r="AV24" s="528"/>
      <c r="AW24" s="322">
        <f t="shared" si="29"/>
        <v>0</v>
      </c>
      <c r="AX24" s="321">
        <f t="shared" si="8"/>
        <v>0</v>
      </c>
      <c r="AY24" s="529"/>
      <c r="AZ24" s="323">
        <f t="shared" si="30"/>
        <v>0</v>
      </c>
      <c r="BA24" s="323">
        <f t="shared" si="9"/>
        <v>0</v>
      </c>
      <c r="BB24" s="529"/>
      <c r="BC24" s="323">
        <f t="shared" si="31"/>
        <v>0</v>
      </c>
      <c r="BD24" s="323">
        <f t="shared" si="10"/>
        <v>0</v>
      </c>
      <c r="BE24" s="529"/>
      <c r="BF24" s="323">
        <f t="shared" si="32"/>
        <v>0</v>
      </c>
      <c r="BG24" s="323">
        <f t="shared" si="11"/>
        <v>0</v>
      </c>
      <c r="BH24" s="529"/>
      <c r="BI24" s="323">
        <f t="shared" si="33"/>
        <v>0</v>
      </c>
      <c r="BJ24" s="323">
        <f t="shared" si="12"/>
        <v>0</v>
      </c>
      <c r="BK24" s="529"/>
      <c r="BL24" s="323">
        <f t="shared" si="34"/>
        <v>0</v>
      </c>
      <c r="BM24" s="304">
        <f t="shared" si="35"/>
        <v>0</v>
      </c>
      <c r="BN24" s="324">
        <f t="shared" si="36"/>
        <v>0</v>
      </c>
      <c r="BO24" s="306"/>
      <c r="BP24" s="321">
        <f t="shared" si="13"/>
        <v>0</v>
      </c>
      <c r="BQ24" s="528"/>
      <c r="BR24" s="325">
        <f t="shared" si="37"/>
        <v>0</v>
      </c>
      <c r="BS24" s="323">
        <f t="shared" si="14"/>
        <v>0</v>
      </c>
      <c r="BT24" s="529"/>
      <c r="BU24" s="323">
        <f t="shared" si="38"/>
        <v>0</v>
      </c>
      <c r="BV24" s="323">
        <f t="shared" si="15"/>
        <v>0</v>
      </c>
      <c r="BW24" s="529"/>
      <c r="BX24" s="323">
        <f t="shared" si="39"/>
        <v>0</v>
      </c>
      <c r="BY24" s="323">
        <f t="shared" si="16"/>
        <v>0</v>
      </c>
      <c r="BZ24" s="529"/>
      <c r="CA24" s="323">
        <f t="shared" si="40"/>
        <v>0</v>
      </c>
      <c r="CB24" s="323">
        <f t="shared" si="17"/>
        <v>0</v>
      </c>
      <c r="CC24" s="529"/>
      <c r="CD24" s="323">
        <f t="shared" si="41"/>
        <v>0</v>
      </c>
      <c r="CE24" s="304">
        <f t="shared" si="42"/>
        <v>0</v>
      </c>
      <c r="CF24" s="321">
        <f t="shared" si="18"/>
        <v>0</v>
      </c>
      <c r="CG24" s="529"/>
      <c r="CH24" s="326">
        <f t="shared" si="43"/>
        <v>0</v>
      </c>
      <c r="CI24" s="310"/>
      <c r="CJ24" s="327">
        <f t="shared" si="44"/>
        <v>0</v>
      </c>
      <c r="CK24" s="321">
        <f t="shared" si="19"/>
        <v>0</v>
      </c>
      <c r="CL24" s="528"/>
      <c r="CM24" s="322">
        <f t="shared" si="45"/>
        <v>0</v>
      </c>
      <c r="CN24" s="321">
        <f t="shared" si="20"/>
        <v>0</v>
      </c>
      <c r="CO24" s="529"/>
      <c r="CP24" s="326">
        <f t="shared" si="46"/>
        <v>0</v>
      </c>
      <c r="CQ24" s="327">
        <f t="shared" si="47"/>
        <v>0</v>
      </c>
      <c r="CR24" s="313" t="str">
        <f t="shared" si="21"/>
        <v/>
      </c>
      <c r="CS24" s="526"/>
      <c r="CT24" s="314" t="str">
        <f t="shared" si="48"/>
        <v/>
      </c>
      <c r="CU24" s="315" t="str">
        <f t="shared" si="22"/>
        <v/>
      </c>
      <c r="CV24" s="236"/>
      <c r="CW24" s="316" t="str">
        <f t="shared" si="49"/>
        <v/>
      </c>
      <c r="CX24" s="328" t="str">
        <f t="shared" si="50"/>
        <v/>
      </c>
      <c r="CY24" s="530"/>
      <c r="DA24" s="6">
        <f>IF(AND(CT24&lt;&gt;"",OR(CT24&lt;EXPEDIENTE!$I$25,CT24&gt;EXPEDIENTE!$I$29)),1,0)</f>
        <v>0</v>
      </c>
      <c r="DB24" s="6">
        <f>IF(AND(CW24&lt;&gt;"",OR(CW24&lt;EXPEDIENTE!$I$25,CW24&gt;EXPEDIENTE!$I$29)),1,0)</f>
        <v>0</v>
      </c>
      <c r="DD24" s="88">
        <f t="shared" si="51"/>
        <v>0</v>
      </c>
      <c r="DE24" s="88">
        <f t="shared" si="52"/>
        <v>0</v>
      </c>
      <c r="DF24" s="88">
        <f t="shared" si="53"/>
        <v>0</v>
      </c>
      <c r="DG24" s="88">
        <f t="shared" si="54"/>
        <v>0</v>
      </c>
      <c r="DH24" s="88">
        <f t="shared" si="55"/>
        <v>0</v>
      </c>
      <c r="DI24" s="88">
        <f t="shared" si="56"/>
        <v>0</v>
      </c>
      <c r="DJ24" s="88">
        <f t="shared" si="57"/>
        <v>0</v>
      </c>
      <c r="DK24" s="88">
        <f t="shared" si="58"/>
        <v>0</v>
      </c>
      <c r="DL24" s="88">
        <f t="shared" si="59"/>
        <v>0</v>
      </c>
      <c r="DM24" s="88">
        <f t="shared" si="60"/>
        <v>0</v>
      </c>
      <c r="DN24" s="88">
        <f t="shared" si="61"/>
        <v>0</v>
      </c>
      <c r="DO24" s="88">
        <f t="shared" si="62"/>
        <v>0</v>
      </c>
      <c r="DP24" s="88">
        <f t="shared" si="63"/>
        <v>0</v>
      </c>
      <c r="DQ24" s="88">
        <f t="shared" si="64"/>
        <v>0</v>
      </c>
      <c r="DR24" s="88">
        <f t="shared" si="65"/>
        <v>0</v>
      </c>
      <c r="DS24" s="88">
        <f t="shared" si="66"/>
        <v>0</v>
      </c>
      <c r="DT24" s="88">
        <f t="shared" si="67"/>
        <v>0</v>
      </c>
      <c r="DU24" s="88">
        <f t="shared" si="68"/>
        <v>0</v>
      </c>
      <c r="DW24" s="88">
        <f>IF(CY24&lt;&gt;"",MAX($DW$9:DW23)+1,0)</f>
        <v>0</v>
      </c>
      <c r="DX24" s="182" t="str">
        <f t="shared" si="69"/>
        <v/>
      </c>
    </row>
    <row r="25" spans="2:128" ht="30" customHeight="1" x14ac:dyDescent="0.25">
      <c r="B25" s="875"/>
      <c r="C25" s="885" t="s">
        <v>50</v>
      </c>
      <c r="D25" s="886"/>
      <c r="E25" s="52"/>
      <c r="F25" s="53"/>
      <c r="G25" s="54"/>
      <c r="H25" s="54"/>
      <c r="I25" s="54"/>
      <c r="J25" s="54"/>
      <c r="K25" s="54"/>
      <c r="L25" s="23">
        <f t="shared" si="24"/>
        <v>0</v>
      </c>
      <c r="M25" s="28">
        <f t="shared" si="70"/>
        <v>0</v>
      </c>
      <c r="N25" s="25"/>
      <c r="O25" s="53"/>
      <c r="P25" s="54"/>
      <c r="Q25" s="54"/>
      <c r="R25" s="54"/>
      <c r="S25" s="54"/>
      <c r="T25" s="23">
        <f t="shared" si="25"/>
        <v>0</v>
      </c>
      <c r="U25" s="60"/>
      <c r="V25" s="27"/>
      <c r="W25" s="28">
        <f t="shared" si="71"/>
        <v>0</v>
      </c>
      <c r="X25" s="53"/>
      <c r="Y25" s="54"/>
      <c r="Z25" s="23">
        <f t="shared" si="26"/>
        <v>0</v>
      </c>
      <c r="AA25" s="62"/>
      <c r="AB25" s="63"/>
      <c r="AC25" s="69"/>
      <c r="AD25" s="70"/>
      <c r="AE25" s="71"/>
      <c r="AG25" s="6">
        <f>IF(AND(AA25&lt;&gt;"",OR(AA25&lt;EXPEDIENTE!$I$25,AA25&gt;EXPEDIENTE!$I$29)),1,0)</f>
        <v>0</v>
      </c>
      <c r="AH25" s="6">
        <f>IF(AND(AB25&lt;&gt;"",OR(AB25&lt;EXPEDIENTE!$I$25,AB25&gt;EXPEDIENTE!$I$29)),1,0)</f>
        <v>0</v>
      </c>
      <c r="AI25" s="6">
        <f>IF(DATE(YEAR(EXPEDIENTE!$I$25),MONTH(DATEVALUE($C25&amp;"1")),1)&gt;=DATE(YEAR(EXPEDIENTE!$I$25),MONTH(EXPEDIENTE!$I$25),1),0,1)</f>
        <v>0</v>
      </c>
      <c r="AJ25" s="6" t="e">
        <f>IF(DATE(YEAR(EXPEDIENTE!$I$25),MONTH(DATEVALUE($C25&amp;"1")),1)&lt;=DATE(YEAR(EXPEDIENTE!$I$29),MONTH(EXPEDIENTE!$I$29),1),0,1)</f>
        <v>#VALUE!</v>
      </c>
      <c r="AK25" s="6" t="e">
        <f t="shared" si="27"/>
        <v>#VALUE!</v>
      </c>
      <c r="AM25" s="728"/>
      <c r="AN25" s="723" t="s">
        <v>50</v>
      </c>
      <c r="AO25" s="724"/>
      <c r="AP25" s="719"/>
      <c r="AQ25" s="720"/>
      <c r="AR25" s="319">
        <f t="shared" si="6"/>
        <v>0</v>
      </c>
      <c r="AS25" s="120"/>
      <c r="AT25" s="320">
        <f t="shared" si="28"/>
        <v>0</v>
      </c>
      <c r="AU25" s="321">
        <f t="shared" si="7"/>
        <v>0</v>
      </c>
      <c r="AV25" s="528"/>
      <c r="AW25" s="322">
        <f t="shared" si="29"/>
        <v>0</v>
      </c>
      <c r="AX25" s="321">
        <f t="shared" si="8"/>
        <v>0</v>
      </c>
      <c r="AY25" s="529"/>
      <c r="AZ25" s="323">
        <f t="shared" si="30"/>
        <v>0</v>
      </c>
      <c r="BA25" s="323">
        <f t="shared" si="9"/>
        <v>0</v>
      </c>
      <c r="BB25" s="529"/>
      <c r="BC25" s="323">
        <f t="shared" si="31"/>
        <v>0</v>
      </c>
      <c r="BD25" s="323">
        <f t="shared" si="10"/>
        <v>0</v>
      </c>
      <c r="BE25" s="529"/>
      <c r="BF25" s="323">
        <f t="shared" si="32"/>
        <v>0</v>
      </c>
      <c r="BG25" s="323">
        <f t="shared" si="11"/>
        <v>0</v>
      </c>
      <c r="BH25" s="529"/>
      <c r="BI25" s="323">
        <f t="shared" si="33"/>
        <v>0</v>
      </c>
      <c r="BJ25" s="323">
        <f t="shared" si="12"/>
        <v>0</v>
      </c>
      <c r="BK25" s="529"/>
      <c r="BL25" s="323">
        <f t="shared" si="34"/>
        <v>0</v>
      </c>
      <c r="BM25" s="304">
        <f t="shared" si="35"/>
        <v>0</v>
      </c>
      <c r="BN25" s="324">
        <f t="shared" si="36"/>
        <v>0</v>
      </c>
      <c r="BO25" s="306"/>
      <c r="BP25" s="321">
        <f t="shared" si="13"/>
        <v>0</v>
      </c>
      <c r="BQ25" s="528"/>
      <c r="BR25" s="325">
        <f t="shared" si="37"/>
        <v>0</v>
      </c>
      <c r="BS25" s="323">
        <f t="shared" si="14"/>
        <v>0</v>
      </c>
      <c r="BT25" s="529"/>
      <c r="BU25" s="323">
        <f t="shared" si="38"/>
        <v>0</v>
      </c>
      <c r="BV25" s="323">
        <f t="shared" si="15"/>
        <v>0</v>
      </c>
      <c r="BW25" s="529"/>
      <c r="BX25" s="323">
        <f t="shared" si="39"/>
        <v>0</v>
      </c>
      <c r="BY25" s="323">
        <f t="shared" si="16"/>
        <v>0</v>
      </c>
      <c r="BZ25" s="529"/>
      <c r="CA25" s="323">
        <f t="shared" si="40"/>
        <v>0</v>
      </c>
      <c r="CB25" s="323">
        <f t="shared" si="17"/>
        <v>0</v>
      </c>
      <c r="CC25" s="529"/>
      <c r="CD25" s="323">
        <f t="shared" si="41"/>
        <v>0</v>
      </c>
      <c r="CE25" s="304">
        <f t="shared" si="42"/>
        <v>0</v>
      </c>
      <c r="CF25" s="321">
        <f t="shared" si="18"/>
        <v>0</v>
      </c>
      <c r="CG25" s="529"/>
      <c r="CH25" s="326">
        <f t="shared" si="43"/>
        <v>0</v>
      </c>
      <c r="CI25" s="310"/>
      <c r="CJ25" s="327">
        <f t="shared" si="44"/>
        <v>0</v>
      </c>
      <c r="CK25" s="321">
        <f t="shared" si="19"/>
        <v>0</v>
      </c>
      <c r="CL25" s="528"/>
      <c r="CM25" s="322">
        <f t="shared" si="45"/>
        <v>0</v>
      </c>
      <c r="CN25" s="321">
        <f t="shared" si="20"/>
        <v>0</v>
      </c>
      <c r="CO25" s="529"/>
      <c r="CP25" s="326">
        <f t="shared" si="46"/>
        <v>0</v>
      </c>
      <c r="CQ25" s="327">
        <f t="shared" si="47"/>
        <v>0</v>
      </c>
      <c r="CR25" s="313" t="str">
        <f t="shared" si="21"/>
        <v/>
      </c>
      <c r="CS25" s="526"/>
      <c r="CT25" s="314" t="str">
        <f t="shared" si="48"/>
        <v/>
      </c>
      <c r="CU25" s="315" t="str">
        <f t="shared" si="22"/>
        <v/>
      </c>
      <c r="CV25" s="236"/>
      <c r="CW25" s="316" t="str">
        <f t="shared" si="49"/>
        <v/>
      </c>
      <c r="CX25" s="328" t="str">
        <f t="shared" si="50"/>
        <v/>
      </c>
      <c r="CY25" s="530"/>
      <c r="DA25" s="6">
        <f>IF(AND(CT25&lt;&gt;"",OR(CT25&lt;EXPEDIENTE!$I$25,CT25&gt;EXPEDIENTE!$I$29)),1,0)</f>
        <v>0</v>
      </c>
      <c r="DB25" s="6">
        <f>IF(AND(CW25&lt;&gt;"",OR(CW25&lt;EXPEDIENTE!$I$25,CW25&gt;EXPEDIENTE!$I$29)),1,0)</f>
        <v>0</v>
      </c>
      <c r="DD25" s="88">
        <f t="shared" si="51"/>
        <v>0</v>
      </c>
      <c r="DE25" s="88">
        <f t="shared" si="52"/>
        <v>0</v>
      </c>
      <c r="DF25" s="88">
        <f t="shared" si="53"/>
        <v>0</v>
      </c>
      <c r="DG25" s="88">
        <f t="shared" si="54"/>
        <v>0</v>
      </c>
      <c r="DH25" s="88">
        <f t="shared" si="55"/>
        <v>0</v>
      </c>
      <c r="DI25" s="88">
        <f t="shared" si="56"/>
        <v>0</v>
      </c>
      <c r="DJ25" s="88">
        <f t="shared" si="57"/>
        <v>0</v>
      </c>
      <c r="DK25" s="88">
        <f t="shared" si="58"/>
        <v>0</v>
      </c>
      <c r="DL25" s="88">
        <f t="shared" si="59"/>
        <v>0</v>
      </c>
      <c r="DM25" s="88">
        <f t="shared" si="60"/>
        <v>0</v>
      </c>
      <c r="DN25" s="88">
        <f t="shared" si="61"/>
        <v>0</v>
      </c>
      <c r="DO25" s="88">
        <f t="shared" si="62"/>
        <v>0</v>
      </c>
      <c r="DP25" s="88">
        <f t="shared" si="63"/>
        <v>0</v>
      </c>
      <c r="DQ25" s="88">
        <f t="shared" si="64"/>
        <v>0</v>
      </c>
      <c r="DR25" s="88">
        <f t="shared" si="65"/>
        <v>0</v>
      </c>
      <c r="DS25" s="88">
        <f t="shared" si="66"/>
        <v>0</v>
      </c>
      <c r="DT25" s="88">
        <f t="shared" si="67"/>
        <v>0</v>
      </c>
      <c r="DU25" s="88">
        <f t="shared" si="68"/>
        <v>0</v>
      </c>
      <c r="DW25" s="88">
        <f>IF(CY25&lt;&gt;"",MAX($DW$9:DW24)+1,0)</f>
        <v>0</v>
      </c>
      <c r="DX25" s="182" t="str">
        <f t="shared" si="69"/>
        <v/>
      </c>
    </row>
    <row r="26" spans="2:128" ht="30" customHeight="1" x14ac:dyDescent="0.25">
      <c r="B26" s="875"/>
      <c r="C26" s="885" t="s">
        <v>51</v>
      </c>
      <c r="D26" s="886"/>
      <c r="E26" s="52"/>
      <c r="F26" s="53"/>
      <c r="G26" s="54"/>
      <c r="H26" s="54"/>
      <c r="I26" s="54"/>
      <c r="J26" s="54"/>
      <c r="K26" s="54"/>
      <c r="L26" s="23">
        <f t="shared" si="24"/>
        <v>0</v>
      </c>
      <c r="M26" s="28">
        <f t="shared" si="70"/>
        <v>0</v>
      </c>
      <c r="N26" s="25"/>
      <c r="O26" s="53"/>
      <c r="P26" s="54"/>
      <c r="Q26" s="54"/>
      <c r="R26" s="54"/>
      <c r="S26" s="54"/>
      <c r="T26" s="23">
        <f t="shared" si="25"/>
        <v>0</v>
      </c>
      <c r="U26" s="60"/>
      <c r="V26" s="27"/>
      <c r="W26" s="28">
        <f t="shared" si="71"/>
        <v>0</v>
      </c>
      <c r="X26" s="53"/>
      <c r="Y26" s="54"/>
      <c r="Z26" s="23">
        <f t="shared" si="26"/>
        <v>0</v>
      </c>
      <c r="AA26" s="62"/>
      <c r="AB26" s="63"/>
      <c r="AC26" s="69"/>
      <c r="AD26" s="70"/>
      <c r="AE26" s="71"/>
      <c r="AG26" s="6">
        <f>IF(AND(AA26&lt;&gt;"",OR(AA26&lt;EXPEDIENTE!$I$25,AA26&gt;EXPEDIENTE!$I$29)),1,0)</f>
        <v>0</v>
      </c>
      <c r="AH26" s="6">
        <f>IF(AND(AB26&lt;&gt;"",OR(AB26&lt;EXPEDIENTE!$I$25,AB26&gt;EXPEDIENTE!$I$29)),1,0)</f>
        <v>0</v>
      </c>
      <c r="AI26" s="6">
        <f>IF(DATE(YEAR(EXPEDIENTE!$I$25),MONTH(DATEVALUE($C26&amp;"1")),1)&gt;=DATE(YEAR(EXPEDIENTE!$I$25),MONTH(EXPEDIENTE!$I$25),1),0,1)</f>
        <v>0</v>
      </c>
      <c r="AJ26" s="6" t="e">
        <f>IF(DATE(YEAR(EXPEDIENTE!$I$25),MONTH(DATEVALUE($C26&amp;"1")),1)&lt;=DATE(YEAR(EXPEDIENTE!$I$29),MONTH(EXPEDIENTE!$I$29),1),0,1)</f>
        <v>#VALUE!</v>
      </c>
      <c r="AK26" s="6" t="e">
        <f t="shared" si="27"/>
        <v>#VALUE!</v>
      </c>
      <c r="AM26" s="728"/>
      <c r="AN26" s="723" t="s">
        <v>51</v>
      </c>
      <c r="AO26" s="724"/>
      <c r="AP26" s="719"/>
      <c r="AQ26" s="720"/>
      <c r="AR26" s="319">
        <f t="shared" si="6"/>
        <v>0</v>
      </c>
      <c r="AS26" s="120"/>
      <c r="AT26" s="320">
        <f t="shared" si="28"/>
        <v>0</v>
      </c>
      <c r="AU26" s="321">
        <f t="shared" si="7"/>
        <v>0</v>
      </c>
      <c r="AV26" s="528"/>
      <c r="AW26" s="322">
        <f t="shared" si="29"/>
        <v>0</v>
      </c>
      <c r="AX26" s="321">
        <f t="shared" si="8"/>
        <v>0</v>
      </c>
      <c r="AY26" s="529"/>
      <c r="AZ26" s="323">
        <f t="shared" si="30"/>
        <v>0</v>
      </c>
      <c r="BA26" s="323">
        <f t="shared" si="9"/>
        <v>0</v>
      </c>
      <c r="BB26" s="529"/>
      <c r="BC26" s="323">
        <f t="shared" si="31"/>
        <v>0</v>
      </c>
      <c r="BD26" s="323">
        <f t="shared" si="10"/>
        <v>0</v>
      </c>
      <c r="BE26" s="529"/>
      <c r="BF26" s="323">
        <f t="shared" si="32"/>
        <v>0</v>
      </c>
      <c r="BG26" s="323">
        <f t="shared" si="11"/>
        <v>0</v>
      </c>
      <c r="BH26" s="529"/>
      <c r="BI26" s="323">
        <f t="shared" si="33"/>
        <v>0</v>
      </c>
      <c r="BJ26" s="323">
        <f t="shared" si="12"/>
        <v>0</v>
      </c>
      <c r="BK26" s="529"/>
      <c r="BL26" s="323">
        <f t="shared" si="34"/>
        <v>0</v>
      </c>
      <c r="BM26" s="304">
        <f t="shared" si="35"/>
        <v>0</v>
      </c>
      <c r="BN26" s="324">
        <f t="shared" si="36"/>
        <v>0</v>
      </c>
      <c r="BO26" s="306"/>
      <c r="BP26" s="321">
        <f t="shared" si="13"/>
        <v>0</v>
      </c>
      <c r="BQ26" s="528"/>
      <c r="BR26" s="325">
        <f t="shared" si="37"/>
        <v>0</v>
      </c>
      <c r="BS26" s="323">
        <f t="shared" si="14"/>
        <v>0</v>
      </c>
      <c r="BT26" s="529"/>
      <c r="BU26" s="323">
        <f t="shared" si="38"/>
        <v>0</v>
      </c>
      <c r="BV26" s="323">
        <f t="shared" si="15"/>
        <v>0</v>
      </c>
      <c r="BW26" s="529"/>
      <c r="BX26" s="323">
        <f t="shared" si="39"/>
        <v>0</v>
      </c>
      <c r="BY26" s="323">
        <f t="shared" si="16"/>
        <v>0</v>
      </c>
      <c r="BZ26" s="529"/>
      <c r="CA26" s="323">
        <f t="shared" si="40"/>
        <v>0</v>
      </c>
      <c r="CB26" s="323">
        <f t="shared" si="17"/>
        <v>0</v>
      </c>
      <c r="CC26" s="529"/>
      <c r="CD26" s="323">
        <f t="shared" si="41"/>
        <v>0</v>
      </c>
      <c r="CE26" s="304">
        <f t="shared" si="42"/>
        <v>0</v>
      </c>
      <c r="CF26" s="321">
        <f t="shared" si="18"/>
        <v>0</v>
      </c>
      <c r="CG26" s="529"/>
      <c r="CH26" s="326">
        <f t="shared" si="43"/>
        <v>0</v>
      </c>
      <c r="CI26" s="310"/>
      <c r="CJ26" s="327">
        <f t="shared" si="44"/>
        <v>0</v>
      </c>
      <c r="CK26" s="321">
        <f t="shared" si="19"/>
        <v>0</v>
      </c>
      <c r="CL26" s="528"/>
      <c r="CM26" s="322">
        <f t="shared" si="45"/>
        <v>0</v>
      </c>
      <c r="CN26" s="321">
        <f t="shared" si="20"/>
        <v>0</v>
      </c>
      <c r="CO26" s="529"/>
      <c r="CP26" s="326">
        <f t="shared" si="46"/>
        <v>0</v>
      </c>
      <c r="CQ26" s="327">
        <f t="shared" si="47"/>
        <v>0</v>
      </c>
      <c r="CR26" s="313" t="str">
        <f t="shared" si="21"/>
        <v/>
      </c>
      <c r="CS26" s="526"/>
      <c r="CT26" s="314" t="str">
        <f t="shared" si="48"/>
        <v/>
      </c>
      <c r="CU26" s="315" t="str">
        <f t="shared" si="22"/>
        <v/>
      </c>
      <c r="CV26" s="236"/>
      <c r="CW26" s="316" t="str">
        <f t="shared" si="49"/>
        <v/>
      </c>
      <c r="CX26" s="328" t="str">
        <f t="shared" si="50"/>
        <v/>
      </c>
      <c r="CY26" s="530"/>
      <c r="DA26" s="6">
        <f>IF(AND(CT26&lt;&gt;"",OR(CT26&lt;EXPEDIENTE!$I$25,CT26&gt;EXPEDIENTE!$I$29)),1,0)</f>
        <v>0</v>
      </c>
      <c r="DB26" s="6">
        <f>IF(AND(CW26&lt;&gt;"",OR(CW26&lt;EXPEDIENTE!$I$25,CW26&gt;EXPEDIENTE!$I$29)),1,0)</f>
        <v>0</v>
      </c>
      <c r="DD26" s="88">
        <f t="shared" si="51"/>
        <v>0</v>
      </c>
      <c r="DE26" s="88">
        <f t="shared" si="52"/>
        <v>0</v>
      </c>
      <c r="DF26" s="88">
        <f t="shared" si="53"/>
        <v>0</v>
      </c>
      <c r="DG26" s="88">
        <f t="shared" si="54"/>
        <v>0</v>
      </c>
      <c r="DH26" s="88">
        <f t="shared" si="55"/>
        <v>0</v>
      </c>
      <c r="DI26" s="88">
        <f t="shared" si="56"/>
        <v>0</v>
      </c>
      <c r="DJ26" s="88">
        <f t="shared" si="57"/>
        <v>0</v>
      </c>
      <c r="DK26" s="88">
        <f t="shared" si="58"/>
        <v>0</v>
      </c>
      <c r="DL26" s="88">
        <f t="shared" si="59"/>
        <v>0</v>
      </c>
      <c r="DM26" s="88">
        <f t="shared" si="60"/>
        <v>0</v>
      </c>
      <c r="DN26" s="88">
        <f t="shared" si="61"/>
        <v>0</v>
      </c>
      <c r="DO26" s="88">
        <f t="shared" si="62"/>
        <v>0</v>
      </c>
      <c r="DP26" s="88">
        <f t="shared" si="63"/>
        <v>0</v>
      </c>
      <c r="DQ26" s="88">
        <f t="shared" si="64"/>
        <v>0</v>
      </c>
      <c r="DR26" s="88">
        <f t="shared" si="65"/>
        <v>0</v>
      </c>
      <c r="DS26" s="88">
        <f t="shared" si="66"/>
        <v>0</v>
      </c>
      <c r="DT26" s="88">
        <f t="shared" si="67"/>
        <v>0</v>
      </c>
      <c r="DU26" s="88">
        <f t="shared" si="68"/>
        <v>0</v>
      </c>
      <c r="DW26" s="88">
        <f>IF(CY26&lt;&gt;"",MAX($DW$9:DW25)+1,0)</f>
        <v>0</v>
      </c>
      <c r="DX26" s="182" t="str">
        <f t="shared" si="69"/>
        <v/>
      </c>
    </row>
    <row r="27" spans="2:128" ht="30" customHeight="1" x14ac:dyDescent="0.25">
      <c r="B27" s="875"/>
      <c r="C27" s="885" t="s">
        <v>52</v>
      </c>
      <c r="D27" s="886"/>
      <c r="E27" s="52"/>
      <c r="F27" s="53"/>
      <c r="G27" s="54"/>
      <c r="H27" s="54"/>
      <c r="I27" s="54"/>
      <c r="J27" s="54"/>
      <c r="K27" s="54"/>
      <c r="L27" s="23">
        <f t="shared" si="24"/>
        <v>0</v>
      </c>
      <c r="M27" s="28">
        <f t="shared" si="70"/>
        <v>0</v>
      </c>
      <c r="N27" s="25"/>
      <c r="O27" s="53"/>
      <c r="P27" s="54"/>
      <c r="Q27" s="54"/>
      <c r="R27" s="54"/>
      <c r="S27" s="54"/>
      <c r="T27" s="23">
        <f t="shared" si="25"/>
        <v>0</v>
      </c>
      <c r="U27" s="60"/>
      <c r="V27" s="27"/>
      <c r="W27" s="28">
        <f t="shared" si="71"/>
        <v>0</v>
      </c>
      <c r="X27" s="53"/>
      <c r="Y27" s="54"/>
      <c r="Z27" s="23">
        <f t="shared" si="26"/>
        <v>0</v>
      </c>
      <c r="AA27" s="62"/>
      <c r="AB27" s="63"/>
      <c r="AC27" s="69"/>
      <c r="AD27" s="70"/>
      <c r="AE27" s="71"/>
      <c r="AG27" s="6">
        <f>IF(AND(AA27&lt;&gt;"",OR(AA27&lt;EXPEDIENTE!$I$25,AA27&gt;EXPEDIENTE!$I$29)),1,0)</f>
        <v>0</v>
      </c>
      <c r="AH27" s="6">
        <f>IF(AND(AB27&lt;&gt;"",OR(AB27&lt;EXPEDIENTE!$I$25,AB27&gt;EXPEDIENTE!$I$29)),1,0)</f>
        <v>0</v>
      </c>
      <c r="AI27" s="6">
        <f>IF(DATE(YEAR(EXPEDIENTE!$I$25),MONTH(DATEVALUE($C27&amp;"1")),1)&gt;=DATE(YEAR(EXPEDIENTE!$I$25),MONTH(EXPEDIENTE!$I$25),1),0,1)</f>
        <v>0</v>
      </c>
      <c r="AJ27" s="6" t="e">
        <f>IF(DATE(YEAR(EXPEDIENTE!$I$25),MONTH(DATEVALUE($C27&amp;"1")),1)&lt;=DATE(YEAR(EXPEDIENTE!$I$29),MONTH(EXPEDIENTE!$I$29),1),0,1)</f>
        <v>#VALUE!</v>
      </c>
      <c r="AK27" s="6" t="e">
        <f t="shared" si="27"/>
        <v>#VALUE!</v>
      </c>
      <c r="AM27" s="728"/>
      <c r="AN27" s="723" t="s">
        <v>52</v>
      </c>
      <c r="AO27" s="724"/>
      <c r="AP27" s="719"/>
      <c r="AQ27" s="720"/>
      <c r="AR27" s="319">
        <f t="shared" si="6"/>
        <v>0</v>
      </c>
      <c r="AS27" s="120"/>
      <c r="AT27" s="320">
        <f t="shared" si="28"/>
        <v>0</v>
      </c>
      <c r="AU27" s="321">
        <f t="shared" si="7"/>
        <v>0</v>
      </c>
      <c r="AV27" s="528"/>
      <c r="AW27" s="322">
        <f t="shared" si="29"/>
        <v>0</v>
      </c>
      <c r="AX27" s="321">
        <f t="shared" si="8"/>
        <v>0</v>
      </c>
      <c r="AY27" s="529"/>
      <c r="AZ27" s="323">
        <f t="shared" si="30"/>
        <v>0</v>
      </c>
      <c r="BA27" s="323">
        <f t="shared" si="9"/>
        <v>0</v>
      </c>
      <c r="BB27" s="529"/>
      <c r="BC27" s="323">
        <f t="shared" si="31"/>
        <v>0</v>
      </c>
      <c r="BD27" s="323">
        <f t="shared" si="10"/>
        <v>0</v>
      </c>
      <c r="BE27" s="529"/>
      <c r="BF27" s="323">
        <f t="shared" si="32"/>
        <v>0</v>
      </c>
      <c r="BG27" s="323">
        <f t="shared" si="11"/>
        <v>0</v>
      </c>
      <c r="BH27" s="529"/>
      <c r="BI27" s="323">
        <f t="shared" si="33"/>
        <v>0</v>
      </c>
      <c r="BJ27" s="323">
        <f t="shared" si="12"/>
        <v>0</v>
      </c>
      <c r="BK27" s="529"/>
      <c r="BL27" s="323">
        <f t="shared" si="34"/>
        <v>0</v>
      </c>
      <c r="BM27" s="304">
        <f t="shared" si="35"/>
        <v>0</v>
      </c>
      <c r="BN27" s="324">
        <f t="shared" si="36"/>
        <v>0</v>
      </c>
      <c r="BO27" s="306"/>
      <c r="BP27" s="321">
        <f t="shared" si="13"/>
        <v>0</v>
      </c>
      <c r="BQ27" s="528"/>
      <c r="BR27" s="325">
        <f t="shared" si="37"/>
        <v>0</v>
      </c>
      <c r="BS27" s="323">
        <f t="shared" si="14"/>
        <v>0</v>
      </c>
      <c r="BT27" s="529"/>
      <c r="BU27" s="323">
        <f t="shared" si="38"/>
        <v>0</v>
      </c>
      <c r="BV27" s="323">
        <f t="shared" si="15"/>
        <v>0</v>
      </c>
      <c r="BW27" s="529"/>
      <c r="BX27" s="323">
        <f t="shared" si="39"/>
        <v>0</v>
      </c>
      <c r="BY27" s="323">
        <f t="shared" si="16"/>
        <v>0</v>
      </c>
      <c r="BZ27" s="529"/>
      <c r="CA27" s="323">
        <f t="shared" si="40"/>
        <v>0</v>
      </c>
      <c r="CB27" s="323">
        <f t="shared" si="17"/>
        <v>0</v>
      </c>
      <c r="CC27" s="529"/>
      <c r="CD27" s="323">
        <f t="shared" si="41"/>
        <v>0</v>
      </c>
      <c r="CE27" s="304">
        <f t="shared" si="42"/>
        <v>0</v>
      </c>
      <c r="CF27" s="321">
        <f t="shared" si="18"/>
        <v>0</v>
      </c>
      <c r="CG27" s="529"/>
      <c r="CH27" s="326">
        <f t="shared" si="43"/>
        <v>0</v>
      </c>
      <c r="CI27" s="310"/>
      <c r="CJ27" s="327">
        <f t="shared" si="44"/>
        <v>0</v>
      </c>
      <c r="CK27" s="321">
        <f t="shared" si="19"/>
        <v>0</v>
      </c>
      <c r="CL27" s="528"/>
      <c r="CM27" s="322">
        <f t="shared" si="45"/>
        <v>0</v>
      </c>
      <c r="CN27" s="321">
        <f t="shared" si="20"/>
        <v>0</v>
      </c>
      <c r="CO27" s="529"/>
      <c r="CP27" s="326">
        <f t="shared" si="46"/>
        <v>0</v>
      </c>
      <c r="CQ27" s="327">
        <f t="shared" si="47"/>
        <v>0</v>
      </c>
      <c r="CR27" s="313" t="str">
        <f t="shared" si="21"/>
        <v/>
      </c>
      <c r="CS27" s="526"/>
      <c r="CT27" s="314" t="str">
        <f t="shared" si="48"/>
        <v/>
      </c>
      <c r="CU27" s="315" t="str">
        <f t="shared" si="22"/>
        <v/>
      </c>
      <c r="CV27" s="236"/>
      <c r="CW27" s="316" t="str">
        <f t="shared" si="49"/>
        <v/>
      </c>
      <c r="CX27" s="328" t="str">
        <f t="shared" si="50"/>
        <v/>
      </c>
      <c r="CY27" s="530"/>
      <c r="DA27" s="6">
        <f>IF(AND(CT27&lt;&gt;"",OR(CT27&lt;EXPEDIENTE!$I$25,CT27&gt;EXPEDIENTE!$I$29)),1,0)</f>
        <v>0</v>
      </c>
      <c r="DB27" s="6">
        <f>IF(AND(CW27&lt;&gt;"",OR(CW27&lt;EXPEDIENTE!$I$25,CW27&gt;EXPEDIENTE!$I$29)),1,0)</f>
        <v>0</v>
      </c>
      <c r="DD27" s="88">
        <f t="shared" si="51"/>
        <v>0</v>
      </c>
      <c r="DE27" s="88">
        <f t="shared" si="52"/>
        <v>0</v>
      </c>
      <c r="DF27" s="88">
        <f t="shared" si="53"/>
        <v>0</v>
      </c>
      <c r="DG27" s="88">
        <f t="shared" si="54"/>
        <v>0</v>
      </c>
      <c r="DH27" s="88">
        <f t="shared" si="55"/>
        <v>0</v>
      </c>
      <c r="DI27" s="88">
        <f t="shared" si="56"/>
        <v>0</v>
      </c>
      <c r="DJ27" s="88">
        <f t="shared" si="57"/>
        <v>0</v>
      </c>
      <c r="DK27" s="88">
        <f t="shared" si="58"/>
        <v>0</v>
      </c>
      <c r="DL27" s="88">
        <f t="shared" si="59"/>
        <v>0</v>
      </c>
      <c r="DM27" s="88">
        <f t="shared" si="60"/>
        <v>0</v>
      </c>
      <c r="DN27" s="88">
        <f t="shared" si="61"/>
        <v>0</v>
      </c>
      <c r="DO27" s="88">
        <f t="shared" si="62"/>
        <v>0</v>
      </c>
      <c r="DP27" s="88">
        <f t="shared" si="63"/>
        <v>0</v>
      </c>
      <c r="DQ27" s="88">
        <f t="shared" si="64"/>
        <v>0</v>
      </c>
      <c r="DR27" s="88">
        <f t="shared" si="65"/>
        <v>0</v>
      </c>
      <c r="DS27" s="88">
        <f t="shared" si="66"/>
        <v>0</v>
      </c>
      <c r="DT27" s="88">
        <f t="shared" si="67"/>
        <v>0</v>
      </c>
      <c r="DU27" s="88">
        <f t="shared" si="68"/>
        <v>0</v>
      </c>
      <c r="DW27" s="88">
        <f>IF(CY27&lt;&gt;"",MAX($DW$9:DW26)+1,0)</f>
        <v>0</v>
      </c>
      <c r="DX27" s="182" t="str">
        <f t="shared" si="69"/>
        <v/>
      </c>
    </row>
    <row r="28" spans="2:128" ht="30" customHeight="1" x14ac:dyDescent="0.25">
      <c r="B28" s="875"/>
      <c r="C28" s="885" t="s">
        <v>53</v>
      </c>
      <c r="D28" s="886"/>
      <c r="E28" s="52"/>
      <c r="F28" s="53"/>
      <c r="G28" s="54"/>
      <c r="H28" s="54"/>
      <c r="I28" s="54"/>
      <c r="J28" s="54"/>
      <c r="K28" s="54"/>
      <c r="L28" s="23">
        <f t="shared" si="24"/>
        <v>0</v>
      </c>
      <c r="M28" s="28">
        <f t="shared" si="70"/>
        <v>0</v>
      </c>
      <c r="N28" s="25"/>
      <c r="O28" s="53"/>
      <c r="P28" s="54"/>
      <c r="Q28" s="54"/>
      <c r="R28" s="54"/>
      <c r="S28" s="54"/>
      <c r="T28" s="23">
        <f t="shared" si="25"/>
        <v>0</v>
      </c>
      <c r="U28" s="60"/>
      <c r="V28" s="27"/>
      <c r="W28" s="28">
        <f t="shared" si="71"/>
        <v>0</v>
      </c>
      <c r="X28" s="53"/>
      <c r="Y28" s="54"/>
      <c r="Z28" s="23">
        <f t="shared" si="26"/>
        <v>0</v>
      </c>
      <c r="AA28" s="62"/>
      <c r="AB28" s="63"/>
      <c r="AC28" s="69"/>
      <c r="AD28" s="70"/>
      <c r="AE28" s="71"/>
      <c r="AG28" s="6">
        <f>IF(AND(AA28&lt;&gt;"",OR(AA28&lt;EXPEDIENTE!$I$25,AA28&gt;EXPEDIENTE!$I$29)),1,0)</f>
        <v>0</v>
      </c>
      <c r="AH28" s="6">
        <f>IF(AND(AB28&lt;&gt;"",OR(AB28&lt;EXPEDIENTE!$I$25,AB28&gt;EXPEDIENTE!$I$29)),1,0)</f>
        <v>0</v>
      </c>
      <c r="AI28" s="6">
        <f>IF(DATE(YEAR(EXPEDIENTE!$I$25),MONTH(DATEVALUE($C28&amp;"1")),1)&gt;=DATE(YEAR(EXPEDIENTE!$I$25),MONTH(EXPEDIENTE!$I$25),1),0,1)</f>
        <v>0</v>
      </c>
      <c r="AJ28" s="6" t="e">
        <f>IF(DATE(YEAR(EXPEDIENTE!$I$25),MONTH(DATEVALUE($C28&amp;"1")),1)&lt;=DATE(YEAR(EXPEDIENTE!$I$29),MONTH(EXPEDIENTE!$I$29),1),0,1)</f>
        <v>#VALUE!</v>
      </c>
      <c r="AK28" s="6" t="e">
        <f t="shared" si="27"/>
        <v>#VALUE!</v>
      </c>
      <c r="AM28" s="728"/>
      <c r="AN28" s="723" t="s">
        <v>53</v>
      </c>
      <c r="AO28" s="724"/>
      <c r="AP28" s="719"/>
      <c r="AQ28" s="720"/>
      <c r="AR28" s="319">
        <f t="shared" si="6"/>
        <v>0</v>
      </c>
      <c r="AS28" s="120"/>
      <c r="AT28" s="320">
        <f t="shared" si="28"/>
        <v>0</v>
      </c>
      <c r="AU28" s="321">
        <f t="shared" si="7"/>
        <v>0</v>
      </c>
      <c r="AV28" s="528"/>
      <c r="AW28" s="322">
        <f t="shared" si="29"/>
        <v>0</v>
      </c>
      <c r="AX28" s="321">
        <f t="shared" si="8"/>
        <v>0</v>
      </c>
      <c r="AY28" s="529"/>
      <c r="AZ28" s="323">
        <f t="shared" si="30"/>
        <v>0</v>
      </c>
      <c r="BA28" s="323">
        <f t="shared" si="9"/>
        <v>0</v>
      </c>
      <c r="BB28" s="529"/>
      <c r="BC28" s="323">
        <f t="shared" si="31"/>
        <v>0</v>
      </c>
      <c r="BD28" s="323">
        <f t="shared" si="10"/>
        <v>0</v>
      </c>
      <c r="BE28" s="529"/>
      <c r="BF28" s="323">
        <f t="shared" si="32"/>
        <v>0</v>
      </c>
      <c r="BG28" s="323">
        <f t="shared" si="11"/>
        <v>0</v>
      </c>
      <c r="BH28" s="529"/>
      <c r="BI28" s="323">
        <f t="shared" si="33"/>
        <v>0</v>
      </c>
      <c r="BJ28" s="323">
        <f t="shared" si="12"/>
        <v>0</v>
      </c>
      <c r="BK28" s="529"/>
      <c r="BL28" s="323">
        <f t="shared" si="34"/>
        <v>0</v>
      </c>
      <c r="BM28" s="304">
        <f t="shared" si="35"/>
        <v>0</v>
      </c>
      <c r="BN28" s="324">
        <f t="shared" si="36"/>
        <v>0</v>
      </c>
      <c r="BO28" s="306"/>
      <c r="BP28" s="321">
        <f t="shared" si="13"/>
        <v>0</v>
      </c>
      <c r="BQ28" s="528"/>
      <c r="BR28" s="325">
        <f t="shared" si="37"/>
        <v>0</v>
      </c>
      <c r="BS28" s="323">
        <f t="shared" si="14"/>
        <v>0</v>
      </c>
      <c r="BT28" s="529"/>
      <c r="BU28" s="323">
        <f t="shared" si="38"/>
        <v>0</v>
      </c>
      <c r="BV28" s="323">
        <f t="shared" si="15"/>
        <v>0</v>
      </c>
      <c r="BW28" s="529"/>
      <c r="BX28" s="323">
        <f t="shared" si="39"/>
        <v>0</v>
      </c>
      <c r="BY28" s="323">
        <f t="shared" si="16"/>
        <v>0</v>
      </c>
      <c r="BZ28" s="529"/>
      <c r="CA28" s="323">
        <f t="shared" si="40"/>
        <v>0</v>
      </c>
      <c r="CB28" s="323">
        <f t="shared" si="17"/>
        <v>0</v>
      </c>
      <c r="CC28" s="529"/>
      <c r="CD28" s="323">
        <f t="shared" si="41"/>
        <v>0</v>
      </c>
      <c r="CE28" s="304">
        <f t="shared" si="42"/>
        <v>0</v>
      </c>
      <c r="CF28" s="321">
        <f t="shared" si="18"/>
        <v>0</v>
      </c>
      <c r="CG28" s="529"/>
      <c r="CH28" s="326">
        <f t="shared" si="43"/>
        <v>0</v>
      </c>
      <c r="CI28" s="310"/>
      <c r="CJ28" s="327">
        <f t="shared" si="44"/>
        <v>0</v>
      </c>
      <c r="CK28" s="321">
        <f t="shared" si="19"/>
        <v>0</v>
      </c>
      <c r="CL28" s="528"/>
      <c r="CM28" s="322">
        <f t="shared" si="45"/>
        <v>0</v>
      </c>
      <c r="CN28" s="321">
        <f t="shared" si="20"/>
        <v>0</v>
      </c>
      <c r="CO28" s="529"/>
      <c r="CP28" s="326">
        <f t="shared" si="46"/>
        <v>0</v>
      </c>
      <c r="CQ28" s="327">
        <f t="shared" si="47"/>
        <v>0</v>
      </c>
      <c r="CR28" s="313" t="str">
        <f t="shared" si="21"/>
        <v/>
      </c>
      <c r="CS28" s="526"/>
      <c r="CT28" s="314" t="str">
        <f t="shared" si="48"/>
        <v/>
      </c>
      <c r="CU28" s="315" t="str">
        <f t="shared" si="22"/>
        <v/>
      </c>
      <c r="CV28" s="236"/>
      <c r="CW28" s="316" t="str">
        <f t="shared" si="49"/>
        <v/>
      </c>
      <c r="CX28" s="328" t="str">
        <f t="shared" si="50"/>
        <v/>
      </c>
      <c r="CY28" s="530"/>
      <c r="DA28" s="6">
        <f>IF(AND(CT28&lt;&gt;"",OR(CT28&lt;EXPEDIENTE!$I$25,CT28&gt;EXPEDIENTE!$I$29)),1,0)</f>
        <v>0</v>
      </c>
      <c r="DB28" s="6">
        <f>IF(AND(CW28&lt;&gt;"",OR(CW28&lt;EXPEDIENTE!$I$25,CW28&gt;EXPEDIENTE!$I$29)),1,0)</f>
        <v>0</v>
      </c>
      <c r="DD28" s="88">
        <f t="shared" si="51"/>
        <v>0</v>
      </c>
      <c r="DE28" s="88">
        <f t="shared" si="52"/>
        <v>0</v>
      </c>
      <c r="DF28" s="88">
        <f t="shared" si="53"/>
        <v>0</v>
      </c>
      <c r="DG28" s="88">
        <f t="shared" si="54"/>
        <v>0</v>
      </c>
      <c r="DH28" s="88">
        <f t="shared" si="55"/>
        <v>0</v>
      </c>
      <c r="DI28" s="88">
        <f t="shared" si="56"/>
        <v>0</v>
      </c>
      <c r="DJ28" s="88">
        <f t="shared" si="57"/>
        <v>0</v>
      </c>
      <c r="DK28" s="88">
        <f t="shared" si="58"/>
        <v>0</v>
      </c>
      <c r="DL28" s="88">
        <f t="shared" si="59"/>
        <v>0</v>
      </c>
      <c r="DM28" s="88">
        <f t="shared" si="60"/>
        <v>0</v>
      </c>
      <c r="DN28" s="88">
        <f t="shared" si="61"/>
        <v>0</v>
      </c>
      <c r="DO28" s="88">
        <f t="shared" si="62"/>
        <v>0</v>
      </c>
      <c r="DP28" s="88">
        <f t="shared" si="63"/>
        <v>0</v>
      </c>
      <c r="DQ28" s="88">
        <f t="shared" si="64"/>
        <v>0</v>
      </c>
      <c r="DR28" s="88">
        <f t="shared" si="65"/>
        <v>0</v>
      </c>
      <c r="DS28" s="88">
        <f t="shared" si="66"/>
        <v>0</v>
      </c>
      <c r="DT28" s="88">
        <f t="shared" si="67"/>
        <v>0</v>
      </c>
      <c r="DU28" s="88">
        <f t="shared" si="68"/>
        <v>0</v>
      </c>
      <c r="DW28" s="88">
        <f>IF(CY28&lt;&gt;"",MAX($DW$9:DW27)+1,0)</f>
        <v>0</v>
      </c>
      <c r="DX28" s="182" t="str">
        <f t="shared" si="69"/>
        <v/>
      </c>
    </row>
    <row r="29" spans="2:128" ht="30" customHeight="1" x14ac:dyDescent="0.25">
      <c r="B29" s="875"/>
      <c r="C29" s="885" t="s">
        <v>54</v>
      </c>
      <c r="D29" s="886"/>
      <c r="E29" s="52"/>
      <c r="F29" s="53"/>
      <c r="G29" s="54"/>
      <c r="H29" s="54"/>
      <c r="I29" s="54"/>
      <c r="J29" s="54"/>
      <c r="K29" s="54"/>
      <c r="L29" s="23">
        <f t="shared" si="24"/>
        <v>0</v>
      </c>
      <c r="M29" s="28">
        <f t="shared" si="70"/>
        <v>0</v>
      </c>
      <c r="N29" s="25"/>
      <c r="O29" s="53"/>
      <c r="P29" s="54"/>
      <c r="Q29" s="54"/>
      <c r="R29" s="54"/>
      <c r="S29" s="54"/>
      <c r="T29" s="23">
        <f t="shared" si="25"/>
        <v>0</v>
      </c>
      <c r="U29" s="60"/>
      <c r="V29" s="27"/>
      <c r="W29" s="28">
        <f t="shared" si="71"/>
        <v>0</v>
      </c>
      <c r="X29" s="53"/>
      <c r="Y29" s="54"/>
      <c r="Z29" s="23">
        <f t="shared" si="26"/>
        <v>0</v>
      </c>
      <c r="AA29" s="62"/>
      <c r="AB29" s="63"/>
      <c r="AC29" s="69"/>
      <c r="AD29" s="70"/>
      <c r="AE29" s="71"/>
      <c r="AG29" s="6">
        <f>IF(AND(AA29&lt;&gt;"",OR(AA29&lt;EXPEDIENTE!$I$25,AA29&gt;EXPEDIENTE!$I$29)),1,0)</f>
        <v>0</v>
      </c>
      <c r="AH29" s="6">
        <f>IF(AND(AB29&lt;&gt;"",OR(AB29&lt;EXPEDIENTE!$I$25,AB29&gt;EXPEDIENTE!$I$29)),1,0)</f>
        <v>0</v>
      </c>
      <c r="AI29" s="6">
        <f>IF(DATE(YEAR(EXPEDIENTE!$I$25),MONTH(DATEVALUE($C29&amp;"1")),1)&gt;=DATE(YEAR(EXPEDIENTE!$I$25),MONTH(EXPEDIENTE!$I$25),1),0,1)</f>
        <v>0</v>
      </c>
      <c r="AJ29" s="6" t="e">
        <f>IF(DATE(YEAR(EXPEDIENTE!$I$25),MONTH(DATEVALUE($C29&amp;"1")),1)&lt;=DATE(YEAR(EXPEDIENTE!$I$29),MONTH(EXPEDIENTE!$I$29),1),0,1)</f>
        <v>#VALUE!</v>
      </c>
      <c r="AK29" s="6" t="e">
        <f t="shared" si="27"/>
        <v>#VALUE!</v>
      </c>
      <c r="AM29" s="728"/>
      <c r="AN29" s="723" t="s">
        <v>54</v>
      </c>
      <c r="AO29" s="724"/>
      <c r="AP29" s="719"/>
      <c r="AQ29" s="720"/>
      <c r="AR29" s="319">
        <f t="shared" si="6"/>
        <v>0</v>
      </c>
      <c r="AS29" s="120"/>
      <c r="AT29" s="320">
        <f t="shared" si="28"/>
        <v>0</v>
      </c>
      <c r="AU29" s="321">
        <f t="shared" si="7"/>
        <v>0</v>
      </c>
      <c r="AV29" s="528"/>
      <c r="AW29" s="322">
        <f t="shared" si="29"/>
        <v>0</v>
      </c>
      <c r="AX29" s="321">
        <f t="shared" si="8"/>
        <v>0</v>
      </c>
      <c r="AY29" s="529"/>
      <c r="AZ29" s="323">
        <f t="shared" si="30"/>
        <v>0</v>
      </c>
      <c r="BA29" s="323">
        <f t="shared" si="9"/>
        <v>0</v>
      </c>
      <c r="BB29" s="529"/>
      <c r="BC29" s="323">
        <f t="shared" si="31"/>
        <v>0</v>
      </c>
      <c r="BD29" s="323">
        <f t="shared" si="10"/>
        <v>0</v>
      </c>
      <c r="BE29" s="529"/>
      <c r="BF29" s="323">
        <f t="shared" si="32"/>
        <v>0</v>
      </c>
      <c r="BG29" s="323">
        <f t="shared" si="11"/>
        <v>0</v>
      </c>
      <c r="BH29" s="529"/>
      <c r="BI29" s="323">
        <f t="shared" si="33"/>
        <v>0</v>
      </c>
      <c r="BJ29" s="323">
        <f t="shared" si="12"/>
        <v>0</v>
      </c>
      <c r="BK29" s="529"/>
      <c r="BL29" s="323">
        <f t="shared" si="34"/>
        <v>0</v>
      </c>
      <c r="BM29" s="304">
        <f t="shared" si="35"/>
        <v>0</v>
      </c>
      <c r="BN29" s="324">
        <f t="shared" si="36"/>
        <v>0</v>
      </c>
      <c r="BO29" s="306"/>
      <c r="BP29" s="321">
        <f t="shared" si="13"/>
        <v>0</v>
      </c>
      <c r="BQ29" s="528"/>
      <c r="BR29" s="325">
        <f t="shared" si="37"/>
        <v>0</v>
      </c>
      <c r="BS29" s="323">
        <f t="shared" si="14"/>
        <v>0</v>
      </c>
      <c r="BT29" s="529"/>
      <c r="BU29" s="323">
        <f t="shared" si="38"/>
        <v>0</v>
      </c>
      <c r="BV29" s="323">
        <f t="shared" si="15"/>
        <v>0</v>
      </c>
      <c r="BW29" s="529"/>
      <c r="BX29" s="323">
        <f t="shared" si="39"/>
        <v>0</v>
      </c>
      <c r="BY29" s="323">
        <f t="shared" si="16"/>
        <v>0</v>
      </c>
      <c r="BZ29" s="529"/>
      <c r="CA29" s="323">
        <f t="shared" si="40"/>
        <v>0</v>
      </c>
      <c r="CB29" s="323">
        <f t="shared" si="17"/>
        <v>0</v>
      </c>
      <c r="CC29" s="529"/>
      <c r="CD29" s="323">
        <f t="shared" si="41"/>
        <v>0</v>
      </c>
      <c r="CE29" s="304">
        <f t="shared" si="42"/>
        <v>0</v>
      </c>
      <c r="CF29" s="321">
        <f t="shared" si="18"/>
        <v>0</v>
      </c>
      <c r="CG29" s="529"/>
      <c r="CH29" s="326">
        <f t="shared" si="43"/>
        <v>0</v>
      </c>
      <c r="CI29" s="310"/>
      <c r="CJ29" s="327">
        <f t="shared" si="44"/>
        <v>0</v>
      </c>
      <c r="CK29" s="321">
        <f t="shared" si="19"/>
        <v>0</v>
      </c>
      <c r="CL29" s="528"/>
      <c r="CM29" s="322">
        <f t="shared" si="45"/>
        <v>0</v>
      </c>
      <c r="CN29" s="321">
        <f t="shared" si="20"/>
        <v>0</v>
      </c>
      <c r="CO29" s="529"/>
      <c r="CP29" s="326">
        <f t="shared" si="46"/>
        <v>0</v>
      </c>
      <c r="CQ29" s="327">
        <f t="shared" si="47"/>
        <v>0</v>
      </c>
      <c r="CR29" s="313" t="str">
        <f t="shared" si="21"/>
        <v/>
      </c>
      <c r="CS29" s="526"/>
      <c r="CT29" s="314" t="str">
        <f t="shared" si="48"/>
        <v/>
      </c>
      <c r="CU29" s="315" t="str">
        <f t="shared" si="22"/>
        <v/>
      </c>
      <c r="CV29" s="236"/>
      <c r="CW29" s="316" t="str">
        <f t="shared" si="49"/>
        <v/>
      </c>
      <c r="CX29" s="328" t="str">
        <f t="shared" si="50"/>
        <v/>
      </c>
      <c r="CY29" s="530"/>
      <c r="DA29" s="6">
        <f>IF(AND(CT29&lt;&gt;"",OR(CT29&lt;EXPEDIENTE!$I$25,CT29&gt;EXPEDIENTE!$I$29)),1,0)</f>
        <v>0</v>
      </c>
      <c r="DB29" s="6">
        <f>IF(AND(CW29&lt;&gt;"",OR(CW29&lt;EXPEDIENTE!$I$25,CW29&gt;EXPEDIENTE!$I$29)),1,0)</f>
        <v>0</v>
      </c>
      <c r="DD29" s="88">
        <f t="shared" si="51"/>
        <v>0</v>
      </c>
      <c r="DE29" s="88">
        <f t="shared" si="52"/>
        <v>0</v>
      </c>
      <c r="DF29" s="88">
        <f t="shared" si="53"/>
        <v>0</v>
      </c>
      <c r="DG29" s="88">
        <f t="shared" si="54"/>
        <v>0</v>
      </c>
      <c r="DH29" s="88">
        <f t="shared" si="55"/>
        <v>0</v>
      </c>
      <c r="DI29" s="88">
        <f t="shared" si="56"/>
        <v>0</v>
      </c>
      <c r="DJ29" s="88">
        <f t="shared" si="57"/>
        <v>0</v>
      </c>
      <c r="DK29" s="88">
        <f t="shared" si="58"/>
        <v>0</v>
      </c>
      <c r="DL29" s="88">
        <f t="shared" si="59"/>
        <v>0</v>
      </c>
      <c r="DM29" s="88">
        <f t="shared" si="60"/>
        <v>0</v>
      </c>
      <c r="DN29" s="88">
        <f t="shared" si="61"/>
        <v>0</v>
      </c>
      <c r="DO29" s="88">
        <f t="shared" si="62"/>
        <v>0</v>
      </c>
      <c r="DP29" s="88">
        <f t="shared" si="63"/>
        <v>0</v>
      </c>
      <c r="DQ29" s="88">
        <f t="shared" si="64"/>
        <v>0</v>
      </c>
      <c r="DR29" s="88">
        <f t="shared" si="65"/>
        <v>0</v>
      </c>
      <c r="DS29" s="88">
        <f t="shared" si="66"/>
        <v>0</v>
      </c>
      <c r="DT29" s="88">
        <f t="shared" si="67"/>
        <v>0</v>
      </c>
      <c r="DU29" s="88">
        <f t="shared" si="68"/>
        <v>0</v>
      </c>
      <c r="DW29" s="88">
        <f>IF(CY29&lt;&gt;"",MAX($DW$9:DW28)+1,0)</f>
        <v>0</v>
      </c>
      <c r="DX29" s="182" t="str">
        <f t="shared" si="69"/>
        <v/>
      </c>
    </row>
    <row r="30" spans="2:128" ht="30" customHeight="1" x14ac:dyDescent="0.25">
      <c r="B30" s="875"/>
      <c r="C30" s="885" t="s">
        <v>55</v>
      </c>
      <c r="D30" s="886"/>
      <c r="E30" s="52"/>
      <c r="F30" s="53"/>
      <c r="G30" s="54"/>
      <c r="H30" s="54"/>
      <c r="I30" s="54"/>
      <c r="J30" s="54"/>
      <c r="K30" s="54"/>
      <c r="L30" s="23">
        <f t="shared" si="24"/>
        <v>0</v>
      </c>
      <c r="M30" s="28">
        <f t="shared" si="70"/>
        <v>0</v>
      </c>
      <c r="N30" s="25"/>
      <c r="O30" s="53"/>
      <c r="P30" s="54"/>
      <c r="Q30" s="54"/>
      <c r="R30" s="54"/>
      <c r="S30" s="54"/>
      <c r="T30" s="23">
        <f t="shared" si="25"/>
        <v>0</v>
      </c>
      <c r="U30" s="60"/>
      <c r="V30" s="27"/>
      <c r="W30" s="28">
        <f t="shared" si="71"/>
        <v>0</v>
      </c>
      <c r="X30" s="53"/>
      <c r="Y30" s="54"/>
      <c r="Z30" s="23">
        <f t="shared" si="26"/>
        <v>0</v>
      </c>
      <c r="AA30" s="62"/>
      <c r="AB30" s="63"/>
      <c r="AC30" s="69"/>
      <c r="AD30" s="70"/>
      <c r="AE30" s="71"/>
      <c r="AG30" s="6">
        <f>IF(AND(AA30&lt;&gt;"",OR(AA30&lt;EXPEDIENTE!$I$25,AA30&gt;EXPEDIENTE!$I$29)),1,0)</f>
        <v>0</v>
      </c>
      <c r="AH30" s="6">
        <f>IF(AND(AB30&lt;&gt;"",OR(AB30&lt;EXPEDIENTE!$I$25,AB30&gt;EXPEDIENTE!$I$29)),1,0)</f>
        <v>0</v>
      </c>
      <c r="AI30" s="6">
        <f>IF(DATE(YEAR(EXPEDIENTE!$I$25),MONTH(DATEVALUE($C30&amp;"1")),1)&gt;=DATE(YEAR(EXPEDIENTE!$I$25),MONTH(EXPEDIENTE!$I$25),1),0,1)</f>
        <v>0</v>
      </c>
      <c r="AJ30" s="6" t="e">
        <f>IF(DATE(YEAR(EXPEDIENTE!$I$25),MONTH(DATEVALUE($C30&amp;"1")),1)&lt;=DATE(YEAR(EXPEDIENTE!$I$29),MONTH(EXPEDIENTE!$I$29),1),0,1)</f>
        <v>#VALUE!</v>
      </c>
      <c r="AK30" s="6" t="e">
        <f t="shared" si="27"/>
        <v>#VALUE!</v>
      </c>
      <c r="AM30" s="728"/>
      <c r="AN30" s="723" t="s">
        <v>55</v>
      </c>
      <c r="AO30" s="724"/>
      <c r="AP30" s="719"/>
      <c r="AQ30" s="720"/>
      <c r="AR30" s="319">
        <f t="shared" si="6"/>
        <v>0</v>
      </c>
      <c r="AS30" s="120"/>
      <c r="AT30" s="320">
        <f t="shared" si="28"/>
        <v>0</v>
      </c>
      <c r="AU30" s="321">
        <f t="shared" si="7"/>
        <v>0</v>
      </c>
      <c r="AV30" s="528"/>
      <c r="AW30" s="322">
        <f t="shared" si="29"/>
        <v>0</v>
      </c>
      <c r="AX30" s="321">
        <f t="shared" si="8"/>
        <v>0</v>
      </c>
      <c r="AY30" s="529"/>
      <c r="AZ30" s="323">
        <f t="shared" si="30"/>
        <v>0</v>
      </c>
      <c r="BA30" s="323">
        <f t="shared" si="9"/>
        <v>0</v>
      </c>
      <c r="BB30" s="529"/>
      <c r="BC30" s="323">
        <f t="shared" si="31"/>
        <v>0</v>
      </c>
      <c r="BD30" s="323">
        <f t="shared" si="10"/>
        <v>0</v>
      </c>
      <c r="BE30" s="529"/>
      <c r="BF30" s="323">
        <f t="shared" si="32"/>
        <v>0</v>
      </c>
      <c r="BG30" s="323">
        <f t="shared" si="11"/>
        <v>0</v>
      </c>
      <c r="BH30" s="529"/>
      <c r="BI30" s="323">
        <f t="shared" si="33"/>
        <v>0</v>
      </c>
      <c r="BJ30" s="323">
        <f t="shared" si="12"/>
        <v>0</v>
      </c>
      <c r="BK30" s="529"/>
      <c r="BL30" s="323">
        <f t="shared" si="34"/>
        <v>0</v>
      </c>
      <c r="BM30" s="304">
        <f t="shared" si="35"/>
        <v>0</v>
      </c>
      <c r="BN30" s="324">
        <f t="shared" si="36"/>
        <v>0</v>
      </c>
      <c r="BO30" s="306"/>
      <c r="BP30" s="321">
        <f t="shared" si="13"/>
        <v>0</v>
      </c>
      <c r="BQ30" s="528"/>
      <c r="BR30" s="325">
        <f t="shared" si="37"/>
        <v>0</v>
      </c>
      <c r="BS30" s="323">
        <f t="shared" si="14"/>
        <v>0</v>
      </c>
      <c r="BT30" s="529"/>
      <c r="BU30" s="323">
        <f t="shared" si="38"/>
        <v>0</v>
      </c>
      <c r="BV30" s="323">
        <f t="shared" si="15"/>
        <v>0</v>
      </c>
      <c r="BW30" s="529"/>
      <c r="BX30" s="323">
        <f t="shared" si="39"/>
        <v>0</v>
      </c>
      <c r="BY30" s="323">
        <f t="shared" si="16"/>
        <v>0</v>
      </c>
      <c r="BZ30" s="529"/>
      <c r="CA30" s="323">
        <f t="shared" si="40"/>
        <v>0</v>
      </c>
      <c r="CB30" s="323">
        <f t="shared" si="17"/>
        <v>0</v>
      </c>
      <c r="CC30" s="529"/>
      <c r="CD30" s="323">
        <f t="shared" si="41"/>
        <v>0</v>
      </c>
      <c r="CE30" s="304">
        <f t="shared" si="42"/>
        <v>0</v>
      </c>
      <c r="CF30" s="321">
        <f t="shared" si="18"/>
        <v>0</v>
      </c>
      <c r="CG30" s="529"/>
      <c r="CH30" s="326">
        <f t="shared" si="43"/>
        <v>0</v>
      </c>
      <c r="CI30" s="310"/>
      <c r="CJ30" s="327">
        <f t="shared" si="44"/>
        <v>0</v>
      </c>
      <c r="CK30" s="321">
        <f t="shared" si="19"/>
        <v>0</v>
      </c>
      <c r="CL30" s="528"/>
      <c r="CM30" s="322">
        <f t="shared" si="45"/>
        <v>0</v>
      </c>
      <c r="CN30" s="321">
        <f t="shared" si="20"/>
        <v>0</v>
      </c>
      <c r="CO30" s="529"/>
      <c r="CP30" s="326">
        <f t="shared" si="46"/>
        <v>0</v>
      </c>
      <c r="CQ30" s="327">
        <f t="shared" si="47"/>
        <v>0</v>
      </c>
      <c r="CR30" s="313" t="str">
        <f t="shared" si="21"/>
        <v/>
      </c>
      <c r="CS30" s="526"/>
      <c r="CT30" s="314" t="str">
        <f t="shared" si="48"/>
        <v/>
      </c>
      <c r="CU30" s="315" t="str">
        <f t="shared" si="22"/>
        <v/>
      </c>
      <c r="CV30" s="236"/>
      <c r="CW30" s="316" t="str">
        <f t="shared" si="49"/>
        <v/>
      </c>
      <c r="CX30" s="328" t="str">
        <f t="shared" si="50"/>
        <v/>
      </c>
      <c r="CY30" s="530"/>
      <c r="DA30" s="6">
        <f>IF(AND(CT30&lt;&gt;"",OR(CT30&lt;EXPEDIENTE!$I$25,CT30&gt;EXPEDIENTE!$I$29)),1,0)</f>
        <v>0</v>
      </c>
      <c r="DB30" s="6">
        <f>IF(AND(CW30&lt;&gt;"",OR(CW30&lt;EXPEDIENTE!$I$25,CW30&gt;EXPEDIENTE!$I$29)),1,0)</f>
        <v>0</v>
      </c>
      <c r="DD30" s="88">
        <f t="shared" si="51"/>
        <v>0</v>
      </c>
      <c r="DE30" s="88">
        <f t="shared" si="52"/>
        <v>0</v>
      </c>
      <c r="DF30" s="88">
        <f t="shared" si="53"/>
        <v>0</v>
      </c>
      <c r="DG30" s="88">
        <f t="shared" si="54"/>
        <v>0</v>
      </c>
      <c r="DH30" s="88">
        <f t="shared" si="55"/>
        <v>0</v>
      </c>
      <c r="DI30" s="88">
        <f t="shared" si="56"/>
        <v>0</v>
      </c>
      <c r="DJ30" s="88">
        <f t="shared" si="57"/>
        <v>0</v>
      </c>
      <c r="DK30" s="88">
        <f t="shared" si="58"/>
        <v>0</v>
      </c>
      <c r="DL30" s="88">
        <f t="shared" si="59"/>
        <v>0</v>
      </c>
      <c r="DM30" s="88">
        <f t="shared" si="60"/>
        <v>0</v>
      </c>
      <c r="DN30" s="88">
        <f t="shared" si="61"/>
        <v>0</v>
      </c>
      <c r="DO30" s="88">
        <f t="shared" si="62"/>
        <v>0</v>
      </c>
      <c r="DP30" s="88">
        <f t="shared" si="63"/>
        <v>0</v>
      </c>
      <c r="DQ30" s="88">
        <f t="shared" si="64"/>
        <v>0</v>
      </c>
      <c r="DR30" s="88">
        <f t="shared" si="65"/>
        <v>0</v>
      </c>
      <c r="DS30" s="88">
        <f t="shared" si="66"/>
        <v>0</v>
      </c>
      <c r="DT30" s="88">
        <f t="shared" si="67"/>
        <v>0</v>
      </c>
      <c r="DU30" s="88">
        <f t="shared" si="68"/>
        <v>0</v>
      </c>
      <c r="DW30" s="88">
        <f>IF(CY30&lt;&gt;"",MAX($DW$9:DW29)+1,0)</f>
        <v>0</v>
      </c>
      <c r="DX30" s="182" t="str">
        <f t="shared" si="69"/>
        <v/>
      </c>
    </row>
    <row r="31" spans="2:128" ht="30" customHeight="1" thickBot="1" x14ac:dyDescent="0.3">
      <c r="B31" s="875"/>
      <c r="C31" s="889" t="s">
        <v>56</v>
      </c>
      <c r="D31" s="890"/>
      <c r="E31" s="176"/>
      <c r="F31" s="55"/>
      <c r="G31" s="56"/>
      <c r="H31" s="56"/>
      <c r="I31" s="56"/>
      <c r="J31" s="56"/>
      <c r="K31" s="56"/>
      <c r="L31" s="30">
        <f t="shared" si="24"/>
        <v>0</v>
      </c>
      <c r="M31" s="174">
        <f t="shared" si="70"/>
        <v>0</v>
      </c>
      <c r="N31" s="25"/>
      <c r="O31" s="57"/>
      <c r="P31" s="58"/>
      <c r="Q31" s="58"/>
      <c r="R31" s="58"/>
      <c r="S31" s="58"/>
      <c r="T31" s="29">
        <f t="shared" si="25"/>
        <v>0</v>
      </c>
      <c r="U31" s="61"/>
      <c r="V31" s="27"/>
      <c r="W31" s="174">
        <f t="shared" si="71"/>
        <v>0</v>
      </c>
      <c r="X31" s="55"/>
      <c r="Y31" s="56"/>
      <c r="Z31" s="30">
        <f t="shared" si="26"/>
        <v>0</v>
      </c>
      <c r="AA31" s="175"/>
      <c r="AB31" s="173"/>
      <c r="AC31" s="72"/>
      <c r="AD31" s="73"/>
      <c r="AE31" s="74"/>
      <c r="AG31" s="6">
        <f>IF(AND(AA31&lt;&gt;"",OR(AA31&lt;EXPEDIENTE!$I$25,AA31&gt;EXPEDIENTE!$I$29)),1,0)</f>
        <v>0</v>
      </c>
      <c r="AH31" s="6">
        <f>IF(AND(AB31&lt;&gt;"",OR(AB31&lt;EXPEDIENTE!$I$25,AB31&gt;EXPEDIENTE!$I$29)),1,0)</f>
        <v>0</v>
      </c>
      <c r="AI31" s="6">
        <f>IF(DATE(YEAR(EXPEDIENTE!$I$25),MONTH(DATEVALUE($C31&amp;"1")),1)&gt;=DATE(YEAR(EXPEDIENTE!$I$25),MONTH(EXPEDIENTE!$I$25),1),0,1)</f>
        <v>0</v>
      </c>
      <c r="AJ31" s="6" t="e">
        <f>IF(DATE(YEAR(EXPEDIENTE!$I$25),MONTH(DATEVALUE($C31&amp;"1")),1)&lt;=DATE(YEAR(EXPEDIENTE!$I$29),MONTH(EXPEDIENTE!$I$29),1),0,1)</f>
        <v>#VALUE!</v>
      </c>
      <c r="AK31" s="6" t="e">
        <f t="shared" si="27"/>
        <v>#VALUE!</v>
      </c>
      <c r="AM31" s="728"/>
      <c r="AN31" s="781" t="s">
        <v>56</v>
      </c>
      <c r="AO31" s="782"/>
      <c r="AP31" s="721"/>
      <c r="AQ31" s="722"/>
      <c r="AR31" s="329">
        <f t="shared" si="6"/>
        <v>0</v>
      </c>
      <c r="AS31" s="531"/>
      <c r="AT31" s="330">
        <f t="shared" si="28"/>
        <v>0</v>
      </c>
      <c r="AU31" s="331">
        <f t="shared" si="7"/>
        <v>0</v>
      </c>
      <c r="AV31" s="532"/>
      <c r="AW31" s="332">
        <f t="shared" si="29"/>
        <v>0</v>
      </c>
      <c r="AX31" s="331">
        <f t="shared" si="8"/>
        <v>0</v>
      </c>
      <c r="AY31" s="533"/>
      <c r="AZ31" s="333">
        <f t="shared" si="30"/>
        <v>0</v>
      </c>
      <c r="BA31" s="333">
        <f t="shared" si="9"/>
        <v>0</v>
      </c>
      <c r="BB31" s="533"/>
      <c r="BC31" s="333">
        <f t="shared" si="31"/>
        <v>0</v>
      </c>
      <c r="BD31" s="333">
        <f t="shared" si="10"/>
        <v>0</v>
      </c>
      <c r="BE31" s="533"/>
      <c r="BF31" s="333">
        <f t="shared" si="32"/>
        <v>0</v>
      </c>
      <c r="BG31" s="333">
        <f t="shared" si="11"/>
        <v>0</v>
      </c>
      <c r="BH31" s="533"/>
      <c r="BI31" s="333">
        <f t="shared" si="33"/>
        <v>0</v>
      </c>
      <c r="BJ31" s="333">
        <f t="shared" si="12"/>
        <v>0</v>
      </c>
      <c r="BK31" s="533"/>
      <c r="BL31" s="333">
        <f t="shared" si="34"/>
        <v>0</v>
      </c>
      <c r="BM31" s="334">
        <f t="shared" si="35"/>
        <v>0</v>
      </c>
      <c r="BN31" s="335">
        <f t="shared" si="36"/>
        <v>0</v>
      </c>
      <c r="BO31" s="306"/>
      <c r="BP31" s="331">
        <f t="shared" si="13"/>
        <v>0</v>
      </c>
      <c r="BQ31" s="532"/>
      <c r="BR31" s="336">
        <f t="shared" si="37"/>
        <v>0</v>
      </c>
      <c r="BS31" s="333">
        <f t="shared" si="14"/>
        <v>0</v>
      </c>
      <c r="BT31" s="533"/>
      <c r="BU31" s="333">
        <f t="shared" si="38"/>
        <v>0</v>
      </c>
      <c r="BV31" s="333">
        <f t="shared" si="15"/>
        <v>0</v>
      </c>
      <c r="BW31" s="533"/>
      <c r="BX31" s="333">
        <f t="shared" si="39"/>
        <v>0</v>
      </c>
      <c r="BY31" s="333">
        <f t="shared" si="16"/>
        <v>0</v>
      </c>
      <c r="BZ31" s="533"/>
      <c r="CA31" s="333">
        <f t="shared" si="40"/>
        <v>0</v>
      </c>
      <c r="CB31" s="333">
        <f t="shared" si="17"/>
        <v>0</v>
      </c>
      <c r="CC31" s="533"/>
      <c r="CD31" s="333">
        <f t="shared" si="41"/>
        <v>0</v>
      </c>
      <c r="CE31" s="334">
        <f t="shared" si="42"/>
        <v>0</v>
      </c>
      <c r="CF31" s="331">
        <f t="shared" si="18"/>
        <v>0</v>
      </c>
      <c r="CG31" s="533"/>
      <c r="CH31" s="337">
        <f t="shared" si="43"/>
        <v>0</v>
      </c>
      <c r="CI31" s="310"/>
      <c r="CJ31" s="335">
        <f t="shared" si="44"/>
        <v>0</v>
      </c>
      <c r="CK31" s="331">
        <f t="shared" si="19"/>
        <v>0</v>
      </c>
      <c r="CL31" s="532"/>
      <c r="CM31" s="332">
        <f t="shared" si="45"/>
        <v>0</v>
      </c>
      <c r="CN31" s="331">
        <f t="shared" si="20"/>
        <v>0</v>
      </c>
      <c r="CO31" s="533"/>
      <c r="CP31" s="337">
        <f t="shared" si="46"/>
        <v>0</v>
      </c>
      <c r="CQ31" s="335">
        <f t="shared" si="47"/>
        <v>0</v>
      </c>
      <c r="CR31" s="338" t="str">
        <f t="shared" si="21"/>
        <v/>
      </c>
      <c r="CS31" s="534"/>
      <c r="CT31" s="339" t="str">
        <f t="shared" si="48"/>
        <v/>
      </c>
      <c r="CU31" s="340" t="str">
        <f t="shared" si="22"/>
        <v/>
      </c>
      <c r="CV31" s="248"/>
      <c r="CW31" s="341" t="str">
        <f t="shared" si="49"/>
        <v/>
      </c>
      <c r="CX31" s="342" t="str">
        <f t="shared" si="50"/>
        <v/>
      </c>
      <c r="CY31" s="535"/>
      <c r="DA31" s="6">
        <f>IF(AND(CT31&lt;&gt;"",OR(CT31&lt;EXPEDIENTE!$I$25,CT31&gt;EXPEDIENTE!$I$29)),1,0)</f>
        <v>0</v>
      </c>
      <c r="DB31" s="6">
        <f>IF(AND(CW31&lt;&gt;"",OR(CW31&lt;EXPEDIENTE!$I$25,CW31&gt;EXPEDIENTE!$I$29)),1,0)</f>
        <v>0</v>
      </c>
      <c r="DD31" s="88">
        <f t="shared" si="51"/>
        <v>0</v>
      </c>
      <c r="DE31" s="88">
        <f t="shared" si="52"/>
        <v>0</v>
      </c>
      <c r="DF31" s="88">
        <f t="shared" si="53"/>
        <v>0</v>
      </c>
      <c r="DG31" s="88">
        <f t="shared" si="54"/>
        <v>0</v>
      </c>
      <c r="DH31" s="88">
        <f t="shared" si="55"/>
        <v>0</v>
      </c>
      <c r="DI31" s="88">
        <f t="shared" si="56"/>
        <v>0</v>
      </c>
      <c r="DJ31" s="88">
        <f t="shared" si="57"/>
        <v>0</v>
      </c>
      <c r="DK31" s="88">
        <f t="shared" si="58"/>
        <v>0</v>
      </c>
      <c r="DL31" s="88">
        <f t="shared" si="59"/>
        <v>0</v>
      </c>
      <c r="DM31" s="88">
        <f t="shared" si="60"/>
        <v>0</v>
      </c>
      <c r="DN31" s="88">
        <f t="shared" si="61"/>
        <v>0</v>
      </c>
      <c r="DO31" s="88">
        <f t="shared" si="62"/>
        <v>0</v>
      </c>
      <c r="DP31" s="88">
        <f t="shared" si="63"/>
        <v>0</v>
      </c>
      <c r="DQ31" s="88">
        <f t="shared" si="64"/>
        <v>0</v>
      </c>
      <c r="DR31" s="88">
        <f t="shared" si="65"/>
        <v>0</v>
      </c>
      <c r="DS31" s="88">
        <f t="shared" si="66"/>
        <v>0</v>
      </c>
      <c r="DT31" s="88">
        <f t="shared" si="67"/>
        <v>0</v>
      </c>
      <c r="DU31" s="88">
        <f t="shared" si="68"/>
        <v>0</v>
      </c>
      <c r="DW31" s="88">
        <f>IF(CY31&lt;&gt;"",MAX($DW$9:DW30)+1,0)</f>
        <v>0</v>
      </c>
      <c r="DX31" s="182" t="str">
        <f t="shared" si="69"/>
        <v/>
      </c>
    </row>
    <row r="32" spans="2:128" ht="9.9499999999999993" customHeight="1" thickBot="1" x14ac:dyDescent="0.3">
      <c r="B32" s="875"/>
      <c r="C32" s="177"/>
      <c r="D32" s="161"/>
      <c r="E32" s="161"/>
      <c r="F32" s="161"/>
      <c r="G32" s="161"/>
      <c r="H32" s="161"/>
      <c r="I32" s="161"/>
      <c r="J32" s="161"/>
      <c r="K32" s="161"/>
      <c r="L32" s="161"/>
      <c r="M32" s="178"/>
      <c r="N32" s="32"/>
      <c r="O32" s="33"/>
      <c r="P32" s="33"/>
      <c r="Q32" s="33"/>
      <c r="R32" s="33"/>
      <c r="S32" s="33"/>
      <c r="T32" s="33"/>
      <c r="U32" s="33"/>
      <c r="V32" s="33"/>
      <c r="W32" s="159"/>
      <c r="X32" s="161"/>
      <c r="Y32" s="161"/>
      <c r="Z32" s="161"/>
      <c r="AA32" s="161"/>
      <c r="AB32" s="161"/>
      <c r="AC32" s="161"/>
      <c r="AD32" s="161"/>
      <c r="AE32" s="164"/>
      <c r="AM32" s="728"/>
      <c r="AN32" s="277"/>
      <c r="AO32" s="278"/>
      <c r="AP32" s="278"/>
      <c r="AQ32" s="278"/>
      <c r="AR32" s="278"/>
      <c r="AS32" s="278"/>
      <c r="AT32" s="278"/>
      <c r="AU32" s="278"/>
      <c r="AV32" s="278"/>
      <c r="AW32" s="278"/>
      <c r="AX32" s="278"/>
      <c r="AY32" s="278"/>
      <c r="AZ32" s="278"/>
      <c r="BA32" s="278"/>
      <c r="BB32" s="278"/>
      <c r="BC32" s="278"/>
      <c r="BD32" s="278"/>
      <c r="BE32" s="278"/>
      <c r="BF32" s="278"/>
      <c r="BG32" s="278"/>
      <c r="BH32" s="278"/>
      <c r="BI32" s="278"/>
      <c r="BJ32" s="278"/>
      <c r="BK32" s="278"/>
      <c r="BL32" s="278"/>
      <c r="BM32" s="278"/>
      <c r="BN32" s="343"/>
      <c r="BO32" s="344"/>
      <c r="BP32" s="345"/>
      <c r="BQ32" s="345"/>
      <c r="BR32" s="345"/>
      <c r="BS32" s="345"/>
      <c r="BT32" s="345"/>
      <c r="BU32" s="345"/>
      <c r="BV32" s="345"/>
      <c r="BW32" s="345"/>
      <c r="BX32" s="345"/>
      <c r="BY32" s="345"/>
      <c r="BZ32" s="345"/>
      <c r="CA32" s="345"/>
      <c r="CB32" s="345"/>
      <c r="CC32" s="345"/>
      <c r="CD32" s="345"/>
      <c r="CE32" s="345"/>
      <c r="CF32" s="345"/>
      <c r="CG32" s="345"/>
      <c r="CH32" s="345"/>
      <c r="CI32" s="346"/>
      <c r="CJ32" s="347"/>
      <c r="CK32" s="278"/>
      <c r="CL32" s="278"/>
      <c r="CM32" s="278"/>
      <c r="CN32" s="278"/>
      <c r="CO32" s="278"/>
      <c r="CP32" s="278"/>
      <c r="CQ32" s="278"/>
      <c r="CR32" s="278"/>
      <c r="CS32" s="278"/>
      <c r="CT32" s="278"/>
      <c r="CU32" s="278"/>
      <c r="CV32" s="278"/>
      <c r="CW32" s="278"/>
      <c r="CX32" s="348"/>
      <c r="CY32" s="349"/>
    </row>
    <row r="33" spans="2:128" s="35" customFormat="1" ht="54.95" customHeight="1" thickTop="1" thickBot="1" x14ac:dyDescent="0.3">
      <c r="B33" s="875"/>
      <c r="C33" s="887" t="s">
        <v>185</v>
      </c>
      <c r="D33" s="887"/>
      <c r="E33" s="887"/>
      <c r="F33" s="887"/>
      <c r="G33" s="887"/>
      <c r="H33" s="887"/>
      <c r="I33" s="887"/>
      <c r="J33" s="887"/>
      <c r="K33" s="887"/>
      <c r="L33" s="887"/>
      <c r="M33" s="887"/>
      <c r="N33" s="887"/>
      <c r="O33" s="887"/>
      <c r="P33" s="887"/>
      <c r="Q33" s="887"/>
      <c r="R33" s="887"/>
      <c r="S33" s="887"/>
      <c r="T33" s="887"/>
      <c r="U33" s="887"/>
      <c r="V33" s="887"/>
      <c r="W33" s="887"/>
      <c r="X33" s="887"/>
      <c r="Y33" s="887"/>
      <c r="Z33" s="887"/>
      <c r="AA33" s="887"/>
      <c r="AB33" s="887"/>
      <c r="AC33" s="887"/>
      <c r="AD33" s="887"/>
      <c r="AE33" s="888"/>
      <c r="AG33" s="6"/>
      <c r="AH33" s="6"/>
      <c r="AI33" s="109"/>
      <c r="AJ33" s="109"/>
      <c r="AK33" s="109"/>
      <c r="AL33" s="350"/>
      <c r="AM33" s="728"/>
      <c r="AN33" s="751" t="s">
        <v>185</v>
      </c>
      <c r="AO33" s="751"/>
      <c r="AP33" s="751"/>
      <c r="AQ33" s="751"/>
      <c r="AR33" s="751"/>
      <c r="AS33" s="751"/>
      <c r="AT33" s="751"/>
      <c r="AU33" s="751"/>
      <c r="AV33" s="751"/>
      <c r="AW33" s="751"/>
      <c r="AX33" s="751"/>
      <c r="AY33" s="751"/>
      <c r="AZ33" s="751"/>
      <c r="BA33" s="751"/>
      <c r="BB33" s="751"/>
      <c r="BC33" s="751"/>
      <c r="BD33" s="751"/>
      <c r="BE33" s="751"/>
      <c r="BF33" s="751"/>
      <c r="BG33" s="751"/>
      <c r="BH33" s="751"/>
      <c r="BI33" s="751"/>
      <c r="BJ33" s="751"/>
      <c r="BK33" s="751"/>
      <c r="BL33" s="751"/>
      <c r="BM33" s="751"/>
      <c r="BN33" s="751"/>
      <c r="BO33" s="751"/>
      <c r="BP33" s="751"/>
      <c r="BQ33" s="751"/>
      <c r="BR33" s="751"/>
      <c r="BS33" s="751"/>
      <c r="BT33" s="751"/>
      <c r="BU33" s="751"/>
      <c r="BV33" s="751"/>
      <c r="BW33" s="751"/>
      <c r="BX33" s="751"/>
      <c r="BY33" s="751"/>
      <c r="BZ33" s="751"/>
      <c r="CA33" s="751"/>
      <c r="CB33" s="751"/>
      <c r="CC33" s="751"/>
      <c r="CD33" s="751"/>
      <c r="CE33" s="751"/>
      <c r="CF33" s="751"/>
      <c r="CG33" s="751"/>
      <c r="CH33" s="751"/>
      <c r="CI33" s="751"/>
      <c r="CJ33" s="751"/>
      <c r="CK33" s="751"/>
      <c r="CL33" s="751"/>
      <c r="CM33" s="751"/>
      <c r="CN33" s="751"/>
      <c r="CO33" s="751"/>
      <c r="CP33" s="751"/>
      <c r="CQ33" s="751"/>
      <c r="CR33" s="751"/>
      <c r="CS33" s="751"/>
      <c r="CT33" s="751"/>
      <c r="CU33" s="751"/>
      <c r="CV33" s="751"/>
      <c r="CW33" s="751"/>
      <c r="CX33" s="751"/>
      <c r="CY33" s="752"/>
      <c r="CZ33" s="350"/>
      <c r="DA33" s="6"/>
      <c r="DB33" s="6"/>
      <c r="DD33" s="109"/>
      <c r="DE33" s="109"/>
      <c r="DF33" s="109"/>
      <c r="DG33" s="109"/>
      <c r="DH33" s="109"/>
      <c r="DI33" s="109"/>
      <c r="DJ33" s="109"/>
      <c r="DK33" s="109"/>
      <c r="DL33" s="109"/>
      <c r="DM33" s="109"/>
      <c r="DN33" s="109"/>
      <c r="DO33" s="109"/>
      <c r="DP33" s="109"/>
      <c r="DQ33" s="109"/>
      <c r="DR33" s="109"/>
      <c r="DS33" s="109"/>
      <c r="DT33" s="109"/>
      <c r="DU33" s="109"/>
    </row>
    <row r="34" spans="2:128" ht="20.100000000000001" customHeight="1" thickTop="1" thickBot="1" x14ac:dyDescent="0.3">
      <c r="B34" s="875"/>
      <c r="C34" s="858" t="s">
        <v>87</v>
      </c>
      <c r="D34" s="859"/>
      <c r="E34" s="860"/>
      <c r="F34" s="861" t="s">
        <v>85</v>
      </c>
      <c r="G34" s="862"/>
      <c r="H34" s="862"/>
      <c r="I34" s="862"/>
      <c r="J34" s="862"/>
      <c r="K34" s="862"/>
      <c r="L34" s="862"/>
      <c r="M34" s="863"/>
      <c r="N34" s="740" t="s">
        <v>88</v>
      </c>
      <c r="O34" s="741"/>
      <c r="P34" s="741"/>
      <c r="Q34" s="741"/>
      <c r="R34" s="741"/>
      <c r="S34" s="741"/>
      <c r="T34" s="741"/>
      <c r="U34" s="741"/>
      <c r="V34" s="742"/>
      <c r="W34" s="864" t="s">
        <v>79</v>
      </c>
      <c r="X34" s="746" t="s">
        <v>66</v>
      </c>
      <c r="Y34" s="743" t="s">
        <v>59</v>
      </c>
      <c r="Z34" s="743" t="s">
        <v>60</v>
      </c>
      <c r="AA34" s="743" t="s">
        <v>64</v>
      </c>
      <c r="AB34" s="789" t="s">
        <v>84</v>
      </c>
      <c r="AC34" s="746" t="s">
        <v>91</v>
      </c>
      <c r="AD34" s="789" t="s">
        <v>90</v>
      </c>
      <c r="AE34" s="871" t="s">
        <v>67</v>
      </c>
      <c r="AM34" s="728"/>
      <c r="AN34" s="732" t="s">
        <v>87</v>
      </c>
      <c r="AO34" s="733"/>
      <c r="AP34" s="733"/>
      <c r="AQ34" s="733"/>
      <c r="AR34" s="733"/>
      <c r="AS34" s="733"/>
      <c r="AT34" s="734"/>
      <c r="AU34" s="910" t="s">
        <v>85</v>
      </c>
      <c r="AV34" s="911"/>
      <c r="AW34" s="911"/>
      <c r="AX34" s="911"/>
      <c r="AY34" s="911"/>
      <c r="AZ34" s="911"/>
      <c r="BA34" s="911"/>
      <c r="BB34" s="911"/>
      <c r="BC34" s="911"/>
      <c r="BD34" s="911"/>
      <c r="BE34" s="911"/>
      <c r="BF34" s="911"/>
      <c r="BG34" s="911"/>
      <c r="BH34" s="911"/>
      <c r="BI34" s="911"/>
      <c r="BJ34" s="911"/>
      <c r="BK34" s="911"/>
      <c r="BL34" s="911"/>
      <c r="BM34" s="911"/>
      <c r="BN34" s="912"/>
      <c r="BO34" s="767" t="s">
        <v>407</v>
      </c>
      <c r="BP34" s="768"/>
      <c r="BQ34" s="768"/>
      <c r="BR34" s="768"/>
      <c r="BS34" s="768"/>
      <c r="BT34" s="768"/>
      <c r="BU34" s="768"/>
      <c r="BV34" s="768"/>
      <c r="BW34" s="768"/>
      <c r="BX34" s="768"/>
      <c r="BY34" s="768"/>
      <c r="BZ34" s="768"/>
      <c r="CA34" s="768"/>
      <c r="CB34" s="768"/>
      <c r="CC34" s="768"/>
      <c r="CD34" s="768"/>
      <c r="CE34" s="768"/>
      <c r="CF34" s="768"/>
      <c r="CG34" s="769"/>
      <c r="CH34" s="769"/>
      <c r="CI34" s="770"/>
      <c r="CJ34" s="827" t="s">
        <v>79</v>
      </c>
      <c r="CK34" s="695" t="s">
        <v>316</v>
      </c>
      <c r="CL34" s="696"/>
      <c r="CM34" s="697"/>
      <c r="CN34" s="714" t="s">
        <v>317</v>
      </c>
      <c r="CO34" s="715"/>
      <c r="CP34" s="716"/>
      <c r="CQ34" s="828" t="s">
        <v>60</v>
      </c>
      <c r="CR34" s="706" t="s">
        <v>319</v>
      </c>
      <c r="CS34" s="707"/>
      <c r="CT34" s="708"/>
      <c r="CU34" s="709" t="s">
        <v>318</v>
      </c>
      <c r="CV34" s="710"/>
      <c r="CW34" s="711"/>
      <c r="CX34" s="280"/>
      <c r="CY34" s="712" t="s">
        <v>320</v>
      </c>
    </row>
    <row r="35" spans="2:128" ht="15" customHeight="1" x14ac:dyDescent="0.25">
      <c r="B35" s="875"/>
      <c r="C35" s="877" t="s">
        <v>70</v>
      </c>
      <c r="D35" s="753" t="s">
        <v>63</v>
      </c>
      <c r="E35" s="891"/>
      <c r="F35" s="854" t="s">
        <v>57</v>
      </c>
      <c r="G35" s="753" t="s">
        <v>72</v>
      </c>
      <c r="H35" s="753"/>
      <c r="I35" s="753"/>
      <c r="J35" s="753"/>
      <c r="K35" s="753"/>
      <c r="L35" s="754"/>
      <c r="M35" s="749" t="s">
        <v>96</v>
      </c>
      <c r="N35" s="16"/>
      <c r="O35" s="788" t="s">
        <v>73</v>
      </c>
      <c r="P35" s="753"/>
      <c r="Q35" s="753"/>
      <c r="R35" s="753"/>
      <c r="S35" s="753"/>
      <c r="T35" s="753"/>
      <c r="U35" s="749" t="s">
        <v>89</v>
      </c>
      <c r="V35" s="17"/>
      <c r="W35" s="865"/>
      <c r="X35" s="747"/>
      <c r="Y35" s="744"/>
      <c r="Z35" s="744"/>
      <c r="AA35" s="744"/>
      <c r="AB35" s="790"/>
      <c r="AC35" s="747"/>
      <c r="AD35" s="790"/>
      <c r="AE35" s="872"/>
      <c r="AM35" s="728"/>
      <c r="AN35" s="806" t="s">
        <v>70</v>
      </c>
      <c r="AO35" s="803" t="s">
        <v>63</v>
      </c>
      <c r="AP35" s="804"/>
      <c r="AQ35" s="805"/>
      <c r="AR35" s="803" t="s">
        <v>63</v>
      </c>
      <c r="AS35" s="804"/>
      <c r="AT35" s="805"/>
      <c r="AU35" s="778" t="s">
        <v>272</v>
      </c>
      <c r="AV35" s="779"/>
      <c r="AW35" s="780"/>
      <c r="AX35" s="820" t="s">
        <v>72</v>
      </c>
      <c r="AY35" s="821"/>
      <c r="AZ35" s="821"/>
      <c r="BA35" s="821"/>
      <c r="BB35" s="821"/>
      <c r="BC35" s="821"/>
      <c r="BD35" s="821"/>
      <c r="BE35" s="821"/>
      <c r="BF35" s="821"/>
      <c r="BG35" s="821"/>
      <c r="BH35" s="821"/>
      <c r="BI35" s="821"/>
      <c r="BJ35" s="821"/>
      <c r="BK35" s="821"/>
      <c r="BL35" s="821"/>
      <c r="BM35" s="822"/>
      <c r="BN35" s="823" t="s">
        <v>273</v>
      </c>
      <c r="BO35" s="281"/>
      <c r="BP35" s="799" t="s">
        <v>411</v>
      </c>
      <c r="BQ35" s="800"/>
      <c r="BR35" s="800"/>
      <c r="BS35" s="801"/>
      <c r="BT35" s="801"/>
      <c r="BU35" s="801"/>
      <c r="BV35" s="801"/>
      <c r="BW35" s="801"/>
      <c r="BX35" s="801"/>
      <c r="BY35" s="801"/>
      <c r="BZ35" s="801"/>
      <c r="CA35" s="801"/>
      <c r="CB35" s="801"/>
      <c r="CC35" s="801"/>
      <c r="CD35" s="801"/>
      <c r="CE35" s="802"/>
      <c r="CF35" s="692" t="s">
        <v>409</v>
      </c>
      <c r="CG35" s="693"/>
      <c r="CH35" s="694"/>
      <c r="CI35" s="282"/>
      <c r="CJ35" s="738"/>
      <c r="CK35" s="698" t="s">
        <v>270</v>
      </c>
      <c r="CL35" s="700" t="s">
        <v>245</v>
      </c>
      <c r="CM35" s="702" t="s">
        <v>271</v>
      </c>
      <c r="CN35" s="698" t="s">
        <v>270</v>
      </c>
      <c r="CO35" s="700" t="s">
        <v>245</v>
      </c>
      <c r="CP35" s="702" t="s">
        <v>271</v>
      </c>
      <c r="CQ35" s="829"/>
      <c r="CR35" s="698" t="s">
        <v>270</v>
      </c>
      <c r="CS35" s="700" t="s">
        <v>245</v>
      </c>
      <c r="CT35" s="702" t="s">
        <v>271</v>
      </c>
      <c r="CU35" s="698" t="s">
        <v>270</v>
      </c>
      <c r="CV35" s="700" t="s">
        <v>245</v>
      </c>
      <c r="CW35" s="702" t="s">
        <v>271</v>
      </c>
      <c r="CX35" s="283"/>
      <c r="CY35" s="713"/>
    </row>
    <row r="36" spans="2:128" ht="45" customHeight="1" thickBot="1" x14ac:dyDescent="0.3">
      <c r="B36" s="875"/>
      <c r="C36" s="878"/>
      <c r="D36" s="36" t="s">
        <v>68</v>
      </c>
      <c r="E36" s="37" t="s">
        <v>69</v>
      </c>
      <c r="F36" s="855"/>
      <c r="G36" s="18" t="s">
        <v>97</v>
      </c>
      <c r="H36" s="18" t="s">
        <v>98</v>
      </c>
      <c r="I36" s="18" t="s">
        <v>99</v>
      </c>
      <c r="J36" s="18" t="s">
        <v>100</v>
      </c>
      <c r="K36" s="18" t="s">
        <v>101</v>
      </c>
      <c r="L36" s="19" t="s">
        <v>108</v>
      </c>
      <c r="M36" s="750"/>
      <c r="N36" s="20"/>
      <c r="O36" s="21" t="s">
        <v>102</v>
      </c>
      <c r="P36" s="18" t="s">
        <v>103</v>
      </c>
      <c r="Q36" s="18" t="s">
        <v>104</v>
      </c>
      <c r="R36" s="18" t="s">
        <v>105</v>
      </c>
      <c r="S36" s="18" t="s">
        <v>106</v>
      </c>
      <c r="T36" s="18" t="s">
        <v>107</v>
      </c>
      <c r="U36" s="750"/>
      <c r="V36" s="22"/>
      <c r="W36" s="866"/>
      <c r="X36" s="748"/>
      <c r="Y36" s="745"/>
      <c r="Z36" s="745"/>
      <c r="AA36" s="745"/>
      <c r="AB36" s="791"/>
      <c r="AC36" s="748"/>
      <c r="AD36" s="791"/>
      <c r="AE36" s="873"/>
      <c r="AM36" s="728"/>
      <c r="AN36" s="807"/>
      <c r="AO36" s="284" t="s">
        <v>307</v>
      </c>
      <c r="AP36" s="351" t="s">
        <v>308</v>
      </c>
      <c r="AQ36" s="286" t="s">
        <v>271</v>
      </c>
      <c r="AR36" s="284" t="s">
        <v>310</v>
      </c>
      <c r="AS36" s="351" t="s">
        <v>311</v>
      </c>
      <c r="AT36" s="286" t="s">
        <v>271</v>
      </c>
      <c r="AU36" s="284" t="s">
        <v>270</v>
      </c>
      <c r="AV36" s="285" t="s">
        <v>245</v>
      </c>
      <c r="AW36" s="286" t="s">
        <v>271</v>
      </c>
      <c r="AX36" s="287" t="s">
        <v>274</v>
      </c>
      <c r="AY36" s="288" t="s">
        <v>275</v>
      </c>
      <c r="AZ36" s="289" t="s">
        <v>276</v>
      </c>
      <c r="BA36" s="289" t="s">
        <v>277</v>
      </c>
      <c r="BB36" s="288" t="s">
        <v>278</v>
      </c>
      <c r="BC36" s="289" t="s">
        <v>279</v>
      </c>
      <c r="BD36" s="289" t="s">
        <v>280</v>
      </c>
      <c r="BE36" s="288" t="s">
        <v>281</v>
      </c>
      <c r="BF36" s="289" t="s">
        <v>282</v>
      </c>
      <c r="BG36" s="289" t="s">
        <v>283</v>
      </c>
      <c r="BH36" s="288" t="s">
        <v>284</v>
      </c>
      <c r="BI36" s="289" t="s">
        <v>285</v>
      </c>
      <c r="BJ36" s="289" t="s">
        <v>286</v>
      </c>
      <c r="BK36" s="288" t="s">
        <v>287</v>
      </c>
      <c r="BL36" s="289" t="s">
        <v>288</v>
      </c>
      <c r="BM36" s="290" t="s">
        <v>289</v>
      </c>
      <c r="BN36" s="824"/>
      <c r="BO36" s="291"/>
      <c r="BP36" s="287" t="s">
        <v>291</v>
      </c>
      <c r="BQ36" s="288" t="s">
        <v>292</v>
      </c>
      <c r="BR36" s="289" t="s">
        <v>293</v>
      </c>
      <c r="BS36" s="289" t="s">
        <v>294</v>
      </c>
      <c r="BT36" s="288" t="s">
        <v>295</v>
      </c>
      <c r="BU36" s="289" t="s">
        <v>296</v>
      </c>
      <c r="BV36" s="289" t="s">
        <v>297</v>
      </c>
      <c r="BW36" s="288" t="s">
        <v>298</v>
      </c>
      <c r="BX36" s="289" t="s">
        <v>299</v>
      </c>
      <c r="BY36" s="289" t="s">
        <v>300</v>
      </c>
      <c r="BZ36" s="288" t="s">
        <v>301</v>
      </c>
      <c r="CA36" s="289" t="s">
        <v>302</v>
      </c>
      <c r="CB36" s="289" t="s">
        <v>303</v>
      </c>
      <c r="CC36" s="288" t="s">
        <v>304</v>
      </c>
      <c r="CD36" s="289" t="s">
        <v>305</v>
      </c>
      <c r="CE36" s="290" t="s">
        <v>306</v>
      </c>
      <c r="CF36" s="292" t="s">
        <v>270</v>
      </c>
      <c r="CG36" s="293" t="s">
        <v>245</v>
      </c>
      <c r="CH36" s="294" t="s">
        <v>271</v>
      </c>
      <c r="CI36" s="295"/>
      <c r="CJ36" s="739"/>
      <c r="CK36" s="699"/>
      <c r="CL36" s="701"/>
      <c r="CM36" s="703"/>
      <c r="CN36" s="699"/>
      <c r="CO36" s="701"/>
      <c r="CP36" s="703"/>
      <c r="CQ36" s="830"/>
      <c r="CR36" s="699"/>
      <c r="CS36" s="701"/>
      <c r="CT36" s="703"/>
      <c r="CU36" s="699"/>
      <c r="CV36" s="701"/>
      <c r="CW36" s="703"/>
      <c r="CX36" s="296" t="s">
        <v>321</v>
      </c>
      <c r="CY36" s="297" t="s">
        <v>245</v>
      </c>
      <c r="DD36" s="88" t="s">
        <v>322</v>
      </c>
      <c r="DE36" s="88" t="s">
        <v>323</v>
      </c>
      <c r="DF36" s="88" t="s">
        <v>324</v>
      </c>
      <c r="DG36" s="88" t="s">
        <v>325</v>
      </c>
      <c r="DH36" s="88" t="s">
        <v>326</v>
      </c>
      <c r="DI36" s="88" t="s">
        <v>327</v>
      </c>
      <c r="DJ36" s="88" t="s">
        <v>328</v>
      </c>
      <c r="DK36" s="88" t="s">
        <v>329</v>
      </c>
      <c r="DL36" s="88" t="s">
        <v>330</v>
      </c>
      <c r="DM36" s="88" t="s">
        <v>331</v>
      </c>
      <c r="DN36" s="88" t="s">
        <v>332</v>
      </c>
      <c r="DO36" s="88" t="s">
        <v>333</v>
      </c>
      <c r="DP36" s="88" t="s">
        <v>334</v>
      </c>
      <c r="DQ36" s="88" t="s">
        <v>335</v>
      </c>
      <c r="DR36" s="88" t="s">
        <v>336</v>
      </c>
      <c r="DS36" s="88" t="s">
        <v>337</v>
      </c>
      <c r="DT36" s="88" t="s">
        <v>338</v>
      </c>
      <c r="DU36" s="88" t="s">
        <v>339</v>
      </c>
    </row>
    <row r="37" spans="2:128" ht="30" customHeight="1" x14ac:dyDescent="0.25">
      <c r="B37" s="875"/>
      <c r="C37" s="75"/>
      <c r="D37" s="62"/>
      <c r="E37" s="63"/>
      <c r="F37" s="50"/>
      <c r="G37" s="51"/>
      <c r="H37" s="51"/>
      <c r="I37" s="51"/>
      <c r="J37" s="51"/>
      <c r="K37" s="51"/>
      <c r="L37" s="38">
        <f>SUM(G37:K37)</f>
        <v>0</v>
      </c>
      <c r="M37" s="39">
        <f>F37+L37</f>
        <v>0</v>
      </c>
      <c r="N37" s="40"/>
      <c r="O37" s="77"/>
      <c r="P37" s="78"/>
      <c r="Q37" s="78"/>
      <c r="R37" s="78"/>
      <c r="S37" s="78"/>
      <c r="T37" s="38">
        <f>SUM(O37:S37)</f>
        <v>0</v>
      </c>
      <c r="U37" s="157"/>
      <c r="V37" s="27"/>
      <c r="W37" s="41">
        <f>M37+T37+U37</f>
        <v>0</v>
      </c>
      <c r="X37" s="77"/>
      <c r="Y37" s="78"/>
      <c r="Z37" s="26">
        <f>F37+L37+T37+U37-X37-Y37</f>
        <v>0</v>
      </c>
      <c r="AA37" s="62"/>
      <c r="AB37" s="63"/>
      <c r="AC37" s="66"/>
      <c r="AD37" s="67"/>
      <c r="AE37" s="105"/>
      <c r="AG37" s="6">
        <f>IF(AND(AA37&lt;&gt;"",OR(AA37&lt;EXPEDIENTE!$I$25,AA37&gt;EXPEDIENTE!$I$29)),1,0)</f>
        <v>0</v>
      </c>
      <c r="AH37" s="6">
        <f>IF(AND(AB37&lt;&gt;"",OR(AB37&lt;EXPEDIENTE!$I$25,AB37&gt;EXPEDIENTE!$I$29)),1,0)</f>
        <v>0</v>
      </c>
      <c r="AM37" s="728"/>
      <c r="AN37" s="352" t="str">
        <f t="shared" ref="AN37:AN44" si="72">IF(C37="","",C37)</f>
        <v/>
      </c>
      <c r="AO37" s="353" t="str">
        <f>IF(D37="","",D37)</f>
        <v/>
      </c>
      <c r="AP37" s="536"/>
      <c r="AQ37" s="354" t="str">
        <f>IF(AP37="",AO37,AP37)</f>
        <v/>
      </c>
      <c r="AR37" s="353" t="str">
        <f t="shared" ref="AR37:AR44" si="73">IF(E37="","",E37)</f>
        <v/>
      </c>
      <c r="AS37" s="536"/>
      <c r="AT37" s="354" t="str">
        <f>IF(AS37="",AR37,AS37)</f>
        <v/>
      </c>
      <c r="AU37" s="301">
        <f t="shared" ref="AU37:AU44" si="74">IF(F37="",0,F37)</f>
        <v>0</v>
      </c>
      <c r="AV37" s="523"/>
      <c r="AW37" s="302">
        <f>IF(AV37="",AU37,AV37)</f>
        <v>0</v>
      </c>
      <c r="AX37" s="301">
        <f t="shared" ref="AX37:AX44" si="75">IF(G37="",0,G37)</f>
        <v>0</v>
      </c>
      <c r="AY37" s="524"/>
      <c r="AZ37" s="303">
        <f>IF(AY37="",AX37,AY37)</f>
        <v>0</v>
      </c>
      <c r="BA37" s="303">
        <f t="shared" ref="BA37:BA44" si="76">IF(H37="",0,H37)</f>
        <v>0</v>
      </c>
      <c r="BB37" s="524"/>
      <c r="BC37" s="303">
        <f>IF(BB37="",BA37,BB37)</f>
        <v>0</v>
      </c>
      <c r="BD37" s="303">
        <f t="shared" ref="BD37:BD44" si="77">IF(I37="",0,I37)</f>
        <v>0</v>
      </c>
      <c r="BE37" s="524"/>
      <c r="BF37" s="303">
        <f>IF(BE37="",BD37,BE37)</f>
        <v>0</v>
      </c>
      <c r="BG37" s="303">
        <f t="shared" ref="BG37:BG44" si="78">IF(J37="",0,J37)</f>
        <v>0</v>
      </c>
      <c r="BH37" s="524"/>
      <c r="BI37" s="303">
        <f>IF(BH37="",BG37,BH37)</f>
        <v>0</v>
      </c>
      <c r="BJ37" s="303">
        <f t="shared" ref="BJ37:BJ44" si="79">IF(K37="",0,K37)</f>
        <v>0</v>
      </c>
      <c r="BK37" s="524"/>
      <c r="BL37" s="303">
        <f>IF(BK37="",BJ37,BK37)</f>
        <v>0</v>
      </c>
      <c r="BM37" s="304">
        <f>AZ37+BC37+BF37+BI37+BL37</f>
        <v>0</v>
      </c>
      <c r="BN37" s="305">
        <f>AW37+BM37</f>
        <v>0</v>
      </c>
      <c r="BO37" s="355"/>
      <c r="BP37" s="301">
        <f t="shared" ref="BP37:BP44" si="80">IF(O37="",0,O37)</f>
        <v>0</v>
      </c>
      <c r="BQ37" s="537"/>
      <c r="BR37" s="307">
        <f>IF(BQ37="",BP37,BQ37)</f>
        <v>0</v>
      </c>
      <c r="BS37" s="303">
        <f t="shared" ref="BS37:BS44" si="81">IF(P37="",0,P37)</f>
        <v>0</v>
      </c>
      <c r="BT37" s="525"/>
      <c r="BU37" s="303">
        <f>IF(BT37="",BS37,BT37)</f>
        <v>0</v>
      </c>
      <c r="BV37" s="303">
        <f t="shared" ref="BV37:BV44" si="82">IF(Q37="",0,Q37)</f>
        <v>0</v>
      </c>
      <c r="BW37" s="525"/>
      <c r="BX37" s="303">
        <f>IF(BW37="",BV37,BW37)</f>
        <v>0</v>
      </c>
      <c r="BY37" s="303">
        <f t="shared" ref="BY37:BY44" si="83">IF(R37="",0,R37)</f>
        <v>0</v>
      </c>
      <c r="BZ37" s="525"/>
      <c r="CA37" s="303">
        <f>IF(BZ37="",BY37,BZ37)</f>
        <v>0</v>
      </c>
      <c r="CB37" s="303">
        <f t="shared" ref="CB37:CB44" si="84">IF(S37="",0,S37)</f>
        <v>0</v>
      </c>
      <c r="CC37" s="525"/>
      <c r="CD37" s="303">
        <f>IF(CC37="",CB37,CC37)</f>
        <v>0</v>
      </c>
      <c r="CE37" s="356">
        <f>BR37+BU37+BX37+CA37+CD37</f>
        <v>0</v>
      </c>
      <c r="CF37" s="308">
        <f t="shared" ref="CF37:CF44" si="85">IF(U37="",0,U37)</f>
        <v>0</v>
      </c>
      <c r="CG37" s="525"/>
      <c r="CH37" s="309">
        <f>IF(CG37="",CF37,CG37)</f>
        <v>0</v>
      </c>
      <c r="CI37" s="310"/>
      <c r="CJ37" s="311">
        <f>BN37+CE37+CH37</f>
        <v>0</v>
      </c>
      <c r="CK37" s="308">
        <f t="shared" ref="CK37:CK44" si="86">IF(X37="",0,X37)</f>
        <v>0</v>
      </c>
      <c r="CL37" s="537"/>
      <c r="CM37" s="357">
        <f>IF(CL37="",CK37,CL37)</f>
        <v>0</v>
      </c>
      <c r="CN37" s="308">
        <f t="shared" ref="CN37:CN44" si="87">IF(Y37="",0,Y37)</f>
        <v>0</v>
      </c>
      <c r="CO37" s="525"/>
      <c r="CP37" s="309">
        <f>IF(CO37="",CN37,CO37)</f>
        <v>0</v>
      </c>
      <c r="CQ37" s="311">
        <f>AW37+BM37+CE37+CH37-CM37-CP37</f>
        <v>0</v>
      </c>
      <c r="CR37" s="353" t="str">
        <f t="shared" ref="CR37:CR44" si="88">IF(AA37="","",AA37)</f>
        <v/>
      </c>
      <c r="CS37" s="227"/>
      <c r="CT37" s="354" t="str">
        <f>IF(CS37="",CR37,CS37)</f>
        <v/>
      </c>
      <c r="CU37" s="353" t="str">
        <f t="shared" ref="CU37:CU44" si="89">IF(AB37="","",AB37)</f>
        <v/>
      </c>
      <c r="CV37" s="227"/>
      <c r="CW37" s="354" t="str">
        <f>IF(CV37="",CU37,CV37)</f>
        <v/>
      </c>
      <c r="CX37" s="317" t="str">
        <f>IF(DD37=0,"",DD37)</f>
        <v/>
      </c>
      <c r="CY37" s="527"/>
      <c r="DA37" s="6">
        <f>IF(AND(CT37&lt;&gt;"",OR(CT37&lt;EXPEDIENTE!$I$25,CT37&gt;EXPEDIENTE!$I$29)),1,0)</f>
        <v>0</v>
      </c>
      <c r="DB37" s="6">
        <f>IF(AND(CW37&lt;&gt;"",OR(CW37&lt;EXPEDIENTE!$I$25,CW37&gt;EXPEDIENTE!$I$29)),1,0)</f>
        <v>0</v>
      </c>
      <c r="DD37" s="88">
        <f t="shared" ref="DD37:DD44" si="90">SUM(DE37:DU37)</f>
        <v>0</v>
      </c>
      <c r="DE37" s="88">
        <f>IF(AS37="",0,1)</f>
        <v>0</v>
      </c>
      <c r="DF37" s="88">
        <f>IF(AV37="",0,1)</f>
        <v>0</v>
      </c>
      <c r="DG37" s="88">
        <f>IF(AY37="",0,1)</f>
        <v>0</v>
      </c>
      <c r="DH37" s="88">
        <f>IF(BB37="",0,1)</f>
        <v>0</v>
      </c>
      <c r="DI37" s="88">
        <f>IF(BE37="",0,1)</f>
        <v>0</v>
      </c>
      <c r="DJ37" s="88">
        <f>IF(BH37="",0,1)</f>
        <v>0</v>
      </c>
      <c r="DK37" s="88">
        <f>IF(BK37="",0,1)</f>
        <v>0</v>
      </c>
      <c r="DL37" s="88">
        <f>IF(BQ37="",0,1)</f>
        <v>0</v>
      </c>
      <c r="DM37" s="88">
        <f>IF(BT37="",0,1)</f>
        <v>0</v>
      </c>
      <c r="DN37" s="88">
        <f>IF(BW37="",0,1)</f>
        <v>0</v>
      </c>
      <c r="DO37" s="88">
        <f>IF(BZ37="",0,1)</f>
        <v>0</v>
      </c>
      <c r="DP37" s="88">
        <f>IF(CC37="",0,1)</f>
        <v>0</v>
      </c>
      <c r="DQ37" s="88">
        <f>IF(CG37="",0,1)</f>
        <v>0</v>
      </c>
      <c r="DR37" s="88">
        <f>IF(CL37="",0,1)</f>
        <v>0</v>
      </c>
      <c r="DS37" s="88">
        <f>IF(CO37="",0,1)</f>
        <v>0</v>
      </c>
      <c r="DT37" s="88">
        <f>IF(CS37="",0,1)</f>
        <v>0</v>
      </c>
      <c r="DU37" s="88">
        <f>IF(CV37="",0,1)</f>
        <v>0</v>
      </c>
      <c r="DW37" s="88">
        <f>IF(CY37&lt;&gt;"",MAX($DW$9:DW36)+1,0)</f>
        <v>0</v>
      </c>
      <c r="DX37" s="182" t="str">
        <f t="shared" ref="DX37" si="91">IF(DW37=0,"",CY37)</f>
        <v/>
      </c>
    </row>
    <row r="38" spans="2:128" ht="30" customHeight="1" x14ac:dyDescent="0.25">
      <c r="B38" s="875"/>
      <c r="C38" s="76"/>
      <c r="D38" s="64"/>
      <c r="E38" s="65"/>
      <c r="F38" s="53"/>
      <c r="G38" s="54"/>
      <c r="H38" s="54"/>
      <c r="I38" s="54"/>
      <c r="J38" s="54"/>
      <c r="K38" s="54"/>
      <c r="L38" s="23">
        <f>SUM(G38:K38)</f>
        <v>0</v>
      </c>
      <c r="M38" s="42">
        <f t="shared" ref="M38:M44" si="92">F38+L38</f>
        <v>0</v>
      </c>
      <c r="N38" s="40"/>
      <c r="O38" s="53"/>
      <c r="P38" s="54"/>
      <c r="Q38" s="54"/>
      <c r="R38" s="54"/>
      <c r="S38" s="54"/>
      <c r="T38" s="23">
        <f t="shared" ref="T38:T44" si="93">SUM(O38:S38)</f>
        <v>0</v>
      </c>
      <c r="U38" s="60"/>
      <c r="V38" s="27"/>
      <c r="W38" s="43">
        <f t="shared" ref="W38:W44" si="94">M38+T38+U38</f>
        <v>0</v>
      </c>
      <c r="X38" s="53"/>
      <c r="Y38" s="54"/>
      <c r="Z38" s="26">
        <f t="shared" ref="Z38:Z44" si="95">F38+L38+T38+U38-X38-Y38</f>
        <v>0</v>
      </c>
      <c r="AA38" s="62"/>
      <c r="AB38" s="63"/>
      <c r="AC38" s="69"/>
      <c r="AD38" s="70"/>
      <c r="AE38" s="104"/>
      <c r="AG38" s="6">
        <f>IF(AND(AA38&lt;&gt;"",OR(AA38&lt;EXPEDIENTE!$I$25,AA38&gt;EXPEDIENTE!$I$29)),1,0)</f>
        <v>0</v>
      </c>
      <c r="AH38" s="6">
        <f>IF(AND(AB38&lt;&gt;"",OR(AB38&lt;EXPEDIENTE!$I$25,AB38&gt;EXPEDIENTE!$I$29)),1,0)</f>
        <v>0</v>
      </c>
      <c r="AM38" s="728"/>
      <c r="AN38" s="358" t="str">
        <f t="shared" si="72"/>
        <v/>
      </c>
      <c r="AO38" s="315" t="str">
        <f t="shared" ref="AO38:AO44" si="96">IF(D38="","",D38)</f>
        <v/>
      </c>
      <c r="AP38" s="236"/>
      <c r="AQ38" s="316" t="str">
        <f t="shared" ref="AQ38:AQ44" si="97">IF(AP38="",AO38,AP38)</f>
        <v/>
      </c>
      <c r="AR38" s="315" t="str">
        <f t="shared" si="73"/>
        <v/>
      </c>
      <c r="AS38" s="236"/>
      <c r="AT38" s="316" t="str">
        <f t="shared" ref="AT38:AT44" si="98">IF(AS38="",AR38,AS38)</f>
        <v/>
      </c>
      <c r="AU38" s="301">
        <f t="shared" si="74"/>
        <v>0</v>
      </c>
      <c r="AV38" s="528"/>
      <c r="AW38" s="322">
        <f t="shared" ref="AW38:AW44" si="99">IF(AV38="",AU38,AV38)</f>
        <v>0</v>
      </c>
      <c r="AX38" s="321">
        <f t="shared" si="75"/>
        <v>0</v>
      </c>
      <c r="AY38" s="529"/>
      <c r="AZ38" s="323">
        <f t="shared" ref="AZ38:AZ44" si="100">IF(AY38="",AX38,AY38)</f>
        <v>0</v>
      </c>
      <c r="BA38" s="323">
        <f t="shared" si="76"/>
        <v>0</v>
      </c>
      <c r="BB38" s="529"/>
      <c r="BC38" s="323">
        <f t="shared" ref="BC38:BC44" si="101">IF(BB38="",BA38,BB38)</f>
        <v>0</v>
      </c>
      <c r="BD38" s="323">
        <f t="shared" si="77"/>
        <v>0</v>
      </c>
      <c r="BE38" s="529"/>
      <c r="BF38" s="323">
        <f t="shared" ref="BF38:BF44" si="102">IF(BE38="",BD38,BE38)</f>
        <v>0</v>
      </c>
      <c r="BG38" s="323">
        <f t="shared" si="78"/>
        <v>0</v>
      </c>
      <c r="BH38" s="529"/>
      <c r="BI38" s="323">
        <f t="shared" ref="BI38:BI44" si="103">IF(BH38="",BG38,BH38)</f>
        <v>0</v>
      </c>
      <c r="BJ38" s="323">
        <f t="shared" si="79"/>
        <v>0</v>
      </c>
      <c r="BK38" s="529"/>
      <c r="BL38" s="323">
        <f t="shared" ref="BL38:BL44" si="104">IF(BK38="",BJ38,BK38)</f>
        <v>0</v>
      </c>
      <c r="BM38" s="304">
        <f t="shared" ref="BM38:BM44" si="105">AZ38+BC38+BF38+BI38+BL38</f>
        <v>0</v>
      </c>
      <c r="BN38" s="324">
        <f t="shared" ref="BN38:BN44" si="106">AW38+BM38</f>
        <v>0</v>
      </c>
      <c r="BO38" s="355"/>
      <c r="BP38" s="321">
        <f t="shared" si="80"/>
        <v>0</v>
      </c>
      <c r="BQ38" s="528"/>
      <c r="BR38" s="325">
        <f t="shared" ref="BR38:BR44" si="107">IF(BQ38="",BP38,BQ38)</f>
        <v>0</v>
      </c>
      <c r="BS38" s="323">
        <f t="shared" si="81"/>
        <v>0</v>
      </c>
      <c r="BT38" s="529"/>
      <c r="BU38" s="323">
        <f t="shared" ref="BU38:BU44" si="108">IF(BT38="",BS38,BT38)</f>
        <v>0</v>
      </c>
      <c r="BV38" s="323">
        <f t="shared" si="82"/>
        <v>0</v>
      </c>
      <c r="BW38" s="529"/>
      <c r="BX38" s="323">
        <f t="shared" ref="BX38:BX44" si="109">IF(BW38="",BV38,BW38)</f>
        <v>0</v>
      </c>
      <c r="BY38" s="323">
        <f t="shared" si="83"/>
        <v>0</v>
      </c>
      <c r="BZ38" s="529"/>
      <c r="CA38" s="323">
        <f t="shared" ref="CA38:CA44" si="110">IF(BZ38="",BY38,BZ38)</f>
        <v>0</v>
      </c>
      <c r="CB38" s="323">
        <f t="shared" si="84"/>
        <v>0</v>
      </c>
      <c r="CC38" s="529"/>
      <c r="CD38" s="323">
        <f t="shared" ref="CD38:CD44" si="111">IF(CC38="",CB38,CC38)</f>
        <v>0</v>
      </c>
      <c r="CE38" s="304">
        <f t="shared" ref="CE38:CE44" si="112">BR38+BU38+BX38+CA38+CD38</f>
        <v>0</v>
      </c>
      <c r="CF38" s="321">
        <f t="shared" si="85"/>
        <v>0</v>
      </c>
      <c r="CG38" s="529"/>
      <c r="CH38" s="326">
        <f t="shared" ref="CH38:CH44" si="113">IF(CG38="",CF38,CG38)</f>
        <v>0</v>
      </c>
      <c r="CI38" s="310"/>
      <c r="CJ38" s="327">
        <f t="shared" ref="CJ38:CJ44" si="114">BN38+CE38+CH38</f>
        <v>0</v>
      </c>
      <c r="CK38" s="321">
        <f t="shared" si="86"/>
        <v>0</v>
      </c>
      <c r="CL38" s="528"/>
      <c r="CM38" s="322">
        <f t="shared" ref="CM38:CM44" si="115">IF(CL38="",CK38,CL38)</f>
        <v>0</v>
      </c>
      <c r="CN38" s="321">
        <f t="shared" si="87"/>
        <v>0</v>
      </c>
      <c r="CO38" s="524"/>
      <c r="CP38" s="359">
        <f t="shared" ref="CP38:CP44" si="116">IF(CO38="",CN38,CO38)</f>
        <v>0</v>
      </c>
      <c r="CQ38" s="312">
        <f t="shared" ref="CQ38:CQ44" si="117">AW38+BM38+CE38+CH38-CM38-CP38</f>
        <v>0</v>
      </c>
      <c r="CR38" s="315" t="str">
        <f t="shared" si="88"/>
        <v/>
      </c>
      <c r="CS38" s="236"/>
      <c r="CT38" s="316" t="str">
        <f t="shared" ref="CT38:CT44" si="118">IF(CS38="",CR38,CS38)</f>
        <v/>
      </c>
      <c r="CU38" s="315" t="str">
        <f t="shared" si="89"/>
        <v/>
      </c>
      <c r="CV38" s="236"/>
      <c r="CW38" s="316" t="str">
        <f t="shared" ref="CW38:CW44" si="119">IF(CV38="",CU38,CV38)</f>
        <v/>
      </c>
      <c r="CX38" s="328" t="str">
        <f t="shared" ref="CX38:CX44" si="120">IF(DD38=0,"",DD38)</f>
        <v/>
      </c>
      <c r="CY38" s="530"/>
      <c r="DA38" s="6">
        <f>IF(AND(CT38&lt;&gt;"",OR(CT38&lt;EXPEDIENTE!$I$25,CT38&gt;EXPEDIENTE!$I$29)),1,0)</f>
        <v>0</v>
      </c>
      <c r="DB38" s="6">
        <f>IF(AND(CW38&lt;&gt;"",OR(CW38&lt;EXPEDIENTE!$I$25,CW38&gt;EXPEDIENTE!$I$29)),1,0)</f>
        <v>0</v>
      </c>
      <c r="DD38" s="88">
        <f t="shared" si="90"/>
        <v>0</v>
      </c>
      <c r="DE38" s="88">
        <f t="shared" ref="DE38:DE44" si="121">IF(AS38="",0,1)</f>
        <v>0</v>
      </c>
      <c r="DF38" s="88">
        <f t="shared" ref="DF38:DF44" si="122">IF(AV38="",0,1)</f>
        <v>0</v>
      </c>
      <c r="DG38" s="88">
        <f t="shared" ref="DG38:DG44" si="123">IF(AY38="",0,1)</f>
        <v>0</v>
      </c>
      <c r="DH38" s="88">
        <f t="shared" ref="DH38:DH44" si="124">IF(BB38="",0,1)</f>
        <v>0</v>
      </c>
      <c r="DI38" s="88">
        <f t="shared" ref="DI38:DI44" si="125">IF(BE38="",0,1)</f>
        <v>0</v>
      </c>
      <c r="DJ38" s="88">
        <f t="shared" ref="DJ38:DJ44" si="126">IF(BH38="",0,1)</f>
        <v>0</v>
      </c>
      <c r="DK38" s="88">
        <f t="shared" ref="DK38:DK44" si="127">IF(BK38="",0,1)</f>
        <v>0</v>
      </c>
      <c r="DL38" s="88">
        <f t="shared" ref="DL38:DL44" si="128">IF(BQ38="",0,1)</f>
        <v>0</v>
      </c>
      <c r="DM38" s="88">
        <f t="shared" ref="DM38:DM44" si="129">IF(BT38="",0,1)</f>
        <v>0</v>
      </c>
      <c r="DN38" s="88">
        <f t="shared" ref="DN38:DN44" si="130">IF(BW38="",0,1)</f>
        <v>0</v>
      </c>
      <c r="DO38" s="88">
        <f t="shared" ref="DO38:DO44" si="131">IF(BZ38="",0,1)</f>
        <v>0</v>
      </c>
      <c r="DP38" s="88">
        <f t="shared" ref="DP38:DP44" si="132">IF(CC38="",0,1)</f>
        <v>0</v>
      </c>
      <c r="DQ38" s="88">
        <f t="shared" ref="DQ38:DQ44" si="133">IF(CG38="",0,1)</f>
        <v>0</v>
      </c>
      <c r="DR38" s="88">
        <f t="shared" ref="DR38:DR44" si="134">IF(CL38="",0,1)</f>
        <v>0</v>
      </c>
      <c r="DS38" s="88">
        <f t="shared" ref="DS38:DS44" si="135">IF(CO38="",0,1)</f>
        <v>0</v>
      </c>
      <c r="DT38" s="88">
        <f t="shared" ref="DT38:DT44" si="136">IF(CS38="",0,1)</f>
        <v>0</v>
      </c>
      <c r="DU38" s="88">
        <f t="shared" ref="DU38:DU44" si="137">IF(CV38="",0,1)</f>
        <v>0</v>
      </c>
      <c r="DW38" s="88">
        <f>IF(CY38&lt;&gt;"",MAX($DW$9:DW37)+1,0)</f>
        <v>0</v>
      </c>
      <c r="DX38" s="182" t="str">
        <f t="shared" ref="DX38:DX44" si="138">IF(DW38=0,"",CY38)</f>
        <v/>
      </c>
    </row>
    <row r="39" spans="2:128" ht="30" customHeight="1" x14ac:dyDescent="0.25">
      <c r="B39" s="875"/>
      <c r="C39" s="76"/>
      <c r="D39" s="64"/>
      <c r="E39" s="65"/>
      <c r="F39" s="53"/>
      <c r="G39" s="54"/>
      <c r="H39" s="54"/>
      <c r="I39" s="54"/>
      <c r="J39" s="54"/>
      <c r="K39" s="54"/>
      <c r="L39" s="23">
        <f t="shared" ref="L39:L44" si="139">SUM(G39:K39)</f>
        <v>0</v>
      </c>
      <c r="M39" s="42">
        <f t="shared" si="92"/>
        <v>0</v>
      </c>
      <c r="N39" s="40"/>
      <c r="O39" s="53"/>
      <c r="P39" s="54"/>
      <c r="Q39" s="54"/>
      <c r="R39" s="54"/>
      <c r="S39" s="54"/>
      <c r="T39" s="23">
        <f t="shared" si="93"/>
        <v>0</v>
      </c>
      <c r="U39" s="60"/>
      <c r="V39" s="27"/>
      <c r="W39" s="43">
        <f t="shared" si="94"/>
        <v>0</v>
      </c>
      <c r="X39" s="53"/>
      <c r="Y39" s="54"/>
      <c r="Z39" s="26">
        <f t="shared" si="95"/>
        <v>0</v>
      </c>
      <c r="AA39" s="62"/>
      <c r="AB39" s="63"/>
      <c r="AC39" s="69"/>
      <c r="AD39" s="70"/>
      <c r="AE39" s="104"/>
      <c r="AG39" s="6">
        <f>IF(AND(AA39&lt;&gt;"",OR(AA39&lt;EXPEDIENTE!$I$25,AA39&gt;EXPEDIENTE!$I$29)),1,0)</f>
        <v>0</v>
      </c>
      <c r="AH39" s="6">
        <f>IF(AND(AB39&lt;&gt;"",OR(AB39&lt;EXPEDIENTE!$I$25,AB39&gt;EXPEDIENTE!$I$29)),1,0)</f>
        <v>0</v>
      </c>
      <c r="AM39" s="728"/>
      <c r="AN39" s="358" t="str">
        <f t="shared" si="72"/>
        <v/>
      </c>
      <c r="AO39" s="315" t="str">
        <f t="shared" si="96"/>
        <v/>
      </c>
      <c r="AP39" s="236"/>
      <c r="AQ39" s="316" t="str">
        <f t="shared" si="97"/>
        <v/>
      </c>
      <c r="AR39" s="315" t="str">
        <f t="shared" si="73"/>
        <v/>
      </c>
      <c r="AS39" s="236"/>
      <c r="AT39" s="316" t="str">
        <f t="shared" si="98"/>
        <v/>
      </c>
      <c r="AU39" s="301">
        <f t="shared" si="74"/>
        <v>0</v>
      </c>
      <c r="AV39" s="528"/>
      <c r="AW39" s="322">
        <f t="shared" si="99"/>
        <v>0</v>
      </c>
      <c r="AX39" s="321">
        <f t="shared" si="75"/>
        <v>0</v>
      </c>
      <c r="AY39" s="529"/>
      <c r="AZ39" s="323">
        <f t="shared" si="100"/>
        <v>0</v>
      </c>
      <c r="BA39" s="323">
        <f t="shared" si="76"/>
        <v>0</v>
      </c>
      <c r="BB39" s="529"/>
      <c r="BC39" s="323">
        <f t="shared" si="101"/>
        <v>0</v>
      </c>
      <c r="BD39" s="323">
        <f t="shared" si="77"/>
        <v>0</v>
      </c>
      <c r="BE39" s="529"/>
      <c r="BF39" s="323">
        <f t="shared" si="102"/>
        <v>0</v>
      </c>
      <c r="BG39" s="323">
        <f t="shared" si="78"/>
        <v>0</v>
      </c>
      <c r="BH39" s="529"/>
      <c r="BI39" s="323">
        <f t="shared" si="103"/>
        <v>0</v>
      </c>
      <c r="BJ39" s="323">
        <f t="shared" si="79"/>
        <v>0</v>
      </c>
      <c r="BK39" s="529"/>
      <c r="BL39" s="323">
        <f t="shared" si="104"/>
        <v>0</v>
      </c>
      <c r="BM39" s="304">
        <f t="shared" si="105"/>
        <v>0</v>
      </c>
      <c r="BN39" s="324">
        <f t="shared" si="106"/>
        <v>0</v>
      </c>
      <c r="BO39" s="355"/>
      <c r="BP39" s="321">
        <f t="shared" si="80"/>
        <v>0</v>
      </c>
      <c r="BQ39" s="528"/>
      <c r="BR39" s="325">
        <f t="shared" si="107"/>
        <v>0</v>
      </c>
      <c r="BS39" s="323">
        <f t="shared" si="81"/>
        <v>0</v>
      </c>
      <c r="BT39" s="529"/>
      <c r="BU39" s="323">
        <f t="shared" si="108"/>
        <v>0</v>
      </c>
      <c r="BV39" s="323">
        <f t="shared" si="82"/>
        <v>0</v>
      </c>
      <c r="BW39" s="529"/>
      <c r="BX39" s="323">
        <f t="shared" si="109"/>
        <v>0</v>
      </c>
      <c r="BY39" s="323">
        <f t="shared" si="83"/>
        <v>0</v>
      </c>
      <c r="BZ39" s="529"/>
      <c r="CA39" s="323">
        <f t="shared" si="110"/>
        <v>0</v>
      </c>
      <c r="CB39" s="323">
        <f t="shared" si="84"/>
        <v>0</v>
      </c>
      <c r="CC39" s="529"/>
      <c r="CD39" s="323">
        <f t="shared" si="111"/>
        <v>0</v>
      </c>
      <c r="CE39" s="304">
        <f t="shared" si="112"/>
        <v>0</v>
      </c>
      <c r="CF39" s="321">
        <f t="shared" si="85"/>
        <v>0</v>
      </c>
      <c r="CG39" s="529"/>
      <c r="CH39" s="326">
        <f t="shared" si="113"/>
        <v>0</v>
      </c>
      <c r="CI39" s="310"/>
      <c r="CJ39" s="327">
        <f t="shared" si="114"/>
        <v>0</v>
      </c>
      <c r="CK39" s="321">
        <f t="shared" si="86"/>
        <v>0</v>
      </c>
      <c r="CL39" s="528"/>
      <c r="CM39" s="322">
        <f t="shared" si="115"/>
        <v>0</v>
      </c>
      <c r="CN39" s="321">
        <f t="shared" si="87"/>
        <v>0</v>
      </c>
      <c r="CO39" s="524"/>
      <c r="CP39" s="359">
        <f t="shared" si="116"/>
        <v>0</v>
      </c>
      <c r="CQ39" s="312">
        <f t="shared" si="117"/>
        <v>0</v>
      </c>
      <c r="CR39" s="315" t="str">
        <f t="shared" si="88"/>
        <v/>
      </c>
      <c r="CS39" s="236"/>
      <c r="CT39" s="316" t="str">
        <f t="shared" si="118"/>
        <v/>
      </c>
      <c r="CU39" s="315" t="str">
        <f t="shared" si="89"/>
        <v/>
      </c>
      <c r="CV39" s="236"/>
      <c r="CW39" s="316" t="str">
        <f t="shared" si="119"/>
        <v/>
      </c>
      <c r="CX39" s="328" t="str">
        <f t="shared" si="120"/>
        <v/>
      </c>
      <c r="CY39" s="530"/>
      <c r="DA39" s="6">
        <f>IF(AND(CT39&lt;&gt;"",OR(CT39&lt;EXPEDIENTE!$I$25,CT39&gt;EXPEDIENTE!$I$29)),1,0)</f>
        <v>0</v>
      </c>
      <c r="DB39" s="6">
        <f>IF(AND(CW39&lt;&gt;"",OR(CW39&lt;EXPEDIENTE!$I$25,CW39&gt;EXPEDIENTE!$I$29)),1,0)</f>
        <v>0</v>
      </c>
      <c r="DD39" s="88">
        <f t="shared" si="90"/>
        <v>0</v>
      </c>
      <c r="DE39" s="88">
        <f t="shared" si="121"/>
        <v>0</v>
      </c>
      <c r="DF39" s="88">
        <f t="shared" si="122"/>
        <v>0</v>
      </c>
      <c r="DG39" s="88">
        <f t="shared" si="123"/>
        <v>0</v>
      </c>
      <c r="DH39" s="88">
        <f t="shared" si="124"/>
        <v>0</v>
      </c>
      <c r="DI39" s="88">
        <f t="shared" si="125"/>
        <v>0</v>
      </c>
      <c r="DJ39" s="88">
        <f t="shared" si="126"/>
        <v>0</v>
      </c>
      <c r="DK39" s="88">
        <f t="shared" si="127"/>
        <v>0</v>
      </c>
      <c r="DL39" s="88">
        <f t="shared" si="128"/>
        <v>0</v>
      </c>
      <c r="DM39" s="88">
        <f t="shared" si="129"/>
        <v>0</v>
      </c>
      <c r="DN39" s="88">
        <f t="shared" si="130"/>
        <v>0</v>
      </c>
      <c r="DO39" s="88">
        <f t="shared" si="131"/>
        <v>0</v>
      </c>
      <c r="DP39" s="88">
        <f t="shared" si="132"/>
        <v>0</v>
      </c>
      <c r="DQ39" s="88">
        <f t="shared" si="133"/>
        <v>0</v>
      </c>
      <c r="DR39" s="88">
        <f t="shared" si="134"/>
        <v>0</v>
      </c>
      <c r="DS39" s="88">
        <f t="shared" si="135"/>
        <v>0</v>
      </c>
      <c r="DT39" s="88">
        <f t="shared" si="136"/>
        <v>0</v>
      </c>
      <c r="DU39" s="88">
        <f t="shared" si="137"/>
        <v>0</v>
      </c>
      <c r="DW39" s="88">
        <f>IF(CY39&lt;&gt;"",MAX($DW$9:DW38)+1,0)</f>
        <v>0</v>
      </c>
      <c r="DX39" s="182" t="str">
        <f t="shared" si="138"/>
        <v/>
      </c>
    </row>
    <row r="40" spans="2:128" ht="30" customHeight="1" x14ac:dyDescent="0.25">
      <c r="B40" s="875"/>
      <c r="C40" s="76"/>
      <c r="D40" s="64"/>
      <c r="E40" s="65"/>
      <c r="F40" s="53"/>
      <c r="G40" s="54"/>
      <c r="H40" s="54"/>
      <c r="I40" s="54"/>
      <c r="J40" s="54"/>
      <c r="K40" s="54"/>
      <c r="L40" s="23">
        <f t="shared" si="139"/>
        <v>0</v>
      </c>
      <c r="M40" s="42">
        <f t="shared" si="92"/>
        <v>0</v>
      </c>
      <c r="N40" s="40"/>
      <c r="O40" s="53"/>
      <c r="P40" s="54"/>
      <c r="Q40" s="54"/>
      <c r="R40" s="54"/>
      <c r="S40" s="54"/>
      <c r="T40" s="23">
        <f t="shared" si="93"/>
        <v>0</v>
      </c>
      <c r="U40" s="60"/>
      <c r="V40" s="27"/>
      <c r="W40" s="43">
        <f t="shared" si="94"/>
        <v>0</v>
      </c>
      <c r="X40" s="53"/>
      <c r="Y40" s="54"/>
      <c r="Z40" s="26">
        <f t="shared" si="95"/>
        <v>0</v>
      </c>
      <c r="AA40" s="62"/>
      <c r="AB40" s="63"/>
      <c r="AC40" s="69"/>
      <c r="AD40" s="70"/>
      <c r="AE40" s="104"/>
      <c r="AG40" s="6">
        <f>IF(AND(AA40&lt;&gt;"",OR(AA40&lt;EXPEDIENTE!$I$25,AA40&gt;EXPEDIENTE!$I$29)),1,0)</f>
        <v>0</v>
      </c>
      <c r="AH40" s="6">
        <f>IF(AND(AB40&lt;&gt;"",OR(AB40&lt;EXPEDIENTE!$I$25,AB40&gt;EXPEDIENTE!$I$29)),1,0)</f>
        <v>0</v>
      </c>
      <c r="AM40" s="728"/>
      <c r="AN40" s="358" t="str">
        <f t="shared" si="72"/>
        <v/>
      </c>
      <c r="AO40" s="315" t="str">
        <f t="shared" si="96"/>
        <v/>
      </c>
      <c r="AP40" s="236"/>
      <c r="AQ40" s="316" t="str">
        <f t="shared" si="97"/>
        <v/>
      </c>
      <c r="AR40" s="315" t="str">
        <f t="shared" si="73"/>
        <v/>
      </c>
      <c r="AS40" s="236"/>
      <c r="AT40" s="316" t="str">
        <f t="shared" si="98"/>
        <v/>
      </c>
      <c r="AU40" s="301">
        <f t="shared" si="74"/>
        <v>0</v>
      </c>
      <c r="AV40" s="528"/>
      <c r="AW40" s="322">
        <f t="shared" si="99"/>
        <v>0</v>
      </c>
      <c r="AX40" s="321">
        <f t="shared" si="75"/>
        <v>0</v>
      </c>
      <c r="AY40" s="529"/>
      <c r="AZ40" s="323">
        <f t="shared" si="100"/>
        <v>0</v>
      </c>
      <c r="BA40" s="323">
        <f t="shared" si="76"/>
        <v>0</v>
      </c>
      <c r="BB40" s="529"/>
      <c r="BC40" s="323">
        <f t="shared" si="101"/>
        <v>0</v>
      </c>
      <c r="BD40" s="323">
        <f t="shared" si="77"/>
        <v>0</v>
      </c>
      <c r="BE40" s="529"/>
      <c r="BF40" s="323">
        <f t="shared" si="102"/>
        <v>0</v>
      </c>
      <c r="BG40" s="323">
        <f t="shared" si="78"/>
        <v>0</v>
      </c>
      <c r="BH40" s="529"/>
      <c r="BI40" s="323">
        <f t="shared" si="103"/>
        <v>0</v>
      </c>
      <c r="BJ40" s="323">
        <f t="shared" si="79"/>
        <v>0</v>
      </c>
      <c r="BK40" s="529"/>
      <c r="BL40" s="323">
        <f t="shared" si="104"/>
        <v>0</v>
      </c>
      <c r="BM40" s="304">
        <f t="shared" si="105"/>
        <v>0</v>
      </c>
      <c r="BN40" s="324">
        <f t="shared" si="106"/>
        <v>0</v>
      </c>
      <c r="BO40" s="355"/>
      <c r="BP40" s="321">
        <f t="shared" si="80"/>
        <v>0</v>
      </c>
      <c r="BQ40" s="528"/>
      <c r="BR40" s="325">
        <f t="shared" si="107"/>
        <v>0</v>
      </c>
      <c r="BS40" s="323">
        <f t="shared" si="81"/>
        <v>0</v>
      </c>
      <c r="BT40" s="529"/>
      <c r="BU40" s="323">
        <f t="shared" si="108"/>
        <v>0</v>
      </c>
      <c r="BV40" s="323">
        <f t="shared" si="82"/>
        <v>0</v>
      </c>
      <c r="BW40" s="529"/>
      <c r="BX40" s="323">
        <f t="shared" si="109"/>
        <v>0</v>
      </c>
      <c r="BY40" s="323">
        <f t="shared" si="83"/>
        <v>0</v>
      </c>
      <c r="BZ40" s="529"/>
      <c r="CA40" s="323">
        <f t="shared" si="110"/>
        <v>0</v>
      </c>
      <c r="CB40" s="323">
        <f t="shared" si="84"/>
        <v>0</v>
      </c>
      <c r="CC40" s="529"/>
      <c r="CD40" s="323">
        <f t="shared" si="111"/>
        <v>0</v>
      </c>
      <c r="CE40" s="304">
        <f t="shared" si="112"/>
        <v>0</v>
      </c>
      <c r="CF40" s="321">
        <f t="shared" si="85"/>
        <v>0</v>
      </c>
      <c r="CG40" s="529"/>
      <c r="CH40" s="326">
        <f t="shared" si="113"/>
        <v>0</v>
      </c>
      <c r="CI40" s="310"/>
      <c r="CJ40" s="327">
        <f t="shared" si="114"/>
        <v>0</v>
      </c>
      <c r="CK40" s="321">
        <f t="shared" si="86"/>
        <v>0</v>
      </c>
      <c r="CL40" s="528"/>
      <c r="CM40" s="322">
        <f t="shared" si="115"/>
        <v>0</v>
      </c>
      <c r="CN40" s="321">
        <f t="shared" si="87"/>
        <v>0</v>
      </c>
      <c r="CO40" s="524"/>
      <c r="CP40" s="359">
        <f t="shared" si="116"/>
        <v>0</v>
      </c>
      <c r="CQ40" s="312">
        <f t="shared" si="117"/>
        <v>0</v>
      </c>
      <c r="CR40" s="315" t="str">
        <f t="shared" si="88"/>
        <v/>
      </c>
      <c r="CS40" s="236"/>
      <c r="CT40" s="316" t="str">
        <f t="shared" si="118"/>
        <v/>
      </c>
      <c r="CU40" s="315" t="str">
        <f t="shared" si="89"/>
        <v/>
      </c>
      <c r="CV40" s="236"/>
      <c r="CW40" s="316" t="str">
        <f t="shared" si="119"/>
        <v/>
      </c>
      <c r="CX40" s="328" t="str">
        <f t="shared" si="120"/>
        <v/>
      </c>
      <c r="CY40" s="530"/>
      <c r="DA40" s="6">
        <f>IF(AND(CT40&lt;&gt;"",OR(CT40&lt;EXPEDIENTE!$I$25,CT40&gt;EXPEDIENTE!$I$29)),1,0)</f>
        <v>0</v>
      </c>
      <c r="DB40" s="6">
        <f>IF(AND(CW40&lt;&gt;"",OR(CW40&lt;EXPEDIENTE!$I$25,CW40&gt;EXPEDIENTE!$I$29)),1,0)</f>
        <v>0</v>
      </c>
      <c r="DD40" s="88">
        <f t="shared" si="90"/>
        <v>0</v>
      </c>
      <c r="DE40" s="88">
        <f t="shared" si="121"/>
        <v>0</v>
      </c>
      <c r="DF40" s="88">
        <f t="shared" si="122"/>
        <v>0</v>
      </c>
      <c r="DG40" s="88">
        <f t="shared" si="123"/>
        <v>0</v>
      </c>
      <c r="DH40" s="88">
        <f t="shared" si="124"/>
        <v>0</v>
      </c>
      <c r="DI40" s="88">
        <f t="shared" si="125"/>
        <v>0</v>
      </c>
      <c r="DJ40" s="88">
        <f t="shared" si="126"/>
        <v>0</v>
      </c>
      <c r="DK40" s="88">
        <f t="shared" si="127"/>
        <v>0</v>
      </c>
      <c r="DL40" s="88">
        <f t="shared" si="128"/>
        <v>0</v>
      </c>
      <c r="DM40" s="88">
        <f t="shared" si="129"/>
        <v>0</v>
      </c>
      <c r="DN40" s="88">
        <f t="shared" si="130"/>
        <v>0</v>
      </c>
      <c r="DO40" s="88">
        <f t="shared" si="131"/>
        <v>0</v>
      </c>
      <c r="DP40" s="88">
        <f t="shared" si="132"/>
        <v>0</v>
      </c>
      <c r="DQ40" s="88">
        <f t="shared" si="133"/>
        <v>0</v>
      </c>
      <c r="DR40" s="88">
        <f t="shared" si="134"/>
        <v>0</v>
      </c>
      <c r="DS40" s="88">
        <f t="shared" si="135"/>
        <v>0</v>
      </c>
      <c r="DT40" s="88">
        <f t="shared" si="136"/>
        <v>0</v>
      </c>
      <c r="DU40" s="88">
        <f t="shared" si="137"/>
        <v>0</v>
      </c>
      <c r="DW40" s="88">
        <f>IF(CY40&lt;&gt;"",MAX($DW$9:DW39)+1,0)</f>
        <v>0</v>
      </c>
      <c r="DX40" s="182" t="str">
        <f t="shared" si="138"/>
        <v/>
      </c>
    </row>
    <row r="41" spans="2:128" ht="30" customHeight="1" x14ac:dyDescent="0.25">
      <c r="B41" s="875"/>
      <c r="C41" s="76"/>
      <c r="D41" s="64"/>
      <c r="E41" s="65"/>
      <c r="F41" s="53"/>
      <c r="G41" s="54"/>
      <c r="H41" s="54"/>
      <c r="I41" s="54"/>
      <c r="J41" s="54"/>
      <c r="K41" s="54"/>
      <c r="L41" s="23">
        <f t="shared" ref="L41:L43" si="140">SUM(G41:K41)</f>
        <v>0</v>
      </c>
      <c r="M41" s="42">
        <f t="shared" ref="M41:M43" si="141">F41+L41</f>
        <v>0</v>
      </c>
      <c r="N41" s="40"/>
      <c r="O41" s="55"/>
      <c r="P41" s="56"/>
      <c r="Q41" s="56"/>
      <c r="R41" s="56"/>
      <c r="S41" s="56"/>
      <c r="T41" s="23">
        <f t="shared" si="93"/>
        <v>0</v>
      </c>
      <c r="U41" s="158"/>
      <c r="V41" s="27"/>
      <c r="W41" s="43">
        <f t="shared" si="94"/>
        <v>0</v>
      </c>
      <c r="X41" s="53"/>
      <c r="Y41" s="54"/>
      <c r="Z41" s="26">
        <f t="shared" si="95"/>
        <v>0</v>
      </c>
      <c r="AA41" s="62"/>
      <c r="AB41" s="63"/>
      <c r="AC41" s="69"/>
      <c r="AD41" s="70"/>
      <c r="AE41" s="104"/>
      <c r="AG41" s="6">
        <f>IF(AND(AA41&lt;&gt;"",OR(AA41&lt;EXPEDIENTE!$I$25,AA41&gt;EXPEDIENTE!$I$29)),1,0)</f>
        <v>0</v>
      </c>
      <c r="AH41" s="6">
        <f>IF(AND(AB41&lt;&gt;"",OR(AB41&lt;EXPEDIENTE!$I$25,AB41&gt;EXPEDIENTE!$I$29)),1,0)</f>
        <v>0</v>
      </c>
      <c r="AM41" s="728"/>
      <c r="AN41" s="358" t="str">
        <f t="shared" si="72"/>
        <v/>
      </c>
      <c r="AO41" s="315" t="str">
        <f t="shared" si="96"/>
        <v/>
      </c>
      <c r="AP41" s="236"/>
      <c r="AQ41" s="316" t="str">
        <f t="shared" si="97"/>
        <v/>
      </c>
      <c r="AR41" s="315" t="str">
        <f t="shared" si="73"/>
        <v/>
      </c>
      <c r="AS41" s="236"/>
      <c r="AT41" s="316" t="str">
        <f t="shared" si="98"/>
        <v/>
      </c>
      <c r="AU41" s="301">
        <f t="shared" si="74"/>
        <v>0</v>
      </c>
      <c r="AV41" s="528"/>
      <c r="AW41" s="322">
        <f t="shared" si="99"/>
        <v>0</v>
      </c>
      <c r="AX41" s="321">
        <f t="shared" si="75"/>
        <v>0</v>
      </c>
      <c r="AY41" s="529"/>
      <c r="AZ41" s="323">
        <f t="shared" si="100"/>
        <v>0</v>
      </c>
      <c r="BA41" s="323">
        <f t="shared" si="76"/>
        <v>0</v>
      </c>
      <c r="BB41" s="529"/>
      <c r="BC41" s="323">
        <f t="shared" si="101"/>
        <v>0</v>
      </c>
      <c r="BD41" s="323">
        <f t="shared" si="77"/>
        <v>0</v>
      </c>
      <c r="BE41" s="529"/>
      <c r="BF41" s="323">
        <f t="shared" si="102"/>
        <v>0</v>
      </c>
      <c r="BG41" s="323">
        <f t="shared" si="78"/>
        <v>0</v>
      </c>
      <c r="BH41" s="529"/>
      <c r="BI41" s="323">
        <f t="shared" si="103"/>
        <v>0</v>
      </c>
      <c r="BJ41" s="323">
        <f t="shared" si="79"/>
        <v>0</v>
      </c>
      <c r="BK41" s="529"/>
      <c r="BL41" s="323">
        <f t="shared" si="104"/>
        <v>0</v>
      </c>
      <c r="BM41" s="304">
        <f t="shared" si="105"/>
        <v>0</v>
      </c>
      <c r="BN41" s="324">
        <f t="shared" si="106"/>
        <v>0</v>
      </c>
      <c r="BO41" s="355"/>
      <c r="BP41" s="360">
        <f t="shared" si="80"/>
        <v>0</v>
      </c>
      <c r="BQ41" s="538"/>
      <c r="BR41" s="361">
        <f t="shared" si="107"/>
        <v>0</v>
      </c>
      <c r="BS41" s="362">
        <f t="shared" si="81"/>
        <v>0</v>
      </c>
      <c r="BT41" s="539"/>
      <c r="BU41" s="362">
        <f t="shared" si="108"/>
        <v>0</v>
      </c>
      <c r="BV41" s="362">
        <f t="shared" si="82"/>
        <v>0</v>
      </c>
      <c r="BW41" s="539"/>
      <c r="BX41" s="362">
        <f t="shared" si="109"/>
        <v>0</v>
      </c>
      <c r="BY41" s="362">
        <f t="shared" si="83"/>
        <v>0</v>
      </c>
      <c r="BZ41" s="539"/>
      <c r="CA41" s="362">
        <f t="shared" si="110"/>
        <v>0</v>
      </c>
      <c r="CB41" s="362">
        <f t="shared" si="84"/>
        <v>0</v>
      </c>
      <c r="CC41" s="539"/>
      <c r="CD41" s="362">
        <f t="shared" si="111"/>
        <v>0</v>
      </c>
      <c r="CE41" s="304">
        <f t="shared" si="112"/>
        <v>0</v>
      </c>
      <c r="CF41" s="321">
        <f t="shared" si="85"/>
        <v>0</v>
      </c>
      <c r="CG41" s="529"/>
      <c r="CH41" s="326">
        <f t="shared" si="113"/>
        <v>0</v>
      </c>
      <c r="CI41" s="310"/>
      <c r="CJ41" s="327">
        <f t="shared" si="114"/>
        <v>0</v>
      </c>
      <c r="CK41" s="321">
        <f t="shared" si="86"/>
        <v>0</v>
      </c>
      <c r="CL41" s="528"/>
      <c r="CM41" s="322">
        <f t="shared" si="115"/>
        <v>0</v>
      </c>
      <c r="CN41" s="321">
        <f t="shared" si="87"/>
        <v>0</v>
      </c>
      <c r="CO41" s="524"/>
      <c r="CP41" s="359">
        <f t="shared" si="116"/>
        <v>0</v>
      </c>
      <c r="CQ41" s="312">
        <f t="shared" si="117"/>
        <v>0</v>
      </c>
      <c r="CR41" s="315" t="str">
        <f t="shared" si="88"/>
        <v/>
      </c>
      <c r="CS41" s="236"/>
      <c r="CT41" s="316" t="str">
        <f t="shared" si="118"/>
        <v/>
      </c>
      <c r="CU41" s="315" t="str">
        <f t="shared" si="89"/>
        <v/>
      </c>
      <c r="CV41" s="236"/>
      <c r="CW41" s="316" t="str">
        <f t="shared" si="119"/>
        <v/>
      </c>
      <c r="CX41" s="328" t="str">
        <f t="shared" si="120"/>
        <v/>
      </c>
      <c r="CY41" s="530"/>
      <c r="DA41" s="6">
        <f>IF(AND(CT41&lt;&gt;"",OR(CT41&lt;EXPEDIENTE!$I$25,CT41&gt;EXPEDIENTE!$I$29)),1,0)</f>
        <v>0</v>
      </c>
      <c r="DB41" s="6">
        <f>IF(AND(CW41&lt;&gt;"",OR(CW41&lt;EXPEDIENTE!$I$25,CW41&gt;EXPEDIENTE!$I$29)),1,0)</f>
        <v>0</v>
      </c>
      <c r="DD41" s="88">
        <f t="shared" si="90"/>
        <v>0</v>
      </c>
      <c r="DE41" s="88">
        <f t="shared" si="121"/>
        <v>0</v>
      </c>
      <c r="DF41" s="88">
        <f t="shared" si="122"/>
        <v>0</v>
      </c>
      <c r="DG41" s="88">
        <f t="shared" si="123"/>
        <v>0</v>
      </c>
      <c r="DH41" s="88">
        <f t="shared" si="124"/>
        <v>0</v>
      </c>
      <c r="DI41" s="88">
        <f t="shared" si="125"/>
        <v>0</v>
      </c>
      <c r="DJ41" s="88">
        <f t="shared" si="126"/>
        <v>0</v>
      </c>
      <c r="DK41" s="88">
        <f t="shared" si="127"/>
        <v>0</v>
      </c>
      <c r="DL41" s="88">
        <f t="shared" si="128"/>
        <v>0</v>
      </c>
      <c r="DM41" s="88">
        <f t="shared" si="129"/>
        <v>0</v>
      </c>
      <c r="DN41" s="88">
        <f t="shared" si="130"/>
        <v>0</v>
      </c>
      <c r="DO41" s="88">
        <f t="shared" si="131"/>
        <v>0</v>
      </c>
      <c r="DP41" s="88">
        <f t="shared" si="132"/>
        <v>0</v>
      </c>
      <c r="DQ41" s="88">
        <f t="shared" si="133"/>
        <v>0</v>
      </c>
      <c r="DR41" s="88">
        <f t="shared" si="134"/>
        <v>0</v>
      </c>
      <c r="DS41" s="88">
        <f t="shared" si="135"/>
        <v>0</v>
      </c>
      <c r="DT41" s="88">
        <f t="shared" si="136"/>
        <v>0</v>
      </c>
      <c r="DU41" s="88">
        <f t="shared" si="137"/>
        <v>0</v>
      </c>
      <c r="DW41" s="88">
        <f>IF(CY41&lt;&gt;"",MAX($DW$9:DW40)+1,0)</f>
        <v>0</v>
      </c>
      <c r="DX41" s="182" t="str">
        <f t="shared" si="138"/>
        <v/>
      </c>
    </row>
    <row r="42" spans="2:128" ht="30" customHeight="1" x14ac:dyDescent="0.25">
      <c r="B42" s="875"/>
      <c r="C42" s="76"/>
      <c r="D42" s="64"/>
      <c r="E42" s="65"/>
      <c r="F42" s="53"/>
      <c r="G42" s="54"/>
      <c r="H42" s="54"/>
      <c r="I42" s="54"/>
      <c r="J42" s="54"/>
      <c r="K42" s="54"/>
      <c r="L42" s="23">
        <f t="shared" si="140"/>
        <v>0</v>
      </c>
      <c r="M42" s="42">
        <f t="shared" si="141"/>
        <v>0</v>
      </c>
      <c r="N42" s="40"/>
      <c r="O42" s="55"/>
      <c r="P42" s="56"/>
      <c r="Q42" s="56"/>
      <c r="R42" s="56"/>
      <c r="S42" s="56"/>
      <c r="T42" s="23">
        <f t="shared" si="93"/>
        <v>0</v>
      </c>
      <c r="U42" s="158"/>
      <c r="V42" s="27"/>
      <c r="W42" s="43">
        <f t="shared" si="94"/>
        <v>0</v>
      </c>
      <c r="X42" s="53"/>
      <c r="Y42" s="54"/>
      <c r="Z42" s="26">
        <f t="shared" si="95"/>
        <v>0</v>
      </c>
      <c r="AA42" s="62"/>
      <c r="AB42" s="63"/>
      <c r="AC42" s="69"/>
      <c r="AD42" s="70"/>
      <c r="AE42" s="104"/>
      <c r="AG42" s="6">
        <f>IF(AND(AA42&lt;&gt;"",OR(AA42&lt;EXPEDIENTE!$I$25,AA42&gt;EXPEDIENTE!$I$29)),1,0)</f>
        <v>0</v>
      </c>
      <c r="AH42" s="6">
        <f>IF(AND(AB42&lt;&gt;"",OR(AB42&lt;EXPEDIENTE!$I$25,AB42&gt;EXPEDIENTE!$I$29)),1,0)</f>
        <v>0</v>
      </c>
      <c r="AM42" s="728"/>
      <c r="AN42" s="358" t="str">
        <f t="shared" si="72"/>
        <v/>
      </c>
      <c r="AO42" s="315" t="str">
        <f t="shared" si="96"/>
        <v/>
      </c>
      <c r="AP42" s="236"/>
      <c r="AQ42" s="316" t="str">
        <f t="shared" si="97"/>
        <v/>
      </c>
      <c r="AR42" s="315" t="str">
        <f t="shared" si="73"/>
        <v/>
      </c>
      <c r="AS42" s="236"/>
      <c r="AT42" s="316" t="str">
        <f t="shared" si="98"/>
        <v/>
      </c>
      <c r="AU42" s="301">
        <f t="shared" si="74"/>
        <v>0</v>
      </c>
      <c r="AV42" s="528"/>
      <c r="AW42" s="322">
        <f t="shared" si="99"/>
        <v>0</v>
      </c>
      <c r="AX42" s="321">
        <f t="shared" si="75"/>
        <v>0</v>
      </c>
      <c r="AY42" s="529"/>
      <c r="AZ42" s="323">
        <f t="shared" si="100"/>
        <v>0</v>
      </c>
      <c r="BA42" s="323">
        <f t="shared" si="76"/>
        <v>0</v>
      </c>
      <c r="BB42" s="529"/>
      <c r="BC42" s="323">
        <f t="shared" si="101"/>
        <v>0</v>
      </c>
      <c r="BD42" s="323">
        <f t="shared" si="77"/>
        <v>0</v>
      </c>
      <c r="BE42" s="529"/>
      <c r="BF42" s="323">
        <f t="shared" si="102"/>
        <v>0</v>
      </c>
      <c r="BG42" s="323">
        <f t="shared" si="78"/>
        <v>0</v>
      </c>
      <c r="BH42" s="529"/>
      <c r="BI42" s="323">
        <f t="shared" si="103"/>
        <v>0</v>
      </c>
      <c r="BJ42" s="323">
        <f t="shared" si="79"/>
        <v>0</v>
      </c>
      <c r="BK42" s="529"/>
      <c r="BL42" s="323">
        <f t="shared" si="104"/>
        <v>0</v>
      </c>
      <c r="BM42" s="304">
        <f t="shared" si="105"/>
        <v>0</v>
      </c>
      <c r="BN42" s="324">
        <f t="shared" si="106"/>
        <v>0</v>
      </c>
      <c r="BO42" s="355"/>
      <c r="BP42" s="360">
        <f t="shared" si="80"/>
        <v>0</v>
      </c>
      <c r="BQ42" s="538"/>
      <c r="BR42" s="361">
        <f t="shared" si="107"/>
        <v>0</v>
      </c>
      <c r="BS42" s="362">
        <f t="shared" si="81"/>
        <v>0</v>
      </c>
      <c r="BT42" s="539"/>
      <c r="BU42" s="362">
        <f t="shared" si="108"/>
        <v>0</v>
      </c>
      <c r="BV42" s="362">
        <f t="shared" si="82"/>
        <v>0</v>
      </c>
      <c r="BW42" s="539"/>
      <c r="BX42" s="362">
        <f t="shared" si="109"/>
        <v>0</v>
      </c>
      <c r="BY42" s="362">
        <f t="shared" si="83"/>
        <v>0</v>
      </c>
      <c r="BZ42" s="539"/>
      <c r="CA42" s="362">
        <f t="shared" si="110"/>
        <v>0</v>
      </c>
      <c r="CB42" s="362">
        <f t="shared" si="84"/>
        <v>0</v>
      </c>
      <c r="CC42" s="539"/>
      <c r="CD42" s="362">
        <f t="shared" si="111"/>
        <v>0</v>
      </c>
      <c r="CE42" s="304">
        <f t="shared" si="112"/>
        <v>0</v>
      </c>
      <c r="CF42" s="321">
        <f t="shared" si="85"/>
        <v>0</v>
      </c>
      <c r="CG42" s="529"/>
      <c r="CH42" s="326">
        <f t="shared" si="113"/>
        <v>0</v>
      </c>
      <c r="CI42" s="310"/>
      <c r="CJ42" s="327">
        <f t="shared" si="114"/>
        <v>0</v>
      </c>
      <c r="CK42" s="321">
        <f t="shared" si="86"/>
        <v>0</v>
      </c>
      <c r="CL42" s="528"/>
      <c r="CM42" s="322">
        <f t="shared" si="115"/>
        <v>0</v>
      </c>
      <c r="CN42" s="321">
        <f t="shared" si="87"/>
        <v>0</v>
      </c>
      <c r="CO42" s="524"/>
      <c r="CP42" s="359">
        <f t="shared" si="116"/>
        <v>0</v>
      </c>
      <c r="CQ42" s="312">
        <f t="shared" si="117"/>
        <v>0</v>
      </c>
      <c r="CR42" s="315" t="str">
        <f t="shared" si="88"/>
        <v/>
      </c>
      <c r="CS42" s="236"/>
      <c r="CT42" s="316" t="str">
        <f t="shared" si="118"/>
        <v/>
      </c>
      <c r="CU42" s="315" t="str">
        <f t="shared" si="89"/>
        <v/>
      </c>
      <c r="CV42" s="236"/>
      <c r="CW42" s="316" t="str">
        <f t="shared" si="119"/>
        <v/>
      </c>
      <c r="CX42" s="328" t="str">
        <f t="shared" si="120"/>
        <v/>
      </c>
      <c r="CY42" s="530"/>
      <c r="DA42" s="6">
        <f>IF(AND(CT42&lt;&gt;"",OR(CT42&lt;EXPEDIENTE!$I$25,CT42&gt;EXPEDIENTE!$I$29)),1,0)</f>
        <v>0</v>
      </c>
      <c r="DB42" s="6">
        <f>IF(AND(CW42&lt;&gt;"",OR(CW42&lt;EXPEDIENTE!$I$25,CW42&gt;EXPEDIENTE!$I$29)),1,0)</f>
        <v>0</v>
      </c>
      <c r="DD42" s="88">
        <f t="shared" si="90"/>
        <v>0</v>
      </c>
      <c r="DE42" s="88">
        <f t="shared" si="121"/>
        <v>0</v>
      </c>
      <c r="DF42" s="88">
        <f t="shared" si="122"/>
        <v>0</v>
      </c>
      <c r="DG42" s="88">
        <f t="shared" si="123"/>
        <v>0</v>
      </c>
      <c r="DH42" s="88">
        <f t="shared" si="124"/>
        <v>0</v>
      </c>
      <c r="DI42" s="88">
        <f t="shared" si="125"/>
        <v>0</v>
      </c>
      <c r="DJ42" s="88">
        <f t="shared" si="126"/>
        <v>0</v>
      </c>
      <c r="DK42" s="88">
        <f t="shared" si="127"/>
        <v>0</v>
      </c>
      <c r="DL42" s="88">
        <f t="shared" si="128"/>
        <v>0</v>
      </c>
      <c r="DM42" s="88">
        <f t="shared" si="129"/>
        <v>0</v>
      </c>
      <c r="DN42" s="88">
        <f t="shared" si="130"/>
        <v>0</v>
      </c>
      <c r="DO42" s="88">
        <f t="shared" si="131"/>
        <v>0</v>
      </c>
      <c r="DP42" s="88">
        <f t="shared" si="132"/>
        <v>0</v>
      </c>
      <c r="DQ42" s="88">
        <f t="shared" si="133"/>
        <v>0</v>
      </c>
      <c r="DR42" s="88">
        <f t="shared" si="134"/>
        <v>0</v>
      </c>
      <c r="DS42" s="88">
        <f t="shared" si="135"/>
        <v>0</v>
      </c>
      <c r="DT42" s="88">
        <f t="shared" si="136"/>
        <v>0</v>
      </c>
      <c r="DU42" s="88">
        <f t="shared" si="137"/>
        <v>0</v>
      </c>
      <c r="DW42" s="88">
        <f>IF(CY42&lt;&gt;"",MAX($DW$9:DW41)+1,0)</f>
        <v>0</v>
      </c>
      <c r="DX42" s="182" t="str">
        <f t="shared" si="138"/>
        <v/>
      </c>
    </row>
    <row r="43" spans="2:128" ht="30" customHeight="1" x14ac:dyDescent="0.25">
      <c r="B43" s="875"/>
      <c r="C43" s="76"/>
      <c r="D43" s="64"/>
      <c r="E43" s="65"/>
      <c r="F43" s="53"/>
      <c r="G43" s="54"/>
      <c r="H43" s="54"/>
      <c r="I43" s="54"/>
      <c r="J43" s="54"/>
      <c r="K43" s="54"/>
      <c r="L43" s="23">
        <f t="shared" si="140"/>
        <v>0</v>
      </c>
      <c r="M43" s="42">
        <f t="shared" si="141"/>
        <v>0</v>
      </c>
      <c r="N43" s="40"/>
      <c r="O43" s="55"/>
      <c r="P43" s="56"/>
      <c r="Q43" s="56"/>
      <c r="R43" s="56"/>
      <c r="S43" s="56"/>
      <c r="T43" s="23">
        <f t="shared" si="93"/>
        <v>0</v>
      </c>
      <c r="U43" s="158"/>
      <c r="V43" s="27"/>
      <c r="W43" s="43">
        <f t="shared" si="94"/>
        <v>0</v>
      </c>
      <c r="X43" s="53"/>
      <c r="Y43" s="54"/>
      <c r="Z43" s="26">
        <f t="shared" si="95"/>
        <v>0</v>
      </c>
      <c r="AA43" s="62"/>
      <c r="AB43" s="63"/>
      <c r="AC43" s="69"/>
      <c r="AD43" s="70"/>
      <c r="AE43" s="104"/>
      <c r="AG43" s="6">
        <f>IF(AND(AA43&lt;&gt;"",OR(AA43&lt;EXPEDIENTE!$I$25,AA43&gt;EXPEDIENTE!$I$29)),1,0)</f>
        <v>0</v>
      </c>
      <c r="AH43" s="6">
        <f>IF(AND(AB43&lt;&gt;"",OR(AB43&lt;EXPEDIENTE!$I$25,AB43&gt;EXPEDIENTE!$I$29)),1,0)</f>
        <v>0</v>
      </c>
      <c r="AM43" s="728"/>
      <c r="AN43" s="358" t="str">
        <f t="shared" si="72"/>
        <v/>
      </c>
      <c r="AO43" s="315" t="str">
        <f t="shared" si="96"/>
        <v/>
      </c>
      <c r="AP43" s="236"/>
      <c r="AQ43" s="316" t="str">
        <f t="shared" si="97"/>
        <v/>
      </c>
      <c r="AR43" s="315" t="str">
        <f t="shared" si="73"/>
        <v/>
      </c>
      <c r="AS43" s="236"/>
      <c r="AT43" s="316" t="str">
        <f t="shared" si="98"/>
        <v/>
      </c>
      <c r="AU43" s="301">
        <f t="shared" si="74"/>
        <v>0</v>
      </c>
      <c r="AV43" s="528"/>
      <c r="AW43" s="322">
        <f t="shared" si="99"/>
        <v>0</v>
      </c>
      <c r="AX43" s="321">
        <f t="shared" si="75"/>
        <v>0</v>
      </c>
      <c r="AY43" s="529"/>
      <c r="AZ43" s="323">
        <f t="shared" si="100"/>
        <v>0</v>
      </c>
      <c r="BA43" s="323">
        <f t="shared" si="76"/>
        <v>0</v>
      </c>
      <c r="BB43" s="529"/>
      <c r="BC43" s="323">
        <f t="shared" si="101"/>
        <v>0</v>
      </c>
      <c r="BD43" s="323">
        <f t="shared" si="77"/>
        <v>0</v>
      </c>
      <c r="BE43" s="529"/>
      <c r="BF43" s="323">
        <f t="shared" si="102"/>
        <v>0</v>
      </c>
      <c r="BG43" s="323">
        <f t="shared" si="78"/>
        <v>0</v>
      </c>
      <c r="BH43" s="529"/>
      <c r="BI43" s="323">
        <f t="shared" si="103"/>
        <v>0</v>
      </c>
      <c r="BJ43" s="323">
        <f t="shared" si="79"/>
        <v>0</v>
      </c>
      <c r="BK43" s="529"/>
      <c r="BL43" s="323">
        <f t="shared" si="104"/>
        <v>0</v>
      </c>
      <c r="BM43" s="304">
        <f t="shared" si="105"/>
        <v>0</v>
      </c>
      <c r="BN43" s="324">
        <f t="shared" si="106"/>
        <v>0</v>
      </c>
      <c r="BO43" s="355"/>
      <c r="BP43" s="360">
        <f t="shared" si="80"/>
        <v>0</v>
      </c>
      <c r="BQ43" s="538"/>
      <c r="BR43" s="361">
        <f t="shared" si="107"/>
        <v>0</v>
      </c>
      <c r="BS43" s="362">
        <f t="shared" si="81"/>
        <v>0</v>
      </c>
      <c r="BT43" s="539"/>
      <c r="BU43" s="362">
        <f t="shared" si="108"/>
        <v>0</v>
      </c>
      <c r="BV43" s="362">
        <f t="shared" si="82"/>
        <v>0</v>
      </c>
      <c r="BW43" s="539"/>
      <c r="BX43" s="362">
        <f t="shared" si="109"/>
        <v>0</v>
      </c>
      <c r="BY43" s="362">
        <f t="shared" si="83"/>
        <v>0</v>
      </c>
      <c r="BZ43" s="539"/>
      <c r="CA43" s="362">
        <f t="shared" si="110"/>
        <v>0</v>
      </c>
      <c r="CB43" s="362">
        <f t="shared" si="84"/>
        <v>0</v>
      </c>
      <c r="CC43" s="539"/>
      <c r="CD43" s="362">
        <f t="shared" si="111"/>
        <v>0</v>
      </c>
      <c r="CE43" s="304">
        <f t="shared" si="112"/>
        <v>0</v>
      </c>
      <c r="CF43" s="321">
        <f t="shared" si="85"/>
        <v>0</v>
      </c>
      <c r="CG43" s="529"/>
      <c r="CH43" s="326">
        <f t="shared" si="113"/>
        <v>0</v>
      </c>
      <c r="CI43" s="310"/>
      <c r="CJ43" s="327">
        <f t="shared" si="114"/>
        <v>0</v>
      </c>
      <c r="CK43" s="321">
        <f t="shared" si="86"/>
        <v>0</v>
      </c>
      <c r="CL43" s="528"/>
      <c r="CM43" s="322">
        <f t="shared" si="115"/>
        <v>0</v>
      </c>
      <c r="CN43" s="321">
        <f t="shared" si="87"/>
        <v>0</v>
      </c>
      <c r="CO43" s="524"/>
      <c r="CP43" s="359">
        <f t="shared" si="116"/>
        <v>0</v>
      </c>
      <c r="CQ43" s="312">
        <f t="shared" si="117"/>
        <v>0</v>
      </c>
      <c r="CR43" s="315" t="str">
        <f t="shared" si="88"/>
        <v/>
      </c>
      <c r="CS43" s="236"/>
      <c r="CT43" s="316" t="str">
        <f t="shared" si="118"/>
        <v/>
      </c>
      <c r="CU43" s="315" t="str">
        <f t="shared" si="89"/>
        <v/>
      </c>
      <c r="CV43" s="236"/>
      <c r="CW43" s="316" t="str">
        <f t="shared" si="119"/>
        <v/>
      </c>
      <c r="CX43" s="328" t="str">
        <f t="shared" si="120"/>
        <v/>
      </c>
      <c r="CY43" s="530"/>
      <c r="DA43" s="6">
        <f>IF(AND(CT43&lt;&gt;"",OR(CT43&lt;EXPEDIENTE!$I$25,CT43&gt;EXPEDIENTE!$I$29)),1,0)</f>
        <v>0</v>
      </c>
      <c r="DB43" s="6">
        <f>IF(AND(CW43&lt;&gt;"",OR(CW43&lt;EXPEDIENTE!$I$25,CW43&gt;EXPEDIENTE!$I$29)),1,0)</f>
        <v>0</v>
      </c>
      <c r="DD43" s="88">
        <f t="shared" si="90"/>
        <v>0</v>
      </c>
      <c r="DE43" s="88">
        <f t="shared" si="121"/>
        <v>0</v>
      </c>
      <c r="DF43" s="88">
        <f t="shared" si="122"/>
        <v>0</v>
      </c>
      <c r="DG43" s="88">
        <f t="shared" si="123"/>
        <v>0</v>
      </c>
      <c r="DH43" s="88">
        <f t="shared" si="124"/>
        <v>0</v>
      </c>
      <c r="DI43" s="88">
        <f t="shared" si="125"/>
        <v>0</v>
      </c>
      <c r="DJ43" s="88">
        <f t="shared" si="126"/>
        <v>0</v>
      </c>
      <c r="DK43" s="88">
        <f t="shared" si="127"/>
        <v>0</v>
      </c>
      <c r="DL43" s="88">
        <f t="shared" si="128"/>
        <v>0</v>
      </c>
      <c r="DM43" s="88">
        <f t="shared" si="129"/>
        <v>0</v>
      </c>
      <c r="DN43" s="88">
        <f t="shared" si="130"/>
        <v>0</v>
      </c>
      <c r="DO43" s="88">
        <f t="shared" si="131"/>
        <v>0</v>
      </c>
      <c r="DP43" s="88">
        <f t="shared" si="132"/>
        <v>0</v>
      </c>
      <c r="DQ43" s="88">
        <f t="shared" si="133"/>
        <v>0</v>
      </c>
      <c r="DR43" s="88">
        <f t="shared" si="134"/>
        <v>0</v>
      </c>
      <c r="DS43" s="88">
        <f t="shared" si="135"/>
        <v>0</v>
      </c>
      <c r="DT43" s="88">
        <f t="shared" si="136"/>
        <v>0</v>
      </c>
      <c r="DU43" s="88">
        <f t="shared" si="137"/>
        <v>0</v>
      </c>
      <c r="DW43" s="88">
        <f>IF(CY43&lt;&gt;"",MAX($DW$9:DW42)+1,0)</f>
        <v>0</v>
      </c>
      <c r="DX43" s="182" t="str">
        <f t="shared" si="138"/>
        <v/>
      </c>
    </row>
    <row r="44" spans="2:128" ht="30" customHeight="1" thickBot="1" x14ac:dyDescent="0.3">
      <c r="B44" s="875"/>
      <c r="C44" s="169"/>
      <c r="D44" s="162"/>
      <c r="E44" s="163"/>
      <c r="F44" s="57"/>
      <c r="G44" s="58"/>
      <c r="H44" s="58"/>
      <c r="I44" s="58"/>
      <c r="J44" s="58"/>
      <c r="K44" s="58"/>
      <c r="L44" s="29">
        <f t="shared" si="139"/>
        <v>0</v>
      </c>
      <c r="M44" s="156">
        <f t="shared" si="92"/>
        <v>0</v>
      </c>
      <c r="N44" s="168"/>
      <c r="O44" s="57"/>
      <c r="P44" s="58"/>
      <c r="Q44" s="58"/>
      <c r="R44" s="58"/>
      <c r="S44" s="58"/>
      <c r="T44" s="29">
        <f t="shared" si="93"/>
        <v>0</v>
      </c>
      <c r="U44" s="61"/>
      <c r="V44" s="168"/>
      <c r="W44" s="155">
        <f t="shared" si="94"/>
        <v>0</v>
      </c>
      <c r="X44" s="57"/>
      <c r="Y44" s="58"/>
      <c r="Z44" s="29">
        <f t="shared" si="95"/>
        <v>0</v>
      </c>
      <c r="AA44" s="162"/>
      <c r="AB44" s="163"/>
      <c r="AC44" s="170"/>
      <c r="AD44" s="171"/>
      <c r="AE44" s="172"/>
      <c r="AG44" s="6">
        <f>IF(AND(AA44&lt;&gt;"",OR(AA44&lt;EXPEDIENTE!$I$25,AA44&gt;EXPEDIENTE!$I$29)),1,0)</f>
        <v>0</v>
      </c>
      <c r="AH44" s="6">
        <f>IF(AND(AB44&lt;&gt;"",OR(AB44&lt;EXPEDIENTE!$I$25,AB44&gt;EXPEDIENTE!$I$29)),1,0)</f>
        <v>0</v>
      </c>
      <c r="AM44" s="728"/>
      <c r="AN44" s="363" t="str">
        <f t="shared" si="72"/>
        <v/>
      </c>
      <c r="AO44" s="340" t="str">
        <f t="shared" si="96"/>
        <v/>
      </c>
      <c r="AP44" s="248"/>
      <c r="AQ44" s="341" t="str">
        <f t="shared" si="97"/>
        <v/>
      </c>
      <c r="AR44" s="340" t="str">
        <f t="shared" si="73"/>
        <v/>
      </c>
      <c r="AS44" s="248"/>
      <c r="AT44" s="341" t="str">
        <f t="shared" si="98"/>
        <v/>
      </c>
      <c r="AU44" s="364">
        <f t="shared" si="74"/>
        <v>0</v>
      </c>
      <c r="AV44" s="532"/>
      <c r="AW44" s="332">
        <f t="shared" si="99"/>
        <v>0</v>
      </c>
      <c r="AX44" s="331">
        <f t="shared" si="75"/>
        <v>0</v>
      </c>
      <c r="AY44" s="533"/>
      <c r="AZ44" s="333">
        <f t="shared" si="100"/>
        <v>0</v>
      </c>
      <c r="BA44" s="333">
        <f t="shared" si="76"/>
        <v>0</v>
      </c>
      <c r="BB44" s="533"/>
      <c r="BC44" s="333">
        <f t="shared" si="101"/>
        <v>0</v>
      </c>
      <c r="BD44" s="333">
        <f t="shared" si="77"/>
        <v>0</v>
      </c>
      <c r="BE44" s="533"/>
      <c r="BF44" s="333">
        <f t="shared" si="102"/>
        <v>0</v>
      </c>
      <c r="BG44" s="333">
        <f t="shared" si="78"/>
        <v>0</v>
      </c>
      <c r="BH44" s="533"/>
      <c r="BI44" s="333">
        <f t="shared" si="103"/>
        <v>0</v>
      </c>
      <c r="BJ44" s="333">
        <f t="shared" si="79"/>
        <v>0</v>
      </c>
      <c r="BK44" s="533"/>
      <c r="BL44" s="333">
        <f t="shared" si="104"/>
        <v>0</v>
      </c>
      <c r="BM44" s="334">
        <f t="shared" si="105"/>
        <v>0</v>
      </c>
      <c r="BN44" s="324">
        <f t="shared" si="106"/>
        <v>0</v>
      </c>
      <c r="BO44" s="355"/>
      <c r="BP44" s="331">
        <f t="shared" si="80"/>
        <v>0</v>
      </c>
      <c r="BQ44" s="532"/>
      <c r="BR44" s="336">
        <f t="shared" si="107"/>
        <v>0</v>
      </c>
      <c r="BS44" s="333">
        <f t="shared" si="81"/>
        <v>0</v>
      </c>
      <c r="BT44" s="533"/>
      <c r="BU44" s="333">
        <f t="shared" si="108"/>
        <v>0</v>
      </c>
      <c r="BV44" s="333">
        <f t="shared" si="82"/>
        <v>0</v>
      </c>
      <c r="BW44" s="533"/>
      <c r="BX44" s="333">
        <f t="shared" si="109"/>
        <v>0</v>
      </c>
      <c r="BY44" s="333">
        <f t="shared" si="83"/>
        <v>0</v>
      </c>
      <c r="BZ44" s="533"/>
      <c r="CA44" s="333">
        <f t="shared" si="110"/>
        <v>0</v>
      </c>
      <c r="CB44" s="333">
        <f t="shared" si="84"/>
        <v>0</v>
      </c>
      <c r="CC44" s="533"/>
      <c r="CD44" s="333">
        <f t="shared" si="111"/>
        <v>0</v>
      </c>
      <c r="CE44" s="334">
        <f t="shared" si="112"/>
        <v>0</v>
      </c>
      <c r="CF44" s="331">
        <f t="shared" si="85"/>
        <v>0</v>
      </c>
      <c r="CG44" s="533"/>
      <c r="CH44" s="337">
        <f t="shared" si="113"/>
        <v>0</v>
      </c>
      <c r="CI44" s="310"/>
      <c r="CJ44" s="335">
        <f t="shared" si="114"/>
        <v>0</v>
      </c>
      <c r="CK44" s="331">
        <f t="shared" si="86"/>
        <v>0</v>
      </c>
      <c r="CL44" s="532"/>
      <c r="CM44" s="332">
        <f t="shared" si="115"/>
        <v>0</v>
      </c>
      <c r="CN44" s="331">
        <f t="shared" si="87"/>
        <v>0</v>
      </c>
      <c r="CO44" s="540"/>
      <c r="CP44" s="365">
        <f t="shared" si="116"/>
        <v>0</v>
      </c>
      <c r="CQ44" s="366">
        <f t="shared" si="117"/>
        <v>0</v>
      </c>
      <c r="CR44" s="340" t="str">
        <f t="shared" si="88"/>
        <v/>
      </c>
      <c r="CS44" s="248"/>
      <c r="CT44" s="341" t="str">
        <f t="shared" si="118"/>
        <v/>
      </c>
      <c r="CU44" s="340" t="str">
        <f t="shared" si="89"/>
        <v/>
      </c>
      <c r="CV44" s="248"/>
      <c r="CW44" s="341" t="str">
        <f t="shared" si="119"/>
        <v/>
      </c>
      <c r="CX44" s="342" t="str">
        <f t="shared" si="120"/>
        <v/>
      </c>
      <c r="CY44" s="535"/>
      <c r="DA44" s="6">
        <f>IF(AND(CT44&lt;&gt;"",OR(CT44&lt;EXPEDIENTE!$I$25,CT44&gt;EXPEDIENTE!$I$29)),1,0)</f>
        <v>0</v>
      </c>
      <c r="DB44" s="6">
        <f>IF(AND(CW44&lt;&gt;"",OR(CW44&lt;EXPEDIENTE!$I$25,CW44&gt;EXPEDIENTE!$I$29)),1,0)</f>
        <v>0</v>
      </c>
      <c r="DD44" s="88">
        <f t="shared" si="90"/>
        <v>0</v>
      </c>
      <c r="DE44" s="88">
        <f t="shared" si="121"/>
        <v>0</v>
      </c>
      <c r="DF44" s="88">
        <f t="shared" si="122"/>
        <v>0</v>
      </c>
      <c r="DG44" s="88">
        <f t="shared" si="123"/>
        <v>0</v>
      </c>
      <c r="DH44" s="88">
        <f t="shared" si="124"/>
        <v>0</v>
      </c>
      <c r="DI44" s="88">
        <f t="shared" si="125"/>
        <v>0</v>
      </c>
      <c r="DJ44" s="88">
        <f t="shared" si="126"/>
        <v>0</v>
      </c>
      <c r="DK44" s="88">
        <f t="shared" si="127"/>
        <v>0</v>
      </c>
      <c r="DL44" s="88">
        <f t="shared" si="128"/>
        <v>0</v>
      </c>
      <c r="DM44" s="88">
        <f t="shared" si="129"/>
        <v>0</v>
      </c>
      <c r="DN44" s="88">
        <f t="shared" si="130"/>
        <v>0</v>
      </c>
      <c r="DO44" s="88">
        <f t="shared" si="131"/>
        <v>0</v>
      </c>
      <c r="DP44" s="88">
        <f t="shared" si="132"/>
        <v>0</v>
      </c>
      <c r="DQ44" s="88">
        <f t="shared" si="133"/>
        <v>0</v>
      </c>
      <c r="DR44" s="88">
        <f t="shared" si="134"/>
        <v>0</v>
      </c>
      <c r="DS44" s="88">
        <f t="shared" si="135"/>
        <v>0</v>
      </c>
      <c r="DT44" s="88">
        <f t="shared" si="136"/>
        <v>0</v>
      </c>
      <c r="DU44" s="88">
        <f t="shared" si="137"/>
        <v>0</v>
      </c>
      <c r="DW44" s="88">
        <f>IF(CY44&lt;&gt;"",MAX($DW$9:DW43)+1,0)</f>
        <v>0</v>
      </c>
      <c r="DX44" s="182" t="str">
        <f t="shared" si="138"/>
        <v/>
      </c>
    </row>
    <row r="45" spans="2:128" ht="9.9499999999999993" customHeight="1" thickBot="1" x14ac:dyDescent="0.3">
      <c r="B45" s="875"/>
      <c r="C45" s="12"/>
      <c r="D45" s="13"/>
      <c r="E45" s="13"/>
      <c r="F45" s="13"/>
      <c r="G45" s="13"/>
      <c r="H45" s="13"/>
      <c r="I45" s="13"/>
      <c r="J45" s="13"/>
      <c r="K45" s="13"/>
      <c r="L45" s="13"/>
      <c r="M45" s="31"/>
      <c r="N45" s="32"/>
      <c r="O45" s="44"/>
      <c r="P45" s="44"/>
      <c r="Q45" s="44"/>
      <c r="R45" s="44"/>
      <c r="S45" s="44"/>
      <c r="T45" s="44"/>
      <c r="U45" s="44"/>
      <c r="V45" s="34"/>
      <c r="W45" s="159"/>
      <c r="X45" s="161"/>
      <c r="Y45" s="13"/>
      <c r="Z45" s="13"/>
      <c r="AA45" s="13"/>
      <c r="AB45" s="161"/>
      <c r="AC45" s="161"/>
      <c r="AD45" s="161"/>
      <c r="AE45" s="164"/>
      <c r="AM45" s="728"/>
      <c r="AN45" s="277"/>
      <c r="AO45" s="278"/>
      <c r="AP45" s="278"/>
      <c r="AQ45" s="278"/>
      <c r="AR45" s="278"/>
      <c r="AS45" s="278"/>
      <c r="AT45" s="278"/>
      <c r="AU45" s="278"/>
      <c r="AV45" s="278"/>
      <c r="AW45" s="278"/>
      <c r="AX45" s="278"/>
      <c r="AY45" s="278"/>
      <c r="AZ45" s="278"/>
      <c r="BA45" s="278"/>
      <c r="BB45" s="278"/>
      <c r="BC45" s="278"/>
      <c r="BD45" s="278"/>
      <c r="BE45" s="278"/>
      <c r="BF45" s="278"/>
      <c r="BG45" s="278"/>
      <c r="BH45" s="278"/>
      <c r="BI45" s="278"/>
      <c r="BJ45" s="278"/>
      <c r="BK45" s="278"/>
      <c r="BL45" s="278"/>
      <c r="BM45" s="278"/>
      <c r="BN45" s="367"/>
      <c r="BO45" s="344"/>
      <c r="BP45" s="368"/>
      <c r="BQ45" s="368"/>
      <c r="BR45" s="368"/>
      <c r="BS45" s="368"/>
      <c r="BT45" s="368"/>
      <c r="BU45" s="368"/>
      <c r="BV45" s="368"/>
      <c r="BW45" s="368"/>
      <c r="BX45" s="368"/>
      <c r="BY45" s="368"/>
      <c r="BZ45" s="368"/>
      <c r="CA45" s="368"/>
      <c r="CB45" s="368"/>
      <c r="CC45" s="368"/>
      <c r="CD45" s="368"/>
      <c r="CE45" s="368"/>
      <c r="CF45" s="345"/>
      <c r="CG45" s="345"/>
      <c r="CH45" s="345"/>
      <c r="CI45" s="346"/>
      <c r="CJ45" s="369"/>
      <c r="CK45" s="278"/>
      <c r="CL45" s="278"/>
      <c r="CM45" s="278"/>
      <c r="CN45" s="278"/>
      <c r="CO45" s="278"/>
      <c r="CP45" s="278"/>
      <c r="CQ45" s="278"/>
      <c r="CR45" s="278"/>
      <c r="CS45" s="278"/>
      <c r="CT45" s="278"/>
      <c r="CU45" s="278"/>
      <c r="CV45" s="278"/>
      <c r="CW45" s="278"/>
      <c r="CX45" s="278"/>
      <c r="CY45" s="279"/>
    </row>
    <row r="46" spans="2:128" ht="30" customHeight="1" thickTop="1" thickBot="1" x14ac:dyDescent="0.3">
      <c r="B46" s="875"/>
      <c r="C46" s="833" t="str">
        <f>CONCATENATE("SEGURIDAD SOCIAL EMPRESA EJERCICIO ",YEAR(EXPEDIENTE!$F$25))</f>
        <v>SEGURIDAD SOCIAL EMPRESA EJERCICIO 2023</v>
      </c>
      <c r="D46" s="833"/>
      <c r="E46" s="833"/>
      <c r="F46" s="833"/>
      <c r="G46" s="833"/>
      <c r="H46" s="833"/>
      <c r="I46" s="833"/>
      <c r="J46" s="833"/>
      <c r="K46" s="833"/>
      <c r="L46" s="833"/>
      <c r="M46" s="834"/>
      <c r="AM46" s="728"/>
      <c r="AN46" s="808" t="str">
        <f>CONCATENATE("SEGURIDAD SOCIAL EMPRESA EJERCICIO ",YEAR(EXPEDIENTE!$F$25))</f>
        <v>SEGURIDAD SOCIAL EMPRESA EJERCICIO 2023</v>
      </c>
      <c r="AO46" s="808"/>
      <c r="AP46" s="808"/>
      <c r="AQ46" s="808"/>
      <c r="AR46" s="808"/>
      <c r="AS46" s="808"/>
      <c r="AT46" s="808"/>
      <c r="AU46" s="808"/>
      <c r="AV46" s="808"/>
      <c r="AW46" s="808"/>
      <c r="AX46" s="808"/>
      <c r="AY46" s="808"/>
      <c r="AZ46" s="808"/>
      <c r="BA46" s="808"/>
      <c r="BB46" s="808"/>
      <c r="BC46" s="808"/>
      <c r="BD46" s="808"/>
      <c r="BE46" s="808"/>
      <c r="BF46" s="808"/>
      <c r="BG46" s="808"/>
      <c r="BH46" s="808"/>
      <c r="BI46" s="808"/>
      <c r="BJ46" s="808"/>
      <c r="BK46" s="808"/>
      <c r="BL46" s="808"/>
      <c r="BM46" s="808"/>
      <c r="BN46" s="808"/>
      <c r="BO46" s="808"/>
      <c r="BP46" s="808"/>
      <c r="BQ46" s="808"/>
      <c r="BR46" s="808"/>
      <c r="BS46" s="896"/>
      <c r="CY46" s="123"/>
      <c r="CZ46" s="123"/>
      <c r="DB46" s="4"/>
    </row>
    <row r="47" spans="2:128" ht="20.100000000000001" customHeight="1" thickTop="1" thickBot="1" x14ac:dyDescent="0.3">
      <c r="B47" s="875"/>
      <c r="C47" s="839" t="s">
        <v>76</v>
      </c>
      <c r="D47" s="743" t="str">
        <f>IF(OR(SUM(T20:T31)&gt;0,SUM(T37:T44)&gt;0),"BASE
COTIZACIÓN
SUBVENCIO.","BASE
COTIZACIÓN")</f>
        <v>BASE
COTIZACIÓN</v>
      </c>
      <c r="E47" s="743" t="s">
        <v>186</v>
      </c>
      <c r="F47" s="743" t="s">
        <v>187</v>
      </c>
      <c r="G47" s="743" t="s">
        <v>74</v>
      </c>
      <c r="H47" s="743" t="s">
        <v>188</v>
      </c>
      <c r="I47" s="841" t="s">
        <v>75</v>
      </c>
      <c r="J47" s="843" t="s">
        <v>67</v>
      </c>
      <c r="K47" s="844"/>
      <c r="L47" s="844"/>
      <c r="M47" s="845"/>
      <c r="AM47" s="728"/>
      <c r="AN47" s="717" t="s">
        <v>76</v>
      </c>
      <c r="AO47" s="735" t="s">
        <v>309</v>
      </c>
      <c r="AP47" s="736"/>
      <c r="AQ47" s="737"/>
      <c r="AR47" s="738" t="s">
        <v>186</v>
      </c>
      <c r="AS47" s="719"/>
      <c r="AT47" s="720"/>
      <c r="AU47" s="897" t="s">
        <v>313</v>
      </c>
      <c r="AV47" s="898"/>
      <c r="AW47" s="899"/>
      <c r="AX47" s="900" t="s">
        <v>314</v>
      </c>
      <c r="AY47" s="901"/>
      <c r="AZ47" s="902"/>
      <c r="BA47" s="738" t="s">
        <v>188</v>
      </c>
      <c r="BB47" s="719"/>
      <c r="BC47" s="720"/>
      <c r="BD47" s="913" t="s">
        <v>315</v>
      </c>
      <c r="BE47" s="914"/>
      <c r="BF47" s="915"/>
      <c r="BG47" s="370"/>
      <c r="BH47" s="765"/>
      <c r="BI47" s="765"/>
      <c r="BJ47" s="765"/>
      <c r="BK47" s="765"/>
      <c r="BL47" s="765"/>
      <c r="BM47" s="765"/>
      <c r="BN47" s="765"/>
      <c r="BO47" s="765"/>
      <c r="BP47" s="765"/>
      <c r="BQ47" s="765"/>
      <c r="BR47" s="765"/>
      <c r="BS47" s="903"/>
      <c r="DA47" s="4"/>
      <c r="DB47" s="4"/>
      <c r="DC47" s="6"/>
    </row>
    <row r="48" spans="2:128" ht="50.1" customHeight="1" thickBot="1" x14ac:dyDescent="0.3">
      <c r="B48" s="875"/>
      <c r="C48" s="840"/>
      <c r="D48" s="745"/>
      <c r="E48" s="745"/>
      <c r="F48" s="745"/>
      <c r="G48" s="745"/>
      <c r="H48" s="745"/>
      <c r="I48" s="842"/>
      <c r="J48" s="846"/>
      <c r="K48" s="847"/>
      <c r="L48" s="847"/>
      <c r="M48" s="848"/>
      <c r="AM48" s="728"/>
      <c r="AN48" s="718"/>
      <c r="AO48" s="284" t="s">
        <v>270</v>
      </c>
      <c r="AP48" s="351" t="s">
        <v>245</v>
      </c>
      <c r="AQ48" s="286" t="s">
        <v>271</v>
      </c>
      <c r="AR48" s="739"/>
      <c r="AS48" s="719"/>
      <c r="AT48" s="720"/>
      <c r="AU48" s="371" t="s">
        <v>270</v>
      </c>
      <c r="AV48" s="372" t="s">
        <v>245</v>
      </c>
      <c r="AW48" s="373" t="s">
        <v>271</v>
      </c>
      <c r="AX48" s="371" t="s">
        <v>270</v>
      </c>
      <c r="AY48" s="374" t="s">
        <v>245</v>
      </c>
      <c r="AZ48" s="373" t="s">
        <v>271</v>
      </c>
      <c r="BA48" s="739"/>
      <c r="BB48" s="719"/>
      <c r="BC48" s="720"/>
      <c r="BD48" s="371" t="s">
        <v>270</v>
      </c>
      <c r="BE48" s="374" t="s">
        <v>245</v>
      </c>
      <c r="BF48" s="373" t="s">
        <v>271</v>
      </c>
      <c r="BG48" s="296" t="s">
        <v>321</v>
      </c>
      <c r="BH48" s="904" t="s">
        <v>343</v>
      </c>
      <c r="BI48" s="905"/>
      <c r="BJ48" s="905"/>
      <c r="BK48" s="905"/>
      <c r="BL48" s="905"/>
      <c r="BM48" s="905"/>
      <c r="BN48" s="905"/>
      <c r="BO48" s="905"/>
      <c r="BP48" s="905"/>
      <c r="BQ48" s="905"/>
      <c r="BR48" s="905"/>
      <c r="BS48" s="906"/>
      <c r="DA48" s="4"/>
      <c r="DB48" s="4"/>
      <c r="DD48" s="88" t="s">
        <v>322</v>
      </c>
      <c r="DE48" s="88" t="s">
        <v>340</v>
      </c>
      <c r="DF48" s="88" t="s">
        <v>324</v>
      </c>
      <c r="DG48" s="88" t="s">
        <v>325</v>
      </c>
      <c r="DH48" s="88" t="s">
        <v>327</v>
      </c>
      <c r="DU48" s="4"/>
    </row>
    <row r="49" spans="2:128" ht="30" customHeight="1" x14ac:dyDescent="0.25">
      <c r="B49" s="875"/>
      <c r="C49" s="153" t="s">
        <v>45</v>
      </c>
      <c r="D49" s="78"/>
      <c r="E49" s="38">
        <f t="shared" ref="E49:E60" si="142">ROUND(D49*$F$14,2)</f>
        <v>0</v>
      </c>
      <c r="F49" s="78"/>
      <c r="G49" s="78"/>
      <c r="H49" s="197">
        <f>E49+F49-G49</f>
        <v>0</v>
      </c>
      <c r="I49" s="108"/>
      <c r="J49" s="835"/>
      <c r="K49" s="836"/>
      <c r="L49" s="836"/>
      <c r="M49" s="837"/>
      <c r="N49" s="730" t="str">
        <f>IF(OR(SUM(T20:T31)&gt;0,SUM(T37:T44)&gt;0),"NOTA:
Se ha minorado el importe subvencionable de alguna de las nóminas del ejercicio.
En consecuencia, en la columna:
''BASE
COTIZACIÓN
SUBVENCIO.''
se deberá reflejar la base de cotización mensual restándole dicha minoración.","")</f>
        <v/>
      </c>
      <c r="O49" s="731"/>
      <c r="P49" s="731"/>
      <c r="AG49" s="6">
        <f>IF(AND(I49&lt;&gt;"",OR(I49&lt;EXPEDIENTE!$I$25,I49&gt;EXPEDIENTE!$I$29)),1,0)</f>
        <v>0</v>
      </c>
      <c r="AI49" s="6">
        <f>IF(DATE(YEAR(EXPEDIENTE!$I$25),MONTH(DATEVALUE($C49&amp;"1")),1)&gt;=DATE(YEAR(EXPEDIENTE!$I$25),MONTH(EXPEDIENTE!$I$25),1),0,1)</f>
        <v>1</v>
      </c>
      <c r="AJ49" s="6" t="e">
        <f>IF(DATE(YEAR(EXPEDIENTE!$I$25),MONTH(DATEVALUE($C49&amp;"1")),1)&lt;=DATE(YEAR(EXPEDIENTE!$I$29),MONTH(EXPEDIENTE!$I$29),1),0,1)</f>
        <v>#VALUE!</v>
      </c>
      <c r="AK49" s="6" t="e">
        <f>SUM(AI49:AJ49)</f>
        <v>#VALUE!</v>
      </c>
      <c r="AM49" s="728"/>
      <c r="AN49" s="298" t="s">
        <v>45</v>
      </c>
      <c r="AO49" s="308">
        <f t="shared" ref="AO49:AO60" si="143">IF(D49="",0,D49)</f>
        <v>0</v>
      </c>
      <c r="AP49" s="525"/>
      <c r="AQ49" s="309">
        <f>IF(AP49="",AO49,AP49)</f>
        <v>0</v>
      </c>
      <c r="AR49" s="311">
        <f t="shared" ref="AR49:AR60" si="144">IFERROR(ROUND(AQ49*$AT$14,2),0)</f>
        <v>0</v>
      </c>
      <c r="AS49" s="719"/>
      <c r="AT49" s="720"/>
      <c r="AU49" s="308">
        <f t="shared" ref="AU49:AU60" si="145">IF(F49="",0,F49)</f>
        <v>0</v>
      </c>
      <c r="AV49" s="525"/>
      <c r="AW49" s="309">
        <f>IF(AV49="",AU49,AV49)</f>
        <v>0</v>
      </c>
      <c r="AX49" s="301">
        <f t="shared" ref="AX49:AX60" si="146">IF(G49="",0,G49)</f>
        <v>0</v>
      </c>
      <c r="AY49" s="524"/>
      <c r="AZ49" s="359">
        <f>IF(AY49="",AX49,AY49)</f>
        <v>0</v>
      </c>
      <c r="BA49" s="375">
        <f t="shared" ref="BA49:BA60" si="147">IFERROR(AR49+AW49-AZ49,0)</f>
        <v>0</v>
      </c>
      <c r="BB49" s="719"/>
      <c r="BC49" s="720"/>
      <c r="BD49" s="353" t="str">
        <f t="shared" ref="BD49:BD60" si="148">IF(I49="","",I49)</f>
        <v/>
      </c>
      <c r="BE49" s="227"/>
      <c r="BF49" s="354" t="str">
        <f>IF(BE49="",BD49,BE49)</f>
        <v/>
      </c>
      <c r="BG49" s="317" t="str">
        <f>IF(DD49=0,"",DD49)</f>
        <v/>
      </c>
      <c r="BH49" s="907"/>
      <c r="BI49" s="908"/>
      <c r="BJ49" s="908"/>
      <c r="BK49" s="908"/>
      <c r="BL49" s="908"/>
      <c r="BM49" s="908"/>
      <c r="BN49" s="908"/>
      <c r="BO49" s="908"/>
      <c r="BP49" s="908"/>
      <c r="BQ49" s="908"/>
      <c r="BR49" s="908"/>
      <c r="BS49" s="909"/>
      <c r="DA49" s="6">
        <f>IF(AND(BE49&lt;&gt;"",OR(BE49&lt;EXPEDIENTE!$I$25,BE49&gt;EXPEDIENTE!$I$29)),1,0)</f>
        <v>0</v>
      </c>
      <c r="DB49" s="4"/>
      <c r="DD49" s="88">
        <f t="shared" ref="DD49:DD60" si="149">SUM(DE49:DT49)</f>
        <v>0</v>
      </c>
      <c r="DE49" s="88">
        <f t="shared" ref="DE49:DE60" si="150">IF(AP49="",0,1)</f>
        <v>0</v>
      </c>
      <c r="DF49" s="88">
        <f t="shared" ref="DF49:DF60" si="151">IF(AV49="",0,1)</f>
        <v>0</v>
      </c>
      <c r="DG49" s="88">
        <f t="shared" ref="DG49:DG60" si="152">IF(AY49="",0,1)</f>
        <v>0</v>
      </c>
      <c r="DH49" s="88">
        <f t="shared" ref="DH49:DH60" si="153">IF(BE49="",0,1)</f>
        <v>0</v>
      </c>
      <c r="DU49" s="4"/>
      <c r="DW49" s="88">
        <f>IF(BH49&lt;&gt;"",MAX($DW$9:DW48)+1,0)</f>
        <v>0</v>
      </c>
      <c r="DX49" s="182" t="str">
        <f t="shared" ref="DX49:DX60" si="154">IF(DW49=0,"",BH49)</f>
        <v/>
      </c>
    </row>
    <row r="50" spans="2:128" ht="30" customHeight="1" x14ac:dyDescent="0.25">
      <c r="B50" s="875"/>
      <c r="C50" s="154" t="s">
        <v>46</v>
      </c>
      <c r="D50" s="54"/>
      <c r="E50" s="23">
        <f t="shared" si="142"/>
        <v>0</v>
      </c>
      <c r="F50" s="54"/>
      <c r="G50" s="54"/>
      <c r="H50" s="198">
        <f t="shared" ref="H50:H60" si="155">E50+F50-G50</f>
        <v>0</v>
      </c>
      <c r="I50" s="82"/>
      <c r="J50" s="838"/>
      <c r="K50" s="725"/>
      <c r="L50" s="725"/>
      <c r="M50" s="726"/>
      <c r="N50" s="730"/>
      <c r="O50" s="731"/>
      <c r="P50" s="731"/>
      <c r="AG50" s="6">
        <f>IF(AND(I50&lt;&gt;"",OR(I50&lt;EXPEDIENTE!$I$25,I50&gt;EXPEDIENTE!$I$29)),1,0)</f>
        <v>0</v>
      </c>
      <c r="AI50" s="6">
        <f>IF(DATE(YEAR(EXPEDIENTE!$I$25),MONTH(DATEVALUE($C50&amp;"1")),1)&gt;=DATE(YEAR(EXPEDIENTE!$I$25),MONTH(EXPEDIENTE!$I$25),1),0,1)</f>
        <v>1</v>
      </c>
      <c r="AJ50" s="6" t="e">
        <f>IF(DATE(YEAR(EXPEDIENTE!$I$25),MONTH(DATEVALUE($C50&amp;"1")),1)&lt;=DATE(YEAR(EXPEDIENTE!$I$29),MONTH(EXPEDIENTE!$I$29),1),0,1)</f>
        <v>#VALUE!</v>
      </c>
      <c r="AK50" s="6" t="e">
        <f t="shared" ref="AK50:AK60" si="156">SUM(AI50:AJ50)</f>
        <v>#VALUE!</v>
      </c>
      <c r="AM50" s="728"/>
      <c r="AN50" s="318" t="s">
        <v>46</v>
      </c>
      <c r="AO50" s="321">
        <f t="shared" si="143"/>
        <v>0</v>
      </c>
      <c r="AP50" s="529"/>
      <c r="AQ50" s="326">
        <f t="shared" ref="AQ50:AQ60" si="157">IF(AP50="",AO50,AP50)</f>
        <v>0</v>
      </c>
      <c r="AR50" s="327">
        <f t="shared" si="144"/>
        <v>0</v>
      </c>
      <c r="AS50" s="719"/>
      <c r="AT50" s="720"/>
      <c r="AU50" s="321">
        <f t="shared" si="145"/>
        <v>0</v>
      </c>
      <c r="AV50" s="529"/>
      <c r="AW50" s="326">
        <f t="shared" ref="AW50:AW60" si="158">IF(AV50="",AU50,AV50)</f>
        <v>0</v>
      </c>
      <c r="AX50" s="321">
        <f t="shared" si="146"/>
        <v>0</v>
      </c>
      <c r="AY50" s="529"/>
      <c r="AZ50" s="326">
        <f t="shared" ref="AZ50:AZ60" si="159">IF(AY50="",AX50,AY50)</f>
        <v>0</v>
      </c>
      <c r="BA50" s="376">
        <f t="shared" si="147"/>
        <v>0</v>
      </c>
      <c r="BB50" s="719"/>
      <c r="BC50" s="720"/>
      <c r="BD50" s="313" t="str">
        <f t="shared" si="148"/>
        <v/>
      </c>
      <c r="BE50" s="536"/>
      <c r="BF50" s="314" t="str">
        <f t="shared" ref="BF50:BF60" si="160">IF(BE50="",BD50,BE50)</f>
        <v/>
      </c>
      <c r="BG50" s="377" t="str">
        <f t="shared" ref="BG50:BG60" si="161">IF(DD50=0,"",DD50)</f>
        <v/>
      </c>
      <c r="BH50" s="892"/>
      <c r="BI50" s="786"/>
      <c r="BJ50" s="786"/>
      <c r="BK50" s="786"/>
      <c r="BL50" s="786"/>
      <c r="BM50" s="786"/>
      <c r="BN50" s="786"/>
      <c r="BO50" s="786"/>
      <c r="BP50" s="786"/>
      <c r="BQ50" s="786"/>
      <c r="BR50" s="786"/>
      <c r="BS50" s="787"/>
      <c r="DA50" s="6">
        <f>IF(AND(BE50&lt;&gt;"",OR(BE50&lt;EXPEDIENTE!$I$25,BE50&gt;EXPEDIENTE!$I$29)),1,0)</f>
        <v>0</v>
      </c>
      <c r="DB50" s="4"/>
      <c r="DD50" s="88">
        <f t="shared" si="149"/>
        <v>0</v>
      </c>
      <c r="DE50" s="88">
        <f t="shared" si="150"/>
        <v>0</v>
      </c>
      <c r="DF50" s="88">
        <f t="shared" si="151"/>
        <v>0</v>
      </c>
      <c r="DG50" s="88">
        <f t="shared" si="152"/>
        <v>0</v>
      </c>
      <c r="DH50" s="88">
        <f t="shared" si="153"/>
        <v>0</v>
      </c>
      <c r="DU50" s="4"/>
      <c r="DW50" s="88">
        <f>IF(BH50&lt;&gt;"",MAX($DW$9:DW49)+1,0)</f>
        <v>0</v>
      </c>
      <c r="DX50" s="182" t="str">
        <f t="shared" si="154"/>
        <v/>
      </c>
    </row>
    <row r="51" spans="2:128" ht="30" customHeight="1" x14ac:dyDescent="0.25">
      <c r="B51" s="875"/>
      <c r="C51" s="154" t="s">
        <v>47</v>
      </c>
      <c r="D51" s="54"/>
      <c r="E51" s="23">
        <f t="shared" si="142"/>
        <v>0</v>
      </c>
      <c r="F51" s="54"/>
      <c r="G51" s="54"/>
      <c r="H51" s="198">
        <f t="shared" si="155"/>
        <v>0</v>
      </c>
      <c r="I51" s="82"/>
      <c r="J51" s="725"/>
      <c r="K51" s="725"/>
      <c r="L51" s="725"/>
      <c r="M51" s="726"/>
      <c r="N51" s="730"/>
      <c r="O51" s="731"/>
      <c r="P51" s="731"/>
      <c r="AG51" s="6">
        <f>IF(AND(I51&lt;&gt;"",OR(I51&lt;EXPEDIENTE!$I$25,I51&gt;EXPEDIENTE!$I$29)),1,0)</f>
        <v>0</v>
      </c>
      <c r="AI51" s="6">
        <f>IF(DATE(YEAR(EXPEDIENTE!$I$25),MONTH(DATEVALUE($C51&amp;"1")),1)&gt;=DATE(YEAR(EXPEDIENTE!$I$25),MONTH(EXPEDIENTE!$I$25),1),0,1)</f>
        <v>1</v>
      </c>
      <c r="AJ51" s="6" t="e">
        <f>IF(DATE(YEAR(EXPEDIENTE!$I$25),MONTH(DATEVALUE($C51&amp;"1")),1)&lt;=DATE(YEAR(EXPEDIENTE!$I$29),MONTH(EXPEDIENTE!$I$29),1),0,1)</f>
        <v>#VALUE!</v>
      </c>
      <c r="AK51" s="6" t="e">
        <f t="shared" si="156"/>
        <v>#VALUE!</v>
      </c>
      <c r="AM51" s="728"/>
      <c r="AN51" s="318" t="s">
        <v>47</v>
      </c>
      <c r="AO51" s="321">
        <f t="shared" si="143"/>
        <v>0</v>
      </c>
      <c r="AP51" s="529"/>
      <c r="AQ51" s="326">
        <f t="shared" si="157"/>
        <v>0</v>
      </c>
      <c r="AR51" s="327">
        <f t="shared" si="144"/>
        <v>0</v>
      </c>
      <c r="AS51" s="719"/>
      <c r="AT51" s="720"/>
      <c r="AU51" s="321">
        <f t="shared" si="145"/>
        <v>0</v>
      </c>
      <c r="AV51" s="529"/>
      <c r="AW51" s="326">
        <f t="shared" si="158"/>
        <v>0</v>
      </c>
      <c r="AX51" s="321">
        <f t="shared" si="146"/>
        <v>0</v>
      </c>
      <c r="AY51" s="529"/>
      <c r="AZ51" s="326">
        <f t="shared" si="159"/>
        <v>0</v>
      </c>
      <c r="BA51" s="376">
        <f t="shared" si="147"/>
        <v>0</v>
      </c>
      <c r="BB51" s="719"/>
      <c r="BC51" s="720"/>
      <c r="BD51" s="313" t="str">
        <f t="shared" si="148"/>
        <v/>
      </c>
      <c r="BE51" s="536"/>
      <c r="BF51" s="314" t="str">
        <f t="shared" si="160"/>
        <v/>
      </c>
      <c r="BG51" s="377" t="str">
        <f t="shared" si="161"/>
        <v/>
      </c>
      <c r="BH51" s="892"/>
      <c r="BI51" s="786"/>
      <c r="BJ51" s="786"/>
      <c r="BK51" s="786"/>
      <c r="BL51" s="786"/>
      <c r="BM51" s="786"/>
      <c r="BN51" s="786"/>
      <c r="BO51" s="786"/>
      <c r="BP51" s="786"/>
      <c r="BQ51" s="786"/>
      <c r="BR51" s="786"/>
      <c r="BS51" s="787"/>
      <c r="DA51" s="6">
        <f>IF(AND(BE51&lt;&gt;"",OR(BE51&lt;EXPEDIENTE!$I$25,BE51&gt;EXPEDIENTE!$I$29)),1,0)</f>
        <v>0</v>
      </c>
      <c r="DB51" s="4"/>
      <c r="DD51" s="88">
        <f t="shared" si="149"/>
        <v>0</v>
      </c>
      <c r="DE51" s="88">
        <f t="shared" si="150"/>
        <v>0</v>
      </c>
      <c r="DF51" s="88">
        <f t="shared" si="151"/>
        <v>0</v>
      </c>
      <c r="DG51" s="88">
        <f t="shared" si="152"/>
        <v>0</v>
      </c>
      <c r="DH51" s="88">
        <f t="shared" si="153"/>
        <v>0</v>
      </c>
      <c r="DU51" s="4"/>
      <c r="DW51" s="88">
        <f>IF(BH51&lt;&gt;"",MAX($DW$9:DW50)+1,0)</f>
        <v>0</v>
      </c>
      <c r="DX51" s="182" t="str">
        <f t="shared" si="154"/>
        <v/>
      </c>
    </row>
    <row r="52" spans="2:128" ht="30" customHeight="1" x14ac:dyDescent="0.25">
      <c r="B52" s="875"/>
      <c r="C52" s="154" t="s">
        <v>48</v>
      </c>
      <c r="D52" s="54"/>
      <c r="E52" s="23">
        <f t="shared" si="142"/>
        <v>0</v>
      </c>
      <c r="F52" s="54"/>
      <c r="G52" s="54"/>
      <c r="H52" s="198">
        <f t="shared" si="155"/>
        <v>0</v>
      </c>
      <c r="I52" s="82"/>
      <c r="J52" s="725"/>
      <c r="K52" s="725"/>
      <c r="L52" s="725"/>
      <c r="M52" s="726"/>
      <c r="N52" s="730"/>
      <c r="O52" s="731"/>
      <c r="P52" s="731"/>
      <c r="AG52" s="6">
        <f>IF(AND(I52&lt;&gt;"",OR(I52&lt;EXPEDIENTE!$I$25,I52&gt;EXPEDIENTE!$I$29)),1,0)</f>
        <v>0</v>
      </c>
      <c r="AI52" s="6">
        <f>IF(DATE(YEAR(EXPEDIENTE!$I$25),MONTH(DATEVALUE($C52&amp;"1")),1)&gt;=DATE(YEAR(EXPEDIENTE!$I$25),MONTH(EXPEDIENTE!$I$25),1),0,1)</f>
        <v>1</v>
      </c>
      <c r="AJ52" s="6" t="e">
        <f>IF(DATE(YEAR(EXPEDIENTE!$I$25),MONTH(DATEVALUE($C52&amp;"1")),1)&lt;=DATE(YEAR(EXPEDIENTE!$I$29),MONTH(EXPEDIENTE!$I$29),1),0,1)</f>
        <v>#VALUE!</v>
      </c>
      <c r="AK52" s="6" t="e">
        <f t="shared" si="156"/>
        <v>#VALUE!</v>
      </c>
      <c r="AM52" s="728"/>
      <c r="AN52" s="318" t="s">
        <v>48</v>
      </c>
      <c r="AO52" s="321">
        <f t="shared" si="143"/>
        <v>0</v>
      </c>
      <c r="AP52" s="529"/>
      <c r="AQ52" s="326">
        <f t="shared" si="157"/>
        <v>0</v>
      </c>
      <c r="AR52" s="327">
        <f t="shared" si="144"/>
        <v>0</v>
      </c>
      <c r="AS52" s="719"/>
      <c r="AT52" s="720"/>
      <c r="AU52" s="321">
        <f t="shared" si="145"/>
        <v>0</v>
      </c>
      <c r="AV52" s="529"/>
      <c r="AW52" s="326">
        <f t="shared" si="158"/>
        <v>0</v>
      </c>
      <c r="AX52" s="321">
        <f t="shared" si="146"/>
        <v>0</v>
      </c>
      <c r="AY52" s="529"/>
      <c r="AZ52" s="326">
        <f t="shared" si="159"/>
        <v>0</v>
      </c>
      <c r="BA52" s="376">
        <f t="shared" si="147"/>
        <v>0</v>
      </c>
      <c r="BB52" s="719"/>
      <c r="BC52" s="720"/>
      <c r="BD52" s="313" t="str">
        <f t="shared" si="148"/>
        <v/>
      </c>
      <c r="BE52" s="536"/>
      <c r="BF52" s="314" t="str">
        <f t="shared" si="160"/>
        <v/>
      </c>
      <c r="BG52" s="377" t="str">
        <f t="shared" si="161"/>
        <v/>
      </c>
      <c r="BH52" s="892"/>
      <c r="BI52" s="786"/>
      <c r="BJ52" s="786"/>
      <c r="BK52" s="786"/>
      <c r="BL52" s="786"/>
      <c r="BM52" s="786"/>
      <c r="BN52" s="786"/>
      <c r="BO52" s="786"/>
      <c r="BP52" s="786"/>
      <c r="BQ52" s="786"/>
      <c r="BR52" s="786"/>
      <c r="BS52" s="787"/>
      <c r="DA52" s="6">
        <f>IF(AND(BE52&lt;&gt;"",OR(BE52&lt;EXPEDIENTE!$I$25,BE52&gt;EXPEDIENTE!$I$29)),1,0)</f>
        <v>0</v>
      </c>
      <c r="DB52" s="4"/>
      <c r="DD52" s="88">
        <f t="shared" si="149"/>
        <v>0</v>
      </c>
      <c r="DE52" s="88">
        <f t="shared" si="150"/>
        <v>0</v>
      </c>
      <c r="DF52" s="88">
        <f t="shared" si="151"/>
        <v>0</v>
      </c>
      <c r="DG52" s="88">
        <f t="shared" si="152"/>
        <v>0</v>
      </c>
      <c r="DH52" s="88">
        <f t="shared" si="153"/>
        <v>0</v>
      </c>
      <c r="DU52" s="4"/>
      <c r="DW52" s="88">
        <f>IF(BH52&lt;&gt;"",MAX($DW$9:DW51)+1,0)</f>
        <v>0</v>
      </c>
      <c r="DX52" s="182" t="str">
        <f t="shared" si="154"/>
        <v/>
      </c>
    </row>
    <row r="53" spans="2:128" ht="30" customHeight="1" x14ac:dyDescent="0.25">
      <c r="B53" s="875"/>
      <c r="C53" s="154" t="s">
        <v>49</v>
      </c>
      <c r="D53" s="54"/>
      <c r="E53" s="23">
        <f t="shared" si="142"/>
        <v>0</v>
      </c>
      <c r="F53" s="54"/>
      <c r="G53" s="54"/>
      <c r="H53" s="198">
        <f t="shared" si="155"/>
        <v>0</v>
      </c>
      <c r="I53" s="82"/>
      <c r="J53" s="725"/>
      <c r="K53" s="725"/>
      <c r="L53" s="725"/>
      <c r="M53" s="726"/>
      <c r="N53" s="730"/>
      <c r="O53" s="731"/>
      <c r="P53" s="731"/>
      <c r="AG53" s="6">
        <f>IF(AND(I53&lt;&gt;"",OR(I53&lt;EXPEDIENTE!$I$25,I53&gt;EXPEDIENTE!$I$29)),1,0)</f>
        <v>0</v>
      </c>
      <c r="AI53" s="6">
        <f>IF(DATE(YEAR(EXPEDIENTE!$I$25),MONTH(DATEVALUE($C53&amp;"1")),1)&gt;=DATE(YEAR(EXPEDIENTE!$I$25),MONTH(EXPEDIENTE!$I$25),1),0,1)</f>
        <v>1</v>
      </c>
      <c r="AJ53" s="6" t="e">
        <f>IF(DATE(YEAR(EXPEDIENTE!$I$25),MONTH(DATEVALUE($C53&amp;"1")),1)&lt;=DATE(YEAR(EXPEDIENTE!$I$29),MONTH(EXPEDIENTE!$I$29),1),0,1)</f>
        <v>#VALUE!</v>
      </c>
      <c r="AK53" s="6" t="e">
        <f t="shared" si="156"/>
        <v>#VALUE!</v>
      </c>
      <c r="AM53" s="728"/>
      <c r="AN53" s="318" t="s">
        <v>49</v>
      </c>
      <c r="AO53" s="321">
        <f t="shared" si="143"/>
        <v>0</v>
      </c>
      <c r="AP53" s="529"/>
      <c r="AQ53" s="326">
        <f t="shared" si="157"/>
        <v>0</v>
      </c>
      <c r="AR53" s="327">
        <f t="shared" si="144"/>
        <v>0</v>
      </c>
      <c r="AS53" s="719"/>
      <c r="AT53" s="720"/>
      <c r="AU53" s="321">
        <f t="shared" si="145"/>
        <v>0</v>
      </c>
      <c r="AV53" s="529"/>
      <c r="AW53" s="326">
        <f t="shared" si="158"/>
        <v>0</v>
      </c>
      <c r="AX53" s="321">
        <f t="shared" si="146"/>
        <v>0</v>
      </c>
      <c r="AY53" s="529"/>
      <c r="AZ53" s="326">
        <f t="shared" si="159"/>
        <v>0</v>
      </c>
      <c r="BA53" s="376">
        <f t="shared" si="147"/>
        <v>0</v>
      </c>
      <c r="BB53" s="719"/>
      <c r="BC53" s="720"/>
      <c r="BD53" s="313" t="str">
        <f t="shared" si="148"/>
        <v/>
      </c>
      <c r="BE53" s="536"/>
      <c r="BF53" s="314" t="str">
        <f t="shared" si="160"/>
        <v/>
      </c>
      <c r="BG53" s="377" t="str">
        <f t="shared" si="161"/>
        <v/>
      </c>
      <c r="BH53" s="892"/>
      <c r="BI53" s="786"/>
      <c r="BJ53" s="786"/>
      <c r="BK53" s="786"/>
      <c r="BL53" s="786"/>
      <c r="BM53" s="786"/>
      <c r="BN53" s="786"/>
      <c r="BO53" s="786"/>
      <c r="BP53" s="786"/>
      <c r="BQ53" s="786"/>
      <c r="BR53" s="786"/>
      <c r="BS53" s="787"/>
      <c r="DA53" s="6">
        <f>IF(AND(BE53&lt;&gt;"",OR(BE53&lt;EXPEDIENTE!$I$25,BE53&gt;EXPEDIENTE!$I$29)),1,0)</f>
        <v>0</v>
      </c>
      <c r="DB53" s="4"/>
      <c r="DD53" s="88">
        <f t="shared" si="149"/>
        <v>0</v>
      </c>
      <c r="DE53" s="88">
        <f t="shared" si="150"/>
        <v>0</v>
      </c>
      <c r="DF53" s="88">
        <f t="shared" si="151"/>
        <v>0</v>
      </c>
      <c r="DG53" s="88">
        <f t="shared" si="152"/>
        <v>0</v>
      </c>
      <c r="DH53" s="88">
        <f t="shared" si="153"/>
        <v>0</v>
      </c>
      <c r="DU53" s="4"/>
      <c r="DW53" s="88">
        <f>IF(BH53&lt;&gt;"",MAX($DW$9:DW52)+1,0)</f>
        <v>0</v>
      </c>
      <c r="DX53" s="182" t="str">
        <f t="shared" si="154"/>
        <v/>
      </c>
    </row>
    <row r="54" spans="2:128" ht="30" customHeight="1" x14ac:dyDescent="0.25">
      <c r="B54" s="875"/>
      <c r="C54" s="154" t="s">
        <v>50</v>
      </c>
      <c r="D54" s="54"/>
      <c r="E54" s="23">
        <f t="shared" si="142"/>
        <v>0</v>
      </c>
      <c r="F54" s="54"/>
      <c r="G54" s="54"/>
      <c r="H54" s="198">
        <f t="shared" si="155"/>
        <v>0</v>
      </c>
      <c r="I54" s="82"/>
      <c r="J54" s="725"/>
      <c r="K54" s="725"/>
      <c r="L54" s="725"/>
      <c r="M54" s="726"/>
      <c r="N54" s="730"/>
      <c r="O54" s="731"/>
      <c r="P54" s="731"/>
      <c r="AG54" s="6">
        <f>IF(AND(I54&lt;&gt;"",OR(I54&lt;EXPEDIENTE!$I$25,I54&gt;EXPEDIENTE!$I$29)),1,0)</f>
        <v>0</v>
      </c>
      <c r="AI54" s="6">
        <f>IF(DATE(YEAR(EXPEDIENTE!$I$25),MONTH(DATEVALUE($C54&amp;"1")),1)&gt;=DATE(YEAR(EXPEDIENTE!$I$25),MONTH(EXPEDIENTE!$I$25),1),0,1)</f>
        <v>0</v>
      </c>
      <c r="AJ54" s="6" t="e">
        <f>IF(DATE(YEAR(EXPEDIENTE!$I$25),MONTH(DATEVALUE($C54&amp;"1")),1)&lt;=DATE(YEAR(EXPEDIENTE!$I$29),MONTH(EXPEDIENTE!$I$29),1),0,1)</f>
        <v>#VALUE!</v>
      </c>
      <c r="AK54" s="6" t="e">
        <f t="shared" si="156"/>
        <v>#VALUE!</v>
      </c>
      <c r="AM54" s="728"/>
      <c r="AN54" s="318" t="s">
        <v>50</v>
      </c>
      <c r="AO54" s="321">
        <f t="shared" si="143"/>
        <v>0</v>
      </c>
      <c r="AP54" s="529"/>
      <c r="AQ54" s="326">
        <f t="shared" si="157"/>
        <v>0</v>
      </c>
      <c r="AR54" s="327">
        <f t="shared" si="144"/>
        <v>0</v>
      </c>
      <c r="AS54" s="719"/>
      <c r="AT54" s="720"/>
      <c r="AU54" s="321">
        <f t="shared" si="145"/>
        <v>0</v>
      </c>
      <c r="AV54" s="529"/>
      <c r="AW54" s="326">
        <f t="shared" si="158"/>
        <v>0</v>
      </c>
      <c r="AX54" s="321">
        <f t="shared" si="146"/>
        <v>0</v>
      </c>
      <c r="AY54" s="529"/>
      <c r="AZ54" s="326">
        <f t="shared" si="159"/>
        <v>0</v>
      </c>
      <c r="BA54" s="376">
        <f t="shared" si="147"/>
        <v>0</v>
      </c>
      <c r="BB54" s="719"/>
      <c r="BC54" s="720"/>
      <c r="BD54" s="313" t="str">
        <f t="shared" si="148"/>
        <v/>
      </c>
      <c r="BE54" s="536"/>
      <c r="BF54" s="314" t="str">
        <f t="shared" si="160"/>
        <v/>
      </c>
      <c r="BG54" s="377" t="str">
        <f t="shared" si="161"/>
        <v/>
      </c>
      <c r="BH54" s="892"/>
      <c r="BI54" s="786"/>
      <c r="BJ54" s="786"/>
      <c r="BK54" s="786"/>
      <c r="BL54" s="786"/>
      <c r="BM54" s="786"/>
      <c r="BN54" s="786"/>
      <c r="BO54" s="786"/>
      <c r="BP54" s="786"/>
      <c r="BQ54" s="786"/>
      <c r="BR54" s="786"/>
      <c r="BS54" s="787"/>
      <c r="DA54" s="6">
        <f>IF(AND(BE54&lt;&gt;"",OR(BE54&lt;EXPEDIENTE!$I$25,BE54&gt;EXPEDIENTE!$I$29)),1,0)</f>
        <v>0</v>
      </c>
      <c r="DB54" s="4"/>
      <c r="DD54" s="88">
        <f t="shared" si="149"/>
        <v>0</v>
      </c>
      <c r="DE54" s="88">
        <f t="shared" si="150"/>
        <v>0</v>
      </c>
      <c r="DF54" s="88">
        <f t="shared" si="151"/>
        <v>0</v>
      </c>
      <c r="DG54" s="88">
        <f t="shared" si="152"/>
        <v>0</v>
      </c>
      <c r="DH54" s="88">
        <f t="shared" si="153"/>
        <v>0</v>
      </c>
      <c r="DU54" s="4"/>
      <c r="DW54" s="88">
        <f>IF(BH54&lt;&gt;"",MAX($DW$9:DW53)+1,0)</f>
        <v>0</v>
      </c>
      <c r="DX54" s="182" t="str">
        <f t="shared" si="154"/>
        <v/>
      </c>
    </row>
    <row r="55" spans="2:128" ht="30" customHeight="1" x14ac:dyDescent="0.25">
      <c r="B55" s="875"/>
      <c r="C55" s="154" t="s">
        <v>51</v>
      </c>
      <c r="D55" s="54"/>
      <c r="E55" s="23">
        <f t="shared" si="142"/>
        <v>0</v>
      </c>
      <c r="F55" s="54"/>
      <c r="G55" s="54"/>
      <c r="H55" s="198">
        <f t="shared" si="155"/>
        <v>0</v>
      </c>
      <c r="I55" s="82"/>
      <c r="J55" s="725"/>
      <c r="K55" s="725"/>
      <c r="L55" s="725"/>
      <c r="M55" s="726"/>
      <c r="N55" s="730"/>
      <c r="O55" s="731"/>
      <c r="P55" s="731"/>
      <c r="AG55" s="6">
        <f>IF(AND(I55&lt;&gt;"",OR(I55&lt;EXPEDIENTE!$I$25,I55&gt;EXPEDIENTE!$I$29)),1,0)</f>
        <v>0</v>
      </c>
      <c r="AI55" s="6">
        <f>IF(DATE(YEAR(EXPEDIENTE!$I$25),MONTH(DATEVALUE($C55&amp;"1")),1)&gt;=DATE(YEAR(EXPEDIENTE!$I$25),MONTH(EXPEDIENTE!$I$25),1),0,1)</f>
        <v>0</v>
      </c>
      <c r="AJ55" s="6" t="e">
        <f>IF(DATE(YEAR(EXPEDIENTE!$I$25),MONTH(DATEVALUE($C55&amp;"1")),1)&lt;=DATE(YEAR(EXPEDIENTE!$I$29),MONTH(EXPEDIENTE!$I$29),1),0,1)</f>
        <v>#VALUE!</v>
      </c>
      <c r="AK55" s="6" t="e">
        <f t="shared" si="156"/>
        <v>#VALUE!</v>
      </c>
      <c r="AM55" s="728"/>
      <c r="AN55" s="318" t="s">
        <v>51</v>
      </c>
      <c r="AO55" s="321">
        <f t="shared" si="143"/>
        <v>0</v>
      </c>
      <c r="AP55" s="529"/>
      <c r="AQ55" s="326">
        <f t="shared" si="157"/>
        <v>0</v>
      </c>
      <c r="AR55" s="327">
        <f t="shared" si="144"/>
        <v>0</v>
      </c>
      <c r="AS55" s="719"/>
      <c r="AT55" s="720"/>
      <c r="AU55" s="321">
        <f t="shared" si="145"/>
        <v>0</v>
      </c>
      <c r="AV55" s="529"/>
      <c r="AW55" s="326">
        <f t="shared" si="158"/>
        <v>0</v>
      </c>
      <c r="AX55" s="321">
        <f t="shared" si="146"/>
        <v>0</v>
      </c>
      <c r="AY55" s="529"/>
      <c r="AZ55" s="326">
        <f t="shared" si="159"/>
        <v>0</v>
      </c>
      <c r="BA55" s="376">
        <f t="shared" si="147"/>
        <v>0</v>
      </c>
      <c r="BB55" s="719"/>
      <c r="BC55" s="720"/>
      <c r="BD55" s="313" t="str">
        <f t="shared" si="148"/>
        <v/>
      </c>
      <c r="BE55" s="536"/>
      <c r="BF55" s="314" t="str">
        <f t="shared" si="160"/>
        <v/>
      </c>
      <c r="BG55" s="377" t="str">
        <f t="shared" si="161"/>
        <v/>
      </c>
      <c r="BH55" s="892"/>
      <c r="BI55" s="786"/>
      <c r="BJ55" s="786"/>
      <c r="BK55" s="786"/>
      <c r="BL55" s="786"/>
      <c r="BM55" s="786"/>
      <c r="BN55" s="786"/>
      <c r="BO55" s="786"/>
      <c r="BP55" s="786"/>
      <c r="BQ55" s="786"/>
      <c r="BR55" s="786"/>
      <c r="BS55" s="787"/>
      <c r="DA55" s="6">
        <f>IF(AND(BE55&lt;&gt;"",OR(BE55&lt;EXPEDIENTE!$I$25,BE55&gt;EXPEDIENTE!$I$29)),1,0)</f>
        <v>0</v>
      </c>
      <c r="DB55" s="4"/>
      <c r="DD55" s="88">
        <f t="shared" si="149"/>
        <v>0</v>
      </c>
      <c r="DE55" s="88">
        <f t="shared" si="150"/>
        <v>0</v>
      </c>
      <c r="DF55" s="88">
        <f t="shared" si="151"/>
        <v>0</v>
      </c>
      <c r="DG55" s="88">
        <f t="shared" si="152"/>
        <v>0</v>
      </c>
      <c r="DH55" s="88">
        <f t="shared" si="153"/>
        <v>0</v>
      </c>
      <c r="DU55" s="4"/>
      <c r="DW55" s="88">
        <f>IF(BH55&lt;&gt;"",MAX($DW$9:DW54)+1,0)</f>
        <v>0</v>
      </c>
      <c r="DX55" s="182" t="str">
        <f t="shared" si="154"/>
        <v/>
      </c>
    </row>
    <row r="56" spans="2:128" ht="30" customHeight="1" x14ac:dyDescent="0.25">
      <c r="B56" s="875"/>
      <c r="C56" s="154" t="s">
        <v>52</v>
      </c>
      <c r="D56" s="54"/>
      <c r="E56" s="23">
        <f t="shared" si="142"/>
        <v>0</v>
      </c>
      <c r="F56" s="54"/>
      <c r="G56" s="54"/>
      <c r="H56" s="198">
        <f t="shared" si="155"/>
        <v>0</v>
      </c>
      <c r="I56" s="82"/>
      <c r="J56" s="725"/>
      <c r="K56" s="725"/>
      <c r="L56" s="725"/>
      <c r="M56" s="726"/>
      <c r="N56" s="730"/>
      <c r="O56" s="731"/>
      <c r="P56" s="731"/>
      <c r="AG56" s="6">
        <f>IF(AND(I56&lt;&gt;"",OR(I56&lt;EXPEDIENTE!$I$25,I56&gt;EXPEDIENTE!$I$29)),1,0)</f>
        <v>0</v>
      </c>
      <c r="AI56" s="6">
        <f>IF(DATE(YEAR(EXPEDIENTE!$I$25),MONTH(DATEVALUE($C56&amp;"1")),1)&gt;=DATE(YEAR(EXPEDIENTE!$I$25),MONTH(EXPEDIENTE!$I$25),1),0,1)</f>
        <v>0</v>
      </c>
      <c r="AJ56" s="6" t="e">
        <f>IF(DATE(YEAR(EXPEDIENTE!$I$25),MONTH(DATEVALUE($C56&amp;"1")),1)&lt;=DATE(YEAR(EXPEDIENTE!$I$29),MONTH(EXPEDIENTE!$I$29),1),0,1)</f>
        <v>#VALUE!</v>
      </c>
      <c r="AK56" s="6" t="e">
        <f t="shared" si="156"/>
        <v>#VALUE!</v>
      </c>
      <c r="AM56" s="728"/>
      <c r="AN56" s="318" t="s">
        <v>52</v>
      </c>
      <c r="AO56" s="321">
        <f t="shared" si="143"/>
        <v>0</v>
      </c>
      <c r="AP56" s="529"/>
      <c r="AQ56" s="326">
        <f t="shared" si="157"/>
        <v>0</v>
      </c>
      <c r="AR56" s="327">
        <f t="shared" si="144"/>
        <v>0</v>
      </c>
      <c r="AS56" s="719"/>
      <c r="AT56" s="720"/>
      <c r="AU56" s="321">
        <f t="shared" si="145"/>
        <v>0</v>
      </c>
      <c r="AV56" s="529"/>
      <c r="AW56" s="326">
        <f t="shared" si="158"/>
        <v>0</v>
      </c>
      <c r="AX56" s="321">
        <f t="shared" si="146"/>
        <v>0</v>
      </c>
      <c r="AY56" s="529"/>
      <c r="AZ56" s="326">
        <f t="shared" si="159"/>
        <v>0</v>
      </c>
      <c r="BA56" s="376">
        <f t="shared" si="147"/>
        <v>0</v>
      </c>
      <c r="BB56" s="719"/>
      <c r="BC56" s="720"/>
      <c r="BD56" s="313" t="str">
        <f t="shared" si="148"/>
        <v/>
      </c>
      <c r="BE56" s="536"/>
      <c r="BF56" s="314" t="str">
        <f t="shared" si="160"/>
        <v/>
      </c>
      <c r="BG56" s="377" t="str">
        <f t="shared" si="161"/>
        <v/>
      </c>
      <c r="BH56" s="892"/>
      <c r="BI56" s="786"/>
      <c r="BJ56" s="786"/>
      <c r="BK56" s="786"/>
      <c r="BL56" s="786"/>
      <c r="BM56" s="786"/>
      <c r="BN56" s="786"/>
      <c r="BO56" s="786"/>
      <c r="BP56" s="786"/>
      <c r="BQ56" s="786"/>
      <c r="BR56" s="786"/>
      <c r="BS56" s="787"/>
      <c r="DA56" s="6">
        <f>IF(AND(BE56&lt;&gt;"",OR(BE56&lt;EXPEDIENTE!$I$25,BE56&gt;EXPEDIENTE!$I$29)),1,0)</f>
        <v>0</v>
      </c>
      <c r="DB56" s="4"/>
      <c r="DD56" s="88">
        <f t="shared" si="149"/>
        <v>0</v>
      </c>
      <c r="DE56" s="88">
        <f t="shared" si="150"/>
        <v>0</v>
      </c>
      <c r="DF56" s="88">
        <f t="shared" si="151"/>
        <v>0</v>
      </c>
      <c r="DG56" s="88">
        <f t="shared" si="152"/>
        <v>0</v>
      </c>
      <c r="DH56" s="88">
        <f t="shared" si="153"/>
        <v>0</v>
      </c>
      <c r="DU56" s="4"/>
      <c r="DW56" s="88">
        <f>IF(BH56&lt;&gt;"",MAX($DW$9:DW55)+1,0)</f>
        <v>0</v>
      </c>
      <c r="DX56" s="182" t="str">
        <f t="shared" si="154"/>
        <v/>
      </c>
    </row>
    <row r="57" spans="2:128" ht="30" customHeight="1" x14ac:dyDescent="0.25">
      <c r="B57" s="875"/>
      <c r="C57" s="154" t="s">
        <v>53</v>
      </c>
      <c r="D57" s="54"/>
      <c r="E57" s="23">
        <f t="shared" si="142"/>
        <v>0</v>
      </c>
      <c r="F57" s="54"/>
      <c r="G57" s="54"/>
      <c r="H57" s="198">
        <f t="shared" si="155"/>
        <v>0</v>
      </c>
      <c r="I57" s="82"/>
      <c r="J57" s="725"/>
      <c r="K57" s="725"/>
      <c r="L57" s="725"/>
      <c r="M57" s="726"/>
      <c r="N57" s="730"/>
      <c r="O57" s="731"/>
      <c r="P57" s="731"/>
      <c r="AG57" s="6">
        <f>IF(AND(I57&lt;&gt;"",OR(I57&lt;EXPEDIENTE!$I$25,I57&gt;EXPEDIENTE!$I$29)),1,0)</f>
        <v>0</v>
      </c>
      <c r="AI57" s="6">
        <f>IF(DATE(YEAR(EXPEDIENTE!$I$25),MONTH(DATEVALUE($C57&amp;"1")),1)&gt;=DATE(YEAR(EXPEDIENTE!$I$25),MONTH(EXPEDIENTE!$I$25),1),0,1)</f>
        <v>0</v>
      </c>
      <c r="AJ57" s="6" t="e">
        <f>IF(DATE(YEAR(EXPEDIENTE!$I$25),MONTH(DATEVALUE($C57&amp;"1")),1)&lt;=DATE(YEAR(EXPEDIENTE!$I$29),MONTH(EXPEDIENTE!$I$29),1),0,1)</f>
        <v>#VALUE!</v>
      </c>
      <c r="AK57" s="6" t="e">
        <f t="shared" si="156"/>
        <v>#VALUE!</v>
      </c>
      <c r="AM57" s="728"/>
      <c r="AN57" s="318" t="s">
        <v>53</v>
      </c>
      <c r="AO57" s="321">
        <f t="shared" si="143"/>
        <v>0</v>
      </c>
      <c r="AP57" s="529"/>
      <c r="AQ57" s="326">
        <f t="shared" si="157"/>
        <v>0</v>
      </c>
      <c r="AR57" s="327">
        <f t="shared" si="144"/>
        <v>0</v>
      </c>
      <c r="AS57" s="719"/>
      <c r="AT57" s="720"/>
      <c r="AU57" s="321">
        <f t="shared" si="145"/>
        <v>0</v>
      </c>
      <c r="AV57" s="529"/>
      <c r="AW57" s="326">
        <f t="shared" si="158"/>
        <v>0</v>
      </c>
      <c r="AX57" s="321">
        <f t="shared" si="146"/>
        <v>0</v>
      </c>
      <c r="AY57" s="529"/>
      <c r="AZ57" s="326">
        <f t="shared" si="159"/>
        <v>0</v>
      </c>
      <c r="BA57" s="376">
        <f t="shared" si="147"/>
        <v>0</v>
      </c>
      <c r="BB57" s="719"/>
      <c r="BC57" s="720"/>
      <c r="BD57" s="313" t="str">
        <f t="shared" si="148"/>
        <v/>
      </c>
      <c r="BE57" s="536"/>
      <c r="BF57" s="314" t="str">
        <f t="shared" si="160"/>
        <v/>
      </c>
      <c r="BG57" s="377" t="str">
        <f t="shared" si="161"/>
        <v/>
      </c>
      <c r="BH57" s="892"/>
      <c r="BI57" s="786"/>
      <c r="BJ57" s="786"/>
      <c r="BK57" s="786"/>
      <c r="BL57" s="786"/>
      <c r="BM57" s="786"/>
      <c r="BN57" s="786"/>
      <c r="BO57" s="786"/>
      <c r="BP57" s="786"/>
      <c r="BQ57" s="786"/>
      <c r="BR57" s="786"/>
      <c r="BS57" s="787"/>
      <c r="DA57" s="6">
        <f>IF(AND(BE57&lt;&gt;"",OR(BE57&lt;EXPEDIENTE!$I$25,BE57&gt;EXPEDIENTE!$I$29)),1,0)</f>
        <v>0</v>
      </c>
      <c r="DB57" s="4"/>
      <c r="DD57" s="88">
        <f t="shared" si="149"/>
        <v>0</v>
      </c>
      <c r="DE57" s="88">
        <f t="shared" si="150"/>
        <v>0</v>
      </c>
      <c r="DF57" s="88">
        <f t="shared" si="151"/>
        <v>0</v>
      </c>
      <c r="DG57" s="88">
        <f t="shared" si="152"/>
        <v>0</v>
      </c>
      <c r="DH57" s="88">
        <f t="shared" si="153"/>
        <v>0</v>
      </c>
      <c r="DU57" s="4"/>
      <c r="DW57" s="88">
        <f>IF(BH57&lt;&gt;"",MAX($DW$9:DW56)+1,0)</f>
        <v>0</v>
      </c>
      <c r="DX57" s="182" t="str">
        <f t="shared" si="154"/>
        <v/>
      </c>
    </row>
    <row r="58" spans="2:128" ht="30" customHeight="1" x14ac:dyDescent="0.25">
      <c r="B58" s="875"/>
      <c r="C58" s="154" t="s">
        <v>54</v>
      </c>
      <c r="D58" s="54"/>
      <c r="E58" s="23">
        <f t="shared" si="142"/>
        <v>0</v>
      </c>
      <c r="F58" s="54"/>
      <c r="G58" s="54"/>
      <c r="H58" s="198">
        <f t="shared" si="155"/>
        <v>0</v>
      </c>
      <c r="I58" s="82"/>
      <c r="J58" s="725"/>
      <c r="K58" s="725"/>
      <c r="L58" s="725"/>
      <c r="M58" s="726"/>
      <c r="N58" s="730"/>
      <c r="O58" s="731"/>
      <c r="P58" s="731"/>
      <c r="AG58" s="6">
        <f>IF(AND(I58&lt;&gt;"",OR(I58&lt;EXPEDIENTE!$I$25,I58&gt;EXPEDIENTE!$I$29)),1,0)</f>
        <v>0</v>
      </c>
      <c r="AI58" s="6">
        <f>IF(DATE(YEAR(EXPEDIENTE!$I$25),MONTH(DATEVALUE($C58&amp;"1")),1)&gt;=DATE(YEAR(EXPEDIENTE!$I$25),MONTH(EXPEDIENTE!$I$25),1),0,1)</f>
        <v>0</v>
      </c>
      <c r="AJ58" s="6" t="e">
        <f>IF(DATE(YEAR(EXPEDIENTE!$I$25),MONTH(DATEVALUE($C58&amp;"1")),1)&lt;=DATE(YEAR(EXPEDIENTE!$I$29),MONTH(EXPEDIENTE!$I$29),1),0,1)</f>
        <v>#VALUE!</v>
      </c>
      <c r="AK58" s="6" t="e">
        <f t="shared" si="156"/>
        <v>#VALUE!</v>
      </c>
      <c r="AM58" s="728"/>
      <c r="AN58" s="318" t="s">
        <v>54</v>
      </c>
      <c r="AO58" s="321">
        <f t="shared" si="143"/>
        <v>0</v>
      </c>
      <c r="AP58" s="529"/>
      <c r="AQ58" s="326">
        <f t="shared" si="157"/>
        <v>0</v>
      </c>
      <c r="AR58" s="327">
        <f t="shared" si="144"/>
        <v>0</v>
      </c>
      <c r="AS58" s="719"/>
      <c r="AT58" s="720"/>
      <c r="AU58" s="321">
        <f t="shared" si="145"/>
        <v>0</v>
      </c>
      <c r="AV58" s="529"/>
      <c r="AW58" s="326">
        <f t="shared" si="158"/>
        <v>0</v>
      </c>
      <c r="AX58" s="321">
        <f t="shared" si="146"/>
        <v>0</v>
      </c>
      <c r="AY58" s="529"/>
      <c r="AZ58" s="326">
        <f t="shared" si="159"/>
        <v>0</v>
      </c>
      <c r="BA58" s="376">
        <f t="shared" si="147"/>
        <v>0</v>
      </c>
      <c r="BB58" s="719"/>
      <c r="BC58" s="720"/>
      <c r="BD58" s="313" t="str">
        <f t="shared" si="148"/>
        <v/>
      </c>
      <c r="BE58" s="536"/>
      <c r="BF58" s="314" t="str">
        <f t="shared" si="160"/>
        <v/>
      </c>
      <c r="BG58" s="377" t="str">
        <f t="shared" si="161"/>
        <v/>
      </c>
      <c r="BH58" s="892"/>
      <c r="BI58" s="786"/>
      <c r="BJ58" s="786"/>
      <c r="BK58" s="786"/>
      <c r="BL58" s="786"/>
      <c r="BM58" s="786"/>
      <c r="BN58" s="786"/>
      <c r="BO58" s="786"/>
      <c r="BP58" s="786"/>
      <c r="BQ58" s="786"/>
      <c r="BR58" s="786"/>
      <c r="BS58" s="787"/>
      <c r="DA58" s="6">
        <f>IF(AND(BE58&lt;&gt;"",OR(BE58&lt;EXPEDIENTE!$I$25,BE58&gt;EXPEDIENTE!$I$29)),1,0)</f>
        <v>0</v>
      </c>
      <c r="DB58" s="4"/>
      <c r="DD58" s="88">
        <f t="shared" si="149"/>
        <v>0</v>
      </c>
      <c r="DE58" s="88">
        <f t="shared" si="150"/>
        <v>0</v>
      </c>
      <c r="DF58" s="88">
        <f t="shared" si="151"/>
        <v>0</v>
      </c>
      <c r="DG58" s="88">
        <f t="shared" si="152"/>
        <v>0</v>
      </c>
      <c r="DH58" s="88">
        <f t="shared" si="153"/>
        <v>0</v>
      </c>
      <c r="DU58" s="4"/>
      <c r="DW58" s="88">
        <f>IF(BH58&lt;&gt;"",MAX($DW$9:DW57)+1,0)</f>
        <v>0</v>
      </c>
      <c r="DX58" s="182" t="str">
        <f t="shared" si="154"/>
        <v/>
      </c>
    </row>
    <row r="59" spans="2:128" ht="30" customHeight="1" x14ac:dyDescent="0.25">
      <c r="B59" s="875"/>
      <c r="C59" s="154" t="s">
        <v>55</v>
      </c>
      <c r="D59" s="54"/>
      <c r="E59" s="23">
        <f t="shared" si="142"/>
        <v>0</v>
      </c>
      <c r="F59" s="54"/>
      <c r="G59" s="54"/>
      <c r="H59" s="198">
        <f t="shared" si="155"/>
        <v>0</v>
      </c>
      <c r="I59" s="82"/>
      <c r="J59" s="725"/>
      <c r="K59" s="725"/>
      <c r="L59" s="725"/>
      <c r="M59" s="726"/>
      <c r="N59" s="730"/>
      <c r="O59" s="731"/>
      <c r="P59" s="731"/>
      <c r="AG59" s="6">
        <f>IF(AND(I59&lt;&gt;"",OR(I59&lt;EXPEDIENTE!$I$25,I59&gt;EXPEDIENTE!$I$29)),1,0)</f>
        <v>0</v>
      </c>
      <c r="AI59" s="6">
        <f>IF(DATE(YEAR(EXPEDIENTE!$I$25),MONTH(DATEVALUE($C59&amp;"1")),1)&gt;=DATE(YEAR(EXPEDIENTE!$I$25),MONTH(EXPEDIENTE!$I$25),1),0,1)</f>
        <v>0</v>
      </c>
      <c r="AJ59" s="6" t="e">
        <f>IF(DATE(YEAR(EXPEDIENTE!$I$25),MONTH(DATEVALUE($C59&amp;"1")),1)&lt;=DATE(YEAR(EXPEDIENTE!$I$29),MONTH(EXPEDIENTE!$I$29),1),0,1)</f>
        <v>#VALUE!</v>
      </c>
      <c r="AK59" s="6" t="e">
        <f t="shared" si="156"/>
        <v>#VALUE!</v>
      </c>
      <c r="AM59" s="728"/>
      <c r="AN59" s="318" t="s">
        <v>55</v>
      </c>
      <c r="AO59" s="321">
        <f t="shared" si="143"/>
        <v>0</v>
      </c>
      <c r="AP59" s="529"/>
      <c r="AQ59" s="326">
        <f t="shared" si="157"/>
        <v>0</v>
      </c>
      <c r="AR59" s="327">
        <f t="shared" si="144"/>
        <v>0</v>
      </c>
      <c r="AS59" s="719"/>
      <c r="AT59" s="720"/>
      <c r="AU59" s="321">
        <f t="shared" si="145"/>
        <v>0</v>
      </c>
      <c r="AV59" s="529"/>
      <c r="AW59" s="326">
        <f t="shared" si="158"/>
        <v>0</v>
      </c>
      <c r="AX59" s="321">
        <f t="shared" si="146"/>
        <v>0</v>
      </c>
      <c r="AY59" s="529"/>
      <c r="AZ59" s="326">
        <f t="shared" si="159"/>
        <v>0</v>
      </c>
      <c r="BA59" s="376">
        <f t="shared" si="147"/>
        <v>0</v>
      </c>
      <c r="BB59" s="719"/>
      <c r="BC59" s="720"/>
      <c r="BD59" s="313" t="str">
        <f t="shared" si="148"/>
        <v/>
      </c>
      <c r="BE59" s="536"/>
      <c r="BF59" s="314" t="str">
        <f t="shared" si="160"/>
        <v/>
      </c>
      <c r="BG59" s="377" t="str">
        <f t="shared" si="161"/>
        <v/>
      </c>
      <c r="BH59" s="892"/>
      <c r="BI59" s="786"/>
      <c r="BJ59" s="786"/>
      <c r="BK59" s="786"/>
      <c r="BL59" s="786"/>
      <c r="BM59" s="786"/>
      <c r="BN59" s="786"/>
      <c r="BO59" s="786"/>
      <c r="BP59" s="786"/>
      <c r="BQ59" s="786"/>
      <c r="BR59" s="786"/>
      <c r="BS59" s="787"/>
      <c r="DA59" s="6">
        <f>IF(AND(BE59&lt;&gt;"",OR(BE59&lt;EXPEDIENTE!$I$25,BE59&gt;EXPEDIENTE!$I$29)),1,0)</f>
        <v>0</v>
      </c>
      <c r="DB59" s="4"/>
      <c r="DD59" s="88">
        <f t="shared" si="149"/>
        <v>0</v>
      </c>
      <c r="DE59" s="88">
        <f t="shared" si="150"/>
        <v>0</v>
      </c>
      <c r="DF59" s="88">
        <f t="shared" si="151"/>
        <v>0</v>
      </c>
      <c r="DG59" s="88">
        <f t="shared" si="152"/>
        <v>0</v>
      </c>
      <c r="DH59" s="88">
        <f t="shared" si="153"/>
        <v>0</v>
      </c>
      <c r="DU59" s="4"/>
      <c r="DW59" s="88">
        <f>IF(BH59&lt;&gt;"",MAX($DW$9:DW58)+1,0)</f>
        <v>0</v>
      </c>
      <c r="DX59" s="182" t="str">
        <f t="shared" si="154"/>
        <v/>
      </c>
    </row>
    <row r="60" spans="2:128" ht="30" customHeight="1" thickBot="1" x14ac:dyDescent="0.3">
      <c r="B60" s="875"/>
      <c r="C60" s="165" t="s">
        <v>56</v>
      </c>
      <c r="D60" s="166"/>
      <c r="E60" s="29">
        <f t="shared" si="142"/>
        <v>0</v>
      </c>
      <c r="F60" s="58"/>
      <c r="G60" s="58"/>
      <c r="H60" s="199">
        <f t="shared" si="155"/>
        <v>0</v>
      </c>
      <c r="I60" s="167"/>
      <c r="J60" s="831"/>
      <c r="K60" s="831"/>
      <c r="L60" s="831"/>
      <c r="M60" s="832"/>
      <c r="N60" s="730"/>
      <c r="O60" s="731"/>
      <c r="P60" s="731"/>
      <c r="AG60" s="6">
        <f>IF(AND(I60&lt;&gt;"",OR(I60&lt;EXPEDIENTE!$I$25,I60&gt;EXPEDIENTE!$I$29)),1,0)</f>
        <v>0</v>
      </c>
      <c r="AI60" s="6">
        <f>IF(DATE(YEAR(EXPEDIENTE!$I$25),MONTH(DATEVALUE($C60&amp;"1")),1)&gt;=DATE(YEAR(EXPEDIENTE!$I$25),MONTH(EXPEDIENTE!$I$25),1),0,1)</f>
        <v>0</v>
      </c>
      <c r="AJ60" s="6" t="e">
        <f>IF(DATE(YEAR(EXPEDIENTE!$I$25),MONTH(DATEVALUE($C60&amp;"1")),1)&lt;=DATE(YEAR(EXPEDIENTE!$I$29),MONTH(EXPEDIENTE!$I$29),1),0,1)</f>
        <v>#VALUE!</v>
      </c>
      <c r="AK60" s="6" t="e">
        <f t="shared" si="156"/>
        <v>#VALUE!</v>
      </c>
      <c r="AM60" s="728"/>
      <c r="AN60" s="378" t="s">
        <v>56</v>
      </c>
      <c r="AO60" s="379">
        <f t="shared" si="143"/>
        <v>0</v>
      </c>
      <c r="AP60" s="541"/>
      <c r="AQ60" s="380">
        <f t="shared" si="157"/>
        <v>0</v>
      </c>
      <c r="AR60" s="335">
        <f t="shared" si="144"/>
        <v>0</v>
      </c>
      <c r="AS60" s="721"/>
      <c r="AT60" s="722"/>
      <c r="AU60" s="331">
        <f t="shared" si="145"/>
        <v>0</v>
      </c>
      <c r="AV60" s="533"/>
      <c r="AW60" s="337">
        <f t="shared" si="158"/>
        <v>0</v>
      </c>
      <c r="AX60" s="331">
        <f t="shared" si="146"/>
        <v>0</v>
      </c>
      <c r="AY60" s="533"/>
      <c r="AZ60" s="337">
        <f t="shared" si="159"/>
        <v>0</v>
      </c>
      <c r="BA60" s="381">
        <f t="shared" si="147"/>
        <v>0</v>
      </c>
      <c r="BB60" s="721"/>
      <c r="BC60" s="722"/>
      <c r="BD60" s="338" t="str">
        <f t="shared" si="148"/>
        <v/>
      </c>
      <c r="BE60" s="542"/>
      <c r="BF60" s="339" t="str">
        <f t="shared" si="160"/>
        <v/>
      </c>
      <c r="BG60" s="382" t="str">
        <f t="shared" si="161"/>
        <v/>
      </c>
      <c r="BH60" s="893"/>
      <c r="BI60" s="894"/>
      <c r="BJ60" s="894"/>
      <c r="BK60" s="894"/>
      <c r="BL60" s="894"/>
      <c r="BM60" s="894"/>
      <c r="BN60" s="894"/>
      <c r="BO60" s="894"/>
      <c r="BP60" s="894"/>
      <c r="BQ60" s="894"/>
      <c r="BR60" s="894"/>
      <c r="BS60" s="895"/>
      <c r="DA60" s="6">
        <f>IF(AND(BE60&lt;&gt;"",OR(BE60&lt;EXPEDIENTE!$I$25,BE60&gt;EXPEDIENTE!$I$29)),1,0)</f>
        <v>0</v>
      </c>
      <c r="DB60" s="4"/>
      <c r="DD60" s="88">
        <f t="shared" si="149"/>
        <v>0</v>
      </c>
      <c r="DE60" s="88">
        <f t="shared" si="150"/>
        <v>0</v>
      </c>
      <c r="DF60" s="88">
        <f t="shared" si="151"/>
        <v>0</v>
      </c>
      <c r="DG60" s="88">
        <f t="shared" si="152"/>
        <v>0</v>
      </c>
      <c r="DH60" s="88">
        <f t="shared" si="153"/>
        <v>0</v>
      </c>
      <c r="DU60" s="4"/>
      <c r="DW60" s="88">
        <f>IF(BH60&lt;&gt;"",MAX($DW$9:DW59)+1,0)</f>
        <v>0</v>
      </c>
      <c r="DX60" s="182" t="str">
        <f t="shared" si="154"/>
        <v/>
      </c>
    </row>
    <row r="61" spans="2:128" ht="9.9499999999999993" customHeight="1" thickBot="1" x14ac:dyDescent="0.3">
      <c r="B61" s="876"/>
      <c r="C61" s="181"/>
      <c r="D61" s="179"/>
      <c r="E61" s="179"/>
      <c r="F61" s="179"/>
      <c r="G61" s="179"/>
      <c r="H61" s="179"/>
      <c r="I61" s="179"/>
      <c r="J61" s="179"/>
      <c r="K61" s="179"/>
      <c r="L61" s="179"/>
      <c r="M61" s="180"/>
      <c r="AM61" s="729"/>
      <c r="AN61" s="383"/>
      <c r="AO61" s="384"/>
      <c r="AP61" s="384"/>
      <c r="AQ61" s="384"/>
      <c r="AR61" s="384"/>
      <c r="AS61" s="384"/>
      <c r="AT61" s="384"/>
      <c r="AU61" s="384"/>
      <c r="AV61" s="384"/>
      <c r="AW61" s="384"/>
      <c r="AX61" s="384"/>
      <c r="AY61" s="384"/>
      <c r="AZ61" s="384"/>
      <c r="BA61" s="384"/>
      <c r="BB61" s="384"/>
      <c r="BC61" s="384"/>
      <c r="BD61" s="384"/>
      <c r="BE61" s="384"/>
      <c r="BF61" s="384"/>
      <c r="BG61" s="384"/>
      <c r="BH61" s="384"/>
      <c r="BI61" s="384"/>
      <c r="BJ61" s="384"/>
      <c r="BK61" s="384"/>
      <c r="BL61" s="384"/>
      <c r="BM61" s="384"/>
      <c r="BN61" s="384"/>
      <c r="BO61" s="384"/>
      <c r="BP61" s="384"/>
      <c r="BQ61" s="384"/>
      <c r="BR61" s="384"/>
      <c r="BS61" s="385"/>
      <c r="DA61" s="4"/>
    </row>
    <row r="62" spans="2:128" ht="14.25" thickTop="1" x14ac:dyDescent="0.25"/>
  </sheetData>
  <sheetProtection algorithmName="SHA-512" hashValue="jCcUnrOpSA03pySLcsmI2Tv0FJmsSpk6HZE/a55HmY25FAqvaJVwQ0ZB0oFudSokFG/FMKQbtJhb7ldQscSVNg==" saltValue="If7YmJr+H131hNSbzgFGOA==" spinCount="100000" sheet="1" formatColumns="0"/>
  <protectedRanges>
    <protectedRange algorithmName="SHA-512" hashValue="XvhbnDAKsTc++wDWzZ3zM5prg1fy0VYTYF92qpXd9UXdAmVYbtHfQCPB15h9ffrRsotmEsZb06rKT6jjFGqNzA==" saltValue="wjP+RujLN90JBlHU8UNqkg==" spinCount="100000" sqref="AP49:AP60 AV49:AV60 AY49:AY60 BE49:BE60 BH49:BS60" name="Rango6"/>
    <protectedRange algorithmName="SHA-512" hashValue="2+R7pvg/lKe0g8tcTXtIjvyf7kCk86cO7mtQ6TczIDm1ktLgcV5hnsasUUt1VlwQ65gbkLfD0z7daJszGz2CnA==" saltValue="M4ttNUUFwYafLMKxz8eeag==" spinCount="100000" sqref="AP37:AP44 AS37:AS44 AV37:AV44 AY37:AY44 BB37:BB44 BE37:BE44 BH37:BH44 BK37:BK44 BQ37:BQ44 BT37:BT44 BW37:BW44 BZ37:BZ44 CC37:CC44 CG37:CG44 CL37:CL44 CO37:CO44 CS37:CS44 CV37:CV44" name="Rango4"/>
    <protectedRange algorithmName="SHA-512" hashValue="76wIxMEK7lWPJnUAP2eUKtwJ8PXa3YRgZn8pHqV4yQGJ30PmPedOEPV5TqyGzZeiija4gAH8qC/2YPgsVw9sHQ==" saltValue="PD3s1XLGv6Vf5iXVi8OSRw==" spinCount="100000" sqref="CY20:CY31" name="Rango3"/>
    <protectedRange algorithmName="SHA-512" hashValue="kvwRQc5q/dF2ri+Gnl/1ruucLgmp539QWVwTQLXw11/Fysh/zwEgeXKVFm6nKEnDM/F8LTT2jOprspaGST/WOA==" saltValue="7e/uhS0wjKU30oqiZXM5TA==" spinCount="100000" sqref="AS9:AS13 AU9:BG14" name="Rango1"/>
    <protectedRange algorithmName="SHA-512" hashValue="aqH0/EuwKThDOCWYAoAk1TniSS/D98A6dOhglxdDXVgNI1J97hz4B2UDX2O7GP8g15wH/6cT/tMdkItvB/l3SA==" saltValue="ooHWBFb3oWvA+uYEmP7tTQ==" spinCount="100000" sqref="AS20:AS31 AV20:AV31 AY20:AY31 BB20:BB31 BE20:BE31 BH20:BH31 BK20:BK31 BQ20:BQ31 BT20:BT31 BW20:BW31 BZ20:BZ31 CC20:CC31 CG20:CG31 CL20:CL31 CO20:CO31 CS20:CS31 CV20:CV31" name="Rango2"/>
    <protectedRange algorithmName="SHA-512" hashValue="2tDj1gg1AgBUuq6T2R+QSg9JayMMrh7kOk53iHMLXd0CVCFp+vUM2L0r9Ec+NeiMKCBCwajJrRAQbAb7Q/VLXA==" saltValue="FMGVqFuAZ1ECGzR0AyboKQ==" spinCount="100000" sqref="CY37:CY44" name="Rango7"/>
  </protectedRanges>
  <mergeCells count="210">
    <mergeCell ref="BH56:BS56"/>
    <mergeCell ref="BH57:BS57"/>
    <mergeCell ref="BH58:BS58"/>
    <mergeCell ref="BH59:BS59"/>
    <mergeCell ref="BH60:BS60"/>
    <mergeCell ref="AN46:BS46"/>
    <mergeCell ref="CR18:CR19"/>
    <mergeCell ref="CS18:CS19"/>
    <mergeCell ref="CT18:CT19"/>
    <mergeCell ref="AU47:AW47"/>
    <mergeCell ref="AX47:AZ47"/>
    <mergeCell ref="BB47:BC60"/>
    <mergeCell ref="BH50:BS50"/>
    <mergeCell ref="BH47:BS47"/>
    <mergeCell ref="BH48:BS48"/>
    <mergeCell ref="BH49:BS49"/>
    <mergeCell ref="BH51:BS51"/>
    <mergeCell ref="BH52:BS52"/>
    <mergeCell ref="BH53:BS53"/>
    <mergeCell ref="BH54:BS54"/>
    <mergeCell ref="BH55:BS55"/>
    <mergeCell ref="CQ34:CQ36"/>
    <mergeCell ref="AU34:BN34"/>
    <mergeCell ref="BD47:BF47"/>
    <mergeCell ref="AX35:BM35"/>
    <mergeCell ref="BN35:BN36"/>
    <mergeCell ref="BO34:CI34"/>
    <mergeCell ref="CJ34:CJ36"/>
    <mergeCell ref="AN24:AO24"/>
    <mergeCell ref="AN25:AO25"/>
    <mergeCell ref="AN26:AO26"/>
    <mergeCell ref="AN27:AO27"/>
    <mergeCell ref="AN28:AO28"/>
    <mergeCell ref="B8:B61"/>
    <mergeCell ref="C35:C36"/>
    <mergeCell ref="C18:D19"/>
    <mergeCell ref="C20:D20"/>
    <mergeCell ref="C21:D21"/>
    <mergeCell ref="C22:D22"/>
    <mergeCell ref="C23:D23"/>
    <mergeCell ref="C24:D24"/>
    <mergeCell ref="C25:D25"/>
    <mergeCell ref="C26:D26"/>
    <mergeCell ref="C27:D27"/>
    <mergeCell ref="C28:D28"/>
    <mergeCell ref="C33:AE33"/>
    <mergeCell ref="C29:D29"/>
    <mergeCell ref="C30:D30"/>
    <mergeCell ref="C31:D31"/>
    <mergeCell ref="C34:E34"/>
    <mergeCell ref="D35:E35"/>
    <mergeCell ref="Y34:Y36"/>
    <mergeCell ref="W34:W36"/>
    <mergeCell ref="AE34:AE36"/>
    <mergeCell ref="F35:F36"/>
    <mergeCell ref="F34:M34"/>
    <mergeCell ref="AC34:AC36"/>
    <mergeCell ref="E4:F4"/>
    <mergeCell ref="C8:F8"/>
    <mergeCell ref="E18:E19"/>
    <mergeCell ref="F18:F19"/>
    <mergeCell ref="C16:AE16"/>
    <mergeCell ref="X17:X19"/>
    <mergeCell ref="Y17:Y19"/>
    <mergeCell ref="Z17:Z19"/>
    <mergeCell ref="AA17:AA19"/>
    <mergeCell ref="U18:U19"/>
    <mergeCell ref="AB17:AB19"/>
    <mergeCell ref="O18:T18"/>
    <mergeCell ref="I11:T11"/>
    <mergeCell ref="C17:E17"/>
    <mergeCell ref="F17:M17"/>
    <mergeCell ref="W17:W19"/>
    <mergeCell ref="I9:T9"/>
    <mergeCell ref="I10:T10"/>
    <mergeCell ref="AC17:AC19"/>
    <mergeCell ref="I8:T8"/>
    <mergeCell ref="AD17:AD19"/>
    <mergeCell ref="AE17:AE19"/>
    <mergeCell ref="G18:L18"/>
    <mergeCell ref="M18:M19"/>
    <mergeCell ref="J60:M60"/>
    <mergeCell ref="C46:M46"/>
    <mergeCell ref="J52:M52"/>
    <mergeCell ref="J53:M53"/>
    <mergeCell ref="J54:M54"/>
    <mergeCell ref="J55:M55"/>
    <mergeCell ref="J56:M56"/>
    <mergeCell ref="J51:M51"/>
    <mergeCell ref="J49:M49"/>
    <mergeCell ref="J50:M50"/>
    <mergeCell ref="C47:C48"/>
    <mergeCell ref="D47:D48"/>
    <mergeCell ref="E47:E48"/>
    <mergeCell ref="F47:F48"/>
    <mergeCell ref="G47:G48"/>
    <mergeCell ref="H47:H48"/>
    <mergeCell ref="I47:I48"/>
    <mergeCell ref="J47:M48"/>
    <mergeCell ref="DA17:DA18"/>
    <mergeCell ref="AN8:AP8"/>
    <mergeCell ref="AN9:AP9"/>
    <mergeCell ref="AN10:AP10"/>
    <mergeCell ref="AN11:AP11"/>
    <mergeCell ref="DA15:DB16"/>
    <mergeCell ref="AU9:BG9"/>
    <mergeCell ref="AU10:BG10"/>
    <mergeCell ref="AU11:BG11"/>
    <mergeCell ref="AN18:AO19"/>
    <mergeCell ref="AR18:AR19"/>
    <mergeCell ref="AX18:BM18"/>
    <mergeCell ref="BN18:BN19"/>
    <mergeCell ref="BP18:CE18"/>
    <mergeCell ref="AN17:AQ17"/>
    <mergeCell ref="AR17:AT17"/>
    <mergeCell ref="AS18:AS19"/>
    <mergeCell ref="CV18:CV19"/>
    <mergeCell ref="CJ17:CJ19"/>
    <mergeCell ref="CQ17:CQ19"/>
    <mergeCell ref="AI15:AI16"/>
    <mergeCell ref="O35:T35"/>
    <mergeCell ref="AA34:AA36"/>
    <mergeCell ref="AB34:AB36"/>
    <mergeCell ref="U35:U36"/>
    <mergeCell ref="AD34:AD36"/>
    <mergeCell ref="AU13:BG13"/>
    <mergeCell ref="AN16:CY16"/>
    <mergeCell ref="AN13:AP13"/>
    <mergeCell ref="AN14:AP14"/>
    <mergeCell ref="AJ15:AJ16"/>
    <mergeCell ref="AK15:AK16"/>
    <mergeCell ref="CR35:CR36"/>
    <mergeCell ref="CS35:CS36"/>
    <mergeCell ref="CT35:CT36"/>
    <mergeCell ref="CU35:CU36"/>
    <mergeCell ref="CV35:CV36"/>
    <mergeCell ref="CW35:CW36"/>
    <mergeCell ref="BP35:CE35"/>
    <mergeCell ref="AO35:AQ35"/>
    <mergeCell ref="AR35:AT35"/>
    <mergeCell ref="AU35:AW35"/>
    <mergeCell ref="N17:V17"/>
    <mergeCell ref="AN35:AN36"/>
    <mergeCell ref="AR4:AU4"/>
    <mergeCell ref="AU17:BN17"/>
    <mergeCell ref="BO17:CI17"/>
    <mergeCell ref="AN20:AO20"/>
    <mergeCell ref="AN21:AO21"/>
    <mergeCell ref="AN22:AO22"/>
    <mergeCell ref="AN23:AO23"/>
    <mergeCell ref="CN17:CP17"/>
    <mergeCell ref="CN18:CN19"/>
    <mergeCell ref="CO18:CO19"/>
    <mergeCell ref="CP18:CP19"/>
    <mergeCell ref="AT18:AT19"/>
    <mergeCell ref="AU8:BG8"/>
    <mergeCell ref="AP18:AQ31"/>
    <mergeCell ref="AU18:AW18"/>
    <mergeCell ref="CF18:CH18"/>
    <mergeCell ref="AN31:AO31"/>
    <mergeCell ref="AN12:AP12"/>
    <mergeCell ref="AU12:BG12"/>
    <mergeCell ref="AN47:AN48"/>
    <mergeCell ref="AS47:AT60"/>
    <mergeCell ref="AN29:AO29"/>
    <mergeCell ref="AN30:AO30"/>
    <mergeCell ref="J59:M59"/>
    <mergeCell ref="J58:M58"/>
    <mergeCell ref="J57:M57"/>
    <mergeCell ref="AM8:AM61"/>
    <mergeCell ref="N49:P60"/>
    <mergeCell ref="AN34:AT34"/>
    <mergeCell ref="AO47:AQ47"/>
    <mergeCell ref="AR47:AR48"/>
    <mergeCell ref="N34:V34"/>
    <mergeCell ref="Z34:Z36"/>
    <mergeCell ref="X34:X36"/>
    <mergeCell ref="M35:M36"/>
    <mergeCell ref="AN33:CY33"/>
    <mergeCell ref="BA47:BA48"/>
    <mergeCell ref="G35:L35"/>
    <mergeCell ref="H12:H13"/>
    <mergeCell ref="I12:T13"/>
    <mergeCell ref="AG15:AH16"/>
    <mergeCell ref="AG17:AG18"/>
    <mergeCell ref="AH17:AH18"/>
    <mergeCell ref="DW7:DX7"/>
    <mergeCell ref="DD7:DU7"/>
    <mergeCell ref="CF35:CH35"/>
    <mergeCell ref="CK17:CM17"/>
    <mergeCell ref="CK18:CK19"/>
    <mergeCell ref="CL18:CL19"/>
    <mergeCell ref="CM18:CM19"/>
    <mergeCell ref="CK34:CM34"/>
    <mergeCell ref="CK35:CK36"/>
    <mergeCell ref="CL35:CL36"/>
    <mergeCell ref="CM35:CM36"/>
    <mergeCell ref="DB17:DB18"/>
    <mergeCell ref="CR34:CT34"/>
    <mergeCell ref="CU34:CW34"/>
    <mergeCell ref="CY34:CY35"/>
    <mergeCell ref="CW18:CW19"/>
    <mergeCell ref="CY17:CY18"/>
    <mergeCell ref="CR17:CT17"/>
    <mergeCell ref="CU17:CW17"/>
    <mergeCell ref="CU18:CU19"/>
    <mergeCell ref="CN34:CP34"/>
    <mergeCell ref="CN35:CN36"/>
    <mergeCell ref="CO35:CO36"/>
    <mergeCell ref="CP35:CP36"/>
  </mergeCells>
  <phoneticPr fontId="10" type="noConversion"/>
  <conditionalFormatting sqref="C49:I60">
    <cfRule type="expression" dxfId="512" priority="2">
      <formula>$AK20=1</formula>
    </cfRule>
  </conditionalFormatting>
  <conditionalFormatting sqref="D47:D48">
    <cfRule type="expression" dxfId="511" priority="176">
      <formula>OR(SUM(T20:T31)&gt;0,SUM(T37:T44)&gt;0)</formula>
    </cfRule>
  </conditionalFormatting>
  <conditionalFormatting sqref="H12:T13">
    <cfRule type="expression" dxfId="498" priority="15">
      <formula>OR($AG$19&gt;0,$AH$19&gt;0)</formula>
    </cfRule>
  </conditionalFormatting>
  <conditionalFormatting sqref="I49:I60 AA20:AA31 AA37:AA44">
    <cfRule type="expression" dxfId="497" priority="16" stopIfTrue="1">
      <formula>$AG20&lt;&gt;0</formula>
    </cfRule>
  </conditionalFormatting>
  <conditionalFormatting sqref="N49:P60">
    <cfRule type="cellIs" dxfId="496" priority="175" operator="notEqual">
      <formula>""</formula>
    </cfRule>
  </conditionalFormatting>
  <conditionalFormatting sqref="W20:AD31 C20:M31 O20:U31">
    <cfRule type="expression" dxfId="494" priority="121">
      <formula>$AK20=1</formula>
    </cfRule>
  </conditionalFormatting>
  <conditionalFormatting sqref="AB20:AB31 AB37:AB44">
    <cfRule type="expression" dxfId="482" priority="17" stopIfTrue="1">
      <formula>$AH20&lt;&gt;0</formula>
    </cfRule>
  </conditionalFormatting>
  <conditionalFormatting sqref="AP37:AP44">
    <cfRule type="expression" dxfId="480" priority="44">
      <formula>AND($AP37&lt;&gt;"",$AO37&lt;&gt;$AP37)</formula>
    </cfRule>
  </conditionalFormatting>
  <conditionalFormatting sqref="AP49:AP60">
    <cfRule type="expression" dxfId="479" priority="84">
      <formula>AND($AP49&lt;&gt;"",$AO49&lt;&gt;$AP49)</formula>
    </cfRule>
  </conditionalFormatting>
  <conditionalFormatting sqref="AS9:AS13">
    <cfRule type="expression" dxfId="478" priority="18">
      <formula>AND($AS9&lt;&gt;"",$AR9&lt;&gt;$AS9)</formula>
    </cfRule>
  </conditionalFormatting>
  <conditionalFormatting sqref="AS20:AS31">
    <cfRule type="expression" dxfId="477" priority="24">
      <formula>AND($AS20&lt;&gt;"",$AR20&lt;&gt;$AS20)</formula>
    </cfRule>
  </conditionalFormatting>
  <conditionalFormatting sqref="AS37:AS44">
    <cfRule type="expression" dxfId="476" priority="45">
      <formula>AND($AS37&lt;&gt;"",$AR37&lt;&gt;$AS37)</formula>
    </cfRule>
  </conditionalFormatting>
  <conditionalFormatting sqref="AT14">
    <cfRule type="cellIs" dxfId="475" priority="23" operator="notEqual">
      <formula>$AR$14</formula>
    </cfRule>
  </conditionalFormatting>
  <conditionalFormatting sqref="AU9:AU13">
    <cfRule type="expression" dxfId="474" priority="19" stopIfTrue="1">
      <formula>AND($AR9&lt;&gt;$AT9,$AU9="")</formula>
    </cfRule>
    <cfRule type="expression" dxfId="473" priority="21">
      <formula>AND($AR9=$AT9,$AU9&lt;&gt;"")</formula>
    </cfRule>
    <cfRule type="expression" dxfId="472" priority="22">
      <formula>AND($AR9&lt;&gt;$AS9,$AU9&lt;&gt;"")</formula>
    </cfRule>
  </conditionalFormatting>
  <conditionalFormatting sqref="AV20:AV31">
    <cfRule type="expression" dxfId="471" priority="25">
      <formula>AND($AV20&lt;&gt;"",$AU20&lt;&gt;$AV20)</formula>
    </cfRule>
  </conditionalFormatting>
  <conditionalFormatting sqref="AV37:AV44">
    <cfRule type="expression" dxfId="470" priority="46">
      <formula>AND($AV37&lt;&gt;"",$AU37&lt;&gt;$AV37)</formula>
    </cfRule>
  </conditionalFormatting>
  <conditionalFormatting sqref="AV49:AV60">
    <cfRule type="expression" dxfId="469" priority="85">
      <formula>AND($AV49&lt;&gt;"",$AU49&lt;&gt;$AV49)</formula>
    </cfRule>
  </conditionalFormatting>
  <conditionalFormatting sqref="AY20:AY31">
    <cfRule type="expression" dxfId="468" priority="26">
      <formula>AND($AY20&lt;&gt;"",$AX20&lt;&gt;$AY20)</formula>
    </cfRule>
  </conditionalFormatting>
  <conditionalFormatting sqref="AY37:AY44">
    <cfRule type="expression" dxfId="467" priority="47">
      <formula>AND($AY37&lt;&gt;"",$AX37&lt;&gt;$AY37)</formula>
    </cfRule>
  </conditionalFormatting>
  <conditionalFormatting sqref="AY49:AY60">
    <cfRule type="expression" dxfId="466" priority="86">
      <formula>AND($AY49&lt;&gt;"",$AX49&lt;&gt;$AY49)</formula>
    </cfRule>
  </conditionalFormatting>
  <conditionalFormatting sqref="BB20:BB31">
    <cfRule type="expression" dxfId="465" priority="27">
      <formula>AND($BB20&lt;&gt;"",$BA20&lt;&gt;$BB20)</formula>
    </cfRule>
  </conditionalFormatting>
  <conditionalFormatting sqref="BB37:BB44">
    <cfRule type="expression" dxfId="464" priority="48">
      <formula>AND($BB37&lt;&gt;"",$BA37&lt;&gt;$BB37)</formula>
    </cfRule>
  </conditionalFormatting>
  <conditionalFormatting sqref="BD49:BF60 AU49:BA60 AN49:AR60">
    <cfRule type="expression" dxfId="462" priority="137">
      <formula>$AK49=1</formula>
    </cfRule>
  </conditionalFormatting>
  <conditionalFormatting sqref="BE20:BE31">
    <cfRule type="expression" dxfId="450" priority="28">
      <formula>AND($BE20&lt;&gt;"",$BD20&lt;&gt;$BE20)</formula>
    </cfRule>
  </conditionalFormatting>
  <conditionalFormatting sqref="BE37:BE44">
    <cfRule type="expression" dxfId="449" priority="49">
      <formula>AND($BE37&lt;&gt;"",$BD37&lt;&gt;$BE37)</formula>
    </cfRule>
  </conditionalFormatting>
  <conditionalFormatting sqref="BE49:BE60">
    <cfRule type="expression" dxfId="448" priority="102" stopIfTrue="1">
      <formula>AND($DA49&lt;&gt;0,$BE49&lt;&gt;"")</formula>
    </cfRule>
    <cfRule type="expression" dxfId="447" priority="87">
      <formula>AND($BE49&lt;&gt;"",$BD49&lt;&gt;$BE49)</formula>
    </cfRule>
  </conditionalFormatting>
  <conditionalFormatting sqref="BF49:BF60">
    <cfRule type="expression" dxfId="446" priority="103" stopIfTrue="1">
      <formula>AND($DA49&lt;&gt;0,$BF49&lt;&gt;"")</formula>
    </cfRule>
  </conditionalFormatting>
  <conditionalFormatting sqref="BH20:BH31">
    <cfRule type="expression" dxfId="445" priority="29">
      <formula>AND($BH20&lt;&gt;"",$BG20&lt;&gt;$BH20)</formula>
    </cfRule>
  </conditionalFormatting>
  <conditionalFormatting sqref="BH37:BH44">
    <cfRule type="expression" dxfId="444" priority="50">
      <formula>AND($BH37&lt;&gt;"",$BG37&lt;&gt;$BH37)</formula>
    </cfRule>
  </conditionalFormatting>
  <conditionalFormatting sqref="BH49:BS60">
    <cfRule type="expression" dxfId="443" priority="88" stopIfTrue="1">
      <formula>IF($BG49&lt;&gt;"",$BH49="")</formula>
    </cfRule>
    <cfRule type="expression" dxfId="442" priority="89">
      <formula>IF($BG49="",$BH49&lt;&gt;"")</formula>
    </cfRule>
    <cfRule type="expression" dxfId="441" priority="98">
      <formula>IF($BG49&lt;&gt;"",$BH49&lt;&gt;"")</formula>
    </cfRule>
  </conditionalFormatting>
  <conditionalFormatting sqref="BK20:BK31">
    <cfRule type="expression" dxfId="440" priority="30">
      <formula>AND($BK20&lt;&gt;"",$BJ20&lt;&gt;$BK20)</formula>
    </cfRule>
  </conditionalFormatting>
  <conditionalFormatting sqref="BK37:BK44">
    <cfRule type="expression" dxfId="439" priority="51">
      <formula>IF($BK37&lt;&gt;"",$BJ37&lt;&gt;$BK37)</formula>
    </cfRule>
  </conditionalFormatting>
  <conditionalFormatting sqref="BQ20:BQ31">
    <cfRule type="expression" dxfId="438" priority="31">
      <formula>AND($BQ20&lt;&gt;"",$BP20&lt;&gt;$BQ20)</formula>
    </cfRule>
  </conditionalFormatting>
  <conditionalFormatting sqref="BQ37:BQ44">
    <cfRule type="expression" dxfId="437" priority="52">
      <formula>AND($BQ37&lt;&gt;"",$BP37&lt;&gt;$BQ37)</formula>
    </cfRule>
  </conditionalFormatting>
  <conditionalFormatting sqref="BT20:BT31">
    <cfRule type="expression" dxfId="436" priority="32">
      <formula>AND($BT20&lt;&gt;"",$BS20&lt;&gt;$BT20)</formula>
    </cfRule>
  </conditionalFormatting>
  <conditionalFormatting sqref="BT37:BT44">
    <cfRule type="expression" dxfId="435" priority="53">
      <formula>AND($BT37&lt;&gt;"",$BS37&lt;&gt;$BT37)</formula>
    </cfRule>
  </conditionalFormatting>
  <conditionalFormatting sqref="BW20:BW31">
    <cfRule type="expression" dxfId="434" priority="33">
      <formula>AND($BW20&lt;&gt;"",$BV20&lt;&gt;$BW20)</formula>
    </cfRule>
  </conditionalFormatting>
  <conditionalFormatting sqref="BW37:BW44">
    <cfRule type="expression" dxfId="433" priority="66">
      <formula>AND($BW37&lt;&gt;"",$BV37&lt;&gt;$BW$37)</formula>
    </cfRule>
  </conditionalFormatting>
  <conditionalFormatting sqref="BZ20:BZ31">
    <cfRule type="expression" dxfId="432" priority="34">
      <formula>AND($BZ20&lt;&gt;"",$BY20&lt;&gt;$BZ20)</formula>
    </cfRule>
  </conditionalFormatting>
  <conditionalFormatting sqref="BZ37:BZ44">
    <cfRule type="expression" dxfId="431" priority="67">
      <formula>AND($BZ37&lt;&gt;"",$BY37&lt;&gt;$BZ37)</formula>
    </cfRule>
  </conditionalFormatting>
  <conditionalFormatting sqref="CC20:CC31">
    <cfRule type="expression" dxfId="430" priority="35">
      <formula>AND($CC20&lt;&gt;"",$CB20&lt;&gt;$CC20)</formula>
    </cfRule>
  </conditionalFormatting>
  <conditionalFormatting sqref="CC37:CC44">
    <cfRule type="expression" dxfId="429" priority="68">
      <formula>AND($CC37&lt;&gt;"",$CB37&lt;&gt;$CC37)</formula>
    </cfRule>
  </conditionalFormatting>
  <conditionalFormatting sqref="CG20:CG31">
    <cfRule type="expression" dxfId="428" priority="36">
      <formula>AND($CG20&lt;&gt;"",$CF20&lt;&gt;$CG20)</formula>
    </cfRule>
  </conditionalFormatting>
  <conditionalFormatting sqref="CG37:CG44">
    <cfRule type="expression" dxfId="427" priority="69">
      <formula>AND($CG37&lt;&gt;"",$CF37&lt;&gt;$CG37)</formula>
    </cfRule>
  </conditionalFormatting>
  <conditionalFormatting sqref="CJ20:CW31 BP20:CH31 AR20:BN31 AN20:AO31">
    <cfRule type="expression" dxfId="425" priority="136">
      <formula>$AK20=1</formula>
    </cfRule>
  </conditionalFormatting>
  <conditionalFormatting sqref="CL20:CL31">
    <cfRule type="expression" dxfId="413" priority="37">
      <formula>AND($CL20&lt;&gt;"",$CK20&lt;&gt;$CL20)</formula>
    </cfRule>
  </conditionalFormatting>
  <conditionalFormatting sqref="CL37:CL44">
    <cfRule type="expression" dxfId="412" priority="70">
      <formula>AND($CL37&lt;&gt;"",$CK37&lt;&gt;$CL37)</formula>
    </cfRule>
  </conditionalFormatting>
  <conditionalFormatting sqref="CO20:CO31">
    <cfRule type="expression" dxfId="411" priority="38">
      <formula>AND($CO20&lt;&gt;"",$CN20&lt;&gt;$CO20)</formula>
    </cfRule>
  </conditionalFormatting>
  <conditionalFormatting sqref="CO37:CO44">
    <cfRule type="expression" dxfId="410" priority="71">
      <formula>AND($CO37&lt;&gt;"",$CN37&lt;&gt;$CO37)</formula>
    </cfRule>
  </conditionalFormatting>
  <conditionalFormatting sqref="CR20:CR31 CR37:CR44 BD49:BD60">
    <cfRule type="expression" dxfId="409" priority="99" stopIfTrue="1">
      <formula>$AG20&lt;&gt;0</formula>
    </cfRule>
  </conditionalFormatting>
  <conditionalFormatting sqref="CS20:CS31">
    <cfRule type="expression" dxfId="408" priority="39">
      <formula>AND($CS20&lt;&gt;"",$CR20&lt;&gt;$CS20)</formula>
    </cfRule>
  </conditionalFormatting>
  <conditionalFormatting sqref="CS37:CS44 CS20:CS31">
    <cfRule type="expression" dxfId="407" priority="100" stopIfTrue="1">
      <formula>AND($DA20&lt;&gt;0,$CS20&lt;&gt;"")</formula>
    </cfRule>
  </conditionalFormatting>
  <conditionalFormatting sqref="CS37:CS44">
    <cfRule type="expression" dxfId="406" priority="72">
      <formula>AND($CS37&lt;&gt;"",$CR37&lt;&gt;$CT37)</formula>
    </cfRule>
  </conditionalFormatting>
  <conditionalFormatting sqref="CT20:CT31 CT37:CT44">
    <cfRule type="expression" dxfId="405" priority="101" stopIfTrue="1">
      <formula>AND($DA20&lt;&gt;0,$CT20&lt;&gt;"")</formula>
    </cfRule>
  </conditionalFormatting>
  <conditionalFormatting sqref="CU20:CU31 CU37:CU44">
    <cfRule type="expression" dxfId="404" priority="118" stopIfTrue="1">
      <formula>$AG20&lt;&gt;0</formula>
    </cfRule>
  </conditionalFormatting>
  <conditionalFormatting sqref="CV20:CV31">
    <cfRule type="expression" dxfId="403" priority="40">
      <formula>AND($CV20&lt;&gt;"",$CU20&lt;&gt;$CV20)</formula>
    </cfRule>
  </conditionalFormatting>
  <conditionalFormatting sqref="CV37:CV44 CV20:CV31">
    <cfRule type="expression" dxfId="402" priority="119" stopIfTrue="1">
      <formula>AND($DB20&lt;&gt;0,$CV20&lt;&gt;"")</formula>
    </cfRule>
  </conditionalFormatting>
  <conditionalFormatting sqref="CV37:CV44">
    <cfRule type="expression" dxfId="401" priority="73">
      <formula>AND($CV37&lt;&gt;"",$CU37&lt;&gt;$CW37)</formula>
    </cfRule>
  </conditionalFormatting>
  <conditionalFormatting sqref="CW20:CW31 CW37:CW44">
    <cfRule type="expression" dxfId="400" priority="120" stopIfTrue="1">
      <formula>AND($DB20&lt;&gt;0,$CW20&lt;&gt;"")</formula>
    </cfRule>
  </conditionalFormatting>
  <conditionalFormatting sqref="CY20:CY31">
    <cfRule type="expression" dxfId="399" priority="43">
      <formula>IF($CX20&lt;&gt;"",$CY20&lt;&gt;"")</formula>
    </cfRule>
    <cfRule type="expression" dxfId="398" priority="42">
      <formula>IF($CX20="",$CY20&lt;&gt;"")</formula>
    </cfRule>
    <cfRule type="expression" dxfId="397" priority="41" stopIfTrue="1">
      <formula>IF($CX20&lt;&gt;"",$CY20="")</formula>
    </cfRule>
  </conditionalFormatting>
  <conditionalFormatting sqref="CY37:CY44">
    <cfRule type="expression" dxfId="396" priority="76">
      <formula>IF($CX37="",$CY37&lt;&gt;"")</formula>
    </cfRule>
    <cfRule type="expression" dxfId="395" priority="83">
      <formula>IF($CX37&lt;&gt;"",$CY37&lt;&gt;"")</formula>
    </cfRule>
    <cfRule type="expression" dxfId="394" priority="75" stopIfTrue="1">
      <formula>IF($CX37&lt;&gt;"",$CY37="")</formula>
    </cfRule>
  </conditionalFormatting>
  <printOptions horizontalCentered="1" verticalCentered="1"/>
  <pageMargins left="0.39370078740157483" right="0.39370078740157483" top="0.59055118110236227" bottom="0.39370078740157483" header="0.19685039370078741" footer="0.19685039370078741"/>
  <pageSetup paperSize="8" scale="29" orientation="landscape" r:id="rId1"/>
  <colBreaks count="1" manualBreakCount="1">
    <brk id="37" max="60" man="1"/>
  </colBreaks>
  <ignoredErrors>
    <ignoredError sqref="L20:L22 L37:L39 L23:L31 L40:L44"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3" id="{C1E3B3CD-91BF-4F38-B76A-144BE30A90AC}">
            <xm:f>'% DEDICACIÓN TRABAJADOR'!$G$44=0</xm:f>
            <x14:dxf>
              <font>
                <color theme="9" tint="0.79998168889431442"/>
              </font>
              <fill>
                <patternFill>
                  <bgColor theme="9" tint="0.79998168889431442"/>
                </patternFill>
              </fill>
            </x14:dxf>
          </x14:cfRule>
          <xm:sqref>D49:I49</xm:sqref>
        </x14:conditionalFormatting>
        <x14:conditionalFormatting xmlns:xm="http://schemas.microsoft.com/office/excel/2006/main">
          <x14:cfRule type="expression" priority="4" id="{DEF6B80A-19D2-474A-AA10-67F3E593986E}">
            <xm:f>'% DEDICACIÓN TRABAJADOR'!$H$44=0</xm:f>
            <x14:dxf>
              <font>
                <color theme="9" tint="0.79998168889431442"/>
              </font>
              <fill>
                <patternFill>
                  <bgColor theme="9" tint="0.79998168889431442"/>
                </patternFill>
              </fill>
            </x14:dxf>
          </x14:cfRule>
          <xm:sqref>D50:I50</xm:sqref>
        </x14:conditionalFormatting>
        <x14:conditionalFormatting xmlns:xm="http://schemas.microsoft.com/office/excel/2006/main">
          <x14:cfRule type="expression" priority="5" id="{EF62A091-9CF5-408B-9BDE-C75C8C19B612}">
            <xm:f>'% DEDICACIÓN TRABAJADOR'!$I$44=0</xm:f>
            <x14:dxf>
              <font>
                <color theme="9" tint="0.79998168889431442"/>
              </font>
              <fill>
                <patternFill>
                  <bgColor theme="9" tint="0.79998168889431442"/>
                </patternFill>
              </fill>
            </x14:dxf>
          </x14:cfRule>
          <xm:sqref>D51:I51</xm:sqref>
        </x14:conditionalFormatting>
        <x14:conditionalFormatting xmlns:xm="http://schemas.microsoft.com/office/excel/2006/main">
          <x14:cfRule type="expression" priority="6" id="{E2BEEF3F-863A-4BAA-BCD8-FCF5F04DDAB4}">
            <xm:f>'% DEDICACIÓN TRABAJADOR'!$J$44=0</xm:f>
            <x14:dxf>
              <font>
                <color theme="9" tint="0.79998168889431442"/>
              </font>
              <fill>
                <patternFill>
                  <bgColor theme="9" tint="0.79998168889431442"/>
                </patternFill>
              </fill>
            </x14:dxf>
          </x14:cfRule>
          <xm:sqref>D52:I52</xm:sqref>
        </x14:conditionalFormatting>
        <x14:conditionalFormatting xmlns:xm="http://schemas.microsoft.com/office/excel/2006/main">
          <x14:cfRule type="expression" priority="7" id="{AA4079D4-B73D-4E9D-A349-D021849D065B}">
            <xm:f>'% DEDICACIÓN TRABAJADOR'!$K$44=0</xm:f>
            <x14:dxf>
              <font>
                <color theme="9" tint="0.79998168889431442"/>
              </font>
              <fill>
                <patternFill>
                  <bgColor theme="9" tint="0.79998168889431442"/>
                </patternFill>
              </fill>
            </x14:dxf>
          </x14:cfRule>
          <xm:sqref>D53:I53</xm:sqref>
        </x14:conditionalFormatting>
        <x14:conditionalFormatting xmlns:xm="http://schemas.microsoft.com/office/excel/2006/main">
          <x14:cfRule type="expression" priority="8" id="{50709FD6-6192-4AF8-B204-863415EF904A}">
            <xm:f>'% DEDICACIÓN TRABAJADOR'!$L$44=0</xm:f>
            <x14:dxf>
              <font>
                <color theme="9" tint="0.79998168889431442"/>
              </font>
              <fill>
                <patternFill>
                  <bgColor theme="9" tint="0.79998168889431442"/>
                </patternFill>
              </fill>
            </x14:dxf>
          </x14:cfRule>
          <xm:sqref>D54:I54</xm:sqref>
        </x14:conditionalFormatting>
        <x14:conditionalFormatting xmlns:xm="http://schemas.microsoft.com/office/excel/2006/main">
          <x14:cfRule type="expression" priority="9" id="{F7F1182C-ADCF-4D9D-9EEA-A6171787B3A7}">
            <xm:f>'% DEDICACIÓN TRABAJADOR'!$M$44=0</xm:f>
            <x14:dxf>
              <font>
                <color theme="9" tint="0.79998168889431442"/>
              </font>
              <fill>
                <patternFill>
                  <bgColor theme="9" tint="0.79998168889431442"/>
                </patternFill>
              </fill>
            </x14:dxf>
          </x14:cfRule>
          <xm:sqref>D55:I55</xm:sqref>
        </x14:conditionalFormatting>
        <x14:conditionalFormatting xmlns:xm="http://schemas.microsoft.com/office/excel/2006/main">
          <x14:cfRule type="expression" priority="10" id="{03AF8590-DB4A-4FF1-BB20-73A81D95C298}">
            <xm:f>'% DEDICACIÓN TRABAJADOR'!$N$44=0</xm:f>
            <x14:dxf>
              <font>
                <color theme="9" tint="0.79998168889431442"/>
              </font>
              <fill>
                <patternFill>
                  <bgColor theme="9" tint="0.79998168889431442"/>
                </patternFill>
              </fill>
            </x14:dxf>
          </x14:cfRule>
          <xm:sqref>D56:I56</xm:sqref>
        </x14:conditionalFormatting>
        <x14:conditionalFormatting xmlns:xm="http://schemas.microsoft.com/office/excel/2006/main">
          <x14:cfRule type="expression" priority="11" id="{90B7EA77-1FA8-4E6C-820A-C598F01F2535}">
            <xm:f>'% DEDICACIÓN TRABAJADOR'!$O$44=0</xm:f>
            <x14:dxf>
              <font>
                <color theme="9" tint="0.79998168889431442"/>
              </font>
              <fill>
                <patternFill>
                  <bgColor theme="9" tint="0.79998168889431442"/>
                </patternFill>
              </fill>
            </x14:dxf>
          </x14:cfRule>
          <xm:sqref>D57:I57</xm:sqref>
        </x14:conditionalFormatting>
        <x14:conditionalFormatting xmlns:xm="http://schemas.microsoft.com/office/excel/2006/main">
          <x14:cfRule type="expression" priority="12" id="{297E7227-324D-4D1A-BC1D-FD84839298C9}">
            <xm:f>'% DEDICACIÓN TRABAJADOR'!$P$44=0</xm:f>
            <x14:dxf>
              <font>
                <color theme="9" tint="0.79998168889431442"/>
              </font>
              <fill>
                <patternFill>
                  <bgColor theme="9" tint="0.79998168889431442"/>
                </patternFill>
              </fill>
            </x14:dxf>
          </x14:cfRule>
          <xm:sqref>D58:I58</xm:sqref>
        </x14:conditionalFormatting>
        <x14:conditionalFormatting xmlns:xm="http://schemas.microsoft.com/office/excel/2006/main">
          <x14:cfRule type="expression" priority="13" id="{9D4C7E44-A750-4432-8098-9104F39E636C}">
            <xm:f>'% DEDICACIÓN TRABAJADOR'!$Q$44=0</xm:f>
            <x14:dxf>
              <font>
                <color theme="9" tint="0.79998168889431442"/>
              </font>
              <fill>
                <patternFill>
                  <bgColor theme="9" tint="0.79998168889431442"/>
                </patternFill>
              </fill>
            </x14:dxf>
          </x14:cfRule>
          <xm:sqref>D59:I59</xm:sqref>
        </x14:conditionalFormatting>
        <x14:conditionalFormatting xmlns:xm="http://schemas.microsoft.com/office/excel/2006/main">
          <x14:cfRule type="expression" priority="14" id="{FA3492AE-727C-435A-AECB-3A03C5A03AB4}">
            <xm:f>'% DEDICACIÓN TRABAJADOR'!$R$44=0</xm:f>
            <x14:dxf>
              <font>
                <color theme="9" tint="0.79998168889431442"/>
              </font>
              <fill>
                <patternFill>
                  <bgColor theme="9" tint="0.79998168889431442"/>
                </patternFill>
              </fill>
            </x14:dxf>
          </x14:cfRule>
          <xm:sqref>D60:I60</xm:sqref>
        </x14:conditionalFormatting>
        <x14:conditionalFormatting xmlns:xm="http://schemas.microsoft.com/office/excel/2006/main">
          <x14:cfRule type="expression" priority="123" id="{71FD0CB1-0B58-4F20-BC53-9016F4B90F15}">
            <xm:f>'% DEDICACIÓN TRABAJADOR'!$G$44=0</xm:f>
            <x14:dxf>
              <font>
                <color theme="9" tint="0.79998168889431442"/>
              </font>
              <fill>
                <patternFill>
                  <bgColor theme="9" tint="0.79998168889431442"/>
                </patternFill>
              </fill>
            </x14:dxf>
          </x14:cfRule>
          <xm:sqref>W20:AD20 E20:M20 O20:U20</xm:sqref>
        </x14:conditionalFormatting>
        <x14:conditionalFormatting xmlns:xm="http://schemas.microsoft.com/office/excel/2006/main">
          <x14:cfRule type="expression" priority="124" id="{1627F144-478F-4392-AE4C-E6B18893BD08}">
            <xm:f>'% DEDICACIÓN TRABAJADOR'!$H$44=0</xm:f>
            <x14:dxf>
              <font>
                <color theme="9" tint="0.79998168889431442"/>
              </font>
              <fill>
                <patternFill>
                  <bgColor theme="9" tint="0.79998168889431442"/>
                </patternFill>
              </fill>
            </x14:dxf>
          </x14:cfRule>
          <xm:sqref>W21:AD21 E21:M21 O21:U21</xm:sqref>
        </x14:conditionalFormatting>
        <x14:conditionalFormatting xmlns:xm="http://schemas.microsoft.com/office/excel/2006/main">
          <x14:cfRule type="expression" priority="125" id="{0B25DF02-DEEF-4E69-A3E6-FF217BE76594}">
            <xm:f>'% DEDICACIÓN TRABAJADOR'!$I$44=0</xm:f>
            <x14:dxf>
              <font>
                <color theme="9" tint="0.79998168889431442"/>
              </font>
              <fill>
                <patternFill>
                  <bgColor theme="9" tint="0.79998168889431442"/>
                </patternFill>
              </fill>
            </x14:dxf>
          </x14:cfRule>
          <xm:sqref>W22:AD22 E22:M22 O22:U22</xm:sqref>
        </x14:conditionalFormatting>
        <x14:conditionalFormatting xmlns:xm="http://schemas.microsoft.com/office/excel/2006/main">
          <x14:cfRule type="expression" priority="126" id="{187064A7-3FD9-47B5-A408-5E94D5362800}">
            <xm:f>'% DEDICACIÓN TRABAJADOR'!$J$44=0</xm:f>
            <x14:dxf>
              <font>
                <color theme="9" tint="0.79998168889431442"/>
              </font>
              <fill>
                <patternFill>
                  <bgColor theme="9" tint="0.79998168889431442"/>
                </patternFill>
              </fill>
            </x14:dxf>
          </x14:cfRule>
          <xm:sqref>W23:AD23 E23:M23 O23:U23</xm:sqref>
        </x14:conditionalFormatting>
        <x14:conditionalFormatting xmlns:xm="http://schemas.microsoft.com/office/excel/2006/main">
          <x14:cfRule type="expression" priority="127" id="{77630A9E-34E2-4C98-B29D-7787D9747B6D}">
            <xm:f>'% DEDICACIÓN TRABAJADOR'!$K$44=0</xm:f>
            <x14:dxf>
              <font>
                <color theme="9" tint="0.79998168889431442"/>
              </font>
              <fill>
                <patternFill>
                  <bgColor theme="9" tint="0.79998168889431442"/>
                </patternFill>
              </fill>
            </x14:dxf>
          </x14:cfRule>
          <xm:sqref>W24:AD24 E24:M24 O24:U24</xm:sqref>
        </x14:conditionalFormatting>
        <x14:conditionalFormatting xmlns:xm="http://schemas.microsoft.com/office/excel/2006/main">
          <x14:cfRule type="expression" priority="128" id="{2EDD5CDD-62B0-487C-BFCF-E9B3FF3E9751}">
            <xm:f>'% DEDICACIÓN TRABAJADOR'!$L$44=0</xm:f>
            <x14:dxf>
              <font>
                <color theme="9" tint="0.79998168889431442"/>
              </font>
              <fill>
                <patternFill>
                  <bgColor theme="9" tint="0.79998168889431442"/>
                </patternFill>
              </fill>
            </x14:dxf>
          </x14:cfRule>
          <xm:sqref>W25:AD25 E25:M25 O25:U25</xm:sqref>
        </x14:conditionalFormatting>
        <x14:conditionalFormatting xmlns:xm="http://schemas.microsoft.com/office/excel/2006/main">
          <x14:cfRule type="expression" priority="129" id="{30C0602E-120C-4489-88FC-8715354DD8C6}">
            <xm:f>'% DEDICACIÓN TRABAJADOR'!$M$44=0</xm:f>
            <x14:dxf>
              <font>
                <color theme="9" tint="0.79998168889431442"/>
              </font>
              <fill>
                <patternFill>
                  <bgColor theme="9" tint="0.79998168889431442"/>
                </patternFill>
              </fill>
            </x14:dxf>
          </x14:cfRule>
          <xm:sqref>W26:AD26 E26:M26 O26:U26</xm:sqref>
        </x14:conditionalFormatting>
        <x14:conditionalFormatting xmlns:xm="http://schemas.microsoft.com/office/excel/2006/main">
          <x14:cfRule type="expression" priority="130" id="{BCBB94A1-D2E1-494D-82F8-0360870234EE}">
            <xm:f>'% DEDICACIÓN TRABAJADOR'!$N$44=0</xm:f>
            <x14:dxf>
              <font>
                <color theme="9" tint="0.79998168889431442"/>
              </font>
              <fill>
                <patternFill>
                  <bgColor theme="9" tint="0.79998168889431442"/>
                </patternFill>
              </fill>
            </x14:dxf>
          </x14:cfRule>
          <xm:sqref>W27:AD27 E27:M27 O27:U27</xm:sqref>
        </x14:conditionalFormatting>
        <x14:conditionalFormatting xmlns:xm="http://schemas.microsoft.com/office/excel/2006/main">
          <x14:cfRule type="expression" priority="131" id="{A093181B-30FA-40ED-B004-8B6D8424AB51}">
            <xm:f>'% DEDICACIÓN TRABAJADOR'!$O$44=0</xm:f>
            <x14:dxf>
              <font>
                <color theme="9" tint="0.79998168889431442"/>
              </font>
              <fill>
                <patternFill>
                  <bgColor theme="9" tint="0.79998168889431442"/>
                </patternFill>
              </fill>
            </x14:dxf>
          </x14:cfRule>
          <xm:sqref>W28:AD28 E28:M28 O28:U28</xm:sqref>
        </x14:conditionalFormatting>
        <x14:conditionalFormatting xmlns:xm="http://schemas.microsoft.com/office/excel/2006/main">
          <x14:cfRule type="expression" priority="132" id="{A64A5B5C-53CE-4E3B-8EF4-A1D7F1CDB148}">
            <xm:f>'% DEDICACIÓN TRABAJADOR'!$P$44=0</xm:f>
            <x14:dxf>
              <font>
                <color theme="9" tint="0.79998168889431442"/>
              </font>
              <fill>
                <patternFill>
                  <bgColor theme="9" tint="0.79998168889431442"/>
                </patternFill>
              </fill>
            </x14:dxf>
          </x14:cfRule>
          <xm:sqref>W29:AD29 E29:M29 O29:U29</xm:sqref>
        </x14:conditionalFormatting>
        <x14:conditionalFormatting xmlns:xm="http://schemas.microsoft.com/office/excel/2006/main">
          <x14:cfRule type="expression" priority="133" id="{60AA05FC-CE6B-4E0C-8C6E-8A7D3FCBF7B5}">
            <xm:f>'% DEDICACIÓN TRABAJADOR'!$Q$44=0</xm:f>
            <x14:dxf>
              <font>
                <color theme="9" tint="0.79998168889431442"/>
              </font>
              <fill>
                <patternFill>
                  <bgColor theme="9" tint="0.79998168889431442"/>
                </patternFill>
              </fill>
            </x14:dxf>
          </x14:cfRule>
          <xm:sqref>W30:AD30 E30:M30 O30:U30</xm:sqref>
        </x14:conditionalFormatting>
        <x14:conditionalFormatting xmlns:xm="http://schemas.microsoft.com/office/excel/2006/main">
          <x14:cfRule type="expression" priority="135" id="{E362B497-02DD-4D82-9E8F-C1A54D27EF0E}">
            <xm:f>'% DEDICACIÓN TRABAJADOR'!$R$44=0</xm:f>
            <x14:dxf>
              <font>
                <color theme="9" tint="0.79998168889431442"/>
              </font>
              <fill>
                <patternFill>
                  <bgColor theme="9" tint="0.79998168889431442"/>
                </patternFill>
              </fill>
            </x14:dxf>
          </x14:cfRule>
          <xm:sqref>W31:AD31 E31:M31 O31:U31</xm:sqref>
        </x14:conditionalFormatting>
        <x14:conditionalFormatting xmlns:xm="http://schemas.microsoft.com/office/excel/2006/main">
          <x14:cfRule type="expression" priority="1" stopIfTrue="1" id="{ABC712EC-3A97-4262-8CD0-3C56C77448A7}">
            <xm:f>OR(USUARIO!$C$2="",AUXILIAR!$W$6&lt;&gt;USUARIO!$C$2)</xm:f>
            <x14:dxf>
              <font>
                <color theme="0"/>
              </font>
              <fill>
                <patternFill>
                  <bgColor theme="0"/>
                </patternFill>
              </fill>
              <border>
                <left/>
                <right/>
                <top/>
                <bottom/>
                <vertical/>
                <horizontal/>
              </border>
            </x14:dxf>
          </x14:cfRule>
          <xm:sqref>AL1:CZ1048576</xm:sqref>
        </x14:conditionalFormatting>
        <x14:conditionalFormatting xmlns:xm="http://schemas.microsoft.com/office/excel/2006/main">
          <x14:cfRule type="expression" priority="150" id="{0BB4EEDC-9FB5-4E2C-968F-45C8B43ADE79}">
            <xm:f>'% DEDICACIÓN TRABAJADOR'!$G$44=0</xm:f>
            <x14:dxf>
              <font>
                <color theme="9" tint="0.79998168889431442"/>
              </font>
              <fill>
                <patternFill>
                  <bgColor theme="9" tint="0.79998168889431442"/>
                </patternFill>
              </fill>
            </x14:dxf>
          </x14:cfRule>
          <xm:sqref>BD49:BF49 AU49:BA49 AO49:AR49</xm:sqref>
        </x14:conditionalFormatting>
        <x14:conditionalFormatting xmlns:xm="http://schemas.microsoft.com/office/excel/2006/main">
          <x14:cfRule type="expression" priority="151" id="{66D6F257-5424-462E-B2BB-C5786DD2C68C}">
            <xm:f>'% DEDICACIÓN TRABAJADOR'!$H$44=0</xm:f>
            <x14:dxf>
              <font>
                <color theme="9" tint="0.79998168889431442"/>
              </font>
              <fill>
                <patternFill>
                  <bgColor theme="9" tint="0.79998168889431442"/>
                </patternFill>
              </fill>
            </x14:dxf>
          </x14:cfRule>
          <xm:sqref>BD50:BF50 AU50:BA50 AO50:AR50</xm:sqref>
        </x14:conditionalFormatting>
        <x14:conditionalFormatting xmlns:xm="http://schemas.microsoft.com/office/excel/2006/main">
          <x14:cfRule type="expression" priority="159" id="{E6DB2337-6DD8-4EA3-A638-ED88320B608C}">
            <xm:f>'% DEDICACIÓN TRABAJADOR'!$I$44=0</xm:f>
            <x14:dxf>
              <font>
                <color theme="9" tint="0.79998168889431442"/>
              </font>
              <fill>
                <patternFill>
                  <bgColor theme="9" tint="0.79998168889431442"/>
                </patternFill>
              </fill>
            </x14:dxf>
          </x14:cfRule>
          <xm:sqref>BD51:BF51 AU51:BA51 AO51:AR51</xm:sqref>
        </x14:conditionalFormatting>
        <x14:conditionalFormatting xmlns:xm="http://schemas.microsoft.com/office/excel/2006/main">
          <x14:cfRule type="expression" priority="160" id="{76BBDFC0-0497-461B-B152-43FEC18E461B}">
            <xm:f>'% DEDICACIÓN TRABAJADOR'!$J$44=0</xm:f>
            <x14:dxf>
              <font>
                <color theme="9" tint="0.79998168889431442"/>
              </font>
              <fill>
                <patternFill>
                  <bgColor theme="9" tint="0.79998168889431442"/>
                </patternFill>
              </fill>
            </x14:dxf>
          </x14:cfRule>
          <xm:sqref>BD52:BF52 AU52:BA52 AO52:AR52</xm:sqref>
        </x14:conditionalFormatting>
        <x14:conditionalFormatting xmlns:xm="http://schemas.microsoft.com/office/excel/2006/main">
          <x14:cfRule type="expression" priority="167" id="{260A43ED-8377-4FA8-A79B-1E6C2DFE2D13}">
            <xm:f>'% DEDICACIÓN TRABAJADOR'!$K$44=0</xm:f>
            <x14:dxf>
              <font>
                <color theme="9" tint="0.79998168889431442"/>
              </font>
              <fill>
                <patternFill>
                  <bgColor theme="9" tint="0.79998168889431442"/>
                </patternFill>
              </fill>
            </x14:dxf>
          </x14:cfRule>
          <xm:sqref>BD53:BF53 AU53:BA53 AO53:AR53</xm:sqref>
        </x14:conditionalFormatting>
        <x14:conditionalFormatting xmlns:xm="http://schemas.microsoft.com/office/excel/2006/main">
          <x14:cfRule type="expression" priority="168" id="{796F77FF-1EDA-431D-A900-7503BE70F4A2}">
            <xm:f>'% DEDICACIÓN TRABAJADOR'!$L$44=0</xm:f>
            <x14:dxf>
              <font>
                <color theme="9" tint="0.79998168889431442"/>
              </font>
              <fill>
                <patternFill>
                  <bgColor theme="9" tint="0.79998168889431442"/>
                </patternFill>
              </fill>
            </x14:dxf>
          </x14:cfRule>
          <xm:sqref>BD54:BF54 AU54:BA54 AO54:AR54</xm:sqref>
        </x14:conditionalFormatting>
        <x14:conditionalFormatting xmlns:xm="http://schemas.microsoft.com/office/excel/2006/main">
          <x14:cfRule type="expression" priority="169" id="{5CEB4E8C-0B46-4FC2-8C76-15C3D925AC7F}">
            <xm:f>'% DEDICACIÓN TRABAJADOR'!$M$44=0</xm:f>
            <x14:dxf>
              <font>
                <color theme="9" tint="0.79998168889431442"/>
              </font>
              <fill>
                <patternFill>
                  <bgColor theme="9" tint="0.79998168889431442"/>
                </patternFill>
              </fill>
            </x14:dxf>
          </x14:cfRule>
          <xm:sqref>BD55:BF55 AU55:BA55 AO55:AR55</xm:sqref>
        </x14:conditionalFormatting>
        <x14:conditionalFormatting xmlns:xm="http://schemas.microsoft.com/office/excel/2006/main">
          <x14:cfRule type="expression" priority="170" id="{8463C8ED-DB93-4547-B184-68E2E0F26C9B}">
            <xm:f>'% DEDICACIÓN TRABAJADOR'!$N$44=0</xm:f>
            <x14:dxf>
              <font>
                <color theme="9" tint="0.79998168889431442"/>
              </font>
              <fill>
                <patternFill>
                  <bgColor theme="9" tint="0.79998168889431442"/>
                </patternFill>
              </fill>
            </x14:dxf>
          </x14:cfRule>
          <xm:sqref>BD56:BF56 AU56:BA56 AO56:AR56</xm:sqref>
        </x14:conditionalFormatting>
        <x14:conditionalFormatting xmlns:xm="http://schemas.microsoft.com/office/excel/2006/main">
          <x14:cfRule type="expression" priority="171" id="{E3F6F1C5-830C-400A-A4DF-86513B8CB85C}">
            <xm:f>'% DEDICACIÓN TRABAJADOR'!$O$44=0</xm:f>
            <x14:dxf>
              <font>
                <color theme="9" tint="0.79998168889431442"/>
              </font>
              <fill>
                <patternFill>
                  <bgColor theme="9" tint="0.79998168889431442"/>
                </patternFill>
              </fill>
            </x14:dxf>
          </x14:cfRule>
          <xm:sqref>BD57:BF57 AU57:BA57 AO57:AR57</xm:sqref>
        </x14:conditionalFormatting>
        <x14:conditionalFormatting xmlns:xm="http://schemas.microsoft.com/office/excel/2006/main">
          <x14:cfRule type="expression" priority="172" id="{7081B088-D077-40C5-B735-EF57A844A466}">
            <xm:f>'% DEDICACIÓN TRABAJADOR'!$P$44=0</xm:f>
            <x14:dxf>
              <font>
                <color theme="9" tint="0.79998168889431442"/>
              </font>
              <fill>
                <patternFill>
                  <bgColor theme="9" tint="0.79998168889431442"/>
                </patternFill>
              </fill>
            </x14:dxf>
          </x14:cfRule>
          <xm:sqref>BD58:BF58 AU58:BA58 AO58:AR58</xm:sqref>
        </x14:conditionalFormatting>
        <x14:conditionalFormatting xmlns:xm="http://schemas.microsoft.com/office/excel/2006/main">
          <x14:cfRule type="expression" priority="173" id="{42A5FD15-38C3-42F7-AD21-D34BACF88945}">
            <xm:f>'% DEDICACIÓN TRABAJADOR'!$Q$44=0</xm:f>
            <x14:dxf>
              <font>
                <color theme="9" tint="0.79998168889431442"/>
              </font>
              <fill>
                <patternFill>
                  <bgColor theme="9" tint="0.79998168889431442"/>
                </patternFill>
              </fill>
            </x14:dxf>
          </x14:cfRule>
          <xm:sqref>BD59:BF59 AU59:BA59 AO59:AR59</xm:sqref>
        </x14:conditionalFormatting>
        <x14:conditionalFormatting xmlns:xm="http://schemas.microsoft.com/office/excel/2006/main">
          <x14:cfRule type="expression" priority="174" id="{0C1123B5-C7AE-4309-9FE6-F388F89F24E5}">
            <xm:f>'% DEDICACIÓN TRABAJADOR'!$R$44=0</xm:f>
            <x14:dxf>
              <font>
                <color theme="9" tint="0.79998168889431442"/>
              </font>
              <fill>
                <patternFill>
                  <bgColor theme="9" tint="0.79998168889431442"/>
                </patternFill>
              </fill>
            </x14:dxf>
          </x14:cfRule>
          <xm:sqref>BD60:BF60 AU60:BA60 AO60:AR60</xm:sqref>
        </x14:conditionalFormatting>
        <x14:conditionalFormatting xmlns:xm="http://schemas.microsoft.com/office/excel/2006/main">
          <x14:cfRule type="expression" priority="138" id="{672DE2B6-A1C3-4924-A236-5C32AE12EA6F}">
            <xm:f>'% DEDICACIÓN TRABAJADOR'!$G$44=0</xm:f>
            <x14:dxf>
              <font>
                <color theme="9" tint="0.79998168889431442"/>
              </font>
              <fill>
                <patternFill>
                  <bgColor theme="9" tint="0.79998168889431442"/>
                </patternFill>
              </fill>
            </x14:dxf>
          </x14:cfRule>
          <xm:sqref>CJ20:CW20 BP20:CH20 AR20:BN20</xm:sqref>
        </x14:conditionalFormatting>
        <x14:conditionalFormatting xmlns:xm="http://schemas.microsoft.com/office/excel/2006/main">
          <x14:cfRule type="expression" priority="139" id="{7E1CD19D-E924-4EC6-9408-9E17D8A7D8B1}">
            <xm:f>'% DEDICACIÓN TRABAJADOR'!$H$44=0</xm:f>
            <x14:dxf>
              <font>
                <color theme="9" tint="0.79998168889431442"/>
              </font>
              <fill>
                <patternFill>
                  <bgColor theme="9" tint="0.79998168889431442"/>
                </patternFill>
              </fill>
            </x14:dxf>
          </x14:cfRule>
          <xm:sqref>CJ21:CW21 BP21:CH21 AR21:BN21</xm:sqref>
        </x14:conditionalFormatting>
        <x14:conditionalFormatting xmlns:xm="http://schemas.microsoft.com/office/excel/2006/main">
          <x14:cfRule type="expression" priority="140" id="{8AA8AC62-1BA0-451B-AC20-A2DBB848526D}">
            <xm:f>'% DEDICACIÓN TRABAJADOR'!$I$44=0</xm:f>
            <x14:dxf>
              <font>
                <color theme="9" tint="0.79998168889431442"/>
              </font>
              <fill>
                <patternFill>
                  <bgColor theme="9" tint="0.79998168889431442"/>
                </patternFill>
              </fill>
            </x14:dxf>
          </x14:cfRule>
          <xm:sqref>CJ22:CW22 BP22:CH22 AR22:BN22</xm:sqref>
        </x14:conditionalFormatting>
        <x14:conditionalFormatting xmlns:xm="http://schemas.microsoft.com/office/excel/2006/main">
          <x14:cfRule type="expression" priority="141" id="{16BB83DD-98E1-4E53-B956-66F284D1EC8C}">
            <xm:f>'% DEDICACIÓN TRABAJADOR'!$J$44=0</xm:f>
            <x14:dxf>
              <font>
                <color theme="9" tint="0.79998168889431442"/>
              </font>
              <fill>
                <patternFill>
                  <bgColor theme="9" tint="0.79998168889431442"/>
                </patternFill>
              </fill>
            </x14:dxf>
          </x14:cfRule>
          <xm:sqref>CJ23:CW23 BP23:CH23 AR23:BN23</xm:sqref>
        </x14:conditionalFormatting>
        <x14:conditionalFormatting xmlns:xm="http://schemas.microsoft.com/office/excel/2006/main">
          <x14:cfRule type="expression" priority="142" id="{0E30D822-5597-4BC5-BF25-3970738EF180}">
            <xm:f>'% DEDICACIÓN TRABAJADOR'!$K$44=0</xm:f>
            <x14:dxf>
              <font>
                <color theme="9" tint="0.79998168889431442"/>
              </font>
              <fill>
                <patternFill>
                  <bgColor theme="9" tint="0.79998168889431442"/>
                </patternFill>
              </fill>
            </x14:dxf>
          </x14:cfRule>
          <xm:sqref>CJ24:CW24 BP24:CH24 AR24:BN24</xm:sqref>
        </x14:conditionalFormatting>
        <x14:conditionalFormatting xmlns:xm="http://schemas.microsoft.com/office/excel/2006/main">
          <x14:cfRule type="expression" priority="143" id="{99EE09F4-17A4-441C-8783-FEB7232374D6}">
            <xm:f>'% DEDICACIÓN TRABAJADOR'!$L$44=0</xm:f>
            <x14:dxf>
              <font>
                <color theme="9" tint="0.79998168889431442"/>
              </font>
              <fill>
                <patternFill>
                  <bgColor theme="9" tint="0.79998168889431442"/>
                </patternFill>
              </fill>
            </x14:dxf>
          </x14:cfRule>
          <xm:sqref>CJ25:CW25 BP25:CH25 AR25:BN25</xm:sqref>
        </x14:conditionalFormatting>
        <x14:conditionalFormatting xmlns:xm="http://schemas.microsoft.com/office/excel/2006/main">
          <x14:cfRule type="expression" priority="144" id="{C55DE865-6D6A-425E-99C0-315429F6F9DD}">
            <xm:f>'% DEDICACIÓN TRABAJADOR'!$M$44=0</xm:f>
            <x14:dxf>
              <font>
                <color theme="9" tint="0.79998168889431442"/>
              </font>
              <fill>
                <patternFill>
                  <bgColor theme="9" tint="0.79998168889431442"/>
                </patternFill>
              </fill>
            </x14:dxf>
          </x14:cfRule>
          <xm:sqref>CJ26:CW26 BP26:CH26 AR26:BN26</xm:sqref>
        </x14:conditionalFormatting>
        <x14:conditionalFormatting xmlns:xm="http://schemas.microsoft.com/office/excel/2006/main">
          <x14:cfRule type="expression" priority="145" id="{46AD76E0-1EA7-44B5-AB53-F1E7BEB61FD8}">
            <xm:f>'% DEDICACIÓN TRABAJADOR'!$N$44=0</xm:f>
            <x14:dxf>
              <font>
                <color theme="9" tint="0.79998168889431442"/>
              </font>
              <fill>
                <patternFill>
                  <bgColor theme="9" tint="0.79998168889431442"/>
                </patternFill>
              </fill>
            </x14:dxf>
          </x14:cfRule>
          <xm:sqref>CJ27:CW27 BP27:CH27 AR27:BN27</xm:sqref>
        </x14:conditionalFormatting>
        <x14:conditionalFormatting xmlns:xm="http://schemas.microsoft.com/office/excel/2006/main">
          <x14:cfRule type="expression" priority="146" id="{1A431C95-77D1-4A86-BA26-3EA2624F952B}">
            <xm:f>'% DEDICACIÓN TRABAJADOR'!$O$44=0</xm:f>
            <x14:dxf>
              <font>
                <color theme="9" tint="0.79998168889431442"/>
              </font>
              <fill>
                <patternFill>
                  <bgColor theme="9" tint="0.79998168889431442"/>
                </patternFill>
              </fill>
            </x14:dxf>
          </x14:cfRule>
          <xm:sqref>CJ28:CW28 BP28:CH28 AR28:BN28</xm:sqref>
        </x14:conditionalFormatting>
        <x14:conditionalFormatting xmlns:xm="http://schemas.microsoft.com/office/excel/2006/main">
          <x14:cfRule type="expression" priority="147" id="{9EE03EBD-FD98-4B3E-B97F-73D16F3D53EC}">
            <xm:f>'% DEDICACIÓN TRABAJADOR'!$P$44=0</xm:f>
            <x14:dxf>
              <font>
                <color theme="9" tint="0.79998168889431442"/>
              </font>
              <fill>
                <patternFill>
                  <bgColor theme="9" tint="0.79998168889431442"/>
                </patternFill>
              </fill>
            </x14:dxf>
          </x14:cfRule>
          <xm:sqref>CJ29:CW29 BP29:CH29 AR29:BN29</xm:sqref>
        </x14:conditionalFormatting>
        <x14:conditionalFormatting xmlns:xm="http://schemas.microsoft.com/office/excel/2006/main">
          <x14:cfRule type="expression" priority="148" id="{633B4FB8-0F80-4406-898D-C51272F1362E}">
            <xm:f>'% DEDICACIÓN TRABAJADOR'!$Q$44=0</xm:f>
            <x14:dxf>
              <font>
                <color theme="9" tint="0.79998168889431442"/>
              </font>
              <fill>
                <patternFill>
                  <bgColor theme="9" tint="0.79998168889431442"/>
                </patternFill>
              </fill>
            </x14:dxf>
          </x14:cfRule>
          <xm:sqref>CJ30:CW30 BP30:CH30 AR30:BN30</xm:sqref>
        </x14:conditionalFormatting>
        <x14:conditionalFormatting xmlns:xm="http://schemas.microsoft.com/office/excel/2006/main">
          <x14:cfRule type="expression" priority="149" id="{0C6011C6-E49F-48E7-8684-2581D728E091}">
            <xm:f>'% DEDICACIÓN TRABAJADOR'!$R$44=0</xm:f>
            <x14:dxf>
              <font>
                <color theme="9" tint="0.79998168889431442"/>
              </font>
              <fill>
                <patternFill>
                  <bgColor theme="9" tint="0.79998168889431442"/>
                </patternFill>
              </fill>
            </x14:dxf>
          </x14:cfRule>
          <xm:sqref>CJ31:CW31 BP31:CH31 AR31:BN31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1A93A-3BD7-4B66-AE8C-F60EE2511C61}">
  <dimension ref="A1:DX62"/>
  <sheetViews>
    <sheetView showGridLines="0" zoomScaleNormal="100" workbookViewId="0">
      <selection activeCell="BF50" sqref="BF50"/>
    </sheetView>
  </sheetViews>
  <sheetFormatPr baseColWidth="10" defaultColWidth="11.42578125" defaultRowHeight="13.5" outlineLevelCol="1" x14ac:dyDescent="0.25"/>
  <cols>
    <col min="1" max="2" width="5.5703125" style="4" customWidth="1"/>
    <col min="3" max="3" width="13.7109375" style="4" customWidth="1"/>
    <col min="4" max="5" width="10.5703125" style="4" customWidth="1"/>
    <col min="6" max="6" width="9.5703125" style="4" customWidth="1"/>
    <col min="7" max="12" width="11.5703125" style="4" customWidth="1"/>
    <col min="13" max="13" width="15.5703125" style="4" customWidth="1"/>
    <col min="14" max="14" width="1.5703125" style="4" customWidth="1"/>
    <col min="15" max="20" width="11.5703125" style="4" customWidth="1"/>
    <col min="21" max="21" width="12.5703125" style="4" customWidth="1"/>
    <col min="22" max="22" width="1.5703125" style="4" customWidth="1"/>
    <col min="23" max="27" width="12.5703125" style="4" customWidth="1"/>
    <col min="28" max="30" width="13.5703125" style="4" customWidth="1"/>
    <col min="31" max="31" width="40.7109375" style="4" customWidth="1"/>
    <col min="32" max="32" width="5.5703125" style="4" customWidth="1"/>
    <col min="33" max="34" width="5.7109375" style="6" hidden="1" customWidth="1"/>
    <col min="35" max="37" width="8.7109375" style="6" hidden="1" customWidth="1"/>
    <col min="38" max="38" width="5.7109375" style="4" hidden="1" customWidth="1" outlineLevel="1"/>
    <col min="39" max="39" width="5.5703125" style="126" hidden="1" customWidth="1" outlineLevel="1"/>
    <col min="40" max="40" width="13.7109375" style="126" hidden="1" customWidth="1" outlineLevel="1"/>
    <col min="41" max="46" width="9.7109375" style="126" hidden="1" customWidth="1" outlineLevel="1"/>
    <col min="47" max="49" width="9.5703125" style="126" hidden="1" customWidth="1" outlineLevel="1"/>
    <col min="50" max="66" width="9.7109375" style="126" hidden="1" customWidth="1" outlineLevel="1"/>
    <col min="67" max="67" width="1.5703125" style="126" hidden="1" customWidth="1" outlineLevel="1"/>
    <col min="68" max="86" width="9.7109375" style="126" hidden="1" customWidth="1" outlineLevel="1"/>
    <col min="87" max="87" width="1.5703125" style="126" hidden="1" customWidth="1" outlineLevel="1"/>
    <col min="88" max="88" width="11.28515625" style="126" hidden="1" customWidth="1" outlineLevel="1"/>
    <col min="89" max="101" width="9.7109375" style="126" hidden="1" customWidth="1" outlineLevel="1"/>
    <col min="102" max="102" width="5.7109375" style="126" hidden="1" customWidth="1" outlineLevel="1"/>
    <col min="103" max="103" width="90.7109375" style="126" hidden="1" customWidth="1" outlineLevel="1"/>
    <col min="104" max="104" width="5.5703125" style="4" customWidth="1" collapsed="1"/>
    <col min="105" max="106" width="5.7109375" style="6" hidden="1" customWidth="1"/>
    <col min="107" max="107" width="5.7109375" style="4" hidden="1" customWidth="1"/>
    <col min="108" max="125" width="5.7109375" style="6" hidden="1" customWidth="1"/>
    <col min="126" max="126" width="5.7109375" style="4" hidden="1" customWidth="1"/>
    <col min="127" max="128" width="0" style="4" hidden="1" customWidth="1"/>
    <col min="129" max="16384" width="11.42578125" style="4"/>
  </cols>
  <sheetData>
    <row r="1" spans="1:128" ht="20.100000000000001" customHeight="1" x14ac:dyDescent="0.25">
      <c r="A1" s="1"/>
    </row>
    <row r="2" spans="1:128" ht="20.100000000000001" customHeight="1" x14ac:dyDescent="0.25">
      <c r="F2" s="86"/>
      <c r="G2" s="90"/>
      <c r="I2" s="85"/>
      <c r="AU2" s="127"/>
      <c r="AV2" s="127"/>
      <c r="AW2" s="127"/>
      <c r="AX2" s="214"/>
      <c r="AY2" s="214"/>
      <c r="AZ2" s="214"/>
      <c r="BD2" s="258"/>
      <c r="BE2" s="258"/>
      <c r="BF2" s="258"/>
    </row>
    <row r="3" spans="1:128" ht="20.100000000000001" customHeight="1" x14ac:dyDescent="0.25">
      <c r="E3" s="90" t="str">
        <f>'IDENTIFICACIÓN TRABAJADOR'!F4</f>
        <v>Nº DE EXPEDIENTE: 2024.08.EPTE.0000</v>
      </c>
      <c r="AR3" s="214" t="str">
        <f>'IDENTIFICACIÓN TRABAJADOR'!$F$4</f>
        <v>Nº DE EXPEDIENTE: 2024.08.EPTE.0000</v>
      </c>
      <c r="AS3" s="214"/>
      <c r="AT3" s="214"/>
    </row>
    <row r="4" spans="1:128" ht="20.100000000000001" customHeight="1" x14ac:dyDescent="0.25">
      <c r="E4" s="849"/>
      <c r="F4" s="849"/>
      <c r="G4" s="87"/>
      <c r="AR4" s="763"/>
      <c r="AS4" s="763"/>
      <c r="AT4" s="763"/>
      <c r="AU4" s="763"/>
      <c r="AV4" s="131"/>
      <c r="AW4" s="131"/>
      <c r="AX4" s="208"/>
      <c r="AY4" s="208"/>
      <c r="AZ4" s="208"/>
    </row>
    <row r="5" spans="1:128" ht="20.100000000000001" customHeight="1" x14ac:dyDescent="0.25">
      <c r="E5" s="91" t="str">
        <f>'% DEDICACIÓN TRABAJADOR'!F6</f>
        <v>TRABAJADOR:</v>
      </c>
      <c r="F5" s="7"/>
      <c r="G5" s="7"/>
      <c r="H5" s="7"/>
      <c r="I5" s="7"/>
      <c r="J5" s="7"/>
      <c r="K5" s="7"/>
      <c r="L5" s="7"/>
      <c r="M5" s="7"/>
      <c r="N5" s="7"/>
      <c r="O5" s="7"/>
      <c r="P5" s="7"/>
      <c r="Q5" s="7"/>
      <c r="R5" s="7"/>
      <c r="S5" s="7"/>
      <c r="T5" s="7"/>
      <c r="AR5" s="215" t="str">
        <f>'% DEDICACIÓN TRABAJADOR'!$F$6</f>
        <v>TRABAJADOR:</v>
      </c>
      <c r="AS5" s="215"/>
      <c r="AT5" s="215"/>
      <c r="AU5" s="216"/>
      <c r="AV5" s="216"/>
      <c r="AW5" s="216"/>
      <c r="AX5" s="216"/>
      <c r="AY5" s="216"/>
      <c r="AZ5" s="216"/>
      <c r="BA5" s="216"/>
      <c r="BB5" s="216"/>
      <c r="BC5" s="216"/>
      <c r="BD5" s="216"/>
      <c r="BE5" s="216"/>
      <c r="BF5" s="216"/>
      <c r="BG5" s="216"/>
      <c r="BH5" s="216"/>
      <c r="BI5" s="216"/>
      <c r="BM5" s="216"/>
      <c r="BN5" s="216"/>
      <c r="BO5" s="216"/>
      <c r="BP5" s="216"/>
      <c r="BQ5" s="216"/>
      <c r="BR5" s="216"/>
      <c r="BS5" s="216"/>
      <c r="BT5" s="216"/>
      <c r="BU5" s="216"/>
      <c r="BV5" s="216"/>
      <c r="BW5" s="216"/>
      <c r="BX5" s="216"/>
      <c r="BY5" s="216"/>
      <c r="BZ5" s="216"/>
      <c r="CA5" s="216"/>
      <c r="CB5" s="216"/>
      <c r="CC5" s="216"/>
      <c r="CD5" s="216"/>
      <c r="CE5" s="216"/>
    </row>
    <row r="6" spans="1:128" ht="20.100000000000001" customHeight="1" x14ac:dyDescent="0.25">
      <c r="E6" s="91" t="str">
        <f>'% DEDICACIÓN TRABAJADOR'!F7</f>
        <v>ACRÓNIMO:</v>
      </c>
      <c r="F6" s="7"/>
      <c r="G6" s="7"/>
      <c r="H6" s="7"/>
      <c r="I6" s="7"/>
      <c r="J6" s="7"/>
      <c r="K6" s="7"/>
      <c r="L6" s="7"/>
      <c r="M6" s="7"/>
      <c r="N6" s="7"/>
      <c r="O6" s="7"/>
      <c r="P6" s="7"/>
      <c r="Q6" s="7"/>
      <c r="R6" s="7"/>
      <c r="S6" s="7"/>
      <c r="T6" s="7"/>
      <c r="AR6" s="215" t="str">
        <f>'% DEDICACIÓN TRABAJADOR'!$F$7</f>
        <v>ACRÓNIMO:</v>
      </c>
      <c r="AS6" s="215"/>
      <c r="AT6" s="215"/>
      <c r="AU6" s="216"/>
      <c r="AV6" s="216"/>
      <c r="AW6" s="216"/>
      <c r="AX6" s="216"/>
      <c r="AY6" s="216"/>
      <c r="AZ6" s="216"/>
      <c r="BA6" s="216"/>
      <c r="BB6" s="216"/>
      <c r="BC6" s="216"/>
      <c r="BD6" s="216"/>
      <c r="BE6" s="216"/>
      <c r="BF6" s="216"/>
      <c r="BG6" s="216"/>
      <c r="BH6" s="216"/>
      <c r="BI6" s="216"/>
      <c r="BJ6" s="216"/>
      <c r="BM6" s="216"/>
      <c r="BN6" s="216"/>
      <c r="BO6" s="216"/>
      <c r="BP6" s="216"/>
      <c r="BQ6" s="216"/>
      <c r="BR6" s="216"/>
      <c r="BS6" s="216"/>
      <c r="BT6" s="216"/>
      <c r="BU6" s="216"/>
      <c r="BV6" s="216"/>
      <c r="BW6" s="216"/>
      <c r="BX6" s="216"/>
      <c r="BY6" s="216"/>
      <c r="BZ6" s="216"/>
      <c r="CA6" s="216"/>
      <c r="CB6" s="216"/>
      <c r="CC6" s="216"/>
      <c r="CD6" s="216"/>
      <c r="CE6" s="216"/>
    </row>
    <row r="7" spans="1:128" ht="20.100000000000001" customHeight="1" thickBot="1" x14ac:dyDescent="0.3">
      <c r="BA7" s="216"/>
      <c r="BB7" s="216"/>
      <c r="BC7" s="216"/>
      <c r="BD7" s="216"/>
      <c r="BE7" s="216"/>
      <c r="BF7" s="216"/>
      <c r="BG7" s="216"/>
      <c r="BH7" s="216"/>
      <c r="BI7" s="216"/>
      <c r="BJ7" s="216"/>
      <c r="BM7" s="216"/>
      <c r="BN7" s="216"/>
      <c r="BO7" s="216"/>
      <c r="BP7" s="216"/>
      <c r="BQ7" s="216"/>
      <c r="BR7" s="216"/>
      <c r="BS7" s="216"/>
      <c r="BT7" s="216"/>
      <c r="BU7" s="216"/>
      <c r="BV7" s="216"/>
      <c r="BW7" s="216"/>
      <c r="BX7" s="216"/>
      <c r="BY7" s="216"/>
      <c r="BZ7" s="216"/>
      <c r="CA7" s="216"/>
      <c r="CB7" s="216"/>
      <c r="CC7" s="216"/>
      <c r="CD7" s="216"/>
      <c r="CE7" s="216"/>
      <c r="DD7" s="691" t="s">
        <v>342</v>
      </c>
      <c r="DE7" s="691"/>
      <c r="DF7" s="691"/>
      <c r="DG7" s="691"/>
      <c r="DH7" s="691"/>
      <c r="DI7" s="691"/>
      <c r="DJ7" s="691"/>
      <c r="DK7" s="691"/>
      <c r="DL7" s="691"/>
      <c r="DM7" s="691"/>
      <c r="DN7" s="691"/>
      <c r="DO7" s="691"/>
      <c r="DP7" s="691"/>
      <c r="DQ7" s="691"/>
      <c r="DR7" s="691"/>
      <c r="DS7" s="691"/>
      <c r="DT7" s="691"/>
      <c r="DU7" s="691"/>
      <c r="DW7" s="690" t="s">
        <v>341</v>
      </c>
      <c r="DX7" s="690"/>
    </row>
    <row r="8" spans="1:128" ht="30" customHeight="1" thickTop="1" thickBot="1" x14ac:dyDescent="0.3">
      <c r="B8" s="874" t="str">
        <f>CONCATENATE("GASTO DEL TRABAJADOR ",'IDENTIFICACIÓN TRABAJADOR'!D14," EJERCICIO ",YEAR(EXPEDIENTE!F25)+1)</f>
        <v>GASTO DEL TRABAJADOR  EJERCICIO 2024</v>
      </c>
      <c r="C8" s="850" t="str">
        <f>CONCATENATE("TABLA DE COTIZACIONES ",YEAR(EXPEDIENTE!F25)+1)</f>
        <v>TABLA DE COTIZACIONES 2024</v>
      </c>
      <c r="D8" s="850"/>
      <c r="E8" s="850"/>
      <c r="F8" s="851"/>
      <c r="H8" s="89" t="s">
        <v>112</v>
      </c>
      <c r="I8" s="869" t="s">
        <v>115</v>
      </c>
      <c r="J8" s="869"/>
      <c r="K8" s="869"/>
      <c r="L8" s="869"/>
      <c r="M8" s="869"/>
      <c r="N8" s="869"/>
      <c r="O8" s="869"/>
      <c r="P8" s="869"/>
      <c r="Q8" s="869"/>
      <c r="R8" s="869"/>
      <c r="S8" s="869"/>
      <c r="T8" s="870"/>
      <c r="AM8" s="727" t="str">
        <f>CONCATENATE("GASTO DEL TRABAJADOR ",'IDENTIFICACIÓN TRABAJADOR'!$D$14," EJERCICIO ",YEAR(EXPEDIENTE!$F$25)+1)</f>
        <v>GASTO DEL TRABAJADOR  EJERCICIO 2024</v>
      </c>
      <c r="AN8" s="808" t="str">
        <f>CONCATENATE("COTIZACIONES ",YEAR(EXPEDIENTE!$F$25)+1)</f>
        <v>COTIZACIONES 2024</v>
      </c>
      <c r="AO8" s="808"/>
      <c r="AP8" s="808"/>
      <c r="AQ8" s="259"/>
      <c r="AR8" s="260" t="s">
        <v>270</v>
      </c>
      <c r="AS8" s="261" t="s">
        <v>245</v>
      </c>
      <c r="AT8" s="262" t="s">
        <v>271</v>
      </c>
      <c r="AU8" s="774" t="s">
        <v>269</v>
      </c>
      <c r="AV8" s="774"/>
      <c r="AW8" s="774"/>
      <c r="AX8" s="774"/>
      <c r="AY8" s="774"/>
      <c r="AZ8" s="774"/>
      <c r="BA8" s="774"/>
      <c r="BB8" s="774"/>
      <c r="BC8" s="774"/>
      <c r="BD8" s="774"/>
      <c r="BE8" s="774"/>
      <c r="BF8" s="774"/>
      <c r="BG8" s="775"/>
      <c r="BJ8" s="216"/>
      <c r="BK8" s="216"/>
      <c r="BL8" s="216"/>
      <c r="BM8" s="216"/>
      <c r="BN8" s="216"/>
      <c r="BO8" s="216"/>
      <c r="BP8" s="216"/>
      <c r="BQ8" s="216"/>
      <c r="BR8" s="216"/>
      <c r="BS8" s="216"/>
      <c r="BT8" s="216"/>
      <c r="BU8" s="216"/>
      <c r="BV8" s="216"/>
      <c r="BW8" s="216"/>
      <c r="BX8" s="216"/>
      <c r="BY8" s="216"/>
      <c r="BZ8" s="216"/>
      <c r="CA8" s="216"/>
      <c r="CB8" s="216"/>
      <c r="CY8" s="123"/>
      <c r="CZ8" s="6"/>
      <c r="DD8" s="88" t="s">
        <v>322</v>
      </c>
      <c r="DE8" s="88" t="s">
        <v>323</v>
      </c>
      <c r="DF8" s="88" t="s">
        <v>324</v>
      </c>
      <c r="DG8" s="88" t="s">
        <v>325</v>
      </c>
      <c r="DH8" s="88" t="s">
        <v>326</v>
      </c>
      <c r="DI8" s="88" t="s">
        <v>327</v>
      </c>
      <c r="DJ8" s="88" t="s">
        <v>328</v>
      </c>
      <c r="DK8" s="88" t="s">
        <v>329</v>
      </c>
      <c r="DL8" s="88" t="s">
        <v>330</v>
      </c>
      <c r="DM8" s="88" t="s">
        <v>331</v>
      </c>
      <c r="DN8" s="88" t="s">
        <v>332</v>
      </c>
      <c r="DO8" s="88" t="s">
        <v>333</v>
      </c>
      <c r="DP8" s="88" t="s">
        <v>334</v>
      </c>
      <c r="DQ8" s="88" t="s">
        <v>335</v>
      </c>
      <c r="DR8" s="88" t="s">
        <v>336</v>
      </c>
      <c r="DS8" s="88" t="s">
        <v>337</v>
      </c>
      <c r="DT8" s="88" t="s">
        <v>338</v>
      </c>
      <c r="DU8" s="88" t="s">
        <v>339</v>
      </c>
    </row>
    <row r="9" spans="1:128" ht="15" thickTop="1" x14ac:dyDescent="0.25">
      <c r="B9" s="875"/>
      <c r="C9" s="92" t="s">
        <v>40</v>
      </c>
      <c r="D9" s="8"/>
      <c r="E9" s="8"/>
      <c r="F9" s="47"/>
      <c r="H9" s="94" t="s">
        <v>130</v>
      </c>
      <c r="I9" s="757" t="s">
        <v>114</v>
      </c>
      <c r="J9" s="757"/>
      <c r="K9" s="757"/>
      <c r="L9" s="757"/>
      <c r="M9" s="757"/>
      <c r="N9" s="757"/>
      <c r="O9" s="757"/>
      <c r="P9" s="757"/>
      <c r="Q9" s="757"/>
      <c r="R9" s="757"/>
      <c r="S9" s="757"/>
      <c r="T9" s="758"/>
      <c r="AM9" s="728"/>
      <c r="AN9" s="809" t="s">
        <v>40</v>
      </c>
      <c r="AO9" s="810"/>
      <c r="AP9" s="811"/>
      <c r="AQ9" s="263"/>
      <c r="AR9" s="264">
        <f>IF(F9="",0,F9)</f>
        <v>0</v>
      </c>
      <c r="AS9" s="265"/>
      <c r="AT9" s="266">
        <f>IF(AS9="",AR9,AS9)</f>
        <v>0</v>
      </c>
      <c r="AU9" s="813"/>
      <c r="AV9" s="813"/>
      <c r="AW9" s="813"/>
      <c r="AX9" s="813"/>
      <c r="AY9" s="813"/>
      <c r="AZ9" s="813"/>
      <c r="BA9" s="813"/>
      <c r="BB9" s="813"/>
      <c r="BC9" s="813"/>
      <c r="BD9" s="813"/>
      <c r="BE9" s="813"/>
      <c r="BF9" s="813"/>
      <c r="BG9" s="814"/>
      <c r="BJ9" s="216"/>
      <c r="BK9" s="216"/>
      <c r="BL9" s="216"/>
      <c r="BM9" s="216"/>
      <c r="BN9" s="216"/>
      <c r="BO9" s="216"/>
      <c r="BP9" s="216"/>
      <c r="BQ9" s="216"/>
      <c r="BR9" s="216"/>
      <c r="BS9" s="216"/>
      <c r="BT9" s="216"/>
      <c r="BU9" s="216"/>
      <c r="BV9" s="216"/>
      <c r="BW9" s="216"/>
      <c r="BX9" s="216"/>
      <c r="BY9" s="216"/>
      <c r="BZ9" s="216"/>
      <c r="CA9" s="216"/>
      <c r="CB9" s="216"/>
      <c r="CY9" s="123"/>
      <c r="CZ9" s="6"/>
      <c r="DD9" s="160">
        <f>SUM(DE9:DU9)</f>
        <v>0</v>
      </c>
      <c r="DE9" s="160">
        <f>IF(AS9="",0,1)</f>
        <v>0</v>
      </c>
      <c r="DW9" s="88">
        <f>IF(AU9&lt;&gt;"",1,0)</f>
        <v>0</v>
      </c>
      <c r="DX9" s="182" t="str">
        <f>IF(DW9=0,"",AU9)</f>
        <v/>
      </c>
    </row>
    <row r="10" spans="1:128" ht="14.25" x14ac:dyDescent="0.25">
      <c r="B10" s="875"/>
      <c r="C10" s="93" t="s">
        <v>61</v>
      </c>
      <c r="D10" s="9"/>
      <c r="E10" s="10"/>
      <c r="F10" s="48"/>
      <c r="H10" s="95"/>
      <c r="I10" s="867" t="s">
        <v>113</v>
      </c>
      <c r="J10" s="867"/>
      <c r="K10" s="867"/>
      <c r="L10" s="867"/>
      <c r="M10" s="867"/>
      <c r="N10" s="867"/>
      <c r="O10" s="867"/>
      <c r="P10" s="867"/>
      <c r="Q10" s="867"/>
      <c r="R10" s="867"/>
      <c r="S10" s="867"/>
      <c r="T10" s="868"/>
      <c r="AM10" s="728"/>
      <c r="AN10" s="783" t="s">
        <v>61</v>
      </c>
      <c r="AO10" s="784"/>
      <c r="AP10" s="785"/>
      <c r="AQ10" s="267"/>
      <c r="AR10" s="268">
        <f>IF(F10="",0,F10)</f>
        <v>0</v>
      </c>
      <c r="AS10" s="269"/>
      <c r="AT10" s="270">
        <f t="shared" ref="AT10:AT13" si="0">IF(AS10="",AR10,AS10)</f>
        <v>0</v>
      </c>
      <c r="AU10" s="786"/>
      <c r="AV10" s="786"/>
      <c r="AW10" s="786"/>
      <c r="AX10" s="786"/>
      <c r="AY10" s="786"/>
      <c r="AZ10" s="786"/>
      <c r="BA10" s="786"/>
      <c r="BB10" s="786"/>
      <c r="BC10" s="786"/>
      <c r="BD10" s="786"/>
      <c r="BE10" s="786"/>
      <c r="BF10" s="786"/>
      <c r="BG10" s="787"/>
      <c r="BJ10" s="216"/>
      <c r="BK10" s="216"/>
      <c r="BL10" s="216"/>
      <c r="BM10" s="216"/>
      <c r="BN10" s="216"/>
      <c r="BO10" s="216"/>
      <c r="BP10" s="216"/>
      <c r="BQ10" s="216"/>
      <c r="BR10" s="216"/>
      <c r="BS10" s="216"/>
      <c r="BT10" s="216"/>
      <c r="BU10" s="216"/>
      <c r="BV10" s="216"/>
      <c r="BW10" s="216"/>
      <c r="BX10" s="216"/>
      <c r="BY10" s="216"/>
      <c r="BZ10" s="216"/>
      <c r="CA10" s="216"/>
      <c r="CB10" s="216"/>
      <c r="CY10" s="123"/>
      <c r="CZ10" s="6"/>
      <c r="DD10" s="88">
        <f t="shared" ref="DD10:DD13" si="1">SUM(DE10:DU10)</f>
        <v>0</v>
      </c>
      <c r="DE10" s="88">
        <f t="shared" ref="DE10:DE13" si="2">IF(AS10="",0,1)</f>
        <v>0</v>
      </c>
      <c r="DW10" s="88">
        <f>IF(AU10&lt;&gt;"",MAX($DW$9:DW9)+1,0)</f>
        <v>0</v>
      </c>
      <c r="DX10" s="182" t="str">
        <f t="shared" ref="DX10:DX14" si="3">IF(DW10=0,"",AU10)</f>
        <v/>
      </c>
    </row>
    <row r="11" spans="1:128" ht="15" thickBot="1" x14ac:dyDescent="0.3">
      <c r="B11" s="875"/>
      <c r="C11" s="93" t="s">
        <v>41</v>
      </c>
      <c r="D11" s="9"/>
      <c r="E11" s="10"/>
      <c r="F11" s="48"/>
      <c r="H11" s="96"/>
      <c r="I11" s="856" t="str">
        <f>CONCATENATE("b) La fecha valor de abono de la nómina y/o de su IRPF sea anterior a la finalización del plazo de justificación (",TEXT(EXPEDIENTE!F29,"dd/mm/aa"),").")</f>
        <v>b) La fecha valor de abono de la nómina y/o de su IRPF sea anterior a la finalización del plazo de justificación ().</v>
      </c>
      <c r="J11" s="856"/>
      <c r="K11" s="856"/>
      <c r="L11" s="856"/>
      <c r="M11" s="856"/>
      <c r="N11" s="856"/>
      <c r="O11" s="856"/>
      <c r="P11" s="856"/>
      <c r="Q11" s="856"/>
      <c r="R11" s="856"/>
      <c r="S11" s="856"/>
      <c r="T11" s="857"/>
      <c r="AM11" s="728"/>
      <c r="AN11" s="783" t="s">
        <v>41</v>
      </c>
      <c r="AO11" s="784"/>
      <c r="AP11" s="785"/>
      <c r="AQ11" s="267"/>
      <c r="AR11" s="268">
        <f>IF(F11="",0,F11)</f>
        <v>0</v>
      </c>
      <c r="AS11" s="269"/>
      <c r="AT11" s="270">
        <f t="shared" si="0"/>
        <v>0</v>
      </c>
      <c r="AU11" s="786"/>
      <c r="AV11" s="786"/>
      <c r="AW11" s="786"/>
      <c r="AX11" s="786"/>
      <c r="AY11" s="786"/>
      <c r="AZ11" s="786"/>
      <c r="BA11" s="786"/>
      <c r="BB11" s="786"/>
      <c r="BC11" s="786"/>
      <c r="BD11" s="786"/>
      <c r="BE11" s="786"/>
      <c r="BF11" s="786"/>
      <c r="BG11" s="787"/>
      <c r="BJ11" s="216"/>
      <c r="BK11" s="216"/>
      <c r="BL11" s="216"/>
      <c r="BM11" s="216"/>
      <c r="BN11" s="216"/>
      <c r="BO11" s="216"/>
      <c r="BP11" s="216"/>
      <c r="BQ11" s="216"/>
      <c r="BR11" s="216"/>
      <c r="BS11" s="216"/>
      <c r="BT11" s="216"/>
      <c r="BU11" s="216"/>
      <c r="BV11" s="216"/>
      <c r="BW11" s="216"/>
      <c r="BX11" s="216"/>
      <c r="BY11" s="216"/>
      <c r="BZ11" s="216"/>
      <c r="CA11" s="216"/>
      <c r="CB11" s="216"/>
      <c r="CY11" s="123"/>
      <c r="CZ11" s="6"/>
      <c r="DD11" s="88">
        <f t="shared" si="1"/>
        <v>0</v>
      </c>
      <c r="DE11" s="88">
        <f t="shared" si="2"/>
        <v>0</v>
      </c>
      <c r="DW11" s="88">
        <f>IF(AU11&lt;&gt;"",MAX($DW$9:DW10)+1,0)</f>
        <v>0</v>
      </c>
      <c r="DX11" s="182" t="str">
        <f t="shared" si="3"/>
        <v/>
      </c>
    </row>
    <row r="12" spans="1:128" ht="14.25" x14ac:dyDescent="0.25">
      <c r="B12" s="875"/>
      <c r="C12" s="93" t="s">
        <v>42</v>
      </c>
      <c r="D12" s="9"/>
      <c r="E12" s="10"/>
      <c r="F12" s="48"/>
      <c r="H12" s="755" t="s">
        <v>210</v>
      </c>
      <c r="I12" s="757" t="s">
        <v>290</v>
      </c>
      <c r="J12" s="757"/>
      <c r="K12" s="757"/>
      <c r="L12" s="757"/>
      <c r="M12" s="757"/>
      <c r="N12" s="757"/>
      <c r="O12" s="757"/>
      <c r="P12" s="757"/>
      <c r="Q12" s="757"/>
      <c r="R12" s="757"/>
      <c r="S12" s="757"/>
      <c r="T12" s="758"/>
      <c r="AM12" s="728"/>
      <c r="AN12" s="783" t="s">
        <v>42</v>
      </c>
      <c r="AO12" s="784"/>
      <c r="AP12" s="785"/>
      <c r="AQ12" s="267"/>
      <c r="AR12" s="268">
        <f>IF(F12="",0,F12)</f>
        <v>0</v>
      </c>
      <c r="AS12" s="269"/>
      <c r="AT12" s="270">
        <f t="shared" si="0"/>
        <v>0</v>
      </c>
      <c r="AU12" s="786"/>
      <c r="AV12" s="786"/>
      <c r="AW12" s="786"/>
      <c r="AX12" s="786"/>
      <c r="AY12" s="786"/>
      <c r="AZ12" s="786"/>
      <c r="BA12" s="786"/>
      <c r="BB12" s="786"/>
      <c r="BC12" s="786"/>
      <c r="BD12" s="786"/>
      <c r="BE12" s="786"/>
      <c r="BF12" s="786"/>
      <c r="BG12" s="787"/>
      <c r="BJ12" s="216"/>
      <c r="BK12" s="216"/>
      <c r="BL12" s="216"/>
      <c r="BM12" s="216"/>
      <c r="BN12" s="216"/>
      <c r="BO12" s="216"/>
      <c r="BP12" s="216"/>
      <c r="BQ12" s="216"/>
      <c r="BR12" s="216"/>
      <c r="BS12" s="216"/>
      <c r="BT12" s="216"/>
      <c r="BU12" s="216"/>
      <c r="BV12" s="216"/>
      <c r="BW12" s="216"/>
      <c r="BX12" s="216"/>
      <c r="BY12" s="216"/>
      <c r="BZ12" s="216"/>
      <c r="CA12" s="216"/>
      <c r="CB12" s="216"/>
      <c r="CY12" s="123"/>
      <c r="CZ12" s="6"/>
      <c r="DD12" s="88">
        <f t="shared" si="1"/>
        <v>0</v>
      </c>
      <c r="DE12" s="88">
        <f t="shared" si="2"/>
        <v>0</v>
      </c>
      <c r="DW12" s="88">
        <f>IF(AU12&lt;&gt;"",MAX($DW$9:DW11)+1,0)</f>
        <v>0</v>
      </c>
      <c r="DX12" s="182" t="str">
        <f t="shared" si="3"/>
        <v/>
      </c>
    </row>
    <row r="13" spans="1:128" ht="15" thickBot="1" x14ac:dyDescent="0.3">
      <c r="B13" s="875"/>
      <c r="C13" s="93" t="s">
        <v>62</v>
      </c>
      <c r="D13" s="9"/>
      <c r="E13" s="10"/>
      <c r="F13" s="48"/>
      <c r="H13" s="756"/>
      <c r="I13" s="759"/>
      <c r="J13" s="759"/>
      <c r="K13" s="759"/>
      <c r="L13" s="759"/>
      <c r="M13" s="759"/>
      <c r="N13" s="759"/>
      <c r="O13" s="759"/>
      <c r="P13" s="759"/>
      <c r="Q13" s="759"/>
      <c r="R13" s="759"/>
      <c r="S13" s="759"/>
      <c r="T13" s="760"/>
      <c r="AM13" s="728"/>
      <c r="AN13" s="783" t="s">
        <v>62</v>
      </c>
      <c r="AO13" s="784"/>
      <c r="AP13" s="785"/>
      <c r="AQ13" s="267"/>
      <c r="AR13" s="268">
        <f>IF(F13="",0,F13)</f>
        <v>0</v>
      </c>
      <c r="AS13" s="269"/>
      <c r="AT13" s="270">
        <f t="shared" si="0"/>
        <v>0</v>
      </c>
      <c r="AU13" s="792"/>
      <c r="AV13" s="792"/>
      <c r="AW13" s="792"/>
      <c r="AX13" s="792"/>
      <c r="AY13" s="792"/>
      <c r="AZ13" s="792"/>
      <c r="BA13" s="792"/>
      <c r="BB13" s="792"/>
      <c r="BC13" s="792"/>
      <c r="BD13" s="792"/>
      <c r="BE13" s="792"/>
      <c r="BF13" s="792"/>
      <c r="BG13" s="793"/>
      <c r="BJ13" s="216"/>
      <c r="BK13" s="216"/>
      <c r="BL13" s="216"/>
      <c r="BM13" s="216"/>
      <c r="BN13" s="216"/>
      <c r="BO13" s="216"/>
      <c r="BP13" s="216"/>
      <c r="BQ13" s="216"/>
      <c r="BR13" s="216"/>
      <c r="BS13" s="216"/>
      <c r="BT13" s="216"/>
      <c r="BU13" s="216"/>
      <c r="BV13" s="216"/>
      <c r="BW13" s="216"/>
      <c r="BX13" s="216"/>
      <c r="BY13" s="216"/>
      <c r="BZ13" s="216"/>
      <c r="CA13" s="216"/>
      <c r="CB13" s="216"/>
      <c r="CY13" s="123"/>
      <c r="CZ13" s="6"/>
      <c r="DD13" s="88">
        <f t="shared" si="1"/>
        <v>0</v>
      </c>
      <c r="DE13" s="88">
        <f t="shared" si="2"/>
        <v>0</v>
      </c>
      <c r="DW13" s="88">
        <f>IF(AU13&lt;&gt;"",MAX($DW$9:DW12)+1,0)</f>
        <v>0</v>
      </c>
      <c r="DX13" s="182" t="str">
        <f t="shared" si="3"/>
        <v/>
      </c>
    </row>
    <row r="14" spans="1:128" ht="15" thickBot="1" x14ac:dyDescent="0.3">
      <c r="B14" s="875"/>
      <c r="C14" s="93" t="s">
        <v>43</v>
      </c>
      <c r="D14" s="9"/>
      <c r="E14" s="10"/>
      <c r="F14" s="11">
        <f>SUM(F9:F13)</f>
        <v>0</v>
      </c>
      <c r="AM14" s="728"/>
      <c r="AN14" s="796" t="s">
        <v>43</v>
      </c>
      <c r="AO14" s="797"/>
      <c r="AP14" s="798"/>
      <c r="AQ14" s="271"/>
      <c r="AR14" s="272">
        <f>SUM(AR9:AR13)</f>
        <v>0</v>
      </c>
      <c r="AS14" s="273"/>
      <c r="AT14" s="274">
        <f>SUM(AT9:AT13)</f>
        <v>0</v>
      </c>
      <c r="AU14" s="275"/>
      <c r="AV14" s="275"/>
      <c r="AW14" s="275"/>
      <c r="AX14" s="275"/>
      <c r="AY14" s="275"/>
      <c r="AZ14" s="275"/>
      <c r="BA14" s="275"/>
      <c r="BB14" s="275"/>
      <c r="BC14" s="275"/>
      <c r="BD14" s="275"/>
      <c r="BE14" s="275"/>
      <c r="BF14" s="275"/>
      <c r="BG14" s="276"/>
      <c r="BJ14" s="216"/>
      <c r="BK14" s="216"/>
      <c r="CY14" s="123"/>
      <c r="CZ14" s="6"/>
      <c r="DW14" s="88">
        <f>IF(AU14&lt;&gt;"",MAX($DW$9:DW13)+1,0)</f>
        <v>0</v>
      </c>
      <c r="DX14" s="182" t="str">
        <f t="shared" si="3"/>
        <v/>
      </c>
    </row>
    <row r="15" spans="1:128" ht="9.9499999999999993" customHeight="1" thickBot="1" x14ac:dyDescent="0.3">
      <c r="B15" s="875"/>
      <c r="C15" s="12"/>
      <c r="D15" s="13"/>
      <c r="E15" s="14"/>
      <c r="F15" s="15"/>
      <c r="G15" s="6"/>
      <c r="H15" s="6"/>
      <c r="I15" s="6"/>
      <c r="J15" s="6"/>
      <c r="K15" s="6"/>
      <c r="L15" s="6"/>
      <c r="M15" s="6"/>
      <c r="N15" s="6"/>
      <c r="O15" s="6"/>
      <c r="P15" s="6"/>
      <c r="Q15" s="6"/>
      <c r="R15" s="6"/>
      <c r="S15" s="6"/>
      <c r="T15" s="6"/>
      <c r="U15" s="6"/>
      <c r="V15" s="6"/>
      <c r="W15" s="6"/>
      <c r="X15" s="6"/>
      <c r="Y15" s="6"/>
      <c r="Z15" s="6"/>
      <c r="AA15" s="6"/>
      <c r="AB15" s="6"/>
      <c r="AC15" s="6"/>
      <c r="AD15" s="6"/>
      <c r="AE15" s="6"/>
      <c r="AF15" s="6"/>
      <c r="AG15" s="761" t="s">
        <v>209</v>
      </c>
      <c r="AH15" s="761"/>
      <c r="AI15" s="761" t="s">
        <v>212</v>
      </c>
      <c r="AJ15" s="761" t="s">
        <v>213</v>
      </c>
      <c r="AK15" s="761" t="s">
        <v>215</v>
      </c>
      <c r="AL15" s="6"/>
      <c r="AM15" s="728"/>
      <c r="AN15" s="277"/>
      <c r="AO15" s="278"/>
      <c r="AP15" s="278"/>
      <c r="AQ15" s="278"/>
      <c r="AR15" s="278"/>
      <c r="AS15" s="278"/>
      <c r="AT15" s="278"/>
      <c r="AU15" s="278"/>
      <c r="AV15" s="278"/>
      <c r="AW15" s="278"/>
      <c r="AX15" s="278"/>
      <c r="AY15" s="278"/>
      <c r="AZ15" s="278"/>
      <c r="BA15" s="278"/>
      <c r="BB15" s="278"/>
      <c r="BC15" s="278"/>
      <c r="BD15" s="278"/>
      <c r="BE15" s="278"/>
      <c r="BF15" s="278"/>
      <c r="BG15" s="279"/>
      <c r="BH15" s="123"/>
      <c r="BI15" s="123"/>
      <c r="BJ15" s="123"/>
      <c r="BK15" s="123"/>
      <c r="BL15" s="123"/>
      <c r="BM15" s="123"/>
      <c r="BN15" s="123"/>
      <c r="BO15" s="123"/>
      <c r="BP15" s="123"/>
      <c r="BQ15" s="123"/>
      <c r="BR15" s="123"/>
      <c r="BS15" s="123"/>
      <c r="BT15" s="123"/>
      <c r="BU15" s="123"/>
      <c r="BV15" s="123"/>
      <c r="BW15" s="123"/>
      <c r="BX15" s="123"/>
      <c r="BY15" s="123"/>
      <c r="BZ15" s="123"/>
      <c r="CA15" s="123"/>
      <c r="CB15" s="123"/>
      <c r="CC15" s="123"/>
      <c r="CD15" s="123"/>
      <c r="CE15" s="123"/>
      <c r="CF15" s="123"/>
      <c r="CG15" s="123"/>
      <c r="CH15" s="123"/>
      <c r="CI15" s="123"/>
      <c r="CJ15" s="123"/>
      <c r="CK15" s="123"/>
      <c r="CL15" s="123"/>
      <c r="CM15" s="123"/>
      <c r="CN15" s="123"/>
      <c r="CO15" s="123"/>
      <c r="CP15" s="123"/>
      <c r="CQ15" s="123"/>
      <c r="CR15" s="123"/>
      <c r="CS15" s="123"/>
      <c r="CT15" s="123"/>
      <c r="CU15" s="123"/>
      <c r="CV15" s="123"/>
      <c r="CW15" s="123"/>
      <c r="CX15" s="123"/>
      <c r="DA15" s="761" t="s">
        <v>211</v>
      </c>
      <c r="DB15" s="761"/>
    </row>
    <row r="16" spans="1:128" ht="30" customHeight="1" thickTop="1" thickBot="1" x14ac:dyDescent="0.3">
      <c r="B16" s="875"/>
      <c r="C16" s="850" t="str">
        <f>CONCATENATE("NÓMINAS MENSUALES EJERCICIO ",YEAR(EXPEDIENTE!F25)+1)</f>
        <v>NÓMINAS MENSUALES EJERCICIO 2024</v>
      </c>
      <c r="D16" s="850"/>
      <c r="E16" s="850"/>
      <c r="F16" s="850"/>
      <c r="G16" s="850"/>
      <c r="H16" s="850"/>
      <c r="I16" s="850"/>
      <c r="J16" s="850"/>
      <c r="K16" s="850"/>
      <c r="L16" s="850"/>
      <c r="M16" s="850"/>
      <c r="N16" s="850"/>
      <c r="O16" s="850"/>
      <c r="P16" s="850"/>
      <c r="Q16" s="850"/>
      <c r="R16" s="850"/>
      <c r="S16" s="850"/>
      <c r="T16" s="850"/>
      <c r="U16" s="850"/>
      <c r="V16" s="850"/>
      <c r="W16" s="850"/>
      <c r="X16" s="850"/>
      <c r="Y16" s="850"/>
      <c r="Z16" s="850"/>
      <c r="AA16" s="850"/>
      <c r="AB16" s="850"/>
      <c r="AC16" s="850"/>
      <c r="AD16" s="850"/>
      <c r="AE16" s="851"/>
      <c r="AG16" s="761"/>
      <c r="AH16" s="761"/>
      <c r="AI16" s="690"/>
      <c r="AJ16" s="690"/>
      <c r="AK16" s="690"/>
      <c r="AM16" s="728"/>
      <c r="AN16" s="794" t="str">
        <f>CONCATENATE("NÓMINAS MENSUALES EJERCICIO ",YEAR(EXPEDIENTE!$F$25)+1)</f>
        <v>NÓMINAS MENSUALES EJERCICIO 2024</v>
      </c>
      <c r="AO16" s="794"/>
      <c r="AP16" s="794"/>
      <c r="AQ16" s="794"/>
      <c r="AR16" s="794"/>
      <c r="AS16" s="794"/>
      <c r="AT16" s="794"/>
      <c r="AU16" s="794"/>
      <c r="AV16" s="794"/>
      <c r="AW16" s="794"/>
      <c r="AX16" s="794"/>
      <c r="AY16" s="794"/>
      <c r="AZ16" s="794"/>
      <c r="BA16" s="794"/>
      <c r="BB16" s="794"/>
      <c r="BC16" s="794"/>
      <c r="BD16" s="794"/>
      <c r="BE16" s="794"/>
      <c r="BF16" s="794"/>
      <c r="BG16" s="794"/>
      <c r="BH16" s="794"/>
      <c r="BI16" s="794"/>
      <c r="BJ16" s="794"/>
      <c r="BK16" s="794"/>
      <c r="BL16" s="794"/>
      <c r="BM16" s="794"/>
      <c r="BN16" s="794"/>
      <c r="BO16" s="794"/>
      <c r="BP16" s="794"/>
      <c r="BQ16" s="794"/>
      <c r="BR16" s="794"/>
      <c r="BS16" s="794"/>
      <c r="BT16" s="794"/>
      <c r="BU16" s="794"/>
      <c r="BV16" s="794"/>
      <c r="BW16" s="794"/>
      <c r="BX16" s="794"/>
      <c r="BY16" s="794"/>
      <c r="BZ16" s="794"/>
      <c r="CA16" s="794"/>
      <c r="CB16" s="794"/>
      <c r="CC16" s="794"/>
      <c r="CD16" s="794"/>
      <c r="CE16" s="794"/>
      <c r="CF16" s="794"/>
      <c r="CG16" s="794"/>
      <c r="CH16" s="794"/>
      <c r="CI16" s="794"/>
      <c r="CJ16" s="794"/>
      <c r="CK16" s="794"/>
      <c r="CL16" s="794"/>
      <c r="CM16" s="794"/>
      <c r="CN16" s="794"/>
      <c r="CO16" s="794"/>
      <c r="CP16" s="794"/>
      <c r="CQ16" s="794"/>
      <c r="CR16" s="794"/>
      <c r="CS16" s="794"/>
      <c r="CT16" s="794"/>
      <c r="CU16" s="794"/>
      <c r="CV16" s="794"/>
      <c r="CW16" s="794"/>
      <c r="CX16" s="794"/>
      <c r="CY16" s="795"/>
      <c r="DA16" s="812"/>
      <c r="DB16" s="812"/>
    </row>
    <row r="17" spans="2:128" ht="20.100000000000001" customHeight="1" thickTop="1" thickBot="1" x14ac:dyDescent="0.3">
      <c r="B17" s="875"/>
      <c r="C17" s="858" t="s">
        <v>87</v>
      </c>
      <c r="D17" s="859"/>
      <c r="E17" s="860"/>
      <c r="F17" s="861" t="s">
        <v>85</v>
      </c>
      <c r="G17" s="862"/>
      <c r="H17" s="862"/>
      <c r="I17" s="862"/>
      <c r="J17" s="862"/>
      <c r="K17" s="862"/>
      <c r="L17" s="862"/>
      <c r="M17" s="863"/>
      <c r="N17" s="740" t="s">
        <v>88</v>
      </c>
      <c r="O17" s="741"/>
      <c r="P17" s="741"/>
      <c r="Q17" s="741"/>
      <c r="R17" s="741"/>
      <c r="S17" s="741"/>
      <c r="T17" s="741"/>
      <c r="U17" s="741"/>
      <c r="V17" s="742"/>
      <c r="W17" s="864" t="s">
        <v>79</v>
      </c>
      <c r="X17" s="746" t="s">
        <v>66</v>
      </c>
      <c r="Y17" s="743" t="s">
        <v>59</v>
      </c>
      <c r="Z17" s="743" t="s">
        <v>60</v>
      </c>
      <c r="AA17" s="743" t="s">
        <v>64</v>
      </c>
      <c r="AB17" s="789" t="s">
        <v>84</v>
      </c>
      <c r="AC17" s="746" t="s">
        <v>91</v>
      </c>
      <c r="AD17" s="789" t="s">
        <v>90</v>
      </c>
      <c r="AE17" s="871" t="s">
        <v>67</v>
      </c>
      <c r="AG17" s="762" t="s">
        <v>406</v>
      </c>
      <c r="AH17" s="704" t="s">
        <v>71</v>
      </c>
      <c r="AM17" s="728"/>
      <c r="AN17" s="732" t="s">
        <v>87</v>
      </c>
      <c r="AO17" s="733"/>
      <c r="AP17" s="733"/>
      <c r="AQ17" s="733"/>
      <c r="AR17" s="825" t="s">
        <v>312</v>
      </c>
      <c r="AS17" s="733"/>
      <c r="AT17" s="734"/>
      <c r="AU17" s="764" t="s">
        <v>85</v>
      </c>
      <c r="AV17" s="765"/>
      <c r="AW17" s="765"/>
      <c r="AX17" s="765"/>
      <c r="AY17" s="765"/>
      <c r="AZ17" s="765"/>
      <c r="BA17" s="765"/>
      <c r="BB17" s="765"/>
      <c r="BC17" s="765"/>
      <c r="BD17" s="765"/>
      <c r="BE17" s="765"/>
      <c r="BF17" s="765"/>
      <c r="BG17" s="765"/>
      <c r="BH17" s="765"/>
      <c r="BI17" s="765"/>
      <c r="BJ17" s="765"/>
      <c r="BK17" s="765"/>
      <c r="BL17" s="765"/>
      <c r="BM17" s="765"/>
      <c r="BN17" s="766"/>
      <c r="BO17" s="767" t="s">
        <v>407</v>
      </c>
      <c r="BP17" s="921"/>
      <c r="BQ17" s="921"/>
      <c r="BR17" s="921"/>
      <c r="BS17" s="921"/>
      <c r="BT17" s="921"/>
      <c r="BU17" s="921"/>
      <c r="BV17" s="921"/>
      <c r="BW17" s="921"/>
      <c r="BX17" s="921"/>
      <c r="BY17" s="921"/>
      <c r="BZ17" s="921"/>
      <c r="CA17" s="921"/>
      <c r="CB17" s="921"/>
      <c r="CC17" s="921"/>
      <c r="CD17" s="921"/>
      <c r="CE17" s="921"/>
      <c r="CF17" s="922"/>
      <c r="CG17" s="922"/>
      <c r="CH17" s="922"/>
      <c r="CI17" s="923"/>
      <c r="CJ17" s="827" t="s">
        <v>79</v>
      </c>
      <c r="CK17" s="695" t="s">
        <v>316</v>
      </c>
      <c r="CL17" s="696"/>
      <c r="CM17" s="697"/>
      <c r="CN17" s="714" t="s">
        <v>317</v>
      </c>
      <c r="CO17" s="715"/>
      <c r="CP17" s="716"/>
      <c r="CQ17" s="828" t="s">
        <v>60</v>
      </c>
      <c r="CR17" s="706" t="s">
        <v>319</v>
      </c>
      <c r="CS17" s="707"/>
      <c r="CT17" s="708"/>
      <c r="CU17" s="709" t="s">
        <v>318</v>
      </c>
      <c r="CV17" s="710"/>
      <c r="CW17" s="711"/>
      <c r="CX17" s="280"/>
      <c r="CY17" s="712" t="s">
        <v>320</v>
      </c>
      <c r="DA17" s="762" t="s">
        <v>406</v>
      </c>
      <c r="DB17" s="704" t="s">
        <v>71</v>
      </c>
    </row>
    <row r="18" spans="2:128" x14ac:dyDescent="0.25">
      <c r="B18" s="875"/>
      <c r="C18" s="879" t="s">
        <v>44</v>
      </c>
      <c r="D18" s="880"/>
      <c r="E18" s="852" t="s">
        <v>86</v>
      </c>
      <c r="F18" s="854" t="s">
        <v>57</v>
      </c>
      <c r="G18" s="753" t="s">
        <v>72</v>
      </c>
      <c r="H18" s="753"/>
      <c r="I18" s="753"/>
      <c r="J18" s="753"/>
      <c r="K18" s="753"/>
      <c r="L18" s="753"/>
      <c r="M18" s="749" t="s">
        <v>96</v>
      </c>
      <c r="N18" s="16"/>
      <c r="O18" s="788" t="s">
        <v>73</v>
      </c>
      <c r="P18" s="753"/>
      <c r="Q18" s="753"/>
      <c r="R18" s="753"/>
      <c r="S18" s="753"/>
      <c r="T18" s="753"/>
      <c r="U18" s="749" t="s">
        <v>89</v>
      </c>
      <c r="V18" s="17"/>
      <c r="W18" s="865"/>
      <c r="X18" s="747"/>
      <c r="Y18" s="744"/>
      <c r="Z18" s="744"/>
      <c r="AA18" s="744"/>
      <c r="AB18" s="790"/>
      <c r="AC18" s="747"/>
      <c r="AD18" s="790"/>
      <c r="AE18" s="872"/>
      <c r="AG18" s="705"/>
      <c r="AH18" s="705"/>
      <c r="AM18" s="728"/>
      <c r="AN18" s="815" t="s">
        <v>44</v>
      </c>
      <c r="AO18" s="816"/>
      <c r="AP18" s="776"/>
      <c r="AQ18" s="777"/>
      <c r="AR18" s="819" t="s">
        <v>270</v>
      </c>
      <c r="AS18" s="826" t="s">
        <v>245</v>
      </c>
      <c r="AT18" s="773" t="s">
        <v>271</v>
      </c>
      <c r="AU18" s="778" t="s">
        <v>272</v>
      </c>
      <c r="AV18" s="779"/>
      <c r="AW18" s="780"/>
      <c r="AX18" s="820" t="s">
        <v>72</v>
      </c>
      <c r="AY18" s="821"/>
      <c r="AZ18" s="821"/>
      <c r="BA18" s="821"/>
      <c r="BB18" s="821"/>
      <c r="BC18" s="821"/>
      <c r="BD18" s="821"/>
      <c r="BE18" s="821"/>
      <c r="BF18" s="821"/>
      <c r="BG18" s="821"/>
      <c r="BH18" s="821"/>
      <c r="BI18" s="821"/>
      <c r="BJ18" s="821"/>
      <c r="BK18" s="821"/>
      <c r="BL18" s="821"/>
      <c r="BM18" s="822"/>
      <c r="BN18" s="823" t="s">
        <v>273</v>
      </c>
      <c r="BO18" s="281"/>
      <c r="BP18" s="799" t="s">
        <v>410</v>
      </c>
      <c r="BQ18" s="924"/>
      <c r="BR18" s="924"/>
      <c r="BS18" s="821"/>
      <c r="BT18" s="821"/>
      <c r="BU18" s="821"/>
      <c r="BV18" s="821"/>
      <c r="BW18" s="821"/>
      <c r="BX18" s="821"/>
      <c r="BY18" s="821"/>
      <c r="BZ18" s="821"/>
      <c r="CA18" s="821"/>
      <c r="CB18" s="821"/>
      <c r="CC18" s="821"/>
      <c r="CD18" s="821"/>
      <c r="CE18" s="822"/>
      <c r="CF18" s="692" t="s">
        <v>409</v>
      </c>
      <c r="CG18" s="925"/>
      <c r="CH18" s="926"/>
      <c r="CI18" s="282"/>
      <c r="CJ18" s="738"/>
      <c r="CK18" s="698" t="s">
        <v>270</v>
      </c>
      <c r="CL18" s="700" t="s">
        <v>245</v>
      </c>
      <c r="CM18" s="702" t="s">
        <v>271</v>
      </c>
      <c r="CN18" s="698" t="s">
        <v>270</v>
      </c>
      <c r="CO18" s="700" t="s">
        <v>245</v>
      </c>
      <c r="CP18" s="702" t="s">
        <v>271</v>
      </c>
      <c r="CQ18" s="829"/>
      <c r="CR18" s="698" t="s">
        <v>270</v>
      </c>
      <c r="CS18" s="700" t="s">
        <v>245</v>
      </c>
      <c r="CT18" s="702" t="s">
        <v>271</v>
      </c>
      <c r="CU18" s="698" t="s">
        <v>270</v>
      </c>
      <c r="CV18" s="700" t="s">
        <v>245</v>
      </c>
      <c r="CW18" s="702" t="s">
        <v>271</v>
      </c>
      <c r="CX18" s="283"/>
      <c r="CY18" s="713"/>
      <c r="DA18" s="705"/>
      <c r="DB18" s="705"/>
    </row>
    <row r="19" spans="2:128" ht="51.75" thickBot="1" x14ac:dyDescent="0.3">
      <c r="B19" s="875"/>
      <c r="C19" s="881"/>
      <c r="D19" s="882"/>
      <c r="E19" s="853"/>
      <c r="F19" s="855"/>
      <c r="G19" s="18" t="s">
        <v>97</v>
      </c>
      <c r="H19" s="18" t="s">
        <v>98</v>
      </c>
      <c r="I19" s="18" t="s">
        <v>99</v>
      </c>
      <c r="J19" s="18" t="s">
        <v>100</v>
      </c>
      <c r="K19" s="18" t="s">
        <v>101</v>
      </c>
      <c r="L19" s="19" t="s">
        <v>108</v>
      </c>
      <c r="M19" s="750"/>
      <c r="N19" s="20"/>
      <c r="O19" s="21" t="s">
        <v>102</v>
      </c>
      <c r="P19" s="18" t="s">
        <v>103</v>
      </c>
      <c r="Q19" s="18" t="s">
        <v>104</v>
      </c>
      <c r="R19" s="18" t="s">
        <v>105</v>
      </c>
      <c r="S19" s="18" t="s">
        <v>106</v>
      </c>
      <c r="T19" s="18" t="s">
        <v>107</v>
      </c>
      <c r="U19" s="750"/>
      <c r="V19" s="22"/>
      <c r="W19" s="866"/>
      <c r="X19" s="748"/>
      <c r="Y19" s="745"/>
      <c r="Z19" s="745"/>
      <c r="AA19" s="745"/>
      <c r="AB19" s="791"/>
      <c r="AC19" s="748"/>
      <c r="AD19" s="791"/>
      <c r="AE19" s="873"/>
      <c r="AG19" s="88">
        <f>SUM(AG20:AG31,AG37:AG44,AG49:AG60)</f>
        <v>0</v>
      </c>
      <c r="AH19" s="88">
        <f>SUM(AH20:AH31,AH37:AH44)</f>
        <v>0</v>
      </c>
      <c r="AM19" s="728"/>
      <c r="AN19" s="817"/>
      <c r="AO19" s="818"/>
      <c r="AP19" s="719"/>
      <c r="AQ19" s="720"/>
      <c r="AR19" s="699"/>
      <c r="AS19" s="701"/>
      <c r="AT19" s="703"/>
      <c r="AU19" s="284" t="s">
        <v>270</v>
      </c>
      <c r="AV19" s="285" t="s">
        <v>245</v>
      </c>
      <c r="AW19" s="286" t="s">
        <v>271</v>
      </c>
      <c r="AX19" s="287" t="s">
        <v>274</v>
      </c>
      <c r="AY19" s="288" t="s">
        <v>275</v>
      </c>
      <c r="AZ19" s="289" t="s">
        <v>276</v>
      </c>
      <c r="BA19" s="289" t="s">
        <v>277</v>
      </c>
      <c r="BB19" s="288" t="s">
        <v>278</v>
      </c>
      <c r="BC19" s="289" t="s">
        <v>279</v>
      </c>
      <c r="BD19" s="289" t="s">
        <v>280</v>
      </c>
      <c r="BE19" s="288" t="s">
        <v>281</v>
      </c>
      <c r="BF19" s="289" t="s">
        <v>282</v>
      </c>
      <c r="BG19" s="289" t="s">
        <v>283</v>
      </c>
      <c r="BH19" s="288" t="s">
        <v>284</v>
      </c>
      <c r="BI19" s="289" t="s">
        <v>285</v>
      </c>
      <c r="BJ19" s="289" t="s">
        <v>286</v>
      </c>
      <c r="BK19" s="288" t="s">
        <v>287</v>
      </c>
      <c r="BL19" s="289" t="s">
        <v>288</v>
      </c>
      <c r="BM19" s="290" t="s">
        <v>289</v>
      </c>
      <c r="BN19" s="824"/>
      <c r="BO19" s="291"/>
      <c r="BP19" s="287" t="s">
        <v>291</v>
      </c>
      <c r="BQ19" s="288" t="s">
        <v>292</v>
      </c>
      <c r="BR19" s="289" t="s">
        <v>293</v>
      </c>
      <c r="BS19" s="289" t="s">
        <v>294</v>
      </c>
      <c r="BT19" s="288" t="s">
        <v>295</v>
      </c>
      <c r="BU19" s="289" t="s">
        <v>296</v>
      </c>
      <c r="BV19" s="289" t="s">
        <v>297</v>
      </c>
      <c r="BW19" s="288" t="s">
        <v>298</v>
      </c>
      <c r="BX19" s="289" t="s">
        <v>299</v>
      </c>
      <c r="BY19" s="289" t="s">
        <v>300</v>
      </c>
      <c r="BZ19" s="288" t="s">
        <v>301</v>
      </c>
      <c r="CA19" s="289" t="s">
        <v>302</v>
      </c>
      <c r="CB19" s="289" t="s">
        <v>303</v>
      </c>
      <c r="CC19" s="288" t="s">
        <v>304</v>
      </c>
      <c r="CD19" s="289" t="s">
        <v>305</v>
      </c>
      <c r="CE19" s="290" t="s">
        <v>306</v>
      </c>
      <c r="CF19" s="292" t="s">
        <v>270</v>
      </c>
      <c r="CG19" s="293" t="s">
        <v>245</v>
      </c>
      <c r="CH19" s="294" t="s">
        <v>271</v>
      </c>
      <c r="CI19" s="295"/>
      <c r="CJ19" s="739"/>
      <c r="CK19" s="699"/>
      <c r="CL19" s="701"/>
      <c r="CM19" s="703"/>
      <c r="CN19" s="699"/>
      <c r="CO19" s="701"/>
      <c r="CP19" s="703"/>
      <c r="CQ19" s="830"/>
      <c r="CR19" s="699"/>
      <c r="CS19" s="701"/>
      <c r="CT19" s="703"/>
      <c r="CU19" s="699"/>
      <c r="CV19" s="701"/>
      <c r="CW19" s="703"/>
      <c r="CX19" s="296" t="s">
        <v>321</v>
      </c>
      <c r="CY19" s="297" t="s">
        <v>245</v>
      </c>
      <c r="DA19" s="88">
        <f>SUM(DA20:DA31,DA37:DA44,DA49:DA60)</f>
        <v>0</v>
      </c>
      <c r="DB19" s="88">
        <f>SUM(DB20:DB31,DB37:DB44)</f>
        <v>0</v>
      </c>
      <c r="DD19" s="88" t="s">
        <v>322</v>
      </c>
      <c r="DE19" s="88" t="s">
        <v>323</v>
      </c>
      <c r="DF19" s="88" t="s">
        <v>324</v>
      </c>
      <c r="DG19" s="88" t="s">
        <v>325</v>
      </c>
      <c r="DH19" s="88" t="s">
        <v>326</v>
      </c>
      <c r="DI19" s="88" t="s">
        <v>327</v>
      </c>
      <c r="DJ19" s="88" t="s">
        <v>328</v>
      </c>
      <c r="DK19" s="88" t="s">
        <v>329</v>
      </c>
      <c r="DL19" s="88" t="s">
        <v>330</v>
      </c>
      <c r="DM19" s="88" t="s">
        <v>331</v>
      </c>
      <c r="DN19" s="88" t="s">
        <v>332</v>
      </c>
      <c r="DO19" s="88" t="s">
        <v>333</v>
      </c>
      <c r="DP19" s="88" t="s">
        <v>334</v>
      </c>
      <c r="DQ19" s="88" t="s">
        <v>335</v>
      </c>
      <c r="DR19" s="88" t="s">
        <v>336</v>
      </c>
      <c r="DS19" s="88" t="s">
        <v>337</v>
      </c>
      <c r="DT19" s="88" t="s">
        <v>338</v>
      </c>
      <c r="DU19" s="88" t="s">
        <v>339</v>
      </c>
    </row>
    <row r="20" spans="2:128" ht="30" customHeight="1" x14ac:dyDescent="0.25">
      <c r="B20" s="875"/>
      <c r="C20" s="883" t="s">
        <v>45</v>
      </c>
      <c r="D20" s="884"/>
      <c r="E20" s="49"/>
      <c r="F20" s="50"/>
      <c r="G20" s="51"/>
      <c r="H20" s="51"/>
      <c r="I20" s="51"/>
      <c r="J20" s="51"/>
      <c r="K20" s="51"/>
      <c r="L20" s="23">
        <f>SUM(G20:K20)</f>
        <v>0</v>
      </c>
      <c r="M20" s="24">
        <f t="shared" ref="M20" si="4">F20+L20</f>
        <v>0</v>
      </c>
      <c r="N20" s="25"/>
      <c r="O20" s="50"/>
      <c r="P20" s="51"/>
      <c r="Q20" s="51"/>
      <c r="R20" s="51"/>
      <c r="S20" s="51"/>
      <c r="T20" s="26">
        <f>SUM(O20:S20)</f>
        <v>0</v>
      </c>
      <c r="U20" s="59"/>
      <c r="V20" s="27"/>
      <c r="W20" s="24">
        <f t="shared" ref="W20" si="5">M20+T20+U20</f>
        <v>0</v>
      </c>
      <c r="X20" s="50"/>
      <c r="Y20" s="51"/>
      <c r="Z20" s="26">
        <f>F20+L20+T20+U20-X20-Y20</f>
        <v>0</v>
      </c>
      <c r="AA20" s="62"/>
      <c r="AB20" s="63"/>
      <c r="AC20" s="66"/>
      <c r="AD20" s="67"/>
      <c r="AE20" s="68"/>
      <c r="AG20" s="6">
        <f>IF(AND(AA20&lt;&gt;"",OR(AA20&lt;EXPEDIENTE!$I$25,AA20&gt;EXPEDIENTE!$I$29)),1,0)</f>
        <v>0</v>
      </c>
      <c r="AH20" s="6">
        <f>IF(AND(AB20&lt;&gt;"",OR(AB20&lt;EXPEDIENTE!$I$25,AB20&gt;EXPEDIENTE!$I$29)),1,0)</f>
        <v>0</v>
      </c>
      <c r="AI20" s="6">
        <f>IF(DATE(YEAR(EXPEDIENTE!$I$25)+1,MONTH(DATEVALUE($C20&amp;"1")),1)&gt;=DATE(YEAR(EXPEDIENTE!$I$25),MONTH(EXPEDIENTE!$I$25),1),0,1)</f>
        <v>0</v>
      </c>
      <c r="AJ20" s="6" t="e">
        <f>IF(DATE(YEAR(EXPEDIENTE!$I$25)+1,MONTH(DATEVALUE($C20&amp;"1")),1)&lt;=DATE(YEAR(EXPEDIENTE!$I$27),MONTH(EXPEDIENTE!$I$27),1),0,1)</f>
        <v>#VALUE!</v>
      </c>
      <c r="AK20" s="6" t="e">
        <f>SUM(AI20:AJ20)</f>
        <v>#VALUE!</v>
      </c>
      <c r="AM20" s="728"/>
      <c r="AN20" s="771" t="s">
        <v>45</v>
      </c>
      <c r="AO20" s="772"/>
      <c r="AP20" s="719"/>
      <c r="AQ20" s="720"/>
      <c r="AR20" s="299">
        <f t="shared" ref="AR20:AR31" si="6">IF(E20="",0,E20)</f>
        <v>0</v>
      </c>
      <c r="AS20" s="522"/>
      <c r="AT20" s="300">
        <f>IF(AS20="",AR20,AS20)</f>
        <v>0</v>
      </c>
      <c r="AU20" s="301">
        <f t="shared" ref="AU20:AU31" si="7">IF(F20="",0,F20)</f>
        <v>0</v>
      </c>
      <c r="AV20" s="523"/>
      <c r="AW20" s="302">
        <f>IF(AV20="",AU20,AV20)</f>
        <v>0</v>
      </c>
      <c r="AX20" s="301">
        <f t="shared" ref="AX20:AX31" si="8">IF(G20="",0,G20)</f>
        <v>0</v>
      </c>
      <c r="AY20" s="524"/>
      <c r="AZ20" s="303">
        <f>IF(AY20="",AX20,AY20)</f>
        <v>0</v>
      </c>
      <c r="BA20" s="303">
        <f t="shared" ref="BA20:BA31" si="9">IF(H20="",0,H20)</f>
        <v>0</v>
      </c>
      <c r="BB20" s="524"/>
      <c r="BC20" s="303">
        <f>IF(BB20="",BA20,BB20)</f>
        <v>0</v>
      </c>
      <c r="BD20" s="303">
        <f t="shared" ref="BD20:BD31" si="10">IF(I20="",0,I20)</f>
        <v>0</v>
      </c>
      <c r="BE20" s="524"/>
      <c r="BF20" s="303">
        <f>IF(BE20="",BD20,BE20)</f>
        <v>0</v>
      </c>
      <c r="BG20" s="303">
        <f t="shared" ref="BG20:BG31" si="11">IF(J20="",0,J20)</f>
        <v>0</v>
      </c>
      <c r="BH20" s="524"/>
      <c r="BI20" s="303">
        <f>IF(BH20="",BG20,BH20)</f>
        <v>0</v>
      </c>
      <c r="BJ20" s="303">
        <f t="shared" ref="BJ20:BJ31" si="12">IF(K20="",0,K20)</f>
        <v>0</v>
      </c>
      <c r="BK20" s="524"/>
      <c r="BL20" s="303">
        <f>IF(BK20="",BJ20,BK20)</f>
        <v>0</v>
      </c>
      <c r="BM20" s="304">
        <f>AZ20+BC20+BF20+BI20+BL20</f>
        <v>0</v>
      </c>
      <c r="BN20" s="305">
        <f>AW20+BM20</f>
        <v>0</v>
      </c>
      <c r="BO20" s="306"/>
      <c r="BP20" s="301">
        <f t="shared" ref="BP20:BP31" si="13">IF(O20="",0,O20)</f>
        <v>0</v>
      </c>
      <c r="BQ20" s="523"/>
      <c r="BR20" s="307">
        <f>IF(BQ20="",BP20,BQ20)</f>
        <v>0</v>
      </c>
      <c r="BS20" s="303">
        <f t="shared" ref="BS20:BS31" si="14">IF(P20="",0,P20)</f>
        <v>0</v>
      </c>
      <c r="BT20" s="524"/>
      <c r="BU20" s="303">
        <f>IF(BT20="",BS20,BT20)</f>
        <v>0</v>
      </c>
      <c r="BV20" s="303">
        <f t="shared" ref="BV20:BV31" si="15">IF(Q20="",0,Q20)</f>
        <v>0</v>
      </c>
      <c r="BW20" s="524"/>
      <c r="BX20" s="303">
        <f>IF(BW20="",BV20,BW20)</f>
        <v>0</v>
      </c>
      <c r="BY20" s="303">
        <f t="shared" ref="BY20:BY31" si="16">IF(R20="",0,R20)</f>
        <v>0</v>
      </c>
      <c r="BZ20" s="524"/>
      <c r="CA20" s="303">
        <f>IF(BZ20="",BY20,BZ20)</f>
        <v>0</v>
      </c>
      <c r="CB20" s="303">
        <f t="shared" ref="CB20:CB31" si="17">IF(S20="",0,S20)</f>
        <v>0</v>
      </c>
      <c r="CC20" s="524"/>
      <c r="CD20" s="303">
        <f>IF(CC20="",CB20,CC20)</f>
        <v>0</v>
      </c>
      <c r="CE20" s="304">
        <f>BR20+BU20+BX20+CA20+CD20</f>
        <v>0</v>
      </c>
      <c r="CF20" s="308">
        <f t="shared" ref="CF20:CF31" si="18">IF(U20="",0,U20)</f>
        <v>0</v>
      </c>
      <c r="CG20" s="525"/>
      <c r="CH20" s="309">
        <f>IF(CG20="",CF20,CG20)</f>
        <v>0</v>
      </c>
      <c r="CI20" s="310"/>
      <c r="CJ20" s="311">
        <f>BN20+CE20+CH20</f>
        <v>0</v>
      </c>
      <c r="CK20" s="301">
        <f t="shared" ref="CK20:CK31" si="19">IF(X20="",0,X20)</f>
        <v>0</v>
      </c>
      <c r="CL20" s="523"/>
      <c r="CM20" s="302">
        <f>IF(CL20="",CK20,CL20)</f>
        <v>0</v>
      </c>
      <c r="CN20" s="308">
        <f t="shared" ref="CN20:CN31" si="20">IF(Y20="",0,Y20)</f>
        <v>0</v>
      </c>
      <c r="CO20" s="525"/>
      <c r="CP20" s="309">
        <f>IF(CO20="",CN20,CO20)</f>
        <v>0</v>
      </c>
      <c r="CQ20" s="312">
        <f>AW20+BM20+CE20+CH20-CM20-CP20</f>
        <v>0</v>
      </c>
      <c r="CR20" s="313" t="str">
        <f t="shared" ref="CR20:CR31" si="21">IF(AA20="","",AA20)</f>
        <v/>
      </c>
      <c r="CS20" s="526"/>
      <c r="CT20" s="314" t="str">
        <f>IF(CS20="",CR20,CS20)</f>
        <v/>
      </c>
      <c r="CU20" s="315" t="str">
        <f t="shared" ref="CU20:CU31" si="22">IF(AB20="","",AB20)</f>
        <v/>
      </c>
      <c r="CV20" s="236"/>
      <c r="CW20" s="316" t="str">
        <f>IF(CV20="",CU20,CV20)</f>
        <v/>
      </c>
      <c r="CX20" s="317" t="str">
        <f>IF(DD20=0,"",DD20)</f>
        <v/>
      </c>
      <c r="CY20" s="527"/>
      <c r="DA20" s="6">
        <f>IF(AND(CT20&lt;&gt;"",OR(CT20&lt;EXPEDIENTE!$I$25,CT20&gt;EXPEDIENTE!$I$29)),1,0)</f>
        <v>0</v>
      </c>
      <c r="DB20" s="6">
        <f>IF(AND(CW20&lt;&gt;"",OR(CW20&lt;EXPEDIENTE!$I$25,CW20&gt;EXPEDIENTE!$I$29)),1,0)</f>
        <v>0</v>
      </c>
      <c r="DD20" s="88">
        <f t="shared" ref="DD20:DD31" si="23">SUM(DE20:DU20)</f>
        <v>0</v>
      </c>
      <c r="DE20" s="88">
        <f>IF(AS20="",0,1)</f>
        <v>0</v>
      </c>
      <c r="DF20" s="88">
        <f>IF(AV20="",0,1)</f>
        <v>0</v>
      </c>
      <c r="DG20" s="88">
        <f>IF(AY20="",0,1)</f>
        <v>0</v>
      </c>
      <c r="DH20" s="88">
        <f>IF(BB20="",0,1)</f>
        <v>0</v>
      </c>
      <c r="DI20" s="88">
        <f>IF(BE20="",0,1)</f>
        <v>0</v>
      </c>
      <c r="DJ20" s="88">
        <f>IF(BH20="",0,1)</f>
        <v>0</v>
      </c>
      <c r="DK20" s="88">
        <f>IF(BK20="",0,1)</f>
        <v>0</v>
      </c>
      <c r="DL20" s="88">
        <f>IF(BQ20="",0,1)</f>
        <v>0</v>
      </c>
      <c r="DM20" s="88">
        <f>IF(BT20="",0,1)</f>
        <v>0</v>
      </c>
      <c r="DN20" s="88">
        <f>IF(BW20="",0,1)</f>
        <v>0</v>
      </c>
      <c r="DO20" s="88">
        <f>IF(BZ20="",0,1)</f>
        <v>0</v>
      </c>
      <c r="DP20" s="88">
        <f>IF(CC20="",0,1)</f>
        <v>0</v>
      </c>
      <c r="DQ20" s="88">
        <f>IF(CG20="",0,1)</f>
        <v>0</v>
      </c>
      <c r="DR20" s="88">
        <f>IF(CL20="",0,1)</f>
        <v>0</v>
      </c>
      <c r="DS20" s="88">
        <f>IF(CO20="",0,1)</f>
        <v>0</v>
      </c>
      <c r="DT20" s="88">
        <f>IF(CS20="",0,1)</f>
        <v>0</v>
      </c>
      <c r="DU20" s="88">
        <f>IF(CV20="",0,1)</f>
        <v>0</v>
      </c>
      <c r="DW20" s="88">
        <f>IF(CY20&lt;&gt;"",MAX($DW$9:DW19)+1,0)</f>
        <v>0</v>
      </c>
      <c r="DX20" s="182" t="str">
        <f>IF(DW20=0,"",CY20)</f>
        <v/>
      </c>
    </row>
    <row r="21" spans="2:128" ht="30" customHeight="1" x14ac:dyDescent="0.25">
      <c r="B21" s="875"/>
      <c r="C21" s="885" t="s">
        <v>46</v>
      </c>
      <c r="D21" s="886"/>
      <c r="E21" s="52"/>
      <c r="F21" s="53"/>
      <c r="G21" s="54"/>
      <c r="H21" s="54"/>
      <c r="I21" s="54"/>
      <c r="J21" s="54"/>
      <c r="K21" s="54"/>
      <c r="L21" s="23">
        <f t="shared" ref="L21:L31" si="24">SUM(G21:K21)</f>
        <v>0</v>
      </c>
      <c r="M21" s="28">
        <f>F21+L21</f>
        <v>0</v>
      </c>
      <c r="N21" s="25"/>
      <c r="O21" s="53"/>
      <c r="P21" s="54"/>
      <c r="Q21" s="54"/>
      <c r="R21" s="54"/>
      <c r="S21" s="54"/>
      <c r="T21" s="23">
        <f t="shared" ref="T21:T31" si="25">SUM(O21:S21)</f>
        <v>0</v>
      </c>
      <c r="U21" s="60"/>
      <c r="V21" s="27"/>
      <c r="W21" s="28">
        <f>M21+T21+U21</f>
        <v>0</v>
      </c>
      <c r="X21" s="53"/>
      <c r="Y21" s="54"/>
      <c r="Z21" s="23">
        <f t="shared" ref="Z21:Z31" si="26">F21+L21+T21+U21-X21-Y21</f>
        <v>0</v>
      </c>
      <c r="AA21" s="62"/>
      <c r="AB21" s="63"/>
      <c r="AC21" s="69"/>
      <c r="AD21" s="70"/>
      <c r="AE21" s="71"/>
      <c r="AG21" s="6">
        <f>IF(AND(AA21&lt;&gt;"",OR(AA21&lt;EXPEDIENTE!$I$25,AA21&gt;EXPEDIENTE!$I$29)),1,0)</f>
        <v>0</v>
      </c>
      <c r="AH21" s="6">
        <f>IF(AND(AB21&lt;&gt;"",OR(AB21&lt;EXPEDIENTE!$I$25,AB21&gt;EXPEDIENTE!$I$29)),1,0)</f>
        <v>0</v>
      </c>
      <c r="AI21" s="6">
        <f>IF(DATE(YEAR(EXPEDIENTE!$I$25)+1,MONTH(DATEVALUE($C21&amp;"1")),1)&gt;=DATE(YEAR(EXPEDIENTE!$I$25),MONTH(EXPEDIENTE!$I$25),1),0,1)</f>
        <v>0</v>
      </c>
      <c r="AJ21" s="6" t="e">
        <f>IF(DATE(YEAR(EXPEDIENTE!$I$25)+1,MONTH(DATEVALUE($C21&amp;"1")),1)&lt;=DATE(YEAR(EXPEDIENTE!$I$27),MONTH(EXPEDIENTE!$I$27),1),0,1)</f>
        <v>#VALUE!</v>
      </c>
      <c r="AK21" s="6" t="e">
        <f t="shared" ref="AK21:AK31" si="27">SUM(AI21:AJ21)</f>
        <v>#VALUE!</v>
      </c>
      <c r="AM21" s="728"/>
      <c r="AN21" s="723" t="s">
        <v>46</v>
      </c>
      <c r="AO21" s="724"/>
      <c r="AP21" s="719"/>
      <c r="AQ21" s="720"/>
      <c r="AR21" s="319">
        <f t="shared" si="6"/>
        <v>0</v>
      </c>
      <c r="AS21" s="120"/>
      <c r="AT21" s="320">
        <f t="shared" ref="AT21:AT31" si="28">IF(AS21="",AR21,AS21)</f>
        <v>0</v>
      </c>
      <c r="AU21" s="321">
        <f t="shared" si="7"/>
        <v>0</v>
      </c>
      <c r="AV21" s="528"/>
      <c r="AW21" s="322">
        <f t="shared" ref="AW21:AW31" si="29">IF(AV21="",AU21,AV21)</f>
        <v>0</v>
      </c>
      <c r="AX21" s="321">
        <f t="shared" si="8"/>
        <v>0</v>
      </c>
      <c r="AY21" s="529"/>
      <c r="AZ21" s="323">
        <f t="shared" ref="AZ21:AZ31" si="30">IF(AY21="",AX21,AY21)</f>
        <v>0</v>
      </c>
      <c r="BA21" s="323">
        <f t="shared" si="9"/>
        <v>0</v>
      </c>
      <c r="BB21" s="529"/>
      <c r="BC21" s="323">
        <f t="shared" ref="BC21:BC31" si="31">IF(BB21="",BA21,BB21)</f>
        <v>0</v>
      </c>
      <c r="BD21" s="323">
        <f t="shared" si="10"/>
        <v>0</v>
      </c>
      <c r="BE21" s="529"/>
      <c r="BF21" s="323">
        <f t="shared" ref="BF21:BF31" si="32">IF(BE21="",BD21,BE21)</f>
        <v>0</v>
      </c>
      <c r="BG21" s="323">
        <f t="shared" si="11"/>
        <v>0</v>
      </c>
      <c r="BH21" s="529"/>
      <c r="BI21" s="323">
        <f t="shared" ref="BI21:BI31" si="33">IF(BH21="",BG21,BH21)</f>
        <v>0</v>
      </c>
      <c r="BJ21" s="323">
        <f t="shared" si="12"/>
        <v>0</v>
      </c>
      <c r="BK21" s="529"/>
      <c r="BL21" s="323">
        <f t="shared" ref="BL21:BL31" si="34">IF(BK21="",BJ21,BK21)</f>
        <v>0</v>
      </c>
      <c r="BM21" s="304">
        <f t="shared" ref="BM21:BM31" si="35">AZ21+BC21+BF21+BI21+BL21</f>
        <v>0</v>
      </c>
      <c r="BN21" s="324">
        <f t="shared" ref="BN21:BN31" si="36">AW21+BM21</f>
        <v>0</v>
      </c>
      <c r="BO21" s="306"/>
      <c r="BP21" s="321">
        <f t="shared" si="13"/>
        <v>0</v>
      </c>
      <c r="BQ21" s="528"/>
      <c r="BR21" s="325">
        <f t="shared" ref="BR21:BR31" si="37">IF(BQ21="",BP21,BQ21)</f>
        <v>0</v>
      </c>
      <c r="BS21" s="323">
        <f t="shared" si="14"/>
        <v>0</v>
      </c>
      <c r="BT21" s="529"/>
      <c r="BU21" s="323">
        <f t="shared" ref="BU21:BU31" si="38">IF(BT21="",BS21,BT21)</f>
        <v>0</v>
      </c>
      <c r="BV21" s="323">
        <f t="shared" si="15"/>
        <v>0</v>
      </c>
      <c r="BW21" s="529"/>
      <c r="BX21" s="323">
        <f t="shared" ref="BX21:BX31" si="39">IF(BW21="",BV21,BW21)</f>
        <v>0</v>
      </c>
      <c r="BY21" s="323">
        <f t="shared" si="16"/>
        <v>0</v>
      </c>
      <c r="BZ21" s="529"/>
      <c r="CA21" s="323">
        <f t="shared" ref="CA21:CA31" si="40">IF(BZ21="",BY21,BZ21)</f>
        <v>0</v>
      </c>
      <c r="CB21" s="323">
        <f t="shared" si="17"/>
        <v>0</v>
      </c>
      <c r="CC21" s="529"/>
      <c r="CD21" s="323">
        <f t="shared" ref="CD21:CD31" si="41">IF(CC21="",CB21,CC21)</f>
        <v>0</v>
      </c>
      <c r="CE21" s="304">
        <f t="shared" ref="CE21:CE31" si="42">BR21+BU21+BX21+CA21+CD21</f>
        <v>0</v>
      </c>
      <c r="CF21" s="321">
        <f t="shared" si="18"/>
        <v>0</v>
      </c>
      <c r="CG21" s="529"/>
      <c r="CH21" s="326">
        <f t="shared" ref="CH21:CH31" si="43">IF(CG21="",CF21,CG21)</f>
        <v>0</v>
      </c>
      <c r="CI21" s="310"/>
      <c r="CJ21" s="327">
        <f t="shared" ref="CJ21:CJ31" si="44">BN21+CE21+CH21</f>
        <v>0</v>
      </c>
      <c r="CK21" s="321">
        <f t="shared" si="19"/>
        <v>0</v>
      </c>
      <c r="CL21" s="528"/>
      <c r="CM21" s="322">
        <f t="shared" ref="CM21:CM31" si="45">IF(CL21="",CK21,CL21)</f>
        <v>0</v>
      </c>
      <c r="CN21" s="321">
        <f t="shared" si="20"/>
        <v>0</v>
      </c>
      <c r="CO21" s="529"/>
      <c r="CP21" s="326">
        <f t="shared" ref="CP21:CP31" si="46">IF(CO21="",CN21,CO21)</f>
        <v>0</v>
      </c>
      <c r="CQ21" s="327">
        <f t="shared" ref="CQ21:CQ31" si="47">AW21+BM21+CE21+CH21-CM21-CP21</f>
        <v>0</v>
      </c>
      <c r="CR21" s="313" t="str">
        <f t="shared" si="21"/>
        <v/>
      </c>
      <c r="CS21" s="526"/>
      <c r="CT21" s="314" t="str">
        <f t="shared" ref="CT21:CT31" si="48">IF(CS21="",CR21,CS21)</f>
        <v/>
      </c>
      <c r="CU21" s="315" t="str">
        <f t="shared" si="22"/>
        <v/>
      </c>
      <c r="CV21" s="236"/>
      <c r="CW21" s="316" t="str">
        <f t="shared" ref="CW21:CW31" si="49">IF(CV21="",CU21,CV21)</f>
        <v/>
      </c>
      <c r="CX21" s="328" t="str">
        <f t="shared" ref="CX21:CX31" si="50">IF(DD21=0,"",DD21)</f>
        <v/>
      </c>
      <c r="CY21" s="530"/>
      <c r="DA21" s="6">
        <f>IF(AND(CT21&lt;&gt;"",OR(CT21&lt;EXPEDIENTE!$I$25,CT21&gt;EXPEDIENTE!$I$29)),1,0)</f>
        <v>0</v>
      </c>
      <c r="DB21" s="6">
        <f>IF(AND(CW21&lt;&gt;"",OR(CW21&lt;EXPEDIENTE!$I$25,CW21&gt;EXPEDIENTE!$I$29)),1,0)</f>
        <v>0</v>
      </c>
      <c r="DD21" s="88">
        <f t="shared" si="23"/>
        <v>0</v>
      </c>
      <c r="DE21" s="88">
        <f t="shared" ref="DE21:DE31" si="51">IF(AS21="",0,1)</f>
        <v>0</v>
      </c>
      <c r="DF21" s="88">
        <f t="shared" ref="DF21:DF31" si="52">IF(AV21="",0,1)</f>
        <v>0</v>
      </c>
      <c r="DG21" s="88">
        <f t="shared" ref="DG21:DG31" si="53">IF(AY21="",0,1)</f>
        <v>0</v>
      </c>
      <c r="DH21" s="88">
        <f t="shared" ref="DH21:DH31" si="54">IF(BB21="",0,1)</f>
        <v>0</v>
      </c>
      <c r="DI21" s="88">
        <f t="shared" ref="DI21:DI31" si="55">IF(BE21="",0,1)</f>
        <v>0</v>
      </c>
      <c r="DJ21" s="88">
        <f t="shared" ref="DJ21:DJ31" si="56">IF(BH21="",0,1)</f>
        <v>0</v>
      </c>
      <c r="DK21" s="88">
        <f t="shared" ref="DK21:DK31" si="57">IF(BK21="",0,1)</f>
        <v>0</v>
      </c>
      <c r="DL21" s="88">
        <f t="shared" ref="DL21:DL31" si="58">IF(BQ21="",0,1)</f>
        <v>0</v>
      </c>
      <c r="DM21" s="88">
        <f t="shared" ref="DM21:DM31" si="59">IF(BT21="",0,1)</f>
        <v>0</v>
      </c>
      <c r="DN21" s="88">
        <f t="shared" ref="DN21:DN31" si="60">IF(BW21="",0,1)</f>
        <v>0</v>
      </c>
      <c r="DO21" s="88">
        <f t="shared" ref="DO21:DO31" si="61">IF(BZ21="",0,1)</f>
        <v>0</v>
      </c>
      <c r="DP21" s="88">
        <f t="shared" ref="DP21:DP31" si="62">IF(CC21="",0,1)</f>
        <v>0</v>
      </c>
      <c r="DQ21" s="88">
        <f t="shared" ref="DQ21:DQ31" si="63">IF(CG21="",0,1)</f>
        <v>0</v>
      </c>
      <c r="DR21" s="88">
        <f t="shared" ref="DR21:DR31" si="64">IF(CL21="",0,1)</f>
        <v>0</v>
      </c>
      <c r="DS21" s="88">
        <f t="shared" ref="DS21:DS31" si="65">IF(CO21="",0,1)</f>
        <v>0</v>
      </c>
      <c r="DT21" s="88">
        <f t="shared" ref="DT21:DT31" si="66">IF(CS21="",0,1)</f>
        <v>0</v>
      </c>
      <c r="DU21" s="88">
        <f t="shared" ref="DU21:DU31" si="67">IF(CV21="",0,1)</f>
        <v>0</v>
      </c>
      <c r="DW21" s="88">
        <f>IF(CY21&lt;&gt;"",MAX($DW$9:DW20)+1,0)</f>
        <v>0</v>
      </c>
      <c r="DX21" s="182" t="str">
        <f t="shared" ref="DX21:DX31" si="68">IF(DW21=0,"",CY21)</f>
        <v/>
      </c>
    </row>
    <row r="22" spans="2:128" ht="30" customHeight="1" x14ac:dyDescent="0.25">
      <c r="B22" s="875"/>
      <c r="C22" s="885" t="s">
        <v>47</v>
      </c>
      <c r="D22" s="886"/>
      <c r="E22" s="52"/>
      <c r="F22" s="53"/>
      <c r="G22" s="54"/>
      <c r="H22" s="54"/>
      <c r="I22" s="54"/>
      <c r="J22" s="54"/>
      <c r="K22" s="54"/>
      <c r="L22" s="23">
        <f t="shared" si="24"/>
        <v>0</v>
      </c>
      <c r="M22" s="28">
        <f t="shared" ref="M22:M31" si="69">F22+L22</f>
        <v>0</v>
      </c>
      <c r="N22" s="25"/>
      <c r="O22" s="53"/>
      <c r="P22" s="54"/>
      <c r="Q22" s="54"/>
      <c r="R22" s="54"/>
      <c r="S22" s="54"/>
      <c r="T22" s="23">
        <f t="shared" si="25"/>
        <v>0</v>
      </c>
      <c r="U22" s="60"/>
      <c r="V22" s="27"/>
      <c r="W22" s="28">
        <f t="shared" ref="W22:W31" si="70">M22+T22+U22</f>
        <v>0</v>
      </c>
      <c r="X22" s="53"/>
      <c r="Y22" s="54"/>
      <c r="Z22" s="23">
        <f t="shared" si="26"/>
        <v>0</v>
      </c>
      <c r="AA22" s="62"/>
      <c r="AB22" s="63"/>
      <c r="AC22" s="69"/>
      <c r="AD22" s="70"/>
      <c r="AE22" s="71"/>
      <c r="AG22" s="6">
        <f>IF(AND(AA22&lt;&gt;"",OR(AA22&lt;EXPEDIENTE!$I$25,AA22&gt;EXPEDIENTE!$I$29)),1,0)</f>
        <v>0</v>
      </c>
      <c r="AH22" s="6">
        <f>IF(AND(AB22&lt;&gt;"",OR(AB22&lt;EXPEDIENTE!$I$25,AB22&gt;EXPEDIENTE!$I$29)),1,0)</f>
        <v>0</v>
      </c>
      <c r="AI22" s="6">
        <f>IF(DATE(YEAR(EXPEDIENTE!$I$25)+1,MONTH(DATEVALUE($C22&amp;"1")),1)&gt;=DATE(YEAR(EXPEDIENTE!$I$25),MONTH(EXPEDIENTE!$I$25),1),0,1)</f>
        <v>0</v>
      </c>
      <c r="AJ22" s="6" t="e">
        <f>IF(DATE(YEAR(EXPEDIENTE!$I$25)+1,MONTH(DATEVALUE($C22&amp;"1")),1)&lt;=DATE(YEAR(EXPEDIENTE!$I$27),MONTH(EXPEDIENTE!$I$27),1),0,1)</f>
        <v>#VALUE!</v>
      </c>
      <c r="AK22" s="6" t="e">
        <f t="shared" si="27"/>
        <v>#VALUE!</v>
      </c>
      <c r="AM22" s="728"/>
      <c r="AN22" s="723" t="s">
        <v>47</v>
      </c>
      <c r="AO22" s="724"/>
      <c r="AP22" s="719"/>
      <c r="AQ22" s="720"/>
      <c r="AR22" s="319">
        <f t="shared" si="6"/>
        <v>0</v>
      </c>
      <c r="AS22" s="120"/>
      <c r="AT22" s="320">
        <f t="shared" si="28"/>
        <v>0</v>
      </c>
      <c r="AU22" s="321">
        <f t="shared" si="7"/>
        <v>0</v>
      </c>
      <c r="AV22" s="528"/>
      <c r="AW22" s="322">
        <f t="shared" si="29"/>
        <v>0</v>
      </c>
      <c r="AX22" s="321">
        <f t="shared" si="8"/>
        <v>0</v>
      </c>
      <c r="AY22" s="529"/>
      <c r="AZ22" s="323">
        <f t="shared" si="30"/>
        <v>0</v>
      </c>
      <c r="BA22" s="323">
        <f t="shared" si="9"/>
        <v>0</v>
      </c>
      <c r="BB22" s="529"/>
      <c r="BC22" s="323">
        <f t="shared" si="31"/>
        <v>0</v>
      </c>
      <c r="BD22" s="323">
        <f t="shared" si="10"/>
        <v>0</v>
      </c>
      <c r="BE22" s="529"/>
      <c r="BF22" s="323">
        <f t="shared" si="32"/>
        <v>0</v>
      </c>
      <c r="BG22" s="323">
        <f t="shared" si="11"/>
        <v>0</v>
      </c>
      <c r="BH22" s="529"/>
      <c r="BI22" s="323">
        <f t="shared" si="33"/>
        <v>0</v>
      </c>
      <c r="BJ22" s="323">
        <f t="shared" si="12"/>
        <v>0</v>
      </c>
      <c r="BK22" s="529"/>
      <c r="BL22" s="323">
        <f t="shared" si="34"/>
        <v>0</v>
      </c>
      <c r="BM22" s="304">
        <f t="shared" si="35"/>
        <v>0</v>
      </c>
      <c r="BN22" s="324">
        <f t="shared" si="36"/>
        <v>0</v>
      </c>
      <c r="BO22" s="306"/>
      <c r="BP22" s="321">
        <f t="shared" si="13"/>
        <v>0</v>
      </c>
      <c r="BQ22" s="528"/>
      <c r="BR22" s="325">
        <f t="shared" si="37"/>
        <v>0</v>
      </c>
      <c r="BS22" s="323">
        <f t="shared" si="14"/>
        <v>0</v>
      </c>
      <c r="BT22" s="529"/>
      <c r="BU22" s="323">
        <f t="shared" si="38"/>
        <v>0</v>
      </c>
      <c r="BV22" s="323">
        <f t="shared" si="15"/>
        <v>0</v>
      </c>
      <c r="BW22" s="529"/>
      <c r="BX22" s="323">
        <f t="shared" si="39"/>
        <v>0</v>
      </c>
      <c r="BY22" s="323">
        <f t="shared" si="16"/>
        <v>0</v>
      </c>
      <c r="BZ22" s="529"/>
      <c r="CA22" s="323">
        <f t="shared" si="40"/>
        <v>0</v>
      </c>
      <c r="CB22" s="323">
        <f t="shared" si="17"/>
        <v>0</v>
      </c>
      <c r="CC22" s="529"/>
      <c r="CD22" s="323">
        <f t="shared" si="41"/>
        <v>0</v>
      </c>
      <c r="CE22" s="304">
        <f t="shared" si="42"/>
        <v>0</v>
      </c>
      <c r="CF22" s="321">
        <f t="shared" si="18"/>
        <v>0</v>
      </c>
      <c r="CG22" s="529"/>
      <c r="CH22" s="326">
        <f t="shared" si="43"/>
        <v>0</v>
      </c>
      <c r="CI22" s="310"/>
      <c r="CJ22" s="327">
        <f t="shared" si="44"/>
        <v>0</v>
      </c>
      <c r="CK22" s="321">
        <f t="shared" si="19"/>
        <v>0</v>
      </c>
      <c r="CL22" s="528"/>
      <c r="CM22" s="322">
        <f t="shared" si="45"/>
        <v>0</v>
      </c>
      <c r="CN22" s="321">
        <f t="shared" si="20"/>
        <v>0</v>
      </c>
      <c r="CO22" s="529"/>
      <c r="CP22" s="326">
        <f t="shared" si="46"/>
        <v>0</v>
      </c>
      <c r="CQ22" s="327">
        <f t="shared" si="47"/>
        <v>0</v>
      </c>
      <c r="CR22" s="313" t="str">
        <f t="shared" si="21"/>
        <v/>
      </c>
      <c r="CS22" s="526"/>
      <c r="CT22" s="314" t="str">
        <f t="shared" si="48"/>
        <v/>
      </c>
      <c r="CU22" s="315" t="str">
        <f t="shared" si="22"/>
        <v/>
      </c>
      <c r="CV22" s="236"/>
      <c r="CW22" s="316" t="str">
        <f t="shared" si="49"/>
        <v/>
      </c>
      <c r="CX22" s="328" t="str">
        <f t="shared" si="50"/>
        <v/>
      </c>
      <c r="CY22" s="530"/>
      <c r="DA22" s="6">
        <f>IF(AND(CT22&lt;&gt;"",OR(CT22&lt;EXPEDIENTE!$I$25,CT22&gt;EXPEDIENTE!$I$29)),1,0)</f>
        <v>0</v>
      </c>
      <c r="DB22" s="6">
        <f>IF(AND(CW22&lt;&gt;"",OR(CW22&lt;EXPEDIENTE!$I$25,CW22&gt;EXPEDIENTE!$I$29)),1,0)</f>
        <v>0</v>
      </c>
      <c r="DD22" s="88">
        <f t="shared" si="23"/>
        <v>0</v>
      </c>
      <c r="DE22" s="88">
        <f t="shared" si="51"/>
        <v>0</v>
      </c>
      <c r="DF22" s="88">
        <f t="shared" si="52"/>
        <v>0</v>
      </c>
      <c r="DG22" s="88">
        <f t="shared" si="53"/>
        <v>0</v>
      </c>
      <c r="DH22" s="88">
        <f t="shared" si="54"/>
        <v>0</v>
      </c>
      <c r="DI22" s="88">
        <f t="shared" si="55"/>
        <v>0</v>
      </c>
      <c r="DJ22" s="88">
        <f t="shared" si="56"/>
        <v>0</v>
      </c>
      <c r="DK22" s="88">
        <f t="shared" si="57"/>
        <v>0</v>
      </c>
      <c r="DL22" s="88">
        <f t="shared" si="58"/>
        <v>0</v>
      </c>
      <c r="DM22" s="88">
        <f t="shared" si="59"/>
        <v>0</v>
      </c>
      <c r="DN22" s="88">
        <f t="shared" si="60"/>
        <v>0</v>
      </c>
      <c r="DO22" s="88">
        <f t="shared" si="61"/>
        <v>0</v>
      </c>
      <c r="DP22" s="88">
        <f t="shared" si="62"/>
        <v>0</v>
      </c>
      <c r="DQ22" s="88">
        <f t="shared" si="63"/>
        <v>0</v>
      </c>
      <c r="DR22" s="88">
        <f t="shared" si="64"/>
        <v>0</v>
      </c>
      <c r="DS22" s="88">
        <f t="shared" si="65"/>
        <v>0</v>
      </c>
      <c r="DT22" s="88">
        <f t="shared" si="66"/>
        <v>0</v>
      </c>
      <c r="DU22" s="88">
        <f t="shared" si="67"/>
        <v>0</v>
      </c>
      <c r="DW22" s="88">
        <f>IF(CY22&lt;&gt;"",MAX($DW$9:DW21)+1,0)</f>
        <v>0</v>
      </c>
      <c r="DX22" s="182" t="str">
        <f t="shared" si="68"/>
        <v/>
      </c>
    </row>
    <row r="23" spans="2:128" ht="30" customHeight="1" x14ac:dyDescent="0.25">
      <c r="B23" s="875"/>
      <c r="C23" s="885" t="s">
        <v>48</v>
      </c>
      <c r="D23" s="886"/>
      <c r="E23" s="52"/>
      <c r="F23" s="53"/>
      <c r="G23" s="54"/>
      <c r="H23" s="54"/>
      <c r="I23" s="54"/>
      <c r="J23" s="54"/>
      <c r="K23" s="54"/>
      <c r="L23" s="23">
        <f t="shared" si="24"/>
        <v>0</v>
      </c>
      <c r="M23" s="28">
        <f t="shared" si="69"/>
        <v>0</v>
      </c>
      <c r="N23" s="25"/>
      <c r="O23" s="53"/>
      <c r="P23" s="54"/>
      <c r="Q23" s="54"/>
      <c r="R23" s="54"/>
      <c r="S23" s="54"/>
      <c r="T23" s="23">
        <f t="shared" si="25"/>
        <v>0</v>
      </c>
      <c r="U23" s="60"/>
      <c r="V23" s="27"/>
      <c r="W23" s="28">
        <f t="shared" si="70"/>
        <v>0</v>
      </c>
      <c r="X23" s="53"/>
      <c r="Y23" s="54"/>
      <c r="Z23" s="23">
        <f t="shared" si="26"/>
        <v>0</v>
      </c>
      <c r="AA23" s="62"/>
      <c r="AB23" s="63"/>
      <c r="AC23" s="69"/>
      <c r="AD23" s="70"/>
      <c r="AE23" s="71"/>
      <c r="AG23" s="6">
        <f>IF(AND(AA23&lt;&gt;"",OR(AA23&lt;EXPEDIENTE!$I$25,AA23&gt;EXPEDIENTE!$I$29)),1,0)</f>
        <v>0</v>
      </c>
      <c r="AH23" s="6">
        <f>IF(AND(AB23&lt;&gt;"",OR(AB23&lt;EXPEDIENTE!$I$25,AB23&gt;EXPEDIENTE!$I$29)),1,0)</f>
        <v>0</v>
      </c>
      <c r="AI23" s="6">
        <f>IF(DATE(YEAR(EXPEDIENTE!$I$25)+1,MONTH(DATEVALUE($C23&amp;"1")),1)&gt;=DATE(YEAR(EXPEDIENTE!$I$25),MONTH(EXPEDIENTE!$I$25),1),0,1)</f>
        <v>0</v>
      </c>
      <c r="AJ23" s="6" t="e">
        <f>IF(DATE(YEAR(EXPEDIENTE!$I$25)+1,MONTH(DATEVALUE($C23&amp;"1")),1)&lt;=DATE(YEAR(EXPEDIENTE!$I$27),MONTH(EXPEDIENTE!$I$27),1),0,1)</f>
        <v>#VALUE!</v>
      </c>
      <c r="AK23" s="6" t="e">
        <f t="shared" si="27"/>
        <v>#VALUE!</v>
      </c>
      <c r="AM23" s="728"/>
      <c r="AN23" s="723" t="s">
        <v>48</v>
      </c>
      <c r="AO23" s="724"/>
      <c r="AP23" s="719"/>
      <c r="AQ23" s="720"/>
      <c r="AR23" s="319">
        <f t="shared" si="6"/>
        <v>0</v>
      </c>
      <c r="AS23" s="120"/>
      <c r="AT23" s="320">
        <f t="shared" si="28"/>
        <v>0</v>
      </c>
      <c r="AU23" s="321">
        <f t="shared" si="7"/>
        <v>0</v>
      </c>
      <c r="AV23" s="528"/>
      <c r="AW23" s="322">
        <f t="shared" si="29"/>
        <v>0</v>
      </c>
      <c r="AX23" s="321">
        <f t="shared" si="8"/>
        <v>0</v>
      </c>
      <c r="AY23" s="529"/>
      <c r="AZ23" s="323">
        <f t="shared" si="30"/>
        <v>0</v>
      </c>
      <c r="BA23" s="323">
        <f t="shared" si="9"/>
        <v>0</v>
      </c>
      <c r="BB23" s="529"/>
      <c r="BC23" s="323">
        <f t="shared" si="31"/>
        <v>0</v>
      </c>
      <c r="BD23" s="323">
        <f t="shared" si="10"/>
        <v>0</v>
      </c>
      <c r="BE23" s="529"/>
      <c r="BF23" s="323">
        <f t="shared" si="32"/>
        <v>0</v>
      </c>
      <c r="BG23" s="323">
        <f t="shared" si="11"/>
        <v>0</v>
      </c>
      <c r="BH23" s="529"/>
      <c r="BI23" s="323">
        <f t="shared" si="33"/>
        <v>0</v>
      </c>
      <c r="BJ23" s="323">
        <f t="shared" si="12"/>
        <v>0</v>
      </c>
      <c r="BK23" s="529"/>
      <c r="BL23" s="323">
        <f t="shared" si="34"/>
        <v>0</v>
      </c>
      <c r="BM23" s="304">
        <f t="shared" si="35"/>
        <v>0</v>
      </c>
      <c r="BN23" s="324">
        <f t="shared" si="36"/>
        <v>0</v>
      </c>
      <c r="BO23" s="306"/>
      <c r="BP23" s="321">
        <f t="shared" si="13"/>
        <v>0</v>
      </c>
      <c r="BQ23" s="528"/>
      <c r="BR23" s="325">
        <f t="shared" si="37"/>
        <v>0</v>
      </c>
      <c r="BS23" s="323">
        <f t="shared" si="14"/>
        <v>0</v>
      </c>
      <c r="BT23" s="529"/>
      <c r="BU23" s="323">
        <f t="shared" si="38"/>
        <v>0</v>
      </c>
      <c r="BV23" s="323">
        <f t="shared" si="15"/>
        <v>0</v>
      </c>
      <c r="BW23" s="529"/>
      <c r="BX23" s="323">
        <f t="shared" si="39"/>
        <v>0</v>
      </c>
      <c r="BY23" s="323">
        <f t="shared" si="16"/>
        <v>0</v>
      </c>
      <c r="BZ23" s="529"/>
      <c r="CA23" s="323">
        <f t="shared" si="40"/>
        <v>0</v>
      </c>
      <c r="CB23" s="323">
        <f t="shared" si="17"/>
        <v>0</v>
      </c>
      <c r="CC23" s="529"/>
      <c r="CD23" s="323">
        <f t="shared" si="41"/>
        <v>0</v>
      </c>
      <c r="CE23" s="304">
        <f t="shared" si="42"/>
        <v>0</v>
      </c>
      <c r="CF23" s="321">
        <f t="shared" si="18"/>
        <v>0</v>
      </c>
      <c r="CG23" s="529"/>
      <c r="CH23" s="326">
        <f t="shared" si="43"/>
        <v>0</v>
      </c>
      <c r="CI23" s="310"/>
      <c r="CJ23" s="327">
        <f t="shared" si="44"/>
        <v>0</v>
      </c>
      <c r="CK23" s="321">
        <f t="shared" si="19"/>
        <v>0</v>
      </c>
      <c r="CL23" s="528"/>
      <c r="CM23" s="322">
        <f t="shared" si="45"/>
        <v>0</v>
      </c>
      <c r="CN23" s="321">
        <f t="shared" si="20"/>
        <v>0</v>
      </c>
      <c r="CO23" s="529"/>
      <c r="CP23" s="326">
        <f t="shared" si="46"/>
        <v>0</v>
      </c>
      <c r="CQ23" s="327">
        <f t="shared" si="47"/>
        <v>0</v>
      </c>
      <c r="CR23" s="313" t="str">
        <f t="shared" si="21"/>
        <v/>
      </c>
      <c r="CS23" s="526"/>
      <c r="CT23" s="314" t="str">
        <f t="shared" si="48"/>
        <v/>
      </c>
      <c r="CU23" s="315" t="str">
        <f t="shared" si="22"/>
        <v/>
      </c>
      <c r="CV23" s="236"/>
      <c r="CW23" s="316" t="str">
        <f t="shared" si="49"/>
        <v/>
      </c>
      <c r="CX23" s="328" t="str">
        <f t="shared" si="50"/>
        <v/>
      </c>
      <c r="CY23" s="530"/>
      <c r="DA23" s="6">
        <f>IF(AND(CT23&lt;&gt;"",OR(CT23&lt;EXPEDIENTE!$I$25,CT23&gt;EXPEDIENTE!$I$29)),1,0)</f>
        <v>0</v>
      </c>
      <c r="DB23" s="6">
        <f>IF(AND(CW23&lt;&gt;"",OR(CW23&lt;EXPEDIENTE!$I$25,CW23&gt;EXPEDIENTE!$I$29)),1,0)</f>
        <v>0</v>
      </c>
      <c r="DD23" s="88">
        <f t="shared" si="23"/>
        <v>0</v>
      </c>
      <c r="DE23" s="88">
        <f t="shared" si="51"/>
        <v>0</v>
      </c>
      <c r="DF23" s="88">
        <f t="shared" si="52"/>
        <v>0</v>
      </c>
      <c r="DG23" s="88">
        <f t="shared" si="53"/>
        <v>0</v>
      </c>
      <c r="DH23" s="88">
        <f t="shared" si="54"/>
        <v>0</v>
      </c>
      <c r="DI23" s="88">
        <f t="shared" si="55"/>
        <v>0</v>
      </c>
      <c r="DJ23" s="88">
        <f t="shared" si="56"/>
        <v>0</v>
      </c>
      <c r="DK23" s="88">
        <f t="shared" si="57"/>
        <v>0</v>
      </c>
      <c r="DL23" s="88">
        <f t="shared" si="58"/>
        <v>0</v>
      </c>
      <c r="DM23" s="88">
        <f t="shared" si="59"/>
        <v>0</v>
      </c>
      <c r="DN23" s="88">
        <f t="shared" si="60"/>
        <v>0</v>
      </c>
      <c r="DO23" s="88">
        <f t="shared" si="61"/>
        <v>0</v>
      </c>
      <c r="DP23" s="88">
        <f t="shared" si="62"/>
        <v>0</v>
      </c>
      <c r="DQ23" s="88">
        <f t="shared" si="63"/>
        <v>0</v>
      </c>
      <c r="DR23" s="88">
        <f t="shared" si="64"/>
        <v>0</v>
      </c>
      <c r="DS23" s="88">
        <f t="shared" si="65"/>
        <v>0</v>
      </c>
      <c r="DT23" s="88">
        <f t="shared" si="66"/>
        <v>0</v>
      </c>
      <c r="DU23" s="88">
        <f t="shared" si="67"/>
        <v>0</v>
      </c>
      <c r="DW23" s="88">
        <f>IF(CY23&lt;&gt;"",MAX($DW$9:DW22)+1,0)</f>
        <v>0</v>
      </c>
      <c r="DX23" s="182" t="str">
        <f t="shared" si="68"/>
        <v/>
      </c>
    </row>
    <row r="24" spans="2:128" ht="30" customHeight="1" x14ac:dyDescent="0.25">
      <c r="B24" s="875"/>
      <c r="C24" s="885" t="s">
        <v>49</v>
      </c>
      <c r="D24" s="886"/>
      <c r="E24" s="52"/>
      <c r="F24" s="53"/>
      <c r="G24" s="54"/>
      <c r="H24" s="54"/>
      <c r="I24" s="54"/>
      <c r="J24" s="54"/>
      <c r="K24" s="54"/>
      <c r="L24" s="23">
        <f t="shared" si="24"/>
        <v>0</v>
      </c>
      <c r="M24" s="28">
        <f t="shared" si="69"/>
        <v>0</v>
      </c>
      <c r="N24" s="25"/>
      <c r="O24" s="53"/>
      <c r="P24" s="54"/>
      <c r="Q24" s="54"/>
      <c r="R24" s="54"/>
      <c r="S24" s="54"/>
      <c r="T24" s="23">
        <f t="shared" si="25"/>
        <v>0</v>
      </c>
      <c r="U24" s="60"/>
      <c r="V24" s="27"/>
      <c r="W24" s="28">
        <f t="shared" si="70"/>
        <v>0</v>
      </c>
      <c r="X24" s="53"/>
      <c r="Y24" s="54"/>
      <c r="Z24" s="23">
        <f t="shared" si="26"/>
        <v>0</v>
      </c>
      <c r="AA24" s="62"/>
      <c r="AB24" s="63"/>
      <c r="AC24" s="69"/>
      <c r="AD24" s="70"/>
      <c r="AE24" s="71"/>
      <c r="AG24" s="6">
        <f>IF(AND(AA24&lt;&gt;"",OR(AA24&lt;EXPEDIENTE!$I$25,AA24&gt;EXPEDIENTE!$I$29)),1,0)</f>
        <v>0</v>
      </c>
      <c r="AH24" s="6">
        <f>IF(AND(AB24&lt;&gt;"",OR(AB24&lt;EXPEDIENTE!$I$25,AB24&gt;EXPEDIENTE!$I$29)),1,0)</f>
        <v>0</v>
      </c>
      <c r="AI24" s="6">
        <f>IF(DATE(YEAR(EXPEDIENTE!$I$25)+1,MONTH(DATEVALUE($C24&amp;"1")),1)&gt;=DATE(YEAR(EXPEDIENTE!$I$25),MONTH(EXPEDIENTE!$I$25),1),0,1)</f>
        <v>0</v>
      </c>
      <c r="AJ24" s="6" t="e">
        <f>IF(DATE(YEAR(EXPEDIENTE!$I$25)+1,MONTH(DATEVALUE($C24&amp;"1")),1)&lt;=DATE(YEAR(EXPEDIENTE!$I$27),MONTH(EXPEDIENTE!$I$27),1),0,1)</f>
        <v>#VALUE!</v>
      </c>
      <c r="AK24" s="6" t="e">
        <f t="shared" si="27"/>
        <v>#VALUE!</v>
      </c>
      <c r="AM24" s="728"/>
      <c r="AN24" s="723" t="s">
        <v>49</v>
      </c>
      <c r="AO24" s="724"/>
      <c r="AP24" s="719"/>
      <c r="AQ24" s="720"/>
      <c r="AR24" s="319">
        <f t="shared" si="6"/>
        <v>0</v>
      </c>
      <c r="AS24" s="120"/>
      <c r="AT24" s="320">
        <f t="shared" si="28"/>
        <v>0</v>
      </c>
      <c r="AU24" s="321">
        <f t="shared" si="7"/>
        <v>0</v>
      </c>
      <c r="AV24" s="528"/>
      <c r="AW24" s="322">
        <f t="shared" si="29"/>
        <v>0</v>
      </c>
      <c r="AX24" s="321">
        <f t="shared" si="8"/>
        <v>0</v>
      </c>
      <c r="AY24" s="529"/>
      <c r="AZ24" s="323">
        <f t="shared" si="30"/>
        <v>0</v>
      </c>
      <c r="BA24" s="323">
        <f t="shared" si="9"/>
        <v>0</v>
      </c>
      <c r="BB24" s="529"/>
      <c r="BC24" s="323">
        <f t="shared" si="31"/>
        <v>0</v>
      </c>
      <c r="BD24" s="323">
        <f t="shared" si="10"/>
        <v>0</v>
      </c>
      <c r="BE24" s="529"/>
      <c r="BF24" s="323">
        <f t="shared" si="32"/>
        <v>0</v>
      </c>
      <c r="BG24" s="323">
        <f t="shared" si="11"/>
        <v>0</v>
      </c>
      <c r="BH24" s="529"/>
      <c r="BI24" s="323">
        <f t="shared" si="33"/>
        <v>0</v>
      </c>
      <c r="BJ24" s="323">
        <f t="shared" si="12"/>
        <v>0</v>
      </c>
      <c r="BK24" s="529"/>
      <c r="BL24" s="323">
        <f t="shared" si="34"/>
        <v>0</v>
      </c>
      <c r="BM24" s="304">
        <f t="shared" si="35"/>
        <v>0</v>
      </c>
      <c r="BN24" s="324">
        <f t="shared" si="36"/>
        <v>0</v>
      </c>
      <c r="BO24" s="306"/>
      <c r="BP24" s="321">
        <f t="shared" si="13"/>
        <v>0</v>
      </c>
      <c r="BQ24" s="528"/>
      <c r="BR24" s="325">
        <f t="shared" si="37"/>
        <v>0</v>
      </c>
      <c r="BS24" s="323">
        <f t="shared" si="14"/>
        <v>0</v>
      </c>
      <c r="BT24" s="529"/>
      <c r="BU24" s="323">
        <f t="shared" si="38"/>
        <v>0</v>
      </c>
      <c r="BV24" s="323">
        <f t="shared" si="15"/>
        <v>0</v>
      </c>
      <c r="BW24" s="529"/>
      <c r="BX24" s="323">
        <f t="shared" si="39"/>
        <v>0</v>
      </c>
      <c r="BY24" s="323">
        <f t="shared" si="16"/>
        <v>0</v>
      </c>
      <c r="BZ24" s="529"/>
      <c r="CA24" s="323">
        <f t="shared" si="40"/>
        <v>0</v>
      </c>
      <c r="CB24" s="323">
        <f t="shared" si="17"/>
        <v>0</v>
      </c>
      <c r="CC24" s="529"/>
      <c r="CD24" s="323">
        <f t="shared" si="41"/>
        <v>0</v>
      </c>
      <c r="CE24" s="304">
        <f t="shared" si="42"/>
        <v>0</v>
      </c>
      <c r="CF24" s="321">
        <f t="shared" si="18"/>
        <v>0</v>
      </c>
      <c r="CG24" s="529"/>
      <c r="CH24" s="326">
        <f t="shared" si="43"/>
        <v>0</v>
      </c>
      <c r="CI24" s="310"/>
      <c r="CJ24" s="327">
        <f t="shared" si="44"/>
        <v>0</v>
      </c>
      <c r="CK24" s="321">
        <f t="shared" si="19"/>
        <v>0</v>
      </c>
      <c r="CL24" s="528"/>
      <c r="CM24" s="322">
        <f t="shared" si="45"/>
        <v>0</v>
      </c>
      <c r="CN24" s="321">
        <f t="shared" si="20"/>
        <v>0</v>
      </c>
      <c r="CO24" s="529"/>
      <c r="CP24" s="326">
        <f t="shared" si="46"/>
        <v>0</v>
      </c>
      <c r="CQ24" s="327">
        <f t="shared" si="47"/>
        <v>0</v>
      </c>
      <c r="CR24" s="313" t="str">
        <f t="shared" si="21"/>
        <v/>
      </c>
      <c r="CS24" s="526"/>
      <c r="CT24" s="314" t="str">
        <f t="shared" si="48"/>
        <v/>
      </c>
      <c r="CU24" s="315" t="str">
        <f t="shared" si="22"/>
        <v/>
      </c>
      <c r="CV24" s="236"/>
      <c r="CW24" s="316" t="str">
        <f t="shared" si="49"/>
        <v/>
      </c>
      <c r="CX24" s="328" t="str">
        <f t="shared" si="50"/>
        <v/>
      </c>
      <c r="CY24" s="530"/>
      <c r="DA24" s="6">
        <f>IF(AND(CT24&lt;&gt;"",OR(CT24&lt;EXPEDIENTE!$I$25,CT24&gt;EXPEDIENTE!$I$29)),1,0)</f>
        <v>0</v>
      </c>
      <c r="DB24" s="6">
        <f>IF(AND(CW24&lt;&gt;"",OR(CW24&lt;EXPEDIENTE!$I$25,CW24&gt;EXPEDIENTE!$I$29)),1,0)</f>
        <v>0</v>
      </c>
      <c r="DD24" s="88">
        <f t="shared" si="23"/>
        <v>0</v>
      </c>
      <c r="DE24" s="88">
        <f t="shared" si="51"/>
        <v>0</v>
      </c>
      <c r="DF24" s="88">
        <f t="shared" si="52"/>
        <v>0</v>
      </c>
      <c r="DG24" s="88">
        <f t="shared" si="53"/>
        <v>0</v>
      </c>
      <c r="DH24" s="88">
        <f t="shared" si="54"/>
        <v>0</v>
      </c>
      <c r="DI24" s="88">
        <f t="shared" si="55"/>
        <v>0</v>
      </c>
      <c r="DJ24" s="88">
        <f t="shared" si="56"/>
        <v>0</v>
      </c>
      <c r="DK24" s="88">
        <f t="shared" si="57"/>
        <v>0</v>
      </c>
      <c r="DL24" s="88">
        <f t="shared" si="58"/>
        <v>0</v>
      </c>
      <c r="DM24" s="88">
        <f t="shared" si="59"/>
        <v>0</v>
      </c>
      <c r="DN24" s="88">
        <f t="shared" si="60"/>
        <v>0</v>
      </c>
      <c r="DO24" s="88">
        <f t="shared" si="61"/>
        <v>0</v>
      </c>
      <c r="DP24" s="88">
        <f t="shared" si="62"/>
        <v>0</v>
      </c>
      <c r="DQ24" s="88">
        <f t="shared" si="63"/>
        <v>0</v>
      </c>
      <c r="DR24" s="88">
        <f t="shared" si="64"/>
        <v>0</v>
      </c>
      <c r="DS24" s="88">
        <f t="shared" si="65"/>
        <v>0</v>
      </c>
      <c r="DT24" s="88">
        <f t="shared" si="66"/>
        <v>0</v>
      </c>
      <c r="DU24" s="88">
        <f t="shared" si="67"/>
        <v>0</v>
      </c>
      <c r="DW24" s="88">
        <f>IF(CY24&lt;&gt;"",MAX($DW$9:DW23)+1,0)</f>
        <v>0</v>
      </c>
      <c r="DX24" s="182" t="str">
        <f t="shared" si="68"/>
        <v/>
      </c>
    </row>
    <row r="25" spans="2:128" ht="30" customHeight="1" x14ac:dyDescent="0.25">
      <c r="B25" s="875"/>
      <c r="C25" s="885" t="s">
        <v>50</v>
      </c>
      <c r="D25" s="886"/>
      <c r="E25" s="52"/>
      <c r="F25" s="53"/>
      <c r="G25" s="54"/>
      <c r="H25" s="54"/>
      <c r="I25" s="54"/>
      <c r="J25" s="54"/>
      <c r="K25" s="54"/>
      <c r="L25" s="23">
        <f t="shared" si="24"/>
        <v>0</v>
      </c>
      <c r="M25" s="28">
        <f t="shared" si="69"/>
        <v>0</v>
      </c>
      <c r="N25" s="25"/>
      <c r="O25" s="53"/>
      <c r="P25" s="54"/>
      <c r="Q25" s="54"/>
      <c r="R25" s="54"/>
      <c r="S25" s="54"/>
      <c r="T25" s="23">
        <f t="shared" si="25"/>
        <v>0</v>
      </c>
      <c r="U25" s="60"/>
      <c r="V25" s="27"/>
      <c r="W25" s="28">
        <f t="shared" si="70"/>
        <v>0</v>
      </c>
      <c r="X25" s="53"/>
      <c r="Y25" s="54"/>
      <c r="Z25" s="23">
        <f t="shared" si="26"/>
        <v>0</v>
      </c>
      <c r="AA25" s="62"/>
      <c r="AB25" s="63"/>
      <c r="AC25" s="69"/>
      <c r="AD25" s="70"/>
      <c r="AE25" s="71"/>
      <c r="AG25" s="6">
        <f>IF(AND(AA25&lt;&gt;"",OR(AA25&lt;EXPEDIENTE!$I$25,AA25&gt;EXPEDIENTE!$I$29)),1,0)</f>
        <v>0</v>
      </c>
      <c r="AH25" s="6">
        <f>IF(AND(AB25&lt;&gt;"",OR(AB25&lt;EXPEDIENTE!$I$25,AB25&gt;EXPEDIENTE!$I$29)),1,0)</f>
        <v>0</v>
      </c>
      <c r="AI25" s="6">
        <f>IF(DATE(YEAR(EXPEDIENTE!$I$25)+1,MONTH(DATEVALUE($C25&amp;"1")),1)&gt;=DATE(YEAR(EXPEDIENTE!$I$25),MONTH(EXPEDIENTE!$I$25),1),0,1)</f>
        <v>0</v>
      </c>
      <c r="AJ25" s="6" t="e">
        <f>IF(DATE(YEAR(EXPEDIENTE!$I$25)+1,MONTH(DATEVALUE($C25&amp;"1")),1)&lt;=DATE(YEAR(EXPEDIENTE!$I$27),MONTH(EXPEDIENTE!$I$27),1),0,1)</f>
        <v>#VALUE!</v>
      </c>
      <c r="AK25" s="6" t="e">
        <f t="shared" si="27"/>
        <v>#VALUE!</v>
      </c>
      <c r="AM25" s="728"/>
      <c r="AN25" s="723" t="s">
        <v>50</v>
      </c>
      <c r="AO25" s="724"/>
      <c r="AP25" s="719"/>
      <c r="AQ25" s="720"/>
      <c r="AR25" s="319">
        <f t="shared" si="6"/>
        <v>0</v>
      </c>
      <c r="AS25" s="120"/>
      <c r="AT25" s="320">
        <f t="shared" si="28"/>
        <v>0</v>
      </c>
      <c r="AU25" s="321">
        <f t="shared" si="7"/>
        <v>0</v>
      </c>
      <c r="AV25" s="528"/>
      <c r="AW25" s="322">
        <f t="shared" si="29"/>
        <v>0</v>
      </c>
      <c r="AX25" s="321">
        <f t="shared" si="8"/>
        <v>0</v>
      </c>
      <c r="AY25" s="529"/>
      <c r="AZ25" s="323">
        <f t="shared" si="30"/>
        <v>0</v>
      </c>
      <c r="BA25" s="323">
        <f t="shared" si="9"/>
        <v>0</v>
      </c>
      <c r="BB25" s="529"/>
      <c r="BC25" s="323">
        <f t="shared" si="31"/>
        <v>0</v>
      </c>
      <c r="BD25" s="323">
        <f t="shared" si="10"/>
        <v>0</v>
      </c>
      <c r="BE25" s="529"/>
      <c r="BF25" s="323">
        <f t="shared" si="32"/>
        <v>0</v>
      </c>
      <c r="BG25" s="323">
        <f t="shared" si="11"/>
        <v>0</v>
      </c>
      <c r="BH25" s="529"/>
      <c r="BI25" s="323">
        <f t="shared" si="33"/>
        <v>0</v>
      </c>
      <c r="BJ25" s="323">
        <f t="shared" si="12"/>
        <v>0</v>
      </c>
      <c r="BK25" s="529"/>
      <c r="BL25" s="323">
        <f t="shared" si="34"/>
        <v>0</v>
      </c>
      <c r="BM25" s="304">
        <f t="shared" si="35"/>
        <v>0</v>
      </c>
      <c r="BN25" s="324">
        <f t="shared" si="36"/>
        <v>0</v>
      </c>
      <c r="BO25" s="306"/>
      <c r="BP25" s="321">
        <f t="shared" si="13"/>
        <v>0</v>
      </c>
      <c r="BQ25" s="528"/>
      <c r="BR25" s="325">
        <f t="shared" si="37"/>
        <v>0</v>
      </c>
      <c r="BS25" s="323">
        <f t="shared" si="14"/>
        <v>0</v>
      </c>
      <c r="BT25" s="529"/>
      <c r="BU25" s="323">
        <f t="shared" si="38"/>
        <v>0</v>
      </c>
      <c r="BV25" s="323">
        <f t="shared" si="15"/>
        <v>0</v>
      </c>
      <c r="BW25" s="529"/>
      <c r="BX25" s="323">
        <f t="shared" si="39"/>
        <v>0</v>
      </c>
      <c r="BY25" s="323">
        <f t="shared" si="16"/>
        <v>0</v>
      </c>
      <c r="BZ25" s="529"/>
      <c r="CA25" s="323">
        <f t="shared" si="40"/>
        <v>0</v>
      </c>
      <c r="CB25" s="323">
        <f t="shared" si="17"/>
        <v>0</v>
      </c>
      <c r="CC25" s="529"/>
      <c r="CD25" s="323">
        <f t="shared" si="41"/>
        <v>0</v>
      </c>
      <c r="CE25" s="304">
        <f t="shared" si="42"/>
        <v>0</v>
      </c>
      <c r="CF25" s="321">
        <f t="shared" si="18"/>
        <v>0</v>
      </c>
      <c r="CG25" s="529"/>
      <c r="CH25" s="326">
        <f t="shared" si="43"/>
        <v>0</v>
      </c>
      <c r="CI25" s="310"/>
      <c r="CJ25" s="327">
        <f t="shared" si="44"/>
        <v>0</v>
      </c>
      <c r="CK25" s="321">
        <f t="shared" si="19"/>
        <v>0</v>
      </c>
      <c r="CL25" s="528"/>
      <c r="CM25" s="322">
        <f t="shared" si="45"/>
        <v>0</v>
      </c>
      <c r="CN25" s="321">
        <f t="shared" si="20"/>
        <v>0</v>
      </c>
      <c r="CO25" s="529"/>
      <c r="CP25" s="326">
        <f t="shared" si="46"/>
        <v>0</v>
      </c>
      <c r="CQ25" s="327">
        <f t="shared" si="47"/>
        <v>0</v>
      </c>
      <c r="CR25" s="313" t="str">
        <f t="shared" si="21"/>
        <v/>
      </c>
      <c r="CS25" s="526"/>
      <c r="CT25" s="314" t="str">
        <f t="shared" si="48"/>
        <v/>
      </c>
      <c r="CU25" s="315" t="str">
        <f t="shared" si="22"/>
        <v/>
      </c>
      <c r="CV25" s="236"/>
      <c r="CW25" s="316" t="str">
        <f t="shared" si="49"/>
        <v/>
      </c>
      <c r="CX25" s="328" t="str">
        <f t="shared" si="50"/>
        <v/>
      </c>
      <c r="CY25" s="530"/>
      <c r="DA25" s="6">
        <f>IF(AND(CT25&lt;&gt;"",OR(CT25&lt;EXPEDIENTE!$I$25,CT25&gt;EXPEDIENTE!$I$29)),1,0)</f>
        <v>0</v>
      </c>
      <c r="DB25" s="6">
        <f>IF(AND(CW25&lt;&gt;"",OR(CW25&lt;EXPEDIENTE!$I$25,CW25&gt;EXPEDIENTE!$I$29)),1,0)</f>
        <v>0</v>
      </c>
      <c r="DD25" s="88">
        <f t="shared" si="23"/>
        <v>0</v>
      </c>
      <c r="DE25" s="88">
        <f t="shared" si="51"/>
        <v>0</v>
      </c>
      <c r="DF25" s="88">
        <f t="shared" si="52"/>
        <v>0</v>
      </c>
      <c r="DG25" s="88">
        <f t="shared" si="53"/>
        <v>0</v>
      </c>
      <c r="DH25" s="88">
        <f t="shared" si="54"/>
        <v>0</v>
      </c>
      <c r="DI25" s="88">
        <f t="shared" si="55"/>
        <v>0</v>
      </c>
      <c r="DJ25" s="88">
        <f t="shared" si="56"/>
        <v>0</v>
      </c>
      <c r="DK25" s="88">
        <f t="shared" si="57"/>
        <v>0</v>
      </c>
      <c r="DL25" s="88">
        <f t="shared" si="58"/>
        <v>0</v>
      </c>
      <c r="DM25" s="88">
        <f t="shared" si="59"/>
        <v>0</v>
      </c>
      <c r="DN25" s="88">
        <f t="shared" si="60"/>
        <v>0</v>
      </c>
      <c r="DO25" s="88">
        <f t="shared" si="61"/>
        <v>0</v>
      </c>
      <c r="DP25" s="88">
        <f t="shared" si="62"/>
        <v>0</v>
      </c>
      <c r="DQ25" s="88">
        <f t="shared" si="63"/>
        <v>0</v>
      </c>
      <c r="DR25" s="88">
        <f t="shared" si="64"/>
        <v>0</v>
      </c>
      <c r="DS25" s="88">
        <f t="shared" si="65"/>
        <v>0</v>
      </c>
      <c r="DT25" s="88">
        <f t="shared" si="66"/>
        <v>0</v>
      </c>
      <c r="DU25" s="88">
        <f t="shared" si="67"/>
        <v>0</v>
      </c>
      <c r="DW25" s="88">
        <f>IF(CY25&lt;&gt;"",MAX($DW$9:DW24)+1,0)</f>
        <v>0</v>
      </c>
      <c r="DX25" s="182" t="str">
        <f t="shared" si="68"/>
        <v/>
      </c>
    </row>
    <row r="26" spans="2:128" ht="30" customHeight="1" x14ac:dyDescent="0.25">
      <c r="B26" s="875"/>
      <c r="C26" s="885" t="s">
        <v>51</v>
      </c>
      <c r="D26" s="886"/>
      <c r="E26" s="52"/>
      <c r="F26" s="53"/>
      <c r="G26" s="54"/>
      <c r="H26" s="54"/>
      <c r="I26" s="54"/>
      <c r="J26" s="54"/>
      <c r="K26" s="54"/>
      <c r="L26" s="23">
        <f t="shared" si="24"/>
        <v>0</v>
      </c>
      <c r="M26" s="28">
        <f t="shared" si="69"/>
        <v>0</v>
      </c>
      <c r="N26" s="25"/>
      <c r="O26" s="53"/>
      <c r="P26" s="54"/>
      <c r="Q26" s="54"/>
      <c r="R26" s="54"/>
      <c r="S26" s="54"/>
      <c r="T26" s="23">
        <f t="shared" si="25"/>
        <v>0</v>
      </c>
      <c r="U26" s="60"/>
      <c r="V26" s="27"/>
      <c r="W26" s="28">
        <f t="shared" si="70"/>
        <v>0</v>
      </c>
      <c r="X26" s="53"/>
      <c r="Y26" s="54"/>
      <c r="Z26" s="23">
        <f t="shared" si="26"/>
        <v>0</v>
      </c>
      <c r="AA26" s="62"/>
      <c r="AB26" s="63"/>
      <c r="AC26" s="69"/>
      <c r="AD26" s="70"/>
      <c r="AE26" s="71"/>
      <c r="AG26" s="6">
        <f>IF(AND(AA26&lt;&gt;"",OR(AA26&lt;EXPEDIENTE!$I$25,AA26&gt;EXPEDIENTE!$I$29)),1,0)</f>
        <v>0</v>
      </c>
      <c r="AH26" s="6">
        <f>IF(AND(AB26&lt;&gt;"",OR(AB26&lt;EXPEDIENTE!$I$25,AB26&gt;EXPEDIENTE!$I$29)),1,0)</f>
        <v>0</v>
      </c>
      <c r="AI26" s="6">
        <f>IF(DATE(YEAR(EXPEDIENTE!$I$25)+1,MONTH(DATEVALUE($C26&amp;"1")),1)&gt;=DATE(YEAR(EXPEDIENTE!$I$25),MONTH(EXPEDIENTE!$I$25),1),0,1)</f>
        <v>0</v>
      </c>
      <c r="AJ26" s="6" t="e">
        <f>IF(DATE(YEAR(EXPEDIENTE!$I$25)+1,MONTH(DATEVALUE($C26&amp;"1")),1)&lt;=DATE(YEAR(EXPEDIENTE!$I$27),MONTH(EXPEDIENTE!$I$27),1),0,1)</f>
        <v>#VALUE!</v>
      </c>
      <c r="AK26" s="6" t="e">
        <f t="shared" si="27"/>
        <v>#VALUE!</v>
      </c>
      <c r="AM26" s="728"/>
      <c r="AN26" s="723" t="s">
        <v>51</v>
      </c>
      <c r="AO26" s="724"/>
      <c r="AP26" s="719"/>
      <c r="AQ26" s="720"/>
      <c r="AR26" s="319">
        <f t="shared" si="6"/>
        <v>0</v>
      </c>
      <c r="AS26" s="120"/>
      <c r="AT26" s="320">
        <f t="shared" si="28"/>
        <v>0</v>
      </c>
      <c r="AU26" s="321">
        <f t="shared" si="7"/>
        <v>0</v>
      </c>
      <c r="AV26" s="528"/>
      <c r="AW26" s="322">
        <f t="shared" si="29"/>
        <v>0</v>
      </c>
      <c r="AX26" s="321">
        <f t="shared" si="8"/>
        <v>0</v>
      </c>
      <c r="AY26" s="529"/>
      <c r="AZ26" s="323">
        <f t="shared" si="30"/>
        <v>0</v>
      </c>
      <c r="BA26" s="323">
        <f t="shared" si="9"/>
        <v>0</v>
      </c>
      <c r="BB26" s="529"/>
      <c r="BC26" s="323">
        <f t="shared" si="31"/>
        <v>0</v>
      </c>
      <c r="BD26" s="323">
        <f t="shared" si="10"/>
        <v>0</v>
      </c>
      <c r="BE26" s="529"/>
      <c r="BF26" s="323">
        <f t="shared" si="32"/>
        <v>0</v>
      </c>
      <c r="BG26" s="323">
        <f t="shared" si="11"/>
        <v>0</v>
      </c>
      <c r="BH26" s="529"/>
      <c r="BI26" s="323">
        <f t="shared" si="33"/>
        <v>0</v>
      </c>
      <c r="BJ26" s="323">
        <f t="shared" si="12"/>
        <v>0</v>
      </c>
      <c r="BK26" s="529"/>
      <c r="BL26" s="323">
        <f t="shared" si="34"/>
        <v>0</v>
      </c>
      <c r="BM26" s="304">
        <f t="shared" si="35"/>
        <v>0</v>
      </c>
      <c r="BN26" s="324">
        <f t="shared" si="36"/>
        <v>0</v>
      </c>
      <c r="BO26" s="306"/>
      <c r="BP26" s="321">
        <f t="shared" si="13"/>
        <v>0</v>
      </c>
      <c r="BQ26" s="528"/>
      <c r="BR26" s="325">
        <f t="shared" si="37"/>
        <v>0</v>
      </c>
      <c r="BS26" s="323">
        <f t="shared" si="14"/>
        <v>0</v>
      </c>
      <c r="BT26" s="529"/>
      <c r="BU26" s="323">
        <f t="shared" si="38"/>
        <v>0</v>
      </c>
      <c r="BV26" s="323">
        <f t="shared" si="15"/>
        <v>0</v>
      </c>
      <c r="BW26" s="529"/>
      <c r="BX26" s="323">
        <f t="shared" si="39"/>
        <v>0</v>
      </c>
      <c r="BY26" s="323">
        <f t="shared" si="16"/>
        <v>0</v>
      </c>
      <c r="BZ26" s="529"/>
      <c r="CA26" s="323">
        <f t="shared" si="40"/>
        <v>0</v>
      </c>
      <c r="CB26" s="323">
        <f t="shared" si="17"/>
        <v>0</v>
      </c>
      <c r="CC26" s="529"/>
      <c r="CD26" s="323">
        <f t="shared" si="41"/>
        <v>0</v>
      </c>
      <c r="CE26" s="304">
        <f t="shared" si="42"/>
        <v>0</v>
      </c>
      <c r="CF26" s="321">
        <f t="shared" si="18"/>
        <v>0</v>
      </c>
      <c r="CG26" s="529"/>
      <c r="CH26" s="326">
        <f t="shared" si="43"/>
        <v>0</v>
      </c>
      <c r="CI26" s="310"/>
      <c r="CJ26" s="327">
        <f t="shared" si="44"/>
        <v>0</v>
      </c>
      <c r="CK26" s="321">
        <f t="shared" si="19"/>
        <v>0</v>
      </c>
      <c r="CL26" s="528"/>
      <c r="CM26" s="322">
        <f t="shared" si="45"/>
        <v>0</v>
      </c>
      <c r="CN26" s="321">
        <f t="shared" si="20"/>
        <v>0</v>
      </c>
      <c r="CO26" s="529"/>
      <c r="CP26" s="326">
        <f t="shared" si="46"/>
        <v>0</v>
      </c>
      <c r="CQ26" s="327">
        <f t="shared" si="47"/>
        <v>0</v>
      </c>
      <c r="CR26" s="313" t="str">
        <f t="shared" si="21"/>
        <v/>
      </c>
      <c r="CS26" s="526"/>
      <c r="CT26" s="314" t="str">
        <f t="shared" si="48"/>
        <v/>
      </c>
      <c r="CU26" s="315" t="str">
        <f t="shared" si="22"/>
        <v/>
      </c>
      <c r="CV26" s="236"/>
      <c r="CW26" s="316" t="str">
        <f t="shared" si="49"/>
        <v/>
      </c>
      <c r="CX26" s="328" t="str">
        <f t="shared" si="50"/>
        <v/>
      </c>
      <c r="CY26" s="530"/>
      <c r="DA26" s="6">
        <f>IF(AND(CT26&lt;&gt;"",OR(CT26&lt;EXPEDIENTE!$I$25,CT26&gt;EXPEDIENTE!$I$29)),1,0)</f>
        <v>0</v>
      </c>
      <c r="DB26" s="6">
        <f>IF(AND(CW26&lt;&gt;"",OR(CW26&lt;EXPEDIENTE!$I$25,CW26&gt;EXPEDIENTE!$I$29)),1,0)</f>
        <v>0</v>
      </c>
      <c r="DD26" s="88">
        <f t="shared" si="23"/>
        <v>0</v>
      </c>
      <c r="DE26" s="88">
        <f t="shared" si="51"/>
        <v>0</v>
      </c>
      <c r="DF26" s="88">
        <f t="shared" si="52"/>
        <v>0</v>
      </c>
      <c r="DG26" s="88">
        <f t="shared" si="53"/>
        <v>0</v>
      </c>
      <c r="DH26" s="88">
        <f t="shared" si="54"/>
        <v>0</v>
      </c>
      <c r="DI26" s="88">
        <f t="shared" si="55"/>
        <v>0</v>
      </c>
      <c r="DJ26" s="88">
        <f t="shared" si="56"/>
        <v>0</v>
      </c>
      <c r="DK26" s="88">
        <f t="shared" si="57"/>
        <v>0</v>
      </c>
      <c r="DL26" s="88">
        <f t="shared" si="58"/>
        <v>0</v>
      </c>
      <c r="DM26" s="88">
        <f t="shared" si="59"/>
        <v>0</v>
      </c>
      <c r="DN26" s="88">
        <f t="shared" si="60"/>
        <v>0</v>
      </c>
      <c r="DO26" s="88">
        <f t="shared" si="61"/>
        <v>0</v>
      </c>
      <c r="DP26" s="88">
        <f t="shared" si="62"/>
        <v>0</v>
      </c>
      <c r="DQ26" s="88">
        <f t="shared" si="63"/>
        <v>0</v>
      </c>
      <c r="DR26" s="88">
        <f t="shared" si="64"/>
        <v>0</v>
      </c>
      <c r="DS26" s="88">
        <f t="shared" si="65"/>
        <v>0</v>
      </c>
      <c r="DT26" s="88">
        <f t="shared" si="66"/>
        <v>0</v>
      </c>
      <c r="DU26" s="88">
        <f t="shared" si="67"/>
        <v>0</v>
      </c>
      <c r="DW26" s="88">
        <f>IF(CY26&lt;&gt;"",MAX($DW$9:DW25)+1,0)</f>
        <v>0</v>
      </c>
      <c r="DX26" s="182" t="str">
        <f t="shared" si="68"/>
        <v/>
      </c>
    </row>
    <row r="27" spans="2:128" ht="30" customHeight="1" x14ac:dyDescent="0.25">
      <c r="B27" s="875"/>
      <c r="C27" s="885" t="s">
        <v>52</v>
      </c>
      <c r="D27" s="886"/>
      <c r="E27" s="52"/>
      <c r="F27" s="53"/>
      <c r="G27" s="54"/>
      <c r="H27" s="54"/>
      <c r="I27" s="54"/>
      <c r="J27" s="54"/>
      <c r="K27" s="54"/>
      <c r="L27" s="23">
        <f t="shared" si="24"/>
        <v>0</v>
      </c>
      <c r="M27" s="28">
        <f t="shared" si="69"/>
        <v>0</v>
      </c>
      <c r="N27" s="25"/>
      <c r="O27" s="53"/>
      <c r="P27" s="54"/>
      <c r="Q27" s="54"/>
      <c r="R27" s="54"/>
      <c r="S27" s="54"/>
      <c r="T27" s="23">
        <f t="shared" si="25"/>
        <v>0</v>
      </c>
      <c r="U27" s="60"/>
      <c r="V27" s="27"/>
      <c r="W27" s="28">
        <f t="shared" si="70"/>
        <v>0</v>
      </c>
      <c r="X27" s="53"/>
      <c r="Y27" s="54"/>
      <c r="Z27" s="23">
        <f t="shared" si="26"/>
        <v>0</v>
      </c>
      <c r="AA27" s="62"/>
      <c r="AB27" s="63"/>
      <c r="AC27" s="69"/>
      <c r="AD27" s="70"/>
      <c r="AE27" s="71"/>
      <c r="AG27" s="6">
        <f>IF(AND(AA27&lt;&gt;"",OR(AA27&lt;EXPEDIENTE!$I$25,AA27&gt;EXPEDIENTE!$I$29)),1,0)</f>
        <v>0</v>
      </c>
      <c r="AH27" s="6">
        <f>IF(AND(AB27&lt;&gt;"",OR(AB27&lt;EXPEDIENTE!$I$25,AB27&gt;EXPEDIENTE!$I$29)),1,0)</f>
        <v>0</v>
      </c>
      <c r="AI27" s="6">
        <f>IF(DATE(YEAR(EXPEDIENTE!$I$25)+1,MONTH(DATEVALUE($C27&amp;"1")),1)&gt;=DATE(YEAR(EXPEDIENTE!$I$25),MONTH(EXPEDIENTE!$I$25),1),0,1)</f>
        <v>0</v>
      </c>
      <c r="AJ27" s="6" t="e">
        <f>IF(DATE(YEAR(EXPEDIENTE!$I$25)+1,MONTH(DATEVALUE($C27&amp;"1")),1)&lt;=DATE(YEAR(EXPEDIENTE!$I$27),MONTH(EXPEDIENTE!$I$27),1),0,1)</f>
        <v>#VALUE!</v>
      </c>
      <c r="AK27" s="6" t="e">
        <f t="shared" si="27"/>
        <v>#VALUE!</v>
      </c>
      <c r="AM27" s="728"/>
      <c r="AN27" s="723" t="s">
        <v>52</v>
      </c>
      <c r="AO27" s="724"/>
      <c r="AP27" s="719"/>
      <c r="AQ27" s="720"/>
      <c r="AR27" s="319">
        <f t="shared" si="6"/>
        <v>0</v>
      </c>
      <c r="AS27" s="120"/>
      <c r="AT27" s="320">
        <f t="shared" si="28"/>
        <v>0</v>
      </c>
      <c r="AU27" s="321">
        <f t="shared" si="7"/>
        <v>0</v>
      </c>
      <c r="AV27" s="528"/>
      <c r="AW27" s="322">
        <f t="shared" si="29"/>
        <v>0</v>
      </c>
      <c r="AX27" s="321">
        <f t="shared" si="8"/>
        <v>0</v>
      </c>
      <c r="AY27" s="529"/>
      <c r="AZ27" s="323">
        <f t="shared" si="30"/>
        <v>0</v>
      </c>
      <c r="BA27" s="323">
        <f t="shared" si="9"/>
        <v>0</v>
      </c>
      <c r="BB27" s="529"/>
      <c r="BC27" s="323">
        <f t="shared" si="31"/>
        <v>0</v>
      </c>
      <c r="BD27" s="323">
        <f t="shared" si="10"/>
        <v>0</v>
      </c>
      <c r="BE27" s="529"/>
      <c r="BF27" s="323">
        <f t="shared" si="32"/>
        <v>0</v>
      </c>
      <c r="BG27" s="323">
        <f t="shared" si="11"/>
        <v>0</v>
      </c>
      <c r="BH27" s="529"/>
      <c r="BI27" s="323">
        <f t="shared" si="33"/>
        <v>0</v>
      </c>
      <c r="BJ27" s="323">
        <f t="shared" si="12"/>
        <v>0</v>
      </c>
      <c r="BK27" s="529"/>
      <c r="BL27" s="323">
        <f t="shared" si="34"/>
        <v>0</v>
      </c>
      <c r="BM27" s="304">
        <f t="shared" si="35"/>
        <v>0</v>
      </c>
      <c r="BN27" s="324">
        <f t="shared" si="36"/>
        <v>0</v>
      </c>
      <c r="BO27" s="306"/>
      <c r="BP27" s="321">
        <f t="shared" si="13"/>
        <v>0</v>
      </c>
      <c r="BQ27" s="528"/>
      <c r="BR27" s="325">
        <f t="shared" si="37"/>
        <v>0</v>
      </c>
      <c r="BS27" s="323">
        <f t="shared" si="14"/>
        <v>0</v>
      </c>
      <c r="BT27" s="529"/>
      <c r="BU27" s="323">
        <f t="shared" si="38"/>
        <v>0</v>
      </c>
      <c r="BV27" s="323">
        <f t="shared" si="15"/>
        <v>0</v>
      </c>
      <c r="BW27" s="529"/>
      <c r="BX27" s="323">
        <f t="shared" si="39"/>
        <v>0</v>
      </c>
      <c r="BY27" s="323">
        <f t="shared" si="16"/>
        <v>0</v>
      </c>
      <c r="BZ27" s="529"/>
      <c r="CA27" s="323">
        <f t="shared" si="40"/>
        <v>0</v>
      </c>
      <c r="CB27" s="323">
        <f t="shared" si="17"/>
        <v>0</v>
      </c>
      <c r="CC27" s="529"/>
      <c r="CD27" s="323">
        <f t="shared" si="41"/>
        <v>0</v>
      </c>
      <c r="CE27" s="304">
        <f t="shared" si="42"/>
        <v>0</v>
      </c>
      <c r="CF27" s="321">
        <f t="shared" si="18"/>
        <v>0</v>
      </c>
      <c r="CG27" s="529"/>
      <c r="CH27" s="326">
        <f t="shared" si="43"/>
        <v>0</v>
      </c>
      <c r="CI27" s="310"/>
      <c r="CJ27" s="327">
        <f t="shared" si="44"/>
        <v>0</v>
      </c>
      <c r="CK27" s="321">
        <f t="shared" si="19"/>
        <v>0</v>
      </c>
      <c r="CL27" s="528"/>
      <c r="CM27" s="322">
        <f t="shared" si="45"/>
        <v>0</v>
      </c>
      <c r="CN27" s="321">
        <f t="shared" si="20"/>
        <v>0</v>
      </c>
      <c r="CO27" s="529"/>
      <c r="CP27" s="326">
        <f t="shared" si="46"/>
        <v>0</v>
      </c>
      <c r="CQ27" s="327">
        <f t="shared" si="47"/>
        <v>0</v>
      </c>
      <c r="CR27" s="313" t="str">
        <f t="shared" si="21"/>
        <v/>
      </c>
      <c r="CS27" s="526"/>
      <c r="CT27" s="314" t="str">
        <f t="shared" si="48"/>
        <v/>
      </c>
      <c r="CU27" s="315" t="str">
        <f t="shared" si="22"/>
        <v/>
      </c>
      <c r="CV27" s="236"/>
      <c r="CW27" s="316" t="str">
        <f t="shared" si="49"/>
        <v/>
      </c>
      <c r="CX27" s="328" t="str">
        <f t="shared" si="50"/>
        <v/>
      </c>
      <c r="CY27" s="530"/>
      <c r="DA27" s="6">
        <f>IF(AND(CT27&lt;&gt;"",OR(CT27&lt;EXPEDIENTE!$I$25,CT27&gt;EXPEDIENTE!$I$29)),1,0)</f>
        <v>0</v>
      </c>
      <c r="DB27" s="6">
        <f>IF(AND(CW27&lt;&gt;"",OR(CW27&lt;EXPEDIENTE!$I$25,CW27&gt;EXPEDIENTE!$I$29)),1,0)</f>
        <v>0</v>
      </c>
      <c r="DD27" s="88">
        <f t="shared" si="23"/>
        <v>0</v>
      </c>
      <c r="DE27" s="88">
        <f t="shared" si="51"/>
        <v>0</v>
      </c>
      <c r="DF27" s="88">
        <f t="shared" si="52"/>
        <v>0</v>
      </c>
      <c r="DG27" s="88">
        <f t="shared" si="53"/>
        <v>0</v>
      </c>
      <c r="DH27" s="88">
        <f t="shared" si="54"/>
        <v>0</v>
      </c>
      <c r="DI27" s="88">
        <f t="shared" si="55"/>
        <v>0</v>
      </c>
      <c r="DJ27" s="88">
        <f t="shared" si="56"/>
        <v>0</v>
      </c>
      <c r="DK27" s="88">
        <f t="shared" si="57"/>
        <v>0</v>
      </c>
      <c r="DL27" s="88">
        <f t="shared" si="58"/>
        <v>0</v>
      </c>
      <c r="DM27" s="88">
        <f t="shared" si="59"/>
        <v>0</v>
      </c>
      <c r="DN27" s="88">
        <f t="shared" si="60"/>
        <v>0</v>
      </c>
      <c r="DO27" s="88">
        <f t="shared" si="61"/>
        <v>0</v>
      </c>
      <c r="DP27" s="88">
        <f t="shared" si="62"/>
        <v>0</v>
      </c>
      <c r="DQ27" s="88">
        <f t="shared" si="63"/>
        <v>0</v>
      </c>
      <c r="DR27" s="88">
        <f t="shared" si="64"/>
        <v>0</v>
      </c>
      <c r="DS27" s="88">
        <f t="shared" si="65"/>
        <v>0</v>
      </c>
      <c r="DT27" s="88">
        <f t="shared" si="66"/>
        <v>0</v>
      </c>
      <c r="DU27" s="88">
        <f t="shared" si="67"/>
        <v>0</v>
      </c>
      <c r="DW27" s="88">
        <f>IF(CY27&lt;&gt;"",MAX($DW$9:DW26)+1,0)</f>
        <v>0</v>
      </c>
      <c r="DX27" s="182" t="str">
        <f t="shared" si="68"/>
        <v/>
      </c>
    </row>
    <row r="28" spans="2:128" ht="30" customHeight="1" x14ac:dyDescent="0.25">
      <c r="B28" s="875"/>
      <c r="C28" s="885" t="s">
        <v>53</v>
      </c>
      <c r="D28" s="886"/>
      <c r="E28" s="52"/>
      <c r="F28" s="53"/>
      <c r="G28" s="54"/>
      <c r="H28" s="54"/>
      <c r="I28" s="54"/>
      <c r="J28" s="54"/>
      <c r="K28" s="54"/>
      <c r="L28" s="23">
        <f t="shared" si="24"/>
        <v>0</v>
      </c>
      <c r="M28" s="28">
        <f t="shared" si="69"/>
        <v>0</v>
      </c>
      <c r="N28" s="25"/>
      <c r="O28" s="53"/>
      <c r="P28" s="54"/>
      <c r="Q28" s="54"/>
      <c r="R28" s="54"/>
      <c r="S28" s="54"/>
      <c r="T28" s="23">
        <f t="shared" si="25"/>
        <v>0</v>
      </c>
      <c r="U28" s="60"/>
      <c r="V28" s="27"/>
      <c r="W28" s="28">
        <f t="shared" si="70"/>
        <v>0</v>
      </c>
      <c r="X28" s="53"/>
      <c r="Y28" s="54"/>
      <c r="Z28" s="23">
        <f t="shared" si="26"/>
        <v>0</v>
      </c>
      <c r="AA28" s="62"/>
      <c r="AB28" s="63"/>
      <c r="AC28" s="69"/>
      <c r="AD28" s="70"/>
      <c r="AE28" s="71"/>
      <c r="AG28" s="6">
        <f>IF(AND(AA28&lt;&gt;"",OR(AA28&lt;EXPEDIENTE!$I$25,AA28&gt;EXPEDIENTE!$I$29)),1,0)</f>
        <v>0</v>
      </c>
      <c r="AH28" s="6">
        <f>IF(AND(AB28&lt;&gt;"",OR(AB28&lt;EXPEDIENTE!$I$25,AB28&gt;EXPEDIENTE!$I$29)),1,0)</f>
        <v>0</v>
      </c>
      <c r="AI28" s="6">
        <f>IF(DATE(YEAR(EXPEDIENTE!$I$25)+1,MONTH(DATEVALUE($C28&amp;"1")),1)&gt;=DATE(YEAR(EXPEDIENTE!$I$25),MONTH(EXPEDIENTE!$I$25),1),0,1)</f>
        <v>0</v>
      </c>
      <c r="AJ28" s="6" t="e">
        <f>IF(DATE(YEAR(EXPEDIENTE!$I$25)+1,MONTH(DATEVALUE($C28&amp;"1")),1)&lt;=DATE(YEAR(EXPEDIENTE!$I$27),MONTH(EXPEDIENTE!$I$27),1),0,1)</f>
        <v>#VALUE!</v>
      </c>
      <c r="AK28" s="6" t="e">
        <f t="shared" si="27"/>
        <v>#VALUE!</v>
      </c>
      <c r="AM28" s="728"/>
      <c r="AN28" s="723" t="s">
        <v>53</v>
      </c>
      <c r="AO28" s="724"/>
      <c r="AP28" s="719"/>
      <c r="AQ28" s="720"/>
      <c r="AR28" s="319">
        <f t="shared" si="6"/>
        <v>0</v>
      </c>
      <c r="AS28" s="120"/>
      <c r="AT28" s="320">
        <f t="shared" si="28"/>
        <v>0</v>
      </c>
      <c r="AU28" s="321">
        <f t="shared" si="7"/>
        <v>0</v>
      </c>
      <c r="AV28" s="528"/>
      <c r="AW28" s="322">
        <f t="shared" si="29"/>
        <v>0</v>
      </c>
      <c r="AX28" s="321">
        <f t="shared" si="8"/>
        <v>0</v>
      </c>
      <c r="AY28" s="529"/>
      <c r="AZ28" s="323">
        <f t="shared" si="30"/>
        <v>0</v>
      </c>
      <c r="BA28" s="323">
        <f t="shared" si="9"/>
        <v>0</v>
      </c>
      <c r="BB28" s="529"/>
      <c r="BC28" s="323">
        <f t="shared" si="31"/>
        <v>0</v>
      </c>
      <c r="BD28" s="323">
        <f t="shared" si="10"/>
        <v>0</v>
      </c>
      <c r="BE28" s="529"/>
      <c r="BF28" s="323">
        <f t="shared" si="32"/>
        <v>0</v>
      </c>
      <c r="BG28" s="323">
        <f t="shared" si="11"/>
        <v>0</v>
      </c>
      <c r="BH28" s="529"/>
      <c r="BI28" s="323">
        <f t="shared" si="33"/>
        <v>0</v>
      </c>
      <c r="BJ28" s="323">
        <f t="shared" si="12"/>
        <v>0</v>
      </c>
      <c r="BK28" s="529"/>
      <c r="BL28" s="323">
        <f t="shared" si="34"/>
        <v>0</v>
      </c>
      <c r="BM28" s="304">
        <f t="shared" si="35"/>
        <v>0</v>
      </c>
      <c r="BN28" s="324">
        <f t="shared" si="36"/>
        <v>0</v>
      </c>
      <c r="BO28" s="306"/>
      <c r="BP28" s="321">
        <f t="shared" si="13"/>
        <v>0</v>
      </c>
      <c r="BQ28" s="528"/>
      <c r="BR28" s="325">
        <f t="shared" si="37"/>
        <v>0</v>
      </c>
      <c r="BS28" s="323">
        <f t="shared" si="14"/>
        <v>0</v>
      </c>
      <c r="BT28" s="529"/>
      <c r="BU28" s="323">
        <f t="shared" si="38"/>
        <v>0</v>
      </c>
      <c r="BV28" s="323">
        <f t="shared" si="15"/>
        <v>0</v>
      </c>
      <c r="BW28" s="529"/>
      <c r="BX28" s="323">
        <f t="shared" si="39"/>
        <v>0</v>
      </c>
      <c r="BY28" s="323">
        <f t="shared" si="16"/>
        <v>0</v>
      </c>
      <c r="BZ28" s="529"/>
      <c r="CA28" s="323">
        <f t="shared" si="40"/>
        <v>0</v>
      </c>
      <c r="CB28" s="323">
        <f t="shared" si="17"/>
        <v>0</v>
      </c>
      <c r="CC28" s="529"/>
      <c r="CD28" s="323">
        <f t="shared" si="41"/>
        <v>0</v>
      </c>
      <c r="CE28" s="304">
        <f t="shared" si="42"/>
        <v>0</v>
      </c>
      <c r="CF28" s="321">
        <f t="shared" si="18"/>
        <v>0</v>
      </c>
      <c r="CG28" s="529"/>
      <c r="CH28" s="326">
        <f t="shared" si="43"/>
        <v>0</v>
      </c>
      <c r="CI28" s="310"/>
      <c r="CJ28" s="327">
        <f t="shared" si="44"/>
        <v>0</v>
      </c>
      <c r="CK28" s="321">
        <f t="shared" si="19"/>
        <v>0</v>
      </c>
      <c r="CL28" s="528"/>
      <c r="CM28" s="322">
        <f t="shared" si="45"/>
        <v>0</v>
      </c>
      <c r="CN28" s="321">
        <f t="shared" si="20"/>
        <v>0</v>
      </c>
      <c r="CO28" s="529"/>
      <c r="CP28" s="326">
        <f t="shared" si="46"/>
        <v>0</v>
      </c>
      <c r="CQ28" s="327">
        <f t="shared" si="47"/>
        <v>0</v>
      </c>
      <c r="CR28" s="313" t="str">
        <f t="shared" si="21"/>
        <v/>
      </c>
      <c r="CS28" s="526"/>
      <c r="CT28" s="314" t="str">
        <f t="shared" si="48"/>
        <v/>
      </c>
      <c r="CU28" s="315" t="str">
        <f t="shared" si="22"/>
        <v/>
      </c>
      <c r="CV28" s="236"/>
      <c r="CW28" s="316" t="str">
        <f t="shared" si="49"/>
        <v/>
      </c>
      <c r="CX28" s="328" t="str">
        <f t="shared" si="50"/>
        <v/>
      </c>
      <c r="CY28" s="530"/>
      <c r="DA28" s="6">
        <f>IF(AND(CT28&lt;&gt;"",OR(CT28&lt;EXPEDIENTE!$I$25,CT28&gt;EXPEDIENTE!$I$29)),1,0)</f>
        <v>0</v>
      </c>
      <c r="DB28" s="6">
        <f>IF(AND(CW28&lt;&gt;"",OR(CW28&lt;EXPEDIENTE!$I$25,CW28&gt;EXPEDIENTE!$I$29)),1,0)</f>
        <v>0</v>
      </c>
      <c r="DD28" s="88">
        <f t="shared" si="23"/>
        <v>0</v>
      </c>
      <c r="DE28" s="88">
        <f t="shared" si="51"/>
        <v>0</v>
      </c>
      <c r="DF28" s="88">
        <f t="shared" si="52"/>
        <v>0</v>
      </c>
      <c r="DG28" s="88">
        <f t="shared" si="53"/>
        <v>0</v>
      </c>
      <c r="DH28" s="88">
        <f t="shared" si="54"/>
        <v>0</v>
      </c>
      <c r="DI28" s="88">
        <f t="shared" si="55"/>
        <v>0</v>
      </c>
      <c r="DJ28" s="88">
        <f t="shared" si="56"/>
        <v>0</v>
      </c>
      <c r="DK28" s="88">
        <f t="shared" si="57"/>
        <v>0</v>
      </c>
      <c r="DL28" s="88">
        <f t="shared" si="58"/>
        <v>0</v>
      </c>
      <c r="DM28" s="88">
        <f t="shared" si="59"/>
        <v>0</v>
      </c>
      <c r="DN28" s="88">
        <f t="shared" si="60"/>
        <v>0</v>
      </c>
      <c r="DO28" s="88">
        <f t="shared" si="61"/>
        <v>0</v>
      </c>
      <c r="DP28" s="88">
        <f t="shared" si="62"/>
        <v>0</v>
      </c>
      <c r="DQ28" s="88">
        <f t="shared" si="63"/>
        <v>0</v>
      </c>
      <c r="DR28" s="88">
        <f t="shared" si="64"/>
        <v>0</v>
      </c>
      <c r="DS28" s="88">
        <f t="shared" si="65"/>
        <v>0</v>
      </c>
      <c r="DT28" s="88">
        <f t="shared" si="66"/>
        <v>0</v>
      </c>
      <c r="DU28" s="88">
        <f t="shared" si="67"/>
        <v>0</v>
      </c>
      <c r="DW28" s="88">
        <f>IF(CY28&lt;&gt;"",MAX($DW$9:DW27)+1,0)</f>
        <v>0</v>
      </c>
      <c r="DX28" s="182" t="str">
        <f t="shared" si="68"/>
        <v/>
      </c>
    </row>
    <row r="29" spans="2:128" ht="30" customHeight="1" x14ac:dyDescent="0.25">
      <c r="B29" s="875"/>
      <c r="C29" s="885" t="s">
        <v>54</v>
      </c>
      <c r="D29" s="886"/>
      <c r="E29" s="52"/>
      <c r="F29" s="53"/>
      <c r="G29" s="54"/>
      <c r="H29" s="54"/>
      <c r="I29" s="54"/>
      <c r="J29" s="54"/>
      <c r="K29" s="54"/>
      <c r="L29" s="23">
        <f t="shared" si="24"/>
        <v>0</v>
      </c>
      <c r="M29" s="28">
        <f t="shared" si="69"/>
        <v>0</v>
      </c>
      <c r="N29" s="25"/>
      <c r="O29" s="53"/>
      <c r="P29" s="54"/>
      <c r="Q29" s="54"/>
      <c r="R29" s="54"/>
      <c r="S29" s="54"/>
      <c r="T29" s="23">
        <f t="shared" si="25"/>
        <v>0</v>
      </c>
      <c r="U29" s="60"/>
      <c r="V29" s="27"/>
      <c r="W29" s="28">
        <f t="shared" si="70"/>
        <v>0</v>
      </c>
      <c r="X29" s="53"/>
      <c r="Y29" s="54"/>
      <c r="Z29" s="23">
        <f t="shared" si="26"/>
        <v>0</v>
      </c>
      <c r="AA29" s="62"/>
      <c r="AB29" s="63"/>
      <c r="AC29" s="69"/>
      <c r="AD29" s="70"/>
      <c r="AE29" s="71"/>
      <c r="AG29" s="6">
        <f>IF(AND(AA29&lt;&gt;"",OR(AA29&lt;EXPEDIENTE!$I$25,AA29&gt;EXPEDIENTE!$I$29)),1,0)</f>
        <v>0</v>
      </c>
      <c r="AH29" s="6">
        <f>IF(AND(AB29&lt;&gt;"",OR(AB29&lt;EXPEDIENTE!$I$25,AB29&gt;EXPEDIENTE!$I$29)),1,0)</f>
        <v>0</v>
      </c>
      <c r="AI29" s="6">
        <f>IF(DATE(YEAR(EXPEDIENTE!$I$25)+1,MONTH(DATEVALUE($C29&amp;"1")),1)&gt;=DATE(YEAR(EXPEDIENTE!$I$25),MONTH(EXPEDIENTE!$I$25),1),0,1)</f>
        <v>0</v>
      </c>
      <c r="AJ29" s="6" t="e">
        <f>IF(DATE(YEAR(EXPEDIENTE!$I$25)+1,MONTH(DATEVALUE($C29&amp;"1")),1)&lt;=DATE(YEAR(EXPEDIENTE!$I$27),MONTH(EXPEDIENTE!$I$27),1),0,1)</f>
        <v>#VALUE!</v>
      </c>
      <c r="AK29" s="6" t="e">
        <f t="shared" si="27"/>
        <v>#VALUE!</v>
      </c>
      <c r="AM29" s="728"/>
      <c r="AN29" s="723" t="s">
        <v>54</v>
      </c>
      <c r="AO29" s="724"/>
      <c r="AP29" s="719"/>
      <c r="AQ29" s="720"/>
      <c r="AR29" s="319">
        <f t="shared" si="6"/>
        <v>0</v>
      </c>
      <c r="AS29" s="120"/>
      <c r="AT29" s="320">
        <f t="shared" si="28"/>
        <v>0</v>
      </c>
      <c r="AU29" s="321">
        <f t="shared" si="7"/>
        <v>0</v>
      </c>
      <c r="AV29" s="528"/>
      <c r="AW29" s="322">
        <f t="shared" si="29"/>
        <v>0</v>
      </c>
      <c r="AX29" s="321">
        <f t="shared" si="8"/>
        <v>0</v>
      </c>
      <c r="AY29" s="529"/>
      <c r="AZ29" s="323">
        <f t="shared" si="30"/>
        <v>0</v>
      </c>
      <c r="BA29" s="323">
        <f t="shared" si="9"/>
        <v>0</v>
      </c>
      <c r="BB29" s="529"/>
      <c r="BC29" s="323">
        <f t="shared" si="31"/>
        <v>0</v>
      </c>
      <c r="BD29" s="323">
        <f t="shared" si="10"/>
        <v>0</v>
      </c>
      <c r="BE29" s="529"/>
      <c r="BF29" s="323">
        <f t="shared" si="32"/>
        <v>0</v>
      </c>
      <c r="BG29" s="323">
        <f t="shared" si="11"/>
        <v>0</v>
      </c>
      <c r="BH29" s="529"/>
      <c r="BI29" s="323">
        <f t="shared" si="33"/>
        <v>0</v>
      </c>
      <c r="BJ29" s="323">
        <f t="shared" si="12"/>
        <v>0</v>
      </c>
      <c r="BK29" s="529"/>
      <c r="BL29" s="323">
        <f t="shared" si="34"/>
        <v>0</v>
      </c>
      <c r="BM29" s="304">
        <f t="shared" si="35"/>
        <v>0</v>
      </c>
      <c r="BN29" s="324">
        <f t="shared" si="36"/>
        <v>0</v>
      </c>
      <c r="BO29" s="306"/>
      <c r="BP29" s="321">
        <f t="shared" si="13"/>
        <v>0</v>
      </c>
      <c r="BQ29" s="528"/>
      <c r="BR29" s="325">
        <f t="shared" si="37"/>
        <v>0</v>
      </c>
      <c r="BS29" s="323">
        <f t="shared" si="14"/>
        <v>0</v>
      </c>
      <c r="BT29" s="529"/>
      <c r="BU29" s="323">
        <f t="shared" si="38"/>
        <v>0</v>
      </c>
      <c r="BV29" s="323">
        <f t="shared" si="15"/>
        <v>0</v>
      </c>
      <c r="BW29" s="529"/>
      <c r="BX29" s="323">
        <f t="shared" si="39"/>
        <v>0</v>
      </c>
      <c r="BY29" s="323">
        <f t="shared" si="16"/>
        <v>0</v>
      </c>
      <c r="BZ29" s="529"/>
      <c r="CA29" s="323">
        <f t="shared" si="40"/>
        <v>0</v>
      </c>
      <c r="CB29" s="323">
        <f t="shared" si="17"/>
        <v>0</v>
      </c>
      <c r="CC29" s="529"/>
      <c r="CD29" s="323">
        <f t="shared" si="41"/>
        <v>0</v>
      </c>
      <c r="CE29" s="304">
        <f t="shared" si="42"/>
        <v>0</v>
      </c>
      <c r="CF29" s="321">
        <f t="shared" si="18"/>
        <v>0</v>
      </c>
      <c r="CG29" s="529"/>
      <c r="CH29" s="326">
        <f t="shared" si="43"/>
        <v>0</v>
      </c>
      <c r="CI29" s="310"/>
      <c r="CJ29" s="327">
        <f t="shared" si="44"/>
        <v>0</v>
      </c>
      <c r="CK29" s="321">
        <f t="shared" si="19"/>
        <v>0</v>
      </c>
      <c r="CL29" s="528"/>
      <c r="CM29" s="322">
        <f t="shared" si="45"/>
        <v>0</v>
      </c>
      <c r="CN29" s="321">
        <f t="shared" si="20"/>
        <v>0</v>
      </c>
      <c r="CO29" s="529"/>
      <c r="CP29" s="326">
        <f t="shared" si="46"/>
        <v>0</v>
      </c>
      <c r="CQ29" s="327">
        <f t="shared" si="47"/>
        <v>0</v>
      </c>
      <c r="CR29" s="313" t="str">
        <f t="shared" si="21"/>
        <v/>
      </c>
      <c r="CS29" s="526"/>
      <c r="CT29" s="314" t="str">
        <f t="shared" si="48"/>
        <v/>
      </c>
      <c r="CU29" s="315" t="str">
        <f t="shared" si="22"/>
        <v/>
      </c>
      <c r="CV29" s="236"/>
      <c r="CW29" s="316" t="str">
        <f t="shared" si="49"/>
        <v/>
      </c>
      <c r="CX29" s="328" t="str">
        <f t="shared" si="50"/>
        <v/>
      </c>
      <c r="CY29" s="530"/>
      <c r="DA29" s="6">
        <f>IF(AND(CT29&lt;&gt;"",OR(CT29&lt;EXPEDIENTE!$I$25,CT29&gt;EXPEDIENTE!$I$29)),1,0)</f>
        <v>0</v>
      </c>
      <c r="DB29" s="6">
        <f>IF(AND(CW29&lt;&gt;"",OR(CW29&lt;EXPEDIENTE!$I$25,CW29&gt;EXPEDIENTE!$I$29)),1,0)</f>
        <v>0</v>
      </c>
      <c r="DD29" s="88">
        <f t="shared" si="23"/>
        <v>0</v>
      </c>
      <c r="DE29" s="88">
        <f t="shared" si="51"/>
        <v>0</v>
      </c>
      <c r="DF29" s="88">
        <f t="shared" si="52"/>
        <v>0</v>
      </c>
      <c r="DG29" s="88">
        <f t="shared" si="53"/>
        <v>0</v>
      </c>
      <c r="DH29" s="88">
        <f t="shared" si="54"/>
        <v>0</v>
      </c>
      <c r="DI29" s="88">
        <f t="shared" si="55"/>
        <v>0</v>
      </c>
      <c r="DJ29" s="88">
        <f t="shared" si="56"/>
        <v>0</v>
      </c>
      <c r="DK29" s="88">
        <f t="shared" si="57"/>
        <v>0</v>
      </c>
      <c r="DL29" s="88">
        <f t="shared" si="58"/>
        <v>0</v>
      </c>
      <c r="DM29" s="88">
        <f t="shared" si="59"/>
        <v>0</v>
      </c>
      <c r="DN29" s="88">
        <f t="shared" si="60"/>
        <v>0</v>
      </c>
      <c r="DO29" s="88">
        <f t="shared" si="61"/>
        <v>0</v>
      </c>
      <c r="DP29" s="88">
        <f t="shared" si="62"/>
        <v>0</v>
      </c>
      <c r="DQ29" s="88">
        <f t="shared" si="63"/>
        <v>0</v>
      </c>
      <c r="DR29" s="88">
        <f t="shared" si="64"/>
        <v>0</v>
      </c>
      <c r="DS29" s="88">
        <f t="shared" si="65"/>
        <v>0</v>
      </c>
      <c r="DT29" s="88">
        <f t="shared" si="66"/>
        <v>0</v>
      </c>
      <c r="DU29" s="88">
        <f t="shared" si="67"/>
        <v>0</v>
      </c>
      <c r="DW29" s="88">
        <f>IF(CY29&lt;&gt;"",MAX($DW$9:DW28)+1,0)</f>
        <v>0</v>
      </c>
      <c r="DX29" s="182" t="str">
        <f t="shared" si="68"/>
        <v/>
      </c>
    </row>
    <row r="30" spans="2:128" ht="30" customHeight="1" x14ac:dyDescent="0.25">
      <c r="B30" s="875"/>
      <c r="C30" s="885" t="s">
        <v>55</v>
      </c>
      <c r="D30" s="886"/>
      <c r="E30" s="52"/>
      <c r="F30" s="53"/>
      <c r="G30" s="54"/>
      <c r="H30" s="54"/>
      <c r="I30" s="54"/>
      <c r="J30" s="54"/>
      <c r="K30" s="54"/>
      <c r="L30" s="23">
        <f t="shared" si="24"/>
        <v>0</v>
      </c>
      <c r="M30" s="28">
        <f t="shared" si="69"/>
        <v>0</v>
      </c>
      <c r="N30" s="25"/>
      <c r="O30" s="53"/>
      <c r="P30" s="54"/>
      <c r="Q30" s="54"/>
      <c r="R30" s="54"/>
      <c r="S30" s="54"/>
      <c r="T30" s="23">
        <f t="shared" si="25"/>
        <v>0</v>
      </c>
      <c r="U30" s="60"/>
      <c r="V30" s="27"/>
      <c r="W30" s="28">
        <f t="shared" si="70"/>
        <v>0</v>
      </c>
      <c r="X30" s="53"/>
      <c r="Y30" s="54"/>
      <c r="Z30" s="23">
        <f t="shared" si="26"/>
        <v>0</v>
      </c>
      <c r="AA30" s="62"/>
      <c r="AB30" s="63"/>
      <c r="AC30" s="69"/>
      <c r="AD30" s="70"/>
      <c r="AE30" s="71"/>
      <c r="AG30" s="6">
        <f>IF(AND(AA30&lt;&gt;"",OR(AA30&lt;EXPEDIENTE!$I$25,AA30&gt;EXPEDIENTE!$I$29)),1,0)</f>
        <v>0</v>
      </c>
      <c r="AH30" s="6">
        <f>IF(AND(AB30&lt;&gt;"",OR(AB30&lt;EXPEDIENTE!$I$25,AB30&gt;EXPEDIENTE!$I$29)),1,0)</f>
        <v>0</v>
      </c>
      <c r="AI30" s="6">
        <f>IF(DATE(YEAR(EXPEDIENTE!$I$25)+1,MONTH(DATEVALUE($C30&amp;"1")),1)&gt;=DATE(YEAR(EXPEDIENTE!$I$25),MONTH(EXPEDIENTE!$I$25),1),0,1)</f>
        <v>0</v>
      </c>
      <c r="AJ30" s="6" t="e">
        <f>IF(DATE(YEAR(EXPEDIENTE!$I$25)+1,MONTH(DATEVALUE($C30&amp;"1")),1)&lt;=DATE(YEAR(EXPEDIENTE!$I$27),MONTH(EXPEDIENTE!$I$27),1),0,1)</f>
        <v>#VALUE!</v>
      </c>
      <c r="AK30" s="6" t="e">
        <f t="shared" si="27"/>
        <v>#VALUE!</v>
      </c>
      <c r="AM30" s="728"/>
      <c r="AN30" s="723" t="s">
        <v>55</v>
      </c>
      <c r="AO30" s="724"/>
      <c r="AP30" s="719"/>
      <c r="AQ30" s="720"/>
      <c r="AR30" s="319">
        <f t="shared" si="6"/>
        <v>0</v>
      </c>
      <c r="AS30" s="120"/>
      <c r="AT30" s="320">
        <f t="shared" si="28"/>
        <v>0</v>
      </c>
      <c r="AU30" s="321">
        <f t="shared" si="7"/>
        <v>0</v>
      </c>
      <c r="AV30" s="528"/>
      <c r="AW30" s="322">
        <f t="shared" si="29"/>
        <v>0</v>
      </c>
      <c r="AX30" s="321">
        <f t="shared" si="8"/>
        <v>0</v>
      </c>
      <c r="AY30" s="529"/>
      <c r="AZ30" s="323">
        <f t="shared" si="30"/>
        <v>0</v>
      </c>
      <c r="BA30" s="323">
        <f t="shared" si="9"/>
        <v>0</v>
      </c>
      <c r="BB30" s="529"/>
      <c r="BC30" s="323">
        <f t="shared" si="31"/>
        <v>0</v>
      </c>
      <c r="BD30" s="323">
        <f t="shared" si="10"/>
        <v>0</v>
      </c>
      <c r="BE30" s="529"/>
      <c r="BF30" s="323">
        <f t="shared" si="32"/>
        <v>0</v>
      </c>
      <c r="BG30" s="323">
        <f t="shared" si="11"/>
        <v>0</v>
      </c>
      <c r="BH30" s="529"/>
      <c r="BI30" s="323">
        <f t="shared" si="33"/>
        <v>0</v>
      </c>
      <c r="BJ30" s="323">
        <f t="shared" si="12"/>
        <v>0</v>
      </c>
      <c r="BK30" s="529"/>
      <c r="BL30" s="323">
        <f t="shared" si="34"/>
        <v>0</v>
      </c>
      <c r="BM30" s="304">
        <f t="shared" si="35"/>
        <v>0</v>
      </c>
      <c r="BN30" s="324">
        <f t="shared" si="36"/>
        <v>0</v>
      </c>
      <c r="BO30" s="306"/>
      <c r="BP30" s="321">
        <f t="shared" si="13"/>
        <v>0</v>
      </c>
      <c r="BQ30" s="528"/>
      <c r="BR30" s="325">
        <f t="shared" si="37"/>
        <v>0</v>
      </c>
      <c r="BS30" s="323">
        <f t="shared" si="14"/>
        <v>0</v>
      </c>
      <c r="BT30" s="529"/>
      <c r="BU30" s="323">
        <f t="shared" si="38"/>
        <v>0</v>
      </c>
      <c r="BV30" s="323">
        <f t="shared" si="15"/>
        <v>0</v>
      </c>
      <c r="BW30" s="529"/>
      <c r="BX30" s="323">
        <f t="shared" si="39"/>
        <v>0</v>
      </c>
      <c r="BY30" s="323">
        <f t="shared" si="16"/>
        <v>0</v>
      </c>
      <c r="BZ30" s="529"/>
      <c r="CA30" s="323">
        <f t="shared" si="40"/>
        <v>0</v>
      </c>
      <c r="CB30" s="323">
        <f t="shared" si="17"/>
        <v>0</v>
      </c>
      <c r="CC30" s="529"/>
      <c r="CD30" s="323">
        <f t="shared" si="41"/>
        <v>0</v>
      </c>
      <c r="CE30" s="304">
        <f t="shared" si="42"/>
        <v>0</v>
      </c>
      <c r="CF30" s="321">
        <f t="shared" si="18"/>
        <v>0</v>
      </c>
      <c r="CG30" s="529"/>
      <c r="CH30" s="326">
        <f t="shared" si="43"/>
        <v>0</v>
      </c>
      <c r="CI30" s="310"/>
      <c r="CJ30" s="327">
        <f t="shared" si="44"/>
        <v>0</v>
      </c>
      <c r="CK30" s="321">
        <f t="shared" si="19"/>
        <v>0</v>
      </c>
      <c r="CL30" s="528"/>
      <c r="CM30" s="322">
        <f t="shared" si="45"/>
        <v>0</v>
      </c>
      <c r="CN30" s="321">
        <f t="shared" si="20"/>
        <v>0</v>
      </c>
      <c r="CO30" s="529"/>
      <c r="CP30" s="326">
        <f t="shared" si="46"/>
        <v>0</v>
      </c>
      <c r="CQ30" s="327">
        <f t="shared" si="47"/>
        <v>0</v>
      </c>
      <c r="CR30" s="313" t="str">
        <f t="shared" si="21"/>
        <v/>
      </c>
      <c r="CS30" s="526"/>
      <c r="CT30" s="314" t="str">
        <f t="shared" si="48"/>
        <v/>
      </c>
      <c r="CU30" s="315" t="str">
        <f t="shared" si="22"/>
        <v/>
      </c>
      <c r="CV30" s="236"/>
      <c r="CW30" s="316" t="str">
        <f t="shared" si="49"/>
        <v/>
      </c>
      <c r="CX30" s="328" t="str">
        <f t="shared" si="50"/>
        <v/>
      </c>
      <c r="CY30" s="530"/>
      <c r="DA30" s="6">
        <f>IF(AND(CT30&lt;&gt;"",OR(CT30&lt;EXPEDIENTE!$I$25,CT30&gt;EXPEDIENTE!$I$29)),1,0)</f>
        <v>0</v>
      </c>
      <c r="DB30" s="6">
        <f>IF(AND(CW30&lt;&gt;"",OR(CW30&lt;EXPEDIENTE!$I$25,CW30&gt;EXPEDIENTE!$I$29)),1,0)</f>
        <v>0</v>
      </c>
      <c r="DD30" s="88">
        <f t="shared" si="23"/>
        <v>0</v>
      </c>
      <c r="DE30" s="88">
        <f t="shared" si="51"/>
        <v>0</v>
      </c>
      <c r="DF30" s="88">
        <f t="shared" si="52"/>
        <v>0</v>
      </c>
      <c r="DG30" s="88">
        <f t="shared" si="53"/>
        <v>0</v>
      </c>
      <c r="DH30" s="88">
        <f t="shared" si="54"/>
        <v>0</v>
      </c>
      <c r="DI30" s="88">
        <f t="shared" si="55"/>
        <v>0</v>
      </c>
      <c r="DJ30" s="88">
        <f t="shared" si="56"/>
        <v>0</v>
      </c>
      <c r="DK30" s="88">
        <f t="shared" si="57"/>
        <v>0</v>
      </c>
      <c r="DL30" s="88">
        <f t="shared" si="58"/>
        <v>0</v>
      </c>
      <c r="DM30" s="88">
        <f t="shared" si="59"/>
        <v>0</v>
      </c>
      <c r="DN30" s="88">
        <f t="shared" si="60"/>
        <v>0</v>
      </c>
      <c r="DO30" s="88">
        <f t="shared" si="61"/>
        <v>0</v>
      </c>
      <c r="DP30" s="88">
        <f t="shared" si="62"/>
        <v>0</v>
      </c>
      <c r="DQ30" s="88">
        <f t="shared" si="63"/>
        <v>0</v>
      </c>
      <c r="DR30" s="88">
        <f t="shared" si="64"/>
        <v>0</v>
      </c>
      <c r="DS30" s="88">
        <f t="shared" si="65"/>
        <v>0</v>
      </c>
      <c r="DT30" s="88">
        <f t="shared" si="66"/>
        <v>0</v>
      </c>
      <c r="DU30" s="88">
        <f t="shared" si="67"/>
        <v>0</v>
      </c>
      <c r="DW30" s="88">
        <f>IF(CY30&lt;&gt;"",MAX($DW$9:DW29)+1,0)</f>
        <v>0</v>
      </c>
      <c r="DX30" s="182" t="str">
        <f t="shared" si="68"/>
        <v/>
      </c>
    </row>
    <row r="31" spans="2:128" ht="30" customHeight="1" thickBot="1" x14ac:dyDescent="0.3">
      <c r="B31" s="875"/>
      <c r="C31" s="889" t="s">
        <v>56</v>
      </c>
      <c r="D31" s="890"/>
      <c r="E31" s="176"/>
      <c r="F31" s="55"/>
      <c r="G31" s="56"/>
      <c r="H31" s="56"/>
      <c r="I31" s="56"/>
      <c r="J31" s="56"/>
      <c r="K31" s="56"/>
      <c r="L31" s="30">
        <f t="shared" si="24"/>
        <v>0</v>
      </c>
      <c r="M31" s="174">
        <f t="shared" si="69"/>
        <v>0</v>
      </c>
      <c r="N31" s="25"/>
      <c r="O31" s="57"/>
      <c r="P31" s="58"/>
      <c r="Q31" s="58"/>
      <c r="R31" s="58"/>
      <c r="S31" s="58"/>
      <c r="T31" s="29">
        <f t="shared" si="25"/>
        <v>0</v>
      </c>
      <c r="U31" s="61"/>
      <c r="V31" s="27"/>
      <c r="W31" s="174">
        <f t="shared" si="70"/>
        <v>0</v>
      </c>
      <c r="X31" s="55"/>
      <c r="Y31" s="56"/>
      <c r="Z31" s="30">
        <f t="shared" si="26"/>
        <v>0</v>
      </c>
      <c r="AA31" s="175"/>
      <c r="AB31" s="173"/>
      <c r="AC31" s="72"/>
      <c r="AD31" s="73"/>
      <c r="AE31" s="74"/>
      <c r="AG31" s="6">
        <f>IF(AND(AA31&lt;&gt;"",OR(AA31&lt;EXPEDIENTE!$I$25,AA31&gt;EXPEDIENTE!$I$29)),1,0)</f>
        <v>0</v>
      </c>
      <c r="AH31" s="6">
        <f>IF(AND(AB31&lt;&gt;"",OR(AB31&lt;EXPEDIENTE!$I$25,AB31&gt;EXPEDIENTE!$I$29)),1,0)</f>
        <v>0</v>
      </c>
      <c r="AI31" s="6">
        <f>IF(DATE(YEAR(EXPEDIENTE!$I$25)+1,MONTH(DATEVALUE($C31&amp;"1")),1)&gt;=DATE(YEAR(EXPEDIENTE!$I$25),MONTH(EXPEDIENTE!$I$25),1),0,1)</f>
        <v>0</v>
      </c>
      <c r="AJ31" s="6" t="e">
        <f>IF(DATE(YEAR(EXPEDIENTE!$I$25)+1,MONTH(DATEVALUE($C31&amp;"1")),1)&lt;=DATE(YEAR(EXPEDIENTE!$I$27),MONTH(EXPEDIENTE!$I$27),1),0,1)</f>
        <v>#VALUE!</v>
      </c>
      <c r="AK31" s="6" t="e">
        <f t="shared" si="27"/>
        <v>#VALUE!</v>
      </c>
      <c r="AM31" s="728"/>
      <c r="AN31" s="781" t="s">
        <v>56</v>
      </c>
      <c r="AO31" s="782"/>
      <c r="AP31" s="721"/>
      <c r="AQ31" s="722"/>
      <c r="AR31" s="329">
        <f t="shared" si="6"/>
        <v>0</v>
      </c>
      <c r="AS31" s="531"/>
      <c r="AT31" s="330">
        <f t="shared" si="28"/>
        <v>0</v>
      </c>
      <c r="AU31" s="331">
        <f t="shared" si="7"/>
        <v>0</v>
      </c>
      <c r="AV31" s="532"/>
      <c r="AW31" s="332">
        <f t="shared" si="29"/>
        <v>0</v>
      </c>
      <c r="AX31" s="331">
        <f t="shared" si="8"/>
        <v>0</v>
      </c>
      <c r="AY31" s="533"/>
      <c r="AZ31" s="333">
        <f t="shared" si="30"/>
        <v>0</v>
      </c>
      <c r="BA31" s="333">
        <f t="shared" si="9"/>
        <v>0</v>
      </c>
      <c r="BB31" s="533"/>
      <c r="BC31" s="333">
        <f t="shared" si="31"/>
        <v>0</v>
      </c>
      <c r="BD31" s="333">
        <f t="shared" si="10"/>
        <v>0</v>
      </c>
      <c r="BE31" s="533"/>
      <c r="BF31" s="333">
        <f t="shared" si="32"/>
        <v>0</v>
      </c>
      <c r="BG31" s="333">
        <f t="shared" si="11"/>
        <v>0</v>
      </c>
      <c r="BH31" s="533"/>
      <c r="BI31" s="333">
        <f t="shared" si="33"/>
        <v>0</v>
      </c>
      <c r="BJ31" s="333">
        <f t="shared" si="12"/>
        <v>0</v>
      </c>
      <c r="BK31" s="533"/>
      <c r="BL31" s="333">
        <f t="shared" si="34"/>
        <v>0</v>
      </c>
      <c r="BM31" s="334">
        <f t="shared" si="35"/>
        <v>0</v>
      </c>
      <c r="BN31" s="335">
        <f t="shared" si="36"/>
        <v>0</v>
      </c>
      <c r="BO31" s="306"/>
      <c r="BP31" s="331">
        <f t="shared" si="13"/>
        <v>0</v>
      </c>
      <c r="BQ31" s="532"/>
      <c r="BR31" s="336">
        <f t="shared" si="37"/>
        <v>0</v>
      </c>
      <c r="BS31" s="333">
        <f t="shared" si="14"/>
        <v>0</v>
      </c>
      <c r="BT31" s="533"/>
      <c r="BU31" s="333">
        <f t="shared" si="38"/>
        <v>0</v>
      </c>
      <c r="BV31" s="333">
        <f t="shared" si="15"/>
        <v>0</v>
      </c>
      <c r="BW31" s="533"/>
      <c r="BX31" s="333">
        <f t="shared" si="39"/>
        <v>0</v>
      </c>
      <c r="BY31" s="333">
        <f t="shared" si="16"/>
        <v>0</v>
      </c>
      <c r="BZ31" s="533"/>
      <c r="CA31" s="333">
        <f t="shared" si="40"/>
        <v>0</v>
      </c>
      <c r="CB31" s="333">
        <f t="shared" si="17"/>
        <v>0</v>
      </c>
      <c r="CC31" s="533"/>
      <c r="CD31" s="333">
        <f t="shared" si="41"/>
        <v>0</v>
      </c>
      <c r="CE31" s="334">
        <f t="shared" si="42"/>
        <v>0</v>
      </c>
      <c r="CF31" s="331">
        <f t="shared" si="18"/>
        <v>0</v>
      </c>
      <c r="CG31" s="533"/>
      <c r="CH31" s="337">
        <f t="shared" si="43"/>
        <v>0</v>
      </c>
      <c r="CI31" s="310"/>
      <c r="CJ31" s="335">
        <f t="shared" si="44"/>
        <v>0</v>
      </c>
      <c r="CK31" s="331">
        <f t="shared" si="19"/>
        <v>0</v>
      </c>
      <c r="CL31" s="532"/>
      <c r="CM31" s="332">
        <f t="shared" si="45"/>
        <v>0</v>
      </c>
      <c r="CN31" s="331">
        <f t="shared" si="20"/>
        <v>0</v>
      </c>
      <c r="CO31" s="533"/>
      <c r="CP31" s="337">
        <f t="shared" si="46"/>
        <v>0</v>
      </c>
      <c r="CQ31" s="335">
        <f t="shared" si="47"/>
        <v>0</v>
      </c>
      <c r="CR31" s="338" t="str">
        <f t="shared" si="21"/>
        <v/>
      </c>
      <c r="CS31" s="534"/>
      <c r="CT31" s="339" t="str">
        <f t="shared" si="48"/>
        <v/>
      </c>
      <c r="CU31" s="340" t="str">
        <f t="shared" si="22"/>
        <v/>
      </c>
      <c r="CV31" s="248"/>
      <c r="CW31" s="341" t="str">
        <f t="shared" si="49"/>
        <v/>
      </c>
      <c r="CX31" s="342" t="str">
        <f t="shared" si="50"/>
        <v/>
      </c>
      <c r="CY31" s="535"/>
      <c r="DA31" s="6">
        <f>IF(AND(CT31&lt;&gt;"",OR(CT31&lt;EXPEDIENTE!$I$25,CT31&gt;EXPEDIENTE!$I$29)),1,0)</f>
        <v>0</v>
      </c>
      <c r="DB31" s="6">
        <f>IF(AND(CW31&lt;&gt;"",OR(CW31&lt;EXPEDIENTE!$I$25,CW31&gt;EXPEDIENTE!$I$29)),1,0)</f>
        <v>0</v>
      </c>
      <c r="DD31" s="88">
        <f t="shared" si="23"/>
        <v>0</v>
      </c>
      <c r="DE31" s="88">
        <f t="shared" si="51"/>
        <v>0</v>
      </c>
      <c r="DF31" s="88">
        <f t="shared" si="52"/>
        <v>0</v>
      </c>
      <c r="DG31" s="88">
        <f t="shared" si="53"/>
        <v>0</v>
      </c>
      <c r="DH31" s="88">
        <f t="shared" si="54"/>
        <v>0</v>
      </c>
      <c r="DI31" s="88">
        <f t="shared" si="55"/>
        <v>0</v>
      </c>
      <c r="DJ31" s="88">
        <f t="shared" si="56"/>
        <v>0</v>
      </c>
      <c r="DK31" s="88">
        <f t="shared" si="57"/>
        <v>0</v>
      </c>
      <c r="DL31" s="88">
        <f t="shared" si="58"/>
        <v>0</v>
      </c>
      <c r="DM31" s="88">
        <f t="shared" si="59"/>
        <v>0</v>
      </c>
      <c r="DN31" s="88">
        <f t="shared" si="60"/>
        <v>0</v>
      </c>
      <c r="DO31" s="88">
        <f t="shared" si="61"/>
        <v>0</v>
      </c>
      <c r="DP31" s="88">
        <f t="shared" si="62"/>
        <v>0</v>
      </c>
      <c r="DQ31" s="88">
        <f t="shared" si="63"/>
        <v>0</v>
      </c>
      <c r="DR31" s="88">
        <f t="shared" si="64"/>
        <v>0</v>
      </c>
      <c r="DS31" s="88">
        <f t="shared" si="65"/>
        <v>0</v>
      </c>
      <c r="DT31" s="88">
        <f t="shared" si="66"/>
        <v>0</v>
      </c>
      <c r="DU31" s="88">
        <f t="shared" si="67"/>
        <v>0</v>
      </c>
      <c r="DW31" s="88">
        <f>IF(CY31&lt;&gt;"",MAX($DW$9:DW30)+1,0)</f>
        <v>0</v>
      </c>
      <c r="DX31" s="182" t="str">
        <f t="shared" si="68"/>
        <v/>
      </c>
    </row>
    <row r="32" spans="2:128" ht="9.9499999999999993" customHeight="1" thickBot="1" x14ac:dyDescent="0.3">
      <c r="B32" s="875"/>
      <c r="C32" s="177"/>
      <c r="D32" s="161"/>
      <c r="E32" s="161"/>
      <c r="F32" s="161"/>
      <c r="G32" s="161"/>
      <c r="H32" s="161"/>
      <c r="I32" s="161"/>
      <c r="J32" s="161"/>
      <c r="K32" s="161"/>
      <c r="L32" s="161"/>
      <c r="M32" s="178"/>
      <c r="N32" s="32"/>
      <c r="O32" s="33"/>
      <c r="P32" s="33"/>
      <c r="Q32" s="33"/>
      <c r="R32" s="33"/>
      <c r="S32" s="33"/>
      <c r="T32" s="33"/>
      <c r="U32" s="33"/>
      <c r="V32" s="34"/>
      <c r="W32" s="159"/>
      <c r="X32" s="161"/>
      <c r="Y32" s="161"/>
      <c r="Z32" s="161"/>
      <c r="AA32" s="161"/>
      <c r="AB32" s="161"/>
      <c r="AC32" s="161"/>
      <c r="AD32" s="161"/>
      <c r="AE32" s="164"/>
      <c r="AM32" s="728"/>
      <c r="AN32" s="277"/>
      <c r="AO32" s="278"/>
      <c r="AP32" s="278"/>
      <c r="AQ32" s="278"/>
      <c r="AR32" s="278"/>
      <c r="AS32" s="278"/>
      <c r="AT32" s="278"/>
      <c r="AU32" s="278"/>
      <c r="AV32" s="278"/>
      <c r="AW32" s="278"/>
      <c r="AX32" s="278"/>
      <c r="AY32" s="278"/>
      <c r="AZ32" s="278"/>
      <c r="BA32" s="278"/>
      <c r="BB32" s="278"/>
      <c r="BC32" s="278"/>
      <c r="BD32" s="278"/>
      <c r="BE32" s="278"/>
      <c r="BF32" s="278"/>
      <c r="BG32" s="278"/>
      <c r="BH32" s="278"/>
      <c r="BI32" s="278"/>
      <c r="BJ32" s="278"/>
      <c r="BK32" s="278"/>
      <c r="BL32" s="278"/>
      <c r="BM32" s="278"/>
      <c r="BN32" s="343"/>
      <c r="BO32" s="344"/>
      <c r="BP32" s="345"/>
      <c r="BQ32" s="345"/>
      <c r="BR32" s="345"/>
      <c r="BS32" s="345"/>
      <c r="BT32" s="345"/>
      <c r="BU32" s="345"/>
      <c r="BV32" s="345"/>
      <c r="BW32" s="345"/>
      <c r="BX32" s="345"/>
      <c r="BY32" s="345"/>
      <c r="BZ32" s="345"/>
      <c r="CA32" s="345"/>
      <c r="CB32" s="345"/>
      <c r="CC32" s="345"/>
      <c r="CD32" s="345"/>
      <c r="CE32" s="345"/>
      <c r="CF32" s="345"/>
      <c r="CG32" s="345"/>
      <c r="CH32" s="345"/>
      <c r="CI32" s="346"/>
      <c r="CJ32" s="347"/>
      <c r="CK32" s="278"/>
      <c r="CL32" s="278"/>
      <c r="CM32" s="278"/>
      <c r="CN32" s="278"/>
      <c r="CO32" s="278"/>
      <c r="CP32" s="278"/>
      <c r="CQ32" s="278"/>
      <c r="CR32" s="278"/>
      <c r="CS32" s="278"/>
      <c r="CT32" s="278"/>
      <c r="CU32" s="278"/>
      <c r="CV32" s="278"/>
      <c r="CW32" s="278"/>
      <c r="CX32" s="348"/>
      <c r="CY32" s="349"/>
    </row>
    <row r="33" spans="2:128" s="35" customFormat="1" ht="54.95" customHeight="1" thickTop="1" thickBot="1" x14ac:dyDescent="0.3">
      <c r="B33" s="875"/>
      <c r="C33" s="887" t="s">
        <v>185</v>
      </c>
      <c r="D33" s="887"/>
      <c r="E33" s="887"/>
      <c r="F33" s="887"/>
      <c r="G33" s="887"/>
      <c r="H33" s="887"/>
      <c r="I33" s="887"/>
      <c r="J33" s="887"/>
      <c r="K33" s="887"/>
      <c r="L33" s="887"/>
      <c r="M33" s="887"/>
      <c r="N33" s="887"/>
      <c r="O33" s="887"/>
      <c r="P33" s="887"/>
      <c r="Q33" s="887"/>
      <c r="R33" s="887"/>
      <c r="S33" s="887"/>
      <c r="T33" s="887"/>
      <c r="U33" s="887"/>
      <c r="V33" s="887"/>
      <c r="W33" s="887"/>
      <c r="X33" s="887"/>
      <c r="Y33" s="887"/>
      <c r="Z33" s="887"/>
      <c r="AA33" s="887"/>
      <c r="AB33" s="887"/>
      <c r="AC33" s="887"/>
      <c r="AD33" s="887"/>
      <c r="AE33" s="888"/>
      <c r="AG33" s="6"/>
      <c r="AH33" s="6"/>
      <c r="AI33" s="109"/>
      <c r="AJ33" s="109"/>
      <c r="AK33" s="109"/>
      <c r="AM33" s="728"/>
      <c r="AN33" s="751" t="s">
        <v>185</v>
      </c>
      <c r="AO33" s="751"/>
      <c r="AP33" s="751"/>
      <c r="AQ33" s="751"/>
      <c r="AR33" s="751"/>
      <c r="AS33" s="751"/>
      <c r="AT33" s="751"/>
      <c r="AU33" s="751"/>
      <c r="AV33" s="751"/>
      <c r="AW33" s="751"/>
      <c r="AX33" s="751"/>
      <c r="AY33" s="751"/>
      <c r="AZ33" s="751"/>
      <c r="BA33" s="751"/>
      <c r="BB33" s="751"/>
      <c r="BC33" s="751"/>
      <c r="BD33" s="751"/>
      <c r="BE33" s="751"/>
      <c r="BF33" s="751"/>
      <c r="BG33" s="751"/>
      <c r="BH33" s="751"/>
      <c r="BI33" s="751"/>
      <c r="BJ33" s="751"/>
      <c r="BK33" s="751"/>
      <c r="BL33" s="751"/>
      <c r="BM33" s="751"/>
      <c r="BN33" s="751"/>
      <c r="BO33" s="751"/>
      <c r="BP33" s="751"/>
      <c r="BQ33" s="751"/>
      <c r="BR33" s="751"/>
      <c r="BS33" s="751"/>
      <c r="BT33" s="751"/>
      <c r="BU33" s="751"/>
      <c r="BV33" s="751"/>
      <c r="BW33" s="751"/>
      <c r="BX33" s="751"/>
      <c r="BY33" s="751"/>
      <c r="BZ33" s="751"/>
      <c r="CA33" s="751"/>
      <c r="CB33" s="751"/>
      <c r="CC33" s="751"/>
      <c r="CD33" s="751"/>
      <c r="CE33" s="751"/>
      <c r="CF33" s="751"/>
      <c r="CG33" s="751"/>
      <c r="CH33" s="751"/>
      <c r="CI33" s="751"/>
      <c r="CJ33" s="751"/>
      <c r="CK33" s="751"/>
      <c r="CL33" s="751"/>
      <c r="CM33" s="751"/>
      <c r="CN33" s="751"/>
      <c r="CO33" s="751"/>
      <c r="CP33" s="751"/>
      <c r="CQ33" s="751"/>
      <c r="CR33" s="751"/>
      <c r="CS33" s="751"/>
      <c r="CT33" s="751"/>
      <c r="CU33" s="751"/>
      <c r="CV33" s="751"/>
      <c r="CW33" s="751"/>
      <c r="CX33" s="751"/>
      <c r="CY33" s="752"/>
      <c r="DA33" s="6"/>
      <c r="DB33" s="6"/>
      <c r="DD33" s="109"/>
      <c r="DE33" s="109"/>
      <c r="DF33" s="109"/>
      <c r="DG33" s="109"/>
      <c r="DH33" s="109"/>
      <c r="DI33" s="109"/>
      <c r="DJ33" s="109"/>
      <c r="DK33" s="109"/>
      <c r="DL33" s="109"/>
      <c r="DM33" s="109"/>
      <c r="DN33" s="109"/>
      <c r="DO33" s="109"/>
      <c r="DP33" s="109"/>
      <c r="DQ33" s="109"/>
      <c r="DR33" s="109"/>
      <c r="DS33" s="109"/>
      <c r="DT33" s="109"/>
      <c r="DU33" s="109"/>
    </row>
    <row r="34" spans="2:128" ht="20.100000000000001" customHeight="1" thickTop="1" thickBot="1" x14ac:dyDescent="0.3">
      <c r="B34" s="875"/>
      <c r="C34" s="858" t="s">
        <v>87</v>
      </c>
      <c r="D34" s="859"/>
      <c r="E34" s="860"/>
      <c r="F34" s="861" t="s">
        <v>85</v>
      </c>
      <c r="G34" s="862"/>
      <c r="H34" s="862"/>
      <c r="I34" s="862"/>
      <c r="J34" s="862"/>
      <c r="K34" s="862"/>
      <c r="L34" s="862"/>
      <c r="M34" s="863"/>
      <c r="N34" s="740" t="s">
        <v>88</v>
      </c>
      <c r="O34" s="741"/>
      <c r="P34" s="741"/>
      <c r="Q34" s="741"/>
      <c r="R34" s="741"/>
      <c r="S34" s="741"/>
      <c r="T34" s="741"/>
      <c r="U34" s="741"/>
      <c r="V34" s="742"/>
      <c r="W34" s="864" t="s">
        <v>79</v>
      </c>
      <c r="X34" s="746" t="s">
        <v>66</v>
      </c>
      <c r="Y34" s="743" t="s">
        <v>59</v>
      </c>
      <c r="Z34" s="743" t="s">
        <v>60</v>
      </c>
      <c r="AA34" s="743" t="s">
        <v>64</v>
      </c>
      <c r="AB34" s="789" t="s">
        <v>84</v>
      </c>
      <c r="AC34" s="746" t="s">
        <v>91</v>
      </c>
      <c r="AD34" s="789" t="s">
        <v>90</v>
      </c>
      <c r="AE34" s="871" t="s">
        <v>67</v>
      </c>
      <c r="AM34" s="728"/>
      <c r="AN34" s="732" t="s">
        <v>87</v>
      </c>
      <c r="AO34" s="733"/>
      <c r="AP34" s="733"/>
      <c r="AQ34" s="733"/>
      <c r="AR34" s="733"/>
      <c r="AS34" s="733"/>
      <c r="AT34" s="734"/>
      <c r="AU34" s="910" t="s">
        <v>85</v>
      </c>
      <c r="AV34" s="911"/>
      <c r="AW34" s="911"/>
      <c r="AX34" s="911"/>
      <c r="AY34" s="911"/>
      <c r="AZ34" s="911"/>
      <c r="BA34" s="911"/>
      <c r="BB34" s="911"/>
      <c r="BC34" s="911"/>
      <c r="BD34" s="911"/>
      <c r="BE34" s="911"/>
      <c r="BF34" s="911"/>
      <c r="BG34" s="911"/>
      <c r="BH34" s="911"/>
      <c r="BI34" s="911"/>
      <c r="BJ34" s="911"/>
      <c r="BK34" s="911"/>
      <c r="BL34" s="911"/>
      <c r="BM34" s="911"/>
      <c r="BN34" s="912"/>
      <c r="BO34" s="767" t="s">
        <v>407</v>
      </c>
      <c r="BP34" s="768"/>
      <c r="BQ34" s="768"/>
      <c r="BR34" s="768"/>
      <c r="BS34" s="768"/>
      <c r="BT34" s="768"/>
      <c r="BU34" s="768"/>
      <c r="BV34" s="768"/>
      <c r="BW34" s="768"/>
      <c r="BX34" s="768"/>
      <c r="BY34" s="768"/>
      <c r="BZ34" s="768"/>
      <c r="CA34" s="768"/>
      <c r="CB34" s="768"/>
      <c r="CC34" s="768"/>
      <c r="CD34" s="768"/>
      <c r="CE34" s="768"/>
      <c r="CF34" s="768"/>
      <c r="CG34" s="769"/>
      <c r="CH34" s="769"/>
      <c r="CI34" s="770"/>
      <c r="CJ34" s="827" t="s">
        <v>79</v>
      </c>
      <c r="CK34" s="695" t="s">
        <v>316</v>
      </c>
      <c r="CL34" s="696"/>
      <c r="CM34" s="697"/>
      <c r="CN34" s="714" t="s">
        <v>317</v>
      </c>
      <c r="CO34" s="715"/>
      <c r="CP34" s="716"/>
      <c r="CQ34" s="828" t="s">
        <v>60</v>
      </c>
      <c r="CR34" s="706" t="s">
        <v>319</v>
      </c>
      <c r="CS34" s="707"/>
      <c r="CT34" s="708"/>
      <c r="CU34" s="709" t="s">
        <v>318</v>
      </c>
      <c r="CV34" s="710"/>
      <c r="CW34" s="711"/>
      <c r="CX34" s="280"/>
      <c r="CY34" s="712" t="s">
        <v>320</v>
      </c>
    </row>
    <row r="35" spans="2:128" x14ac:dyDescent="0.25">
      <c r="B35" s="875"/>
      <c r="C35" s="877" t="s">
        <v>70</v>
      </c>
      <c r="D35" s="753" t="s">
        <v>63</v>
      </c>
      <c r="E35" s="891"/>
      <c r="F35" s="854" t="s">
        <v>57</v>
      </c>
      <c r="G35" s="753" t="s">
        <v>72</v>
      </c>
      <c r="H35" s="753"/>
      <c r="I35" s="753"/>
      <c r="J35" s="753"/>
      <c r="K35" s="753"/>
      <c r="L35" s="754"/>
      <c r="M35" s="749" t="s">
        <v>96</v>
      </c>
      <c r="N35" s="16"/>
      <c r="O35" s="788" t="s">
        <v>73</v>
      </c>
      <c r="P35" s="753"/>
      <c r="Q35" s="753"/>
      <c r="R35" s="753"/>
      <c r="S35" s="753"/>
      <c r="T35" s="753"/>
      <c r="U35" s="749" t="s">
        <v>89</v>
      </c>
      <c r="V35" s="17"/>
      <c r="W35" s="865"/>
      <c r="X35" s="747"/>
      <c r="Y35" s="744"/>
      <c r="Z35" s="744"/>
      <c r="AA35" s="744"/>
      <c r="AB35" s="790"/>
      <c r="AC35" s="747"/>
      <c r="AD35" s="790"/>
      <c r="AE35" s="872"/>
      <c r="AM35" s="728"/>
      <c r="AN35" s="806" t="s">
        <v>70</v>
      </c>
      <c r="AO35" s="803" t="s">
        <v>63</v>
      </c>
      <c r="AP35" s="804"/>
      <c r="AQ35" s="805"/>
      <c r="AR35" s="803" t="s">
        <v>63</v>
      </c>
      <c r="AS35" s="804"/>
      <c r="AT35" s="805"/>
      <c r="AU35" s="778" t="s">
        <v>272</v>
      </c>
      <c r="AV35" s="779"/>
      <c r="AW35" s="780"/>
      <c r="AX35" s="820" t="s">
        <v>72</v>
      </c>
      <c r="AY35" s="821"/>
      <c r="AZ35" s="821"/>
      <c r="BA35" s="821"/>
      <c r="BB35" s="821"/>
      <c r="BC35" s="821"/>
      <c r="BD35" s="821"/>
      <c r="BE35" s="821"/>
      <c r="BF35" s="821"/>
      <c r="BG35" s="821"/>
      <c r="BH35" s="821"/>
      <c r="BI35" s="821"/>
      <c r="BJ35" s="821"/>
      <c r="BK35" s="821"/>
      <c r="BL35" s="821"/>
      <c r="BM35" s="822"/>
      <c r="BN35" s="823" t="s">
        <v>273</v>
      </c>
      <c r="BO35" s="281"/>
      <c r="BP35" s="799" t="s">
        <v>411</v>
      </c>
      <c r="BQ35" s="800"/>
      <c r="BR35" s="800"/>
      <c r="BS35" s="801"/>
      <c r="BT35" s="801"/>
      <c r="BU35" s="801"/>
      <c r="BV35" s="801"/>
      <c r="BW35" s="801"/>
      <c r="BX35" s="801"/>
      <c r="BY35" s="801"/>
      <c r="BZ35" s="801"/>
      <c r="CA35" s="801"/>
      <c r="CB35" s="801"/>
      <c r="CC35" s="801"/>
      <c r="CD35" s="801"/>
      <c r="CE35" s="802"/>
      <c r="CF35" s="692" t="s">
        <v>409</v>
      </c>
      <c r="CG35" s="693"/>
      <c r="CH35" s="694"/>
      <c r="CI35" s="282"/>
      <c r="CJ35" s="738"/>
      <c r="CK35" s="698" t="s">
        <v>270</v>
      </c>
      <c r="CL35" s="700" t="s">
        <v>245</v>
      </c>
      <c r="CM35" s="702" t="s">
        <v>271</v>
      </c>
      <c r="CN35" s="698" t="s">
        <v>270</v>
      </c>
      <c r="CO35" s="700" t="s">
        <v>245</v>
      </c>
      <c r="CP35" s="702" t="s">
        <v>271</v>
      </c>
      <c r="CQ35" s="829"/>
      <c r="CR35" s="698" t="s">
        <v>270</v>
      </c>
      <c r="CS35" s="700" t="s">
        <v>245</v>
      </c>
      <c r="CT35" s="702" t="s">
        <v>271</v>
      </c>
      <c r="CU35" s="698" t="s">
        <v>270</v>
      </c>
      <c r="CV35" s="700" t="s">
        <v>245</v>
      </c>
      <c r="CW35" s="702" t="s">
        <v>271</v>
      </c>
      <c r="CX35" s="283"/>
      <c r="CY35" s="713"/>
    </row>
    <row r="36" spans="2:128" ht="51.75" thickBot="1" x14ac:dyDescent="0.3">
      <c r="B36" s="875"/>
      <c r="C36" s="878"/>
      <c r="D36" s="36" t="s">
        <v>68</v>
      </c>
      <c r="E36" s="37" t="s">
        <v>69</v>
      </c>
      <c r="F36" s="855"/>
      <c r="G36" s="18" t="s">
        <v>97</v>
      </c>
      <c r="H36" s="18" t="s">
        <v>98</v>
      </c>
      <c r="I36" s="18" t="s">
        <v>99</v>
      </c>
      <c r="J36" s="18" t="s">
        <v>100</v>
      </c>
      <c r="K36" s="18" t="s">
        <v>101</v>
      </c>
      <c r="L36" s="19" t="s">
        <v>108</v>
      </c>
      <c r="M36" s="750"/>
      <c r="N36" s="20"/>
      <c r="O36" s="21" t="s">
        <v>102</v>
      </c>
      <c r="P36" s="18" t="s">
        <v>103</v>
      </c>
      <c r="Q36" s="18" t="s">
        <v>104</v>
      </c>
      <c r="R36" s="18" t="s">
        <v>105</v>
      </c>
      <c r="S36" s="18" t="s">
        <v>106</v>
      </c>
      <c r="T36" s="18" t="s">
        <v>107</v>
      </c>
      <c r="U36" s="750"/>
      <c r="V36" s="22"/>
      <c r="W36" s="866"/>
      <c r="X36" s="748"/>
      <c r="Y36" s="745"/>
      <c r="Z36" s="745"/>
      <c r="AA36" s="745"/>
      <c r="AB36" s="791"/>
      <c r="AC36" s="748"/>
      <c r="AD36" s="791"/>
      <c r="AE36" s="873"/>
      <c r="AM36" s="728"/>
      <c r="AN36" s="807"/>
      <c r="AO36" s="284" t="s">
        <v>307</v>
      </c>
      <c r="AP36" s="351" t="s">
        <v>308</v>
      </c>
      <c r="AQ36" s="286" t="s">
        <v>271</v>
      </c>
      <c r="AR36" s="284" t="s">
        <v>310</v>
      </c>
      <c r="AS36" s="351" t="s">
        <v>311</v>
      </c>
      <c r="AT36" s="286" t="s">
        <v>271</v>
      </c>
      <c r="AU36" s="284" t="s">
        <v>270</v>
      </c>
      <c r="AV36" s="285" t="s">
        <v>245</v>
      </c>
      <c r="AW36" s="286" t="s">
        <v>271</v>
      </c>
      <c r="AX36" s="287" t="s">
        <v>274</v>
      </c>
      <c r="AY36" s="288" t="s">
        <v>275</v>
      </c>
      <c r="AZ36" s="289" t="s">
        <v>276</v>
      </c>
      <c r="BA36" s="289" t="s">
        <v>277</v>
      </c>
      <c r="BB36" s="288" t="s">
        <v>278</v>
      </c>
      <c r="BC36" s="289" t="s">
        <v>279</v>
      </c>
      <c r="BD36" s="289" t="s">
        <v>280</v>
      </c>
      <c r="BE36" s="288" t="s">
        <v>281</v>
      </c>
      <c r="BF36" s="289" t="s">
        <v>282</v>
      </c>
      <c r="BG36" s="289" t="s">
        <v>283</v>
      </c>
      <c r="BH36" s="288" t="s">
        <v>284</v>
      </c>
      <c r="BI36" s="289" t="s">
        <v>285</v>
      </c>
      <c r="BJ36" s="289" t="s">
        <v>286</v>
      </c>
      <c r="BK36" s="288" t="s">
        <v>287</v>
      </c>
      <c r="BL36" s="289" t="s">
        <v>288</v>
      </c>
      <c r="BM36" s="290" t="s">
        <v>289</v>
      </c>
      <c r="BN36" s="824"/>
      <c r="BO36" s="291"/>
      <c r="BP36" s="287" t="s">
        <v>291</v>
      </c>
      <c r="BQ36" s="288" t="s">
        <v>292</v>
      </c>
      <c r="BR36" s="289" t="s">
        <v>293</v>
      </c>
      <c r="BS36" s="289" t="s">
        <v>294</v>
      </c>
      <c r="BT36" s="288" t="s">
        <v>295</v>
      </c>
      <c r="BU36" s="289" t="s">
        <v>296</v>
      </c>
      <c r="BV36" s="289" t="s">
        <v>297</v>
      </c>
      <c r="BW36" s="288" t="s">
        <v>298</v>
      </c>
      <c r="BX36" s="289" t="s">
        <v>299</v>
      </c>
      <c r="BY36" s="289" t="s">
        <v>300</v>
      </c>
      <c r="BZ36" s="288" t="s">
        <v>301</v>
      </c>
      <c r="CA36" s="289" t="s">
        <v>302</v>
      </c>
      <c r="CB36" s="289" t="s">
        <v>303</v>
      </c>
      <c r="CC36" s="288" t="s">
        <v>304</v>
      </c>
      <c r="CD36" s="289" t="s">
        <v>305</v>
      </c>
      <c r="CE36" s="290" t="s">
        <v>306</v>
      </c>
      <c r="CF36" s="292" t="s">
        <v>270</v>
      </c>
      <c r="CG36" s="293" t="s">
        <v>245</v>
      </c>
      <c r="CH36" s="294" t="s">
        <v>271</v>
      </c>
      <c r="CI36" s="295"/>
      <c r="CJ36" s="739"/>
      <c r="CK36" s="699"/>
      <c r="CL36" s="701"/>
      <c r="CM36" s="703"/>
      <c r="CN36" s="699"/>
      <c r="CO36" s="701"/>
      <c r="CP36" s="703"/>
      <c r="CQ36" s="830"/>
      <c r="CR36" s="699"/>
      <c r="CS36" s="701"/>
      <c r="CT36" s="703"/>
      <c r="CU36" s="699"/>
      <c r="CV36" s="701"/>
      <c r="CW36" s="703"/>
      <c r="CX36" s="296" t="s">
        <v>321</v>
      </c>
      <c r="CY36" s="297" t="s">
        <v>245</v>
      </c>
      <c r="DD36" s="88" t="s">
        <v>322</v>
      </c>
      <c r="DE36" s="88" t="s">
        <v>323</v>
      </c>
      <c r="DF36" s="88" t="s">
        <v>324</v>
      </c>
      <c r="DG36" s="88" t="s">
        <v>325</v>
      </c>
      <c r="DH36" s="88" t="s">
        <v>326</v>
      </c>
      <c r="DI36" s="88" t="s">
        <v>327</v>
      </c>
      <c r="DJ36" s="88" t="s">
        <v>328</v>
      </c>
      <c r="DK36" s="88" t="s">
        <v>329</v>
      </c>
      <c r="DL36" s="88" t="s">
        <v>330</v>
      </c>
      <c r="DM36" s="88" t="s">
        <v>331</v>
      </c>
      <c r="DN36" s="88" t="s">
        <v>332</v>
      </c>
      <c r="DO36" s="88" t="s">
        <v>333</v>
      </c>
      <c r="DP36" s="88" t="s">
        <v>334</v>
      </c>
      <c r="DQ36" s="88" t="s">
        <v>335</v>
      </c>
      <c r="DR36" s="88" t="s">
        <v>336</v>
      </c>
      <c r="DS36" s="88" t="s">
        <v>337</v>
      </c>
      <c r="DT36" s="88" t="s">
        <v>338</v>
      </c>
      <c r="DU36" s="88" t="s">
        <v>339</v>
      </c>
    </row>
    <row r="37" spans="2:128" ht="30" customHeight="1" x14ac:dyDescent="0.25">
      <c r="B37" s="875"/>
      <c r="C37" s="75"/>
      <c r="D37" s="62"/>
      <c r="E37" s="63"/>
      <c r="F37" s="50"/>
      <c r="G37" s="51"/>
      <c r="H37" s="51"/>
      <c r="I37" s="51"/>
      <c r="J37" s="51"/>
      <c r="K37" s="51"/>
      <c r="L37" s="38">
        <f>SUM(G37:K37)</f>
        <v>0</v>
      </c>
      <c r="M37" s="39">
        <f>F37+L37</f>
        <v>0</v>
      </c>
      <c r="N37" s="40"/>
      <c r="O37" s="77"/>
      <c r="P37" s="78"/>
      <c r="Q37" s="78"/>
      <c r="R37" s="78"/>
      <c r="S37" s="78"/>
      <c r="T37" s="38">
        <f>SUM(O37:S37)</f>
        <v>0</v>
      </c>
      <c r="U37" s="79"/>
      <c r="V37" s="27"/>
      <c r="W37" s="41">
        <f>M37+T37+U37</f>
        <v>0</v>
      </c>
      <c r="X37" s="77"/>
      <c r="Y37" s="78"/>
      <c r="Z37" s="26">
        <f>F37+L37+T37+U37-X37-Y37</f>
        <v>0</v>
      </c>
      <c r="AA37" s="62"/>
      <c r="AB37" s="63"/>
      <c r="AC37" s="66"/>
      <c r="AD37" s="67"/>
      <c r="AE37" s="105"/>
      <c r="AG37" s="6">
        <f>IF(AND(AA37&lt;&gt;"",OR(AA37&lt;EXPEDIENTE!$I$25,AA37&gt;EXPEDIENTE!$I$29)),1,0)</f>
        <v>0</v>
      </c>
      <c r="AH37" s="6">
        <f>IF(AND(AB37&lt;&gt;"",OR(AB37&lt;EXPEDIENTE!$I$25,AB37&gt;EXPEDIENTE!$I$29)),1,0)</f>
        <v>0</v>
      </c>
      <c r="AM37" s="728"/>
      <c r="AN37" s="352" t="str">
        <f t="shared" ref="AN37:AN44" si="71">IF(C37="","",C37)</f>
        <v/>
      </c>
      <c r="AO37" s="353" t="str">
        <f>IF(D37="","",D37)</f>
        <v/>
      </c>
      <c r="AP37" s="536"/>
      <c r="AQ37" s="354" t="str">
        <f>IF(AP37="",AO37,AP37)</f>
        <v/>
      </c>
      <c r="AR37" s="353" t="str">
        <f t="shared" ref="AR37:AR44" si="72">IF(E37="","",E37)</f>
        <v/>
      </c>
      <c r="AS37" s="536"/>
      <c r="AT37" s="354" t="str">
        <f>IF(AS37="",AR37,AS37)</f>
        <v/>
      </c>
      <c r="AU37" s="301">
        <f t="shared" ref="AU37:AU44" si="73">IF(F37="",0,F37)</f>
        <v>0</v>
      </c>
      <c r="AV37" s="523"/>
      <c r="AW37" s="302">
        <f>IF(AV37="",AU37,AV37)</f>
        <v>0</v>
      </c>
      <c r="AX37" s="301">
        <f t="shared" ref="AX37:AX44" si="74">IF(G37="",0,G37)</f>
        <v>0</v>
      </c>
      <c r="AY37" s="524"/>
      <c r="AZ37" s="303">
        <f>IF(AY37="",AX37,AY37)</f>
        <v>0</v>
      </c>
      <c r="BA37" s="303">
        <f t="shared" ref="BA37:BA44" si="75">IF(H37="",0,H37)</f>
        <v>0</v>
      </c>
      <c r="BB37" s="524"/>
      <c r="BC37" s="303">
        <f>IF(BB37="",BA37,BB37)</f>
        <v>0</v>
      </c>
      <c r="BD37" s="303">
        <f t="shared" ref="BD37:BD44" si="76">IF(I37="",0,I37)</f>
        <v>0</v>
      </c>
      <c r="BE37" s="524"/>
      <c r="BF37" s="303">
        <f>IF(BE37="",BD37,BE37)</f>
        <v>0</v>
      </c>
      <c r="BG37" s="303">
        <f t="shared" ref="BG37:BG44" si="77">IF(J37="",0,J37)</f>
        <v>0</v>
      </c>
      <c r="BH37" s="524"/>
      <c r="BI37" s="303">
        <f>IF(BH37="",BG37,BH37)</f>
        <v>0</v>
      </c>
      <c r="BJ37" s="303">
        <f t="shared" ref="BJ37:BJ44" si="78">IF(K37="",0,K37)</f>
        <v>0</v>
      </c>
      <c r="BK37" s="524"/>
      <c r="BL37" s="303">
        <f>IF(BK37="",BJ37,BK37)</f>
        <v>0</v>
      </c>
      <c r="BM37" s="304">
        <f>AZ37+BC37+BF37+BI37+BL37</f>
        <v>0</v>
      </c>
      <c r="BN37" s="305">
        <f>AW37+BM37</f>
        <v>0</v>
      </c>
      <c r="BO37" s="355"/>
      <c r="BP37" s="301">
        <f t="shared" ref="BP37:BP44" si="79">IF(O37="",0,O37)</f>
        <v>0</v>
      </c>
      <c r="BQ37" s="537"/>
      <c r="BR37" s="307">
        <f>IF(BQ37="",BP37,BQ37)</f>
        <v>0</v>
      </c>
      <c r="BS37" s="303">
        <f t="shared" ref="BS37:BS44" si="80">IF(P37="",0,P37)</f>
        <v>0</v>
      </c>
      <c r="BT37" s="525"/>
      <c r="BU37" s="303">
        <f>IF(BT37="",BS37,BT37)</f>
        <v>0</v>
      </c>
      <c r="BV37" s="303">
        <f t="shared" ref="BV37:BV44" si="81">IF(Q37="",0,Q37)</f>
        <v>0</v>
      </c>
      <c r="BW37" s="525"/>
      <c r="BX37" s="303">
        <f>IF(BW37="",BV37,BW37)</f>
        <v>0</v>
      </c>
      <c r="BY37" s="303">
        <f t="shared" ref="BY37:BY44" si="82">IF(R37="",0,R37)</f>
        <v>0</v>
      </c>
      <c r="BZ37" s="525"/>
      <c r="CA37" s="303">
        <f>IF(BZ37="",BY37,BZ37)</f>
        <v>0</v>
      </c>
      <c r="CB37" s="303">
        <f t="shared" ref="CB37:CB44" si="83">IF(S37="",0,S37)</f>
        <v>0</v>
      </c>
      <c r="CC37" s="525"/>
      <c r="CD37" s="303">
        <f>IF(CC37="",CB37,CC37)</f>
        <v>0</v>
      </c>
      <c r="CE37" s="356">
        <f>BR37+BU37+BX37+CA37+CD37</f>
        <v>0</v>
      </c>
      <c r="CF37" s="308">
        <f t="shared" ref="CF37:CF44" si="84">IF(U37="",0,U37)</f>
        <v>0</v>
      </c>
      <c r="CG37" s="525"/>
      <c r="CH37" s="309">
        <f>IF(CG37="",CF37,CG37)</f>
        <v>0</v>
      </c>
      <c r="CI37" s="310"/>
      <c r="CJ37" s="311">
        <f>BN37+CE37+CH37</f>
        <v>0</v>
      </c>
      <c r="CK37" s="308">
        <f t="shared" ref="CK37:CK44" si="85">IF(X37="",0,X37)</f>
        <v>0</v>
      </c>
      <c r="CL37" s="537"/>
      <c r="CM37" s="357">
        <f>IF(CL37="",CK37,CL37)</f>
        <v>0</v>
      </c>
      <c r="CN37" s="308">
        <f t="shared" ref="CN37:CN44" si="86">IF(Y37="",0,Y37)</f>
        <v>0</v>
      </c>
      <c r="CO37" s="525"/>
      <c r="CP37" s="309">
        <f>IF(CO37="",CN37,CO37)</f>
        <v>0</v>
      </c>
      <c r="CQ37" s="311">
        <f>AW37+BM37+CE37+CH37-CM37-CP37</f>
        <v>0</v>
      </c>
      <c r="CR37" s="353" t="str">
        <f t="shared" ref="CR37:CR44" si="87">IF(AA37="","",AA37)</f>
        <v/>
      </c>
      <c r="CS37" s="227"/>
      <c r="CT37" s="354" t="str">
        <f>IF(CS37="",CR37,CS37)</f>
        <v/>
      </c>
      <c r="CU37" s="353" t="str">
        <f t="shared" ref="CU37:CU44" si="88">IF(AB37="","",AB37)</f>
        <v/>
      </c>
      <c r="CV37" s="227"/>
      <c r="CW37" s="354" t="str">
        <f>IF(CV37="",CU37,CV37)</f>
        <v/>
      </c>
      <c r="CX37" s="317" t="str">
        <f>IF(DD37=0,"",DD37)</f>
        <v/>
      </c>
      <c r="CY37" s="527"/>
      <c r="DA37" s="6">
        <f>IF(AND(CT37&lt;&gt;"",OR(CT37&lt;EXPEDIENTE!$I$25,CT37&gt;EXPEDIENTE!$I$29)),1,0)</f>
        <v>0</v>
      </c>
      <c r="DB37" s="6">
        <f>IF(AND(CW37&lt;&gt;"",OR(CW37&lt;EXPEDIENTE!$I$25,CW37&gt;EXPEDIENTE!$I$29)),1,0)</f>
        <v>0</v>
      </c>
      <c r="DD37" s="88">
        <f t="shared" ref="DD37:DD44" si="89">SUM(DE37:DU37)</f>
        <v>0</v>
      </c>
      <c r="DE37" s="88">
        <f>IF(AS37="",0,1)</f>
        <v>0</v>
      </c>
      <c r="DF37" s="88">
        <f>IF(AV37="",0,1)</f>
        <v>0</v>
      </c>
      <c r="DG37" s="88">
        <f>IF(AY37="",0,1)</f>
        <v>0</v>
      </c>
      <c r="DH37" s="88">
        <f>IF(BB37="",0,1)</f>
        <v>0</v>
      </c>
      <c r="DI37" s="88">
        <f>IF(BE37="",0,1)</f>
        <v>0</v>
      </c>
      <c r="DJ37" s="88">
        <f>IF(BH37="",0,1)</f>
        <v>0</v>
      </c>
      <c r="DK37" s="88">
        <f>IF(BK37="",0,1)</f>
        <v>0</v>
      </c>
      <c r="DL37" s="88">
        <f>IF(BQ37="",0,1)</f>
        <v>0</v>
      </c>
      <c r="DM37" s="88">
        <f>IF(BT37="",0,1)</f>
        <v>0</v>
      </c>
      <c r="DN37" s="88">
        <f>IF(BW37="",0,1)</f>
        <v>0</v>
      </c>
      <c r="DO37" s="88">
        <f>IF(BZ37="",0,1)</f>
        <v>0</v>
      </c>
      <c r="DP37" s="88">
        <f>IF(CC37="",0,1)</f>
        <v>0</v>
      </c>
      <c r="DQ37" s="88">
        <f>IF(CG37="",0,1)</f>
        <v>0</v>
      </c>
      <c r="DR37" s="88">
        <f>IF(CL37="",0,1)</f>
        <v>0</v>
      </c>
      <c r="DS37" s="88">
        <f>IF(CO37="",0,1)</f>
        <v>0</v>
      </c>
      <c r="DT37" s="88">
        <f>IF(CS37="",0,1)</f>
        <v>0</v>
      </c>
      <c r="DU37" s="88">
        <f>IF(CV37="",0,1)</f>
        <v>0</v>
      </c>
      <c r="DW37" s="88">
        <f>IF(CY37&lt;&gt;"",MAX($DW$9:DW36)+1,0)</f>
        <v>0</v>
      </c>
      <c r="DX37" s="182" t="str">
        <f t="shared" ref="DX37:DX44" si="90">IF(DW37=0,"",CY37)</f>
        <v/>
      </c>
    </row>
    <row r="38" spans="2:128" ht="30" customHeight="1" x14ac:dyDescent="0.25">
      <c r="B38" s="875"/>
      <c r="C38" s="76"/>
      <c r="D38" s="64"/>
      <c r="E38" s="65"/>
      <c r="F38" s="53"/>
      <c r="G38" s="54"/>
      <c r="H38" s="54"/>
      <c r="I38" s="54"/>
      <c r="J38" s="54"/>
      <c r="K38" s="54"/>
      <c r="L38" s="23">
        <f>SUM(G38:K38)</f>
        <v>0</v>
      </c>
      <c r="M38" s="42">
        <f t="shared" ref="M38:M44" si="91">F38+L38</f>
        <v>0</v>
      </c>
      <c r="N38" s="40"/>
      <c r="O38" s="53"/>
      <c r="P38" s="54"/>
      <c r="Q38" s="54"/>
      <c r="R38" s="54"/>
      <c r="S38" s="54"/>
      <c r="T38" s="23">
        <f t="shared" ref="T38:T44" si="92">SUM(O38:S38)</f>
        <v>0</v>
      </c>
      <c r="U38" s="80"/>
      <c r="V38" s="27"/>
      <c r="W38" s="43">
        <f t="shared" ref="W38:W44" si="93">M38+T38+U38</f>
        <v>0</v>
      </c>
      <c r="X38" s="53"/>
      <c r="Y38" s="54"/>
      <c r="Z38" s="26">
        <f t="shared" ref="Z38:Z44" si="94">F38+L38+T38+U38-X38-Y38</f>
        <v>0</v>
      </c>
      <c r="AA38" s="62"/>
      <c r="AB38" s="63"/>
      <c r="AC38" s="69"/>
      <c r="AD38" s="70"/>
      <c r="AE38" s="104"/>
      <c r="AG38" s="6">
        <f>IF(AND(AA38&lt;&gt;"",OR(AA38&lt;EXPEDIENTE!$I$25,AA38&gt;EXPEDIENTE!$I$29)),1,0)</f>
        <v>0</v>
      </c>
      <c r="AH38" s="6">
        <f>IF(AND(AB38&lt;&gt;"",OR(AB38&lt;EXPEDIENTE!$I$25,AB38&gt;EXPEDIENTE!$I$29)),1,0)</f>
        <v>0</v>
      </c>
      <c r="AM38" s="728"/>
      <c r="AN38" s="358" t="str">
        <f t="shared" si="71"/>
        <v/>
      </c>
      <c r="AO38" s="315" t="str">
        <f t="shared" ref="AO38:AO44" si="95">IF(D38="","",D38)</f>
        <v/>
      </c>
      <c r="AP38" s="236"/>
      <c r="AQ38" s="316" t="str">
        <f t="shared" ref="AQ38:AQ44" si="96">IF(AP38="",AO38,AP38)</f>
        <v/>
      </c>
      <c r="AR38" s="315" t="str">
        <f t="shared" si="72"/>
        <v/>
      </c>
      <c r="AS38" s="236"/>
      <c r="AT38" s="316" t="str">
        <f t="shared" ref="AT38:AT44" si="97">IF(AS38="",AR38,AS38)</f>
        <v/>
      </c>
      <c r="AU38" s="301">
        <f t="shared" si="73"/>
        <v>0</v>
      </c>
      <c r="AV38" s="528"/>
      <c r="AW38" s="322">
        <f t="shared" ref="AW38:AW44" si="98">IF(AV38="",AU38,AV38)</f>
        <v>0</v>
      </c>
      <c r="AX38" s="321">
        <f t="shared" si="74"/>
        <v>0</v>
      </c>
      <c r="AY38" s="529"/>
      <c r="AZ38" s="323">
        <f t="shared" ref="AZ38:AZ44" si="99">IF(AY38="",AX38,AY38)</f>
        <v>0</v>
      </c>
      <c r="BA38" s="323">
        <f t="shared" si="75"/>
        <v>0</v>
      </c>
      <c r="BB38" s="529"/>
      <c r="BC38" s="323">
        <f t="shared" ref="BC38:BC44" si="100">IF(BB38="",BA38,BB38)</f>
        <v>0</v>
      </c>
      <c r="BD38" s="323">
        <f t="shared" si="76"/>
        <v>0</v>
      </c>
      <c r="BE38" s="529"/>
      <c r="BF38" s="323">
        <f t="shared" ref="BF38:BF44" si="101">IF(BE38="",BD38,BE38)</f>
        <v>0</v>
      </c>
      <c r="BG38" s="323">
        <f t="shared" si="77"/>
        <v>0</v>
      </c>
      <c r="BH38" s="529"/>
      <c r="BI38" s="323">
        <f t="shared" ref="BI38:BI44" si="102">IF(BH38="",BG38,BH38)</f>
        <v>0</v>
      </c>
      <c r="BJ38" s="323">
        <f t="shared" si="78"/>
        <v>0</v>
      </c>
      <c r="BK38" s="529"/>
      <c r="BL38" s="323">
        <f t="shared" ref="BL38:BL44" si="103">IF(BK38="",BJ38,BK38)</f>
        <v>0</v>
      </c>
      <c r="BM38" s="304">
        <f t="shared" ref="BM38:BM44" si="104">AZ38+BC38+BF38+BI38+BL38</f>
        <v>0</v>
      </c>
      <c r="BN38" s="324">
        <f t="shared" ref="BN38:BN44" si="105">AW38+BM38</f>
        <v>0</v>
      </c>
      <c r="BO38" s="355"/>
      <c r="BP38" s="321">
        <f t="shared" si="79"/>
        <v>0</v>
      </c>
      <c r="BQ38" s="528"/>
      <c r="BR38" s="325">
        <f t="shared" ref="BR38:BR44" si="106">IF(BQ38="",BP38,BQ38)</f>
        <v>0</v>
      </c>
      <c r="BS38" s="323">
        <f t="shared" si="80"/>
        <v>0</v>
      </c>
      <c r="BT38" s="529"/>
      <c r="BU38" s="323">
        <f t="shared" ref="BU38:BU44" si="107">IF(BT38="",BS38,BT38)</f>
        <v>0</v>
      </c>
      <c r="BV38" s="323">
        <f t="shared" si="81"/>
        <v>0</v>
      </c>
      <c r="BW38" s="529"/>
      <c r="BX38" s="323">
        <f t="shared" ref="BX38:BX44" si="108">IF(BW38="",BV38,BW38)</f>
        <v>0</v>
      </c>
      <c r="BY38" s="323">
        <f t="shared" si="82"/>
        <v>0</v>
      </c>
      <c r="BZ38" s="529"/>
      <c r="CA38" s="323">
        <f t="shared" ref="CA38:CA44" si="109">IF(BZ38="",BY38,BZ38)</f>
        <v>0</v>
      </c>
      <c r="CB38" s="323">
        <f t="shared" si="83"/>
        <v>0</v>
      </c>
      <c r="CC38" s="529"/>
      <c r="CD38" s="323">
        <f t="shared" ref="CD38:CD44" si="110">IF(CC38="",CB38,CC38)</f>
        <v>0</v>
      </c>
      <c r="CE38" s="304">
        <f t="shared" ref="CE38:CE44" si="111">BR38+BU38+BX38+CA38+CD38</f>
        <v>0</v>
      </c>
      <c r="CF38" s="321">
        <f t="shared" si="84"/>
        <v>0</v>
      </c>
      <c r="CG38" s="529"/>
      <c r="CH38" s="326">
        <f t="shared" ref="CH38:CH44" si="112">IF(CG38="",CF38,CG38)</f>
        <v>0</v>
      </c>
      <c r="CI38" s="310"/>
      <c r="CJ38" s="327">
        <f t="shared" ref="CJ38:CJ44" si="113">BN38+CE38+CH38</f>
        <v>0</v>
      </c>
      <c r="CK38" s="321">
        <f t="shared" si="85"/>
        <v>0</v>
      </c>
      <c r="CL38" s="528"/>
      <c r="CM38" s="322">
        <f t="shared" ref="CM38:CM44" si="114">IF(CL38="",CK38,CL38)</f>
        <v>0</v>
      </c>
      <c r="CN38" s="321">
        <f t="shared" si="86"/>
        <v>0</v>
      </c>
      <c r="CO38" s="524"/>
      <c r="CP38" s="359">
        <f t="shared" ref="CP38:CP44" si="115">IF(CO38="",CN38,CO38)</f>
        <v>0</v>
      </c>
      <c r="CQ38" s="312">
        <f t="shared" ref="CQ38:CQ44" si="116">AW38+BM38+CE38+CH38-CM38-CP38</f>
        <v>0</v>
      </c>
      <c r="CR38" s="315" t="str">
        <f t="shared" si="87"/>
        <v/>
      </c>
      <c r="CS38" s="236"/>
      <c r="CT38" s="316" t="str">
        <f t="shared" ref="CT38:CT44" si="117">IF(CS38="",CR38,CS38)</f>
        <v/>
      </c>
      <c r="CU38" s="315" t="str">
        <f t="shared" si="88"/>
        <v/>
      </c>
      <c r="CV38" s="236"/>
      <c r="CW38" s="316" t="str">
        <f t="shared" ref="CW38:CW44" si="118">IF(CV38="",CU38,CV38)</f>
        <v/>
      </c>
      <c r="CX38" s="328" t="str">
        <f t="shared" ref="CX38:CX44" si="119">IF(DD38=0,"",DD38)</f>
        <v/>
      </c>
      <c r="CY38" s="530"/>
      <c r="DA38" s="6">
        <f>IF(AND(CT38&lt;&gt;"",OR(CT38&lt;EXPEDIENTE!$I$25,CT38&gt;EXPEDIENTE!$I$29)),1,0)</f>
        <v>0</v>
      </c>
      <c r="DB38" s="6">
        <f>IF(AND(CW38&lt;&gt;"",OR(CW38&lt;EXPEDIENTE!$I$25,CW38&gt;EXPEDIENTE!$I$29)),1,0)</f>
        <v>0</v>
      </c>
      <c r="DD38" s="88">
        <f t="shared" si="89"/>
        <v>0</v>
      </c>
      <c r="DE38" s="88">
        <f t="shared" ref="DE38:DE44" si="120">IF(AS38="",0,1)</f>
        <v>0</v>
      </c>
      <c r="DF38" s="88">
        <f t="shared" ref="DF38:DF44" si="121">IF(AV38="",0,1)</f>
        <v>0</v>
      </c>
      <c r="DG38" s="88">
        <f t="shared" ref="DG38:DG44" si="122">IF(AY38="",0,1)</f>
        <v>0</v>
      </c>
      <c r="DH38" s="88">
        <f t="shared" ref="DH38:DH44" si="123">IF(BB38="",0,1)</f>
        <v>0</v>
      </c>
      <c r="DI38" s="88">
        <f t="shared" ref="DI38:DI44" si="124">IF(BE38="",0,1)</f>
        <v>0</v>
      </c>
      <c r="DJ38" s="88">
        <f t="shared" ref="DJ38:DJ44" si="125">IF(BH38="",0,1)</f>
        <v>0</v>
      </c>
      <c r="DK38" s="88">
        <f t="shared" ref="DK38:DK44" si="126">IF(BK38="",0,1)</f>
        <v>0</v>
      </c>
      <c r="DL38" s="88">
        <f t="shared" ref="DL38:DL44" si="127">IF(BQ38="",0,1)</f>
        <v>0</v>
      </c>
      <c r="DM38" s="88">
        <f t="shared" ref="DM38:DM44" si="128">IF(BT38="",0,1)</f>
        <v>0</v>
      </c>
      <c r="DN38" s="88">
        <f t="shared" ref="DN38:DN44" si="129">IF(BW38="",0,1)</f>
        <v>0</v>
      </c>
      <c r="DO38" s="88">
        <f t="shared" ref="DO38:DO44" si="130">IF(BZ38="",0,1)</f>
        <v>0</v>
      </c>
      <c r="DP38" s="88">
        <f t="shared" ref="DP38:DP44" si="131">IF(CC38="",0,1)</f>
        <v>0</v>
      </c>
      <c r="DQ38" s="88">
        <f t="shared" ref="DQ38:DQ44" si="132">IF(CG38="",0,1)</f>
        <v>0</v>
      </c>
      <c r="DR38" s="88">
        <f t="shared" ref="DR38:DR44" si="133">IF(CL38="",0,1)</f>
        <v>0</v>
      </c>
      <c r="DS38" s="88">
        <f t="shared" ref="DS38:DS44" si="134">IF(CO38="",0,1)</f>
        <v>0</v>
      </c>
      <c r="DT38" s="88">
        <f t="shared" ref="DT38:DT44" si="135">IF(CS38="",0,1)</f>
        <v>0</v>
      </c>
      <c r="DU38" s="88">
        <f t="shared" ref="DU38:DU44" si="136">IF(CV38="",0,1)</f>
        <v>0</v>
      </c>
      <c r="DW38" s="88">
        <f>IF(CY38&lt;&gt;"",MAX($DW$9:DW37)+1,0)</f>
        <v>0</v>
      </c>
      <c r="DX38" s="182" t="str">
        <f t="shared" si="90"/>
        <v/>
      </c>
    </row>
    <row r="39" spans="2:128" ht="30" customHeight="1" x14ac:dyDescent="0.25">
      <c r="B39" s="875"/>
      <c r="C39" s="76"/>
      <c r="D39" s="64"/>
      <c r="E39" s="65"/>
      <c r="F39" s="53"/>
      <c r="G39" s="54"/>
      <c r="H39" s="54"/>
      <c r="I39" s="54"/>
      <c r="J39" s="54"/>
      <c r="K39" s="54"/>
      <c r="L39" s="23">
        <f t="shared" ref="L39:L44" si="137">SUM(G39:K39)</f>
        <v>0</v>
      </c>
      <c r="M39" s="42">
        <f t="shared" si="91"/>
        <v>0</v>
      </c>
      <c r="N39" s="40"/>
      <c r="O39" s="53"/>
      <c r="P39" s="54"/>
      <c r="Q39" s="54"/>
      <c r="R39" s="54"/>
      <c r="S39" s="54"/>
      <c r="T39" s="23">
        <f t="shared" si="92"/>
        <v>0</v>
      </c>
      <c r="U39" s="80"/>
      <c r="V39" s="27"/>
      <c r="W39" s="43">
        <f t="shared" si="93"/>
        <v>0</v>
      </c>
      <c r="X39" s="53"/>
      <c r="Y39" s="54"/>
      <c r="Z39" s="26">
        <f t="shared" si="94"/>
        <v>0</v>
      </c>
      <c r="AA39" s="62"/>
      <c r="AB39" s="63"/>
      <c r="AC39" s="69"/>
      <c r="AD39" s="70"/>
      <c r="AE39" s="104"/>
      <c r="AG39" s="6">
        <f>IF(AND(AA39&lt;&gt;"",OR(AA39&lt;EXPEDIENTE!$I$25,AA39&gt;EXPEDIENTE!$I$29)),1,0)</f>
        <v>0</v>
      </c>
      <c r="AH39" s="6">
        <f>IF(AND(AB39&lt;&gt;"",OR(AB39&lt;EXPEDIENTE!$I$25,AB39&gt;EXPEDIENTE!$I$29)),1,0)</f>
        <v>0</v>
      </c>
      <c r="AM39" s="728"/>
      <c r="AN39" s="358" t="str">
        <f t="shared" si="71"/>
        <v/>
      </c>
      <c r="AO39" s="315" t="str">
        <f t="shared" si="95"/>
        <v/>
      </c>
      <c r="AP39" s="236"/>
      <c r="AQ39" s="316" t="str">
        <f t="shared" si="96"/>
        <v/>
      </c>
      <c r="AR39" s="315" t="str">
        <f t="shared" si="72"/>
        <v/>
      </c>
      <c r="AS39" s="236"/>
      <c r="AT39" s="316" t="str">
        <f t="shared" si="97"/>
        <v/>
      </c>
      <c r="AU39" s="301">
        <f t="shared" si="73"/>
        <v>0</v>
      </c>
      <c r="AV39" s="528"/>
      <c r="AW39" s="322">
        <f t="shared" si="98"/>
        <v>0</v>
      </c>
      <c r="AX39" s="321">
        <f t="shared" si="74"/>
        <v>0</v>
      </c>
      <c r="AY39" s="529"/>
      <c r="AZ39" s="323">
        <f t="shared" si="99"/>
        <v>0</v>
      </c>
      <c r="BA39" s="323">
        <f t="shared" si="75"/>
        <v>0</v>
      </c>
      <c r="BB39" s="529"/>
      <c r="BC39" s="323">
        <f t="shared" si="100"/>
        <v>0</v>
      </c>
      <c r="BD39" s="323">
        <f t="shared" si="76"/>
        <v>0</v>
      </c>
      <c r="BE39" s="529"/>
      <c r="BF39" s="323">
        <f t="shared" si="101"/>
        <v>0</v>
      </c>
      <c r="BG39" s="323">
        <f t="shared" si="77"/>
        <v>0</v>
      </c>
      <c r="BH39" s="529"/>
      <c r="BI39" s="323">
        <f t="shared" si="102"/>
        <v>0</v>
      </c>
      <c r="BJ39" s="323">
        <f t="shared" si="78"/>
        <v>0</v>
      </c>
      <c r="BK39" s="529"/>
      <c r="BL39" s="323">
        <f t="shared" si="103"/>
        <v>0</v>
      </c>
      <c r="BM39" s="304">
        <f t="shared" si="104"/>
        <v>0</v>
      </c>
      <c r="BN39" s="324">
        <f t="shared" si="105"/>
        <v>0</v>
      </c>
      <c r="BO39" s="355"/>
      <c r="BP39" s="321">
        <f t="shared" si="79"/>
        <v>0</v>
      </c>
      <c r="BQ39" s="528"/>
      <c r="BR39" s="325">
        <f t="shared" si="106"/>
        <v>0</v>
      </c>
      <c r="BS39" s="323">
        <f t="shared" si="80"/>
        <v>0</v>
      </c>
      <c r="BT39" s="529"/>
      <c r="BU39" s="323">
        <f t="shared" si="107"/>
        <v>0</v>
      </c>
      <c r="BV39" s="323">
        <f t="shared" si="81"/>
        <v>0</v>
      </c>
      <c r="BW39" s="529"/>
      <c r="BX39" s="323">
        <f t="shared" si="108"/>
        <v>0</v>
      </c>
      <c r="BY39" s="323">
        <f t="shared" si="82"/>
        <v>0</v>
      </c>
      <c r="BZ39" s="529"/>
      <c r="CA39" s="323">
        <f t="shared" si="109"/>
        <v>0</v>
      </c>
      <c r="CB39" s="323">
        <f t="shared" si="83"/>
        <v>0</v>
      </c>
      <c r="CC39" s="529"/>
      <c r="CD39" s="323">
        <f t="shared" si="110"/>
        <v>0</v>
      </c>
      <c r="CE39" s="304">
        <f t="shared" si="111"/>
        <v>0</v>
      </c>
      <c r="CF39" s="321">
        <f t="shared" si="84"/>
        <v>0</v>
      </c>
      <c r="CG39" s="529"/>
      <c r="CH39" s="326">
        <f t="shared" si="112"/>
        <v>0</v>
      </c>
      <c r="CI39" s="310"/>
      <c r="CJ39" s="327">
        <f t="shared" si="113"/>
        <v>0</v>
      </c>
      <c r="CK39" s="321">
        <f t="shared" si="85"/>
        <v>0</v>
      </c>
      <c r="CL39" s="528"/>
      <c r="CM39" s="322">
        <f t="shared" si="114"/>
        <v>0</v>
      </c>
      <c r="CN39" s="321">
        <f t="shared" si="86"/>
        <v>0</v>
      </c>
      <c r="CO39" s="524"/>
      <c r="CP39" s="359">
        <f t="shared" si="115"/>
        <v>0</v>
      </c>
      <c r="CQ39" s="312">
        <f t="shared" si="116"/>
        <v>0</v>
      </c>
      <c r="CR39" s="315" t="str">
        <f t="shared" si="87"/>
        <v/>
      </c>
      <c r="CS39" s="236"/>
      <c r="CT39" s="316" t="str">
        <f t="shared" si="117"/>
        <v/>
      </c>
      <c r="CU39" s="315" t="str">
        <f t="shared" si="88"/>
        <v/>
      </c>
      <c r="CV39" s="236"/>
      <c r="CW39" s="316" t="str">
        <f t="shared" si="118"/>
        <v/>
      </c>
      <c r="CX39" s="328" t="str">
        <f t="shared" si="119"/>
        <v/>
      </c>
      <c r="CY39" s="530"/>
      <c r="DA39" s="6">
        <f>IF(AND(CT39&lt;&gt;"",OR(CT39&lt;EXPEDIENTE!$I$25,CT39&gt;EXPEDIENTE!$I$29)),1,0)</f>
        <v>0</v>
      </c>
      <c r="DB39" s="6">
        <f>IF(AND(CW39&lt;&gt;"",OR(CW39&lt;EXPEDIENTE!$I$25,CW39&gt;EXPEDIENTE!$I$29)),1,0)</f>
        <v>0</v>
      </c>
      <c r="DD39" s="88">
        <f t="shared" si="89"/>
        <v>0</v>
      </c>
      <c r="DE39" s="88">
        <f t="shared" si="120"/>
        <v>0</v>
      </c>
      <c r="DF39" s="88">
        <f t="shared" si="121"/>
        <v>0</v>
      </c>
      <c r="DG39" s="88">
        <f t="shared" si="122"/>
        <v>0</v>
      </c>
      <c r="DH39" s="88">
        <f t="shared" si="123"/>
        <v>0</v>
      </c>
      <c r="DI39" s="88">
        <f t="shared" si="124"/>
        <v>0</v>
      </c>
      <c r="DJ39" s="88">
        <f t="shared" si="125"/>
        <v>0</v>
      </c>
      <c r="DK39" s="88">
        <f t="shared" si="126"/>
        <v>0</v>
      </c>
      <c r="DL39" s="88">
        <f t="shared" si="127"/>
        <v>0</v>
      </c>
      <c r="DM39" s="88">
        <f t="shared" si="128"/>
        <v>0</v>
      </c>
      <c r="DN39" s="88">
        <f t="shared" si="129"/>
        <v>0</v>
      </c>
      <c r="DO39" s="88">
        <f t="shared" si="130"/>
        <v>0</v>
      </c>
      <c r="DP39" s="88">
        <f t="shared" si="131"/>
        <v>0</v>
      </c>
      <c r="DQ39" s="88">
        <f t="shared" si="132"/>
        <v>0</v>
      </c>
      <c r="DR39" s="88">
        <f t="shared" si="133"/>
        <v>0</v>
      </c>
      <c r="DS39" s="88">
        <f t="shared" si="134"/>
        <v>0</v>
      </c>
      <c r="DT39" s="88">
        <f t="shared" si="135"/>
        <v>0</v>
      </c>
      <c r="DU39" s="88">
        <f t="shared" si="136"/>
        <v>0</v>
      </c>
      <c r="DW39" s="88">
        <f>IF(CY39&lt;&gt;"",MAX($DW$9:DW38)+1,0)</f>
        <v>0</v>
      </c>
      <c r="DX39" s="182" t="str">
        <f t="shared" si="90"/>
        <v/>
      </c>
    </row>
    <row r="40" spans="2:128" ht="30" customHeight="1" x14ac:dyDescent="0.25">
      <c r="B40" s="875"/>
      <c r="C40" s="76"/>
      <c r="D40" s="64"/>
      <c r="E40" s="65"/>
      <c r="F40" s="53"/>
      <c r="G40" s="54"/>
      <c r="H40" s="54"/>
      <c r="I40" s="54"/>
      <c r="J40" s="54"/>
      <c r="K40" s="54"/>
      <c r="L40" s="23">
        <f t="shared" ref="L40:L42" si="138">SUM(G40:K40)</f>
        <v>0</v>
      </c>
      <c r="M40" s="42">
        <f t="shared" ref="M40:M42" si="139">F40+L40</f>
        <v>0</v>
      </c>
      <c r="N40" s="40"/>
      <c r="O40" s="53"/>
      <c r="P40" s="54"/>
      <c r="Q40" s="54"/>
      <c r="R40" s="54"/>
      <c r="S40" s="54"/>
      <c r="T40" s="23">
        <f t="shared" si="92"/>
        <v>0</v>
      </c>
      <c r="U40" s="80"/>
      <c r="V40" s="27"/>
      <c r="W40" s="43">
        <f t="shared" si="93"/>
        <v>0</v>
      </c>
      <c r="X40" s="53"/>
      <c r="Y40" s="54"/>
      <c r="Z40" s="26">
        <f t="shared" si="94"/>
        <v>0</v>
      </c>
      <c r="AA40" s="62"/>
      <c r="AB40" s="63"/>
      <c r="AC40" s="69"/>
      <c r="AD40" s="70"/>
      <c r="AE40" s="104"/>
      <c r="AG40" s="6">
        <f>IF(AND(AA40&lt;&gt;"",OR(AA40&lt;EXPEDIENTE!$I$25,AA40&gt;EXPEDIENTE!$I$29)),1,0)</f>
        <v>0</v>
      </c>
      <c r="AH40" s="6">
        <f>IF(AND(AB40&lt;&gt;"",OR(AB40&lt;EXPEDIENTE!$I$25,AB40&gt;EXPEDIENTE!$I$29)),1,0)</f>
        <v>0</v>
      </c>
      <c r="AM40" s="728"/>
      <c r="AN40" s="358" t="str">
        <f t="shared" si="71"/>
        <v/>
      </c>
      <c r="AO40" s="315" t="str">
        <f t="shared" si="95"/>
        <v/>
      </c>
      <c r="AP40" s="236"/>
      <c r="AQ40" s="316" t="str">
        <f t="shared" si="96"/>
        <v/>
      </c>
      <c r="AR40" s="315" t="str">
        <f t="shared" si="72"/>
        <v/>
      </c>
      <c r="AS40" s="236"/>
      <c r="AT40" s="316" t="str">
        <f t="shared" si="97"/>
        <v/>
      </c>
      <c r="AU40" s="301">
        <f t="shared" si="73"/>
        <v>0</v>
      </c>
      <c r="AV40" s="528"/>
      <c r="AW40" s="322">
        <f t="shared" si="98"/>
        <v>0</v>
      </c>
      <c r="AX40" s="321">
        <f t="shared" si="74"/>
        <v>0</v>
      </c>
      <c r="AY40" s="529"/>
      <c r="AZ40" s="323">
        <f t="shared" si="99"/>
        <v>0</v>
      </c>
      <c r="BA40" s="323">
        <f t="shared" si="75"/>
        <v>0</v>
      </c>
      <c r="BB40" s="529"/>
      <c r="BC40" s="323">
        <f t="shared" si="100"/>
        <v>0</v>
      </c>
      <c r="BD40" s="323">
        <f t="shared" si="76"/>
        <v>0</v>
      </c>
      <c r="BE40" s="529"/>
      <c r="BF40" s="323">
        <f t="shared" si="101"/>
        <v>0</v>
      </c>
      <c r="BG40" s="323">
        <f t="shared" si="77"/>
        <v>0</v>
      </c>
      <c r="BH40" s="529"/>
      <c r="BI40" s="323">
        <f t="shared" si="102"/>
        <v>0</v>
      </c>
      <c r="BJ40" s="323">
        <f t="shared" si="78"/>
        <v>0</v>
      </c>
      <c r="BK40" s="529"/>
      <c r="BL40" s="323">
        <f t="shared" si="103"/>
        <v>0</v>
      </c>
      <c r="BM40" s="304">
        <f t="shared" si="104"/>
        <v>0</v>
      </c>
      <c r="BN40" s="324">
        <f t="shared" si="105"/>
        <v>0</v>
      </c>
      <c r="BO40" s="355"/>
      <c r="BP40" s="321">
        <f t="shared" si="79"/>
        <v>0</v>
      </c>
      <c r="BQ40" s="528"/>
      <c r="BR40" s="325">
        <f t="shared" si="106"/>
        <v>0</v>
      </c>
      <c r="BS40" s="323">
        <f t="shared" si="80"/>
        <v>0</v>
      </c>
      <c r="BT40" s="529"/>
      <c r="BU40" s="323">
        <f t="shared" si="107"/>
        <v>0</v>
      </c>
      <c r="BV40" s="323">
        <f t="shared" si="81"/>
        <v>0</v>
      </c>
      <c r="BW40" s="529"/>
      <c r="BX40" s="323">
        <f t="shared" si="108"/>
        <v>0</v>
      </c>
      <c r="BY40" s="323">
        <f t="shared" si="82"/>
        <v>0</v>
      </c>
      <c r="BZ40" s="529"/>
      <c r="CA40" s="323">
        <f t="shared" si="109"/>
        <v>0</v>
      </c>
      <c r="CB40" s="323">
        <f t="shared" si="83"/>
        <v>0</v>
      </c>
      <c r="CC40" s="529"/>
      <c r="CD40" s="323">
        <f t="shared" si="110"/>
        <v>0</v>
      </c>
      <c r="CE40" s="304">
        <f t="shared" si="111"/>
        <v>0</v>
      </c>
      <c r="CF40" s="321">
        <f t="shared" si="84"/>
        <v>0</v>
      </c>
      <c r="CG40" s="529"/>
      <c r="CH40" s="326">
        <f t="shared" si="112"/>
        <v>0</v>
      </c>
      <c r="CI40" s="310"/>
      <c r="CJ40" s="327">
        <f t="shared" si="113"/>
        <v>0</v>
      </c>
      <c r="CK40" s="321">
        <f t="shared" si="85"/>
        <v>0</v>
      </c>
      <c r="CL40" s="528"/>
      <c r="CM40" s="322">
        <f t="shared" si="114"/>
        <v>0</v>
      </c>
      <c r="CN40" s="321">
        <f t="shared" si="86"/>
        <v>0</v>
      </c>
      <c r="CO40" s="524"/>
      <c r="CP40" s="359">
        <f t="shared" si="115"/>
        <v>0</v>
      </c>
      <c r="CQ40" s="312">
        <f t="shared" si="116"/>
        <v>0</v>
      </c>
      <c r="CR40" s="315" t="str">
        <f t="shared" si="87"/>
        <v/>
      </c>
      <c r="CS40" s="236"/>
      <c r="CT40" s="316" t="str">
        <f t="shared" si="117"/>
        <v/>
      </c>
      <c r="CU40" s="315" t="str">
        <f t="shared" si="88"/>
        <v/>
      </c>
      <c r="CV40" s="236"/>
      <c r="CW40" s="316" t="str">
        <f t="shared" si="118"/>
        <v/>
      </c>
      <c r="CX40" s="328" t="str">
        <f t="shared" si="119"/>
        <v/>
      </c>
      <c r="CY40" s="530"/>
      <c r="DA40" s="6">
        <f>IF(AND(CT40&lt;&gt;"",OR(CT40&lt;EXPEDIENTE!$I$25,CT40&gt;EXPEDIENTE!$I$29)),1,0)</f>
        <v>0</v>
      </c>
      <c r="DB40" s="6">
        <f>IF(AND(CW40&lt;&gt;"",OR(CW40&lt;EXPEDIENTE!$I$25,CW40&gt;EXPEDIENTE!$I$29)),1,0)</f>
        <v>0</v>
      </c>
      <c r="DD40" s="88">
        <f t="shared" si="89"/>
        <v>0</v>
      </c>
      <c r="DE40" s="88">
        <f t="shared" si="120"/>
        <v>0</v>
      </c>
      <c r="DF40" s="88">
        <f t="shared" si="121"/>
        <v>0</v>
      </c>
      <c r="DG40" s="88">
        <f t="shared" si="122"/>
        <v>0</v>
      </c>
      <c r="DH40" s="88">
        <f t="shared" si="123"/>
        <v>0</v>
      </c>
      <c r="DI40" s="88">
        <f t="shared" si="124"/>
        <v>0</v>
      </c>
      <c r="DJ40" s="88">
        <f t="shared" si="125"/>
        <v>0</v>
      </c>
      <c r="DK40" s="88">
        <f t="shared" si="126"/>
        <v>0</v>
      </c>
      <c r="DL40" s="88">
        <f t="shared" si="127"/>
        <v>0</v>
      </c>
      <c r="DM40" s="88">
        <f t="shared" si="128"/>
        <v>0</v>
      </c>
      <c r="DN40" s="88">
        <f t="shared" si="129"/>
        <v>0</v>
      </c>
      <c r="DO40" s="88">
        <f t="shared" si="130"/>
        <v>0</v>
      </c>
      <c r="DP40" s="88">
        <f t="shared" si="131"/>
        <v>0</v>
      </c>
      <c r="DQ40" s="88">
        <f t="shared" si="132"/>
        <v>0</v>
      </c>
      <c r="DR40" s="88">
        <f t="shared" si="133"/>
        <v>0</v>
      </c>
      <c r="DS40" s="88">
        <f t="shared" si="134"/>
        <v>0</v>
      </c>
      <c r="DT40" s="88">
        <f t="shared" si="135"/>
        <v>0</v>
      </c>
      <c r="DU40" s="88">
        <f t="shared" si="136"/>
        <v>0</v>
      </c>
      <c r="DW40" s="88">
        <f>IF(CY40&lt;&gt;"",MAX($DW$9:DW39)+1,0)</f>
        <v>0</v>
      </c>
      <c r="DX40" s="182" t="str">
        <f t="shared" si="90"/>
        <v/>
      </c>
    </row>
    <row r="41" spans="2:128" ht="30" customHeight="1" x14ac:dyDescent="0.25">
      <c r="B41" s="875"/>
      <c r="C41" s="76"/>
      <c r="D41" s="64"/>
      <c r="E41" s="65"/>
      <c r="F41" s="53"/>
      <c r="G41" s="54"/>
      <c r="H41" s="54"/>
      <c r="I41" s="54"/>
      <c r="J41" s="54"/>
      <c r="K41" s="54"/>
      <c r="L41" s="23">
        <f t="shared" si="138"/>
        <v>0</v>
      </c>
      <c r="M41" s="42">
        <f t="shared" si="139"/>
        <v>0</v>
      </c>
      <c r="N41" s="40"/>
      <c r="O41" s="53"/>
      <c r="P41" s="54"/>
      <c r="Q41" s="54"/>
      <c r="R41" s="54"/>
      <c r="S41" s="54"/>
      <c r="T41" s="23">
        <f t="shared" si="92"/>
        <v>0</v>
      </c>
      <c r="U41" s="80"/>
      <c r="V41" s="27"/>
      <c r="W41" s="43">
        <f t="shared" si="93"/>
        <v>0</v>
      </c>
      <c r="X41" s="53"/>
      <c r="Y41" s="54"/>
      <c r="Z41" s="26">
        <f t="shared" si="94"/>
        <v>0</v>
      </c>
      <c r="AA41" s="62"/>
      <c r="AB41" s="63"/>
      <c r="AC41" s="69"/>
      <c r="AD41" s="70"/>
      <c r="AE41" s="104"/>
      <c r="AG41" s="6">
        <f>IF(AND(AA41&lt;&gt;"",OR(AA41&lt;EXPEDIENTE!$I$25,AA41&gt;EXPEDIENTE!$I$29)),1,0)</f>
        <v>0</v>
      </c>
      <c r="AH41" s="6">
        <f>IF(AND(AB41&lt;&gt;"",OR(AB41&lt;EXPEDIENTE!$I$25,AB41&gt;EXPEDIENTE!$I$29)),1,0)</f>
        <v>0</v>
      </c>
      <c r="AM41" s="728"/>
      <c r="AN41" s="358" t="str">
        <f t="shared" si="71"/>
        <v/>
      </c>
      <c r="AO41" s="315" t="str">
        <f t="shared" si="95"/>
        <v/>
      </c>
      <c r="AP41" s="236"/>
      <c r="AQ41" s="316" t="str">
        <f t="shared" si="96"/>
        <v/>
      </c>
      <c r="AR41" s="315" t="str">
        <f t="shared" si="72"/>
        <v/>
      </c>
      <c r="AS41" s="236"/>
      <c r="AT41" s="316" t="str">
        <f t="shared" si="97"/>
        <v/>
      </c>
      <c r="AU41" s="301">
        <f t="shared" si="73"/>
        <v>0</v>
      </c>
      <c r="AV41" s="528"/>
      <c r="AW41" s="322">
        <f t="shared" si="98"/>
        <v>0</v>
      </c>
      <c r="AX41" s="321">
        <f t="shared" si="74"/>
        <v>0</v>
      </c>
      <c r="AY41" s="529"/>
      <c r="AZ41" s="323">
        <f t="shared" si="99"/>
        <v>0</v>
      </c>
      <c r="BA41" s="323">
        <f t="shared" si="75"/>
        <v>0</v>
      </c>
      <c r="BB41" s="529"/>
      <c r="BC41" s="323">
        <f t="shared" si="100"/>
        <v>0</v>
      </c>
      <c r="BD41" s="323">
        <f t="shared" si="76"/>
        <v>0</v>
      </c>
      <c r="BE41" s="529"/>
      <c r="BF41" s="323">
        <f t="shared" si="101"/>
        <v>0</v>
      </c>
      <c r="BG41" s="323">
        <f t="shared" si="77"/>
        <v>0</v>
      </c>
      <c r="BH41" s="529"/>
      <c r="BI41" s="323">
        <f t="shared" si="102"/>
        <v>0</v>
      </c>
      <c r="BJ41" s="323">
        <f t="shared" si="78"/>
        <v>0</v>
      </c>
      <c r="BK41" s="529"/>
      <c r="BL41" s="323">
        <f t="shared" si="103"/>
        <v>0</v>
      </c>
      <c r="BM41" s="304">
        <f t="shared" si="104"/>
        <v>0</v>
      </c>
      <c r="BN41" s="324">
        <f t="shared" si="105"/>
        <v>0</v>
      </c>
      <c r="BO41" s="355"/>
      <c r="BP41" s="360">
        <f t="shared" si="79"/>
        <v>0</v>
      </c>
      <c r="BQ41" s="538"/>
      <c r="BR41" s="361">
        <f t="shared" si="106"/>
        <v>0</v>
      </c>
      <c r="BS41" s="362">
        <f t="shared" si="80"/>
        <v>0</v>
      </c>
      <c r="BT41" s="539"/>
      <c r="BU41" s="362">
        <f t="shared" si="107"/>
        <v>0</v>
      </c>
      <c r="BV41" s="362">
        <f t="shared" si="81"/>
        <v>0</v>
      </c>
      <c r="BW41" s="539"/>
      <c r="BX41" s="362">
        <f t="shared" si="108"/>
        <v>0</v>
      </c>
      <c r="BY41" s="362">
        <f t="shared" si="82"/>
        <v>0</v>
      </c>
      <c r="BZ41" s="539"/>
      <c r="CA41" s="362">
        <f t="shared" si="109"/>
        <v>0</v>
      </c>
      <c r="CB41" s="362">
        <f t="shared" si="83"/>
        <v>0</v>
      </c>
      <c r="CC41" s="539"/>
      <c r="CD41" s="362">
        <f t="shared" si="110"/>
        <v>0</v>
      </c>
      <c r="CE41" s="304">
        <f t="shared" si="111"/>
        <v>0</v>
      </c>
      <c r="CF41" s="321">
        <f t="shared" si="84"/>
        <v>0</v>
      </c>
      <c r="CG41" s="529"/>
      <c r="CH41" s="326">
        <f t="shared" si="112"/>
        <v>0</v>
      </c>
      <c r="CI41" s="310"/>
      <c r="CJ41" s="327">
        <f t="shared" si="113"/>
        <v>0</v>
      </c>
      <c r="CK41" s="321">
        <f t="shared" si="85"/>
        <v>0</v>
      </c>
      <c r="CL41" s="528"/>
      <c r="CM41" s="322">
        <f t="shared" si="114"/>
        <v>0</v>
      </c>
      <c r="CN41" s="321">
        <f t="shared" si="86"/>
        <v>0</v>
      </c>
      <c r="CO41" s="524"/>
      <c r="CP41" s="359">
        <f t="shared" si="115"/>
        <v>0</v>
      </c>
      <c r="CQ41" s="312">
        <f t="shared" si="116"/>
        <v>0</v>
      </c>
      <c r="CR41" s="315" t="str">
        <f t="shared" si="87"/>
        <v/>
      </c>
      <c r="CS41" s="236"/>
      <c r="CT41" s="316" t="str">
        <f t="shared" si="117"/>
        <v/>
      </c>
      <c r="CU41" s="315" t="str">
        <f t="shared" si="88"/>
        <v/>
      </c>
      <c r="CV41" s="236"/>
      <c r="CW41" s="316" t="str">
        <f t="shared" si="118"/>
        <v/>
      </c>
      <c r="CX41" s="328" t="str">
        <f t="shared" si="119"/>
        <v/>
      </c>
      <c r="CY41" s="530"/>
      <c r="DA41" s="6">
        <f>IF(AND(CT41&lt;&gt;"",OR(CT41&lt;EXPEDIENTE!$I$25,CT41&gt;EXPEDIENTE!$I$29)),1,0)</f>
        <v>0</v>
      </c>
      <c r="DB41" s="6">
        <f>IF(AND(CW41&lt;&gt;"",OR(CW41&lt;EXPEDIENTE!$I$25,CW41&gt;EXPEDIENTE!$I$29)),1,0)</f>
        <v>0</v>
      </c>
      <c r="DD41" s="88">
        <f t="shared" si="89"/>
        <v>0</v>
      </c>
      <c r="DE41" s="88">
        <f t="shared" si="120"/>
        <v>0</v>
      </c>
      <c r="DF41" s="88">
        <f t="shared" si="121"/>
        <v>0</v>
      </c>
      <c r="DG41" s="88">
        <f t="shared" si="122"/>
        <v>0</v>
      </c>
      <c r="DH41" s="88">
        <f t="shared" si="123"/>
        <v>0</v>
      </c>
      <c r="DI41" s="88">
        <f t="shared" si="124"/>
        <v>0</v>
      </c>
      <c r="DJ41" s="88">
        <f t="shared" si="125"/>
        <v>0</v>
      </c>
      <c r="DK41" s="88">
        <f t="shared" si="126"/>
        <v>0</v>
      </c>
      <c r="DL41" s="88">
        <f t="shared" si="127"/>
        <v>0</v>
      </c>
      <c r="DM41" s="88">
        <f t="shared" si="128"/>
        <v>0</v>
      </c>
      <c r="DN41" s="88">
        <f t="shared" si="129"/>
        <v>0</v>
      </c>
      <c r="DO41" s="88">
        <f t="shared" si="130"/>
        <v>0</v>
      </c>
      <c r="DP41" s="88">
        <f t="shared" si="131"/>
        <v>0</v>
      </c>
      <c r="DQ41" s="88">
        <f t="shared" si="132"/>
        <v>0</v>
      </c>
      <c r="DR41" s="88">
        <f t="shared" si="133"/>
        <v>0</v>
      </c>
      <c r="DS41" s="88">
        <f t="shared" si="134"/>
        <v>0</v>
      </c>
      <c r="DT41" s="88">
        <f t="shared" si="135"/>
        <v>0</v>
      </c>
      <c r="DU41" s="88">
        <f t="shared" si="136"/>
        <v>0</v>
      </c>
      <c r="DW41" s="88">
        <f>IF(CY41&lt;&gt;"",MAX($DW$9:DW40)+1,0)</f>
        <v>0</v>
      </c>
      <c r="DX41" s="182" t="str">
        <f t="shared" si="90"/>
        <v/>
      </c>
    </row>
    <row r="42" spans="2:128" ht="30" customHeight="1" x14ac:dyDescent="0.25">
      <c r="B42" s="875"/>
      <c r="C42" s="76"/>
      <c r="D42" s="64"/>
      <c r="E42" s="65"/>
      <c r="F42" s="53"/>
      <c r="G42" s="54"/>
      <c r="H42" s="54"/>
      <c r="I42" s="54"/>
      <c r="J42" s="54"/>
      <c r="K42" s="54"/>
      <c r="L42" s="23">
        <f t="shared" si="138"/>
        <v>0</v>
      </c>
      <c r="M42" s="42">
        <f t="shared" si="139"/>
        <v>0</v>
      </c>
      <c r="N42" s="40"/>
      <c r="O42" s="53"/>
      <c r="P42" s="54"/>
      <c r="Q42" s="54"/>
      <c r="R42" s="54"/>
      <c r="S42" s="54"/>
      <c r="T42" s="23">
        <f t="shared" si="92"/>
        <v>0</v>
      </c>
      <c r="U42" s="80"/>
      <c r="V42" s="27"/>
      <c r="W42" s="43">
        <f t="shared" si="93"/>
        <v>0</v>
      </c>
      <c r="X42" s="53"/>
      <c r="Y42" s="54"/>
      <c r="Z42" s="26">
        <f t="shared" si="94"/>
        <v>0</v>
      </c>
      <c r="AA42" s="62"/>
      <c r="AB42" s="63"/>
      <c r="AC42" s="69"/>
      <c r="AD42" s="70"/>
      <c r="AE42" s="104"/>
      <c r="AG42" s="6">
        <f>IF(AND(AA42&lt;&gt;"",OR(AA42&lt;EXPEDIENTE!$I$25,AA42&gt;EXPEDIENTE!$I$29)),1,0)</f>
        <v>0</v>
      </c>
      <c r="AH42" s="6">
        <f>IF(AND(AB42&lt;&gt;"",OR(AB42&lt;EXPEDIENTE!$I$25,AB42&gt;EXPEDIENTE!$I$29)),1,0)</f>
        <v>0</v>
      </c>
      <c r="AM42" s="728"/>
      <c r="AN42" s="358" t="str">
        <f t="shared" si="71"/>
        <v/>
      </c>
      <c r="AO42" s="315" t="str">
        <f t="shared" si="95"/>
        <v/>
      </c>
      <c r="AP42" s="236"/>
      <c r="AQ42" s="316" t="str">
        <f t="shared" si="96"/>
        <v/>
      </c>
      <c r="AR42" s="315" t="str">
        <f t="shared" si="72"/>
        <v/>
      </c>
      <c r="AS42" s="236"/>
      <c r="AT42" s="316" t="str">
        <f t="shared" si="97"/>
        <v/>
      </c>
      <c r="AU42" s="301">
        <f t="shared" si="73"/>
        <v>0</v>
      </c>
      <c r="AV42" s="528"/>
      <c r="AW42" s="322">
        <f t="shared" si="98"/>
        <v>0</v>
      </c>
      <c r="AX42" s="321">
        <f t="shared" si="74"/>
        <v>0</v>
      </c>
      <c r="AY42" s="529"/>
      <c r="AZ42" s="323">
        <f t="shared" si="99"/>
        <v>0</v>
      </c>
      <c r="BA42" s="323">
        <f t="shared" si="75"/>
        <v>0</v>
      </c>
      <c r="BB42" s="529"/>
      <c r="BC42" s="323">
        <f t="shared" si="100"/>
        <v>0</v>
      </c>
      <c r="BD42" s="323">
        <f t="shared" si="76"/>
        <v>0</v>
      </c>
      <c r="BE42" s="529"/>
      <c r="BF42" s="323">
        <f t="shared" si="101"/>
        <v>0</v>
      </c>
      <c r="BG42" s="323">
        <f t="shared" si="77"/>
        <v>0</v>
      </c>
      <c r="BH42" s="529"/>
      <c r="BI42" s="323">
        <f t="shared" si="102"/>
        <v>0</v>
      </c>
      <c r="BJ42" s="323">
        <f t="shared" si="78"/>
        <v>0</v>
      </c>
      <c r="BK42" s="529"/>
      <c r="BL42" s="323">
        <f t="shared" si="103"/>
        <v>0</v>
      </c>
      <c r="BM42" s="304">
        <f t="shared" si="104"/>
        <v>0</v>
      </c>
      <c r="BN42" s="324">
        <f t="shared" si="105"/>
        <v>0</v>
      </c>
      <c r="BO42" s="355"/>
      <c r="BP42" s="360">
        <f t="shared" si="79"/>
        <v>0</v>
      </c>
      <c r="BQ42" s="538"/>
      <c r="BR42" s="361">
        <f t="shared" si="106"/>
        <v>0</v>
      </c>
      <c r="BS42" s="362">
        <f t="shared" si="80"/>
        <v>0</v>
      </c>
      <c r="BT42" s="539"/>
      <c r="BU42" s="362">
        <f t="shared" si="107"/>
        <v>0</v>
      </c>
      <c r="BV42" s="362">
        <f t="shared" si="81"/>
        <v>0</v>
      </c>
      <c r="BW42" s="539"/>
      <c r="BX42" s="362">
        <f t="shared" si="108"/>
        <v>0</v>
      </c>
      <c r="BY42" s="362">
        <f t="shared" si="82"/>
        <v>0</v>
      </c>
      <c r="BZ42" s="539"/>
      <c r="CA42" s="362">
        <f t="shared" si="109"/>
        <v>0</v>
      </c>
      <c r="CB42" s="362">
        <f t="shared" si="83"/>
        <v>0</v>
      </c>
      <c r="CC42" s="539"/>
      <c r="CD42" s="362">
        <f t="shared" si="110"/>
        <v>0</v>
      </c>
      <c r="CE42" s="304">
        <f t="shared" si="111"/>
        <v>0</v>
      </c>
      <c r="CF42" s="321">
        <f t="shared" si="84"/>
        <v>0</v>
      </c>
      <c r="CG42" s="529"/>
      <c r="CH42" s="326">
        <f t="shared" si="112"/>
        <v>0</v>
      </c>
      <c r="CI42" s="310"/>
      <c r="CJ42" s="327">
        <f t="shared" si="113"/>
        <v>0</v>
      </c>
      <c r="CK42" s="321">
        <f t="shared" si="85"/>
        <v>0</v>
      </c>
      <c r="CL42" s="528"/>
      <c r="CM42" s="322">
        <f t="shared" si="114"/>
        <v>0</v>
      </c>
      <c r="CN42" s="321">
        <f t="shared" si="86"/>
        <v>0</v>
      </c>
      <c r="CO42" s="524"/>
      <c r="CP42" s="359">
        <f t="shared" si="115"/>
        <v>0</v>
      </c>
      <c r="CQ42" s="312">
        <f t="shared" si="116"/>
        <v>0</v>
      </c>
      <c r="CR42" s="315" t="str">
        <f t="shared" si="87"/>
        <v/>
      </c>
      <c r="CS42" s="236"/>
      <c r="CT42" s="316" t="str">
        <f t="shared" si="117"/>
        <v/>
      </c>
      <c r="CU42" s="315" t="str">
        <f t="shared" si="88"/>
        <v/>
      </c>
      <c r="CV42" s="236"/>
      <c r="CW42" s="316" t="str">
        <f t="shared" si="118"/>
        <v/>
      </c>
      <c r="CX42" s="328" t="str">
        <f t="shared" si="119"/>
        <v/>
      </c>
      <c r="CY42" s="530"/>
      <c r="DA42" s="6">
        <f>IF(AND(CT42&lt;&gt;"",OR(CT42&lt;EXPEDIENTE!$I$25,CT42&gt;EXPEDIENTE!$I$29)),1,0)</f>
        <v>0</v>
      </c>
      <c r="DB42" s="6">
        <f>IF(AND(CW42&lt;&gt;"",OR(CW42&lt;EXPEDIENTE!$I$25,CW42&gt;EXPEDIENTE!$I$29)),1,0)</f>
        <v>0</v>
      </c>
      <c r="DD42" s="88">
        <f t="shared" si="89"/>
        <v>0</v>
      </c>
      <c r="DE42" s="88">
        <f t="shared" si="120"/>
        <v>0</v>
      </c>
      <c r="DF42" s="88">
        <f t="shared" si="121"/>
        <v>0</v>
      </c>
      <c r="DG42" s="88">
        <f t="shared" si="122"/>
        <v>0</v>
      </c>
      <c r="DH42" s="88">
        <f t="shared" si="123"/>
        <v>0</v>
      </c>
      <c r="DI42" s="88">
        <f t="shared" si="124"/>
        <v>0</v>
      </c>
      <c r="DJ42" s="88">
        <f t="shared" si="125"/>
        <v>0</v>
      </c>
      <c r="DK42" s="88">
        <f t="shared" si="126"/>
        <v>0</v>
      </c>
      <c r="DL42" s="88">
        <f t="shared" si="127"/>
        <v>0</v>
      </c>
      <c r="DM42" s="88">
        <f t="shared" si="128"/>
        <v>0</v>
      </c>
      <c r="DN42" s="88">
        <f t="shared" si="129"/>
        <v>0</v>
      </c>
      <c r="DO42" s="88">
        <f t="shared" si="130"/>
        <v>0</v>
      </c>
      <c r="DP42" s="88">
        <f t="shared" si="131"/>
        <v>0</v>
      </c>
      <c r="DQ42" s="88">
        <f t="shared" si="132"/>
        <v>0</v>
      </c>
      <c r="DR42" s="88">
        <f t="shared" si="133"/>
        <v>0</v>
      </c>
      <c r="DS42" s="88">
        <f t="shared" si="134"/>
        <v>0</v>
      </c>
      <c r="DT42" s="88">
        <f t="shared" si="135"/>
        <v>0</v>
      </c>
      <c r="DU42" s="88">
        <f t="shared" si="136"/>
        <v>0</v>
      </c>
      <c r="DW42" s="88">
        <f>IF(CY42&lt;&gt;"",MAX($DW$9:DW41)+1,0)</f>
        <v>0</v>
      </c>
      <c r="DX42" s="182" t="str">
        <f t="shared" si="90"/>
        <v/>
      </c>
    </row>
    <row r="43" spans="2:128" ht="30" customHeight="1" x14ac:dyDescent="0.25">
      <c r="B43" s="875"/>
      <c r="C43" s="76"/>
      <c r="D43" s="64"/>
      <c r="E43" s="65"/>
      <c r="F43" s="53"/>
      <c r="G43" s="54"/>
      <c r="H43" s="54"/>
      <c r="I43" s="54"/>
      <c r="J43" s="54"/>
      <c r="K43" s="54"/>
      <c r="L43" s="23">
        <f t="shared" si="137"/>
        <v>0</v>
      </c>
      <c r="M43" s="42">
        <f t="shared" si="91"/>
        <v>0</v>
      </c>
      <c r="N43" s="40"/>
      <c r="O43" s="53"/>
      <c r="P43" s="54"/>
      <c r="Q43" s="54"/>
      <c r="R43" s="54"/>
      <c r="S43" s="54"/>
      <c r="T43" s="23">
        <f t="shared" si="92"/>
        <v>0</v>
      </c>
      <c r="U43" s="80"/>
      <c r="V43" s="27"/>
      <c r="W43" s="43">
        <f t="shared" si="93"/>
        <v>0</v>
      </c>
      <c r="X43" s="53"/>
      <c r="Y43" s="54"/>
      <c r="Z43" s="26">
        <f t="shared" si="94"/>
        <v>0</v>
      </c>
      <c r="AA43" s="62"/>
      <c r="AB43" s="63"/>
      <c r="AC43" s="69"/>
      <c r="AD43" s="70"/>
      <c r="AE43" s="104"/>
      <c r="AG43" s="6">
        <f>IF(AND(AA43&lt;&gt;"",OR(AA43&lt;EXPEDIENTE!$I$25,AA43&gt;EXPEDIENTE!$I$29)),1,0)</f>
        <v>0</v>
      </c>
      <c r="AH43" s="6">
        <f>IF(AND(AB43&lt;&gt;"",OR(AB43&lt;EXPEDIENTE!$I$25,AB43&gt;EXPEDIENTE!$I$29)),1,0)</f>
        <v>0</v>
      </c>
      <c r="AM43" s="728"/>
      <c r="AN43" s="358" t="str">
        <f t="shared" si="71"/>
        <v/>
      </c>
      <c r="AO43" s="315" t="str">
        <f t="shared" si="95"/>
        <v/>
      </c>
      <c r="AP43" s="236"/>
      <c r="AQ43" s="316" t="str">
        <f t="shared" si="96"/>
        <v/>
      </c>
      <c r="AR43" s="315" t="str">
        <f t="shared" si="72"/>
        <v/>
      </c>
      <c r="AS43" s="236"/>
      <c r="AT43" s="316" t="str">
        <f t="shared" si="97"/>
        <v/>
      </c>
      <c r="AU43" s="301">
        <f t="shared" si="73"/>
        <v>0</v>
      </c>
      <c r="AV43" s="528"/>
      <c r="AW43" s="322">
        <f t="shared" si="98"/>
        <v>0</v>
      </c>
      <c r="AX43" s="321">
        <f t="shared" si="74"/>
        <v>0</v>
      </c>
      <c r="AY43" s="529"/>
      <c r="AZ43" s="323">
        <f t="shared" si="99"/>
        <v>0</v>
      </c>
      <c r="BA43" s="323">
        <f t="shared" si="75"/>
        <v>0</v>
      </c>
      <c r="BB43" s="529"/>
      <c r="BC43" s="323">
        <f t="shared" si="100"/>
        <v>0</v>
      </c>
      <c r="BD43" s="323">
        <f t="shared" si="76"/>
        <v>0</v>
      </c>
      <c r="BE43" s="529"/>
      <c r="BF43" s="323">
        <f t="shared" si="101"/>
        <v>0</v>
      </c>
      <c r="BG43" s="323">
        <f t="shared" si="77"/>
        <v>0</v>
      </c>
      <c r="BH43" s="529"/>
      <c r="BI43" s="323">
        <f t="shared" si="102"/>
        <v>0</v>
      </c>
      <c r="BJ43" s="323">
        <f t="shared" si="78"/>
        <v>0</v>
      </c>
      <c r="BK43" s="529"/>
      <c r="BL43" s="323">
        <f t="shared" si="103"/>
        <v>0</v>
      </c>
      <c r="BM43" s="304">
        <f t="shared" si="104"/>
        <v>0</v>
      </c>
      <c r="BN43" s="324">
        <f t="shared" si="105"/>
        <v>0</v>
      </c>
      <c r="BO43" s="355"/>
      <c r="BP43" s="360">
        <f t="shared" si="79"/>
        <v>0</v>
      </c>
      <c r="BQ43" s="538"/>
      <c r="BR43" s="361">
        <f t="shared" si="106"/>
        <v>0</v>
      </c>
      <c r="BS43" s="362">
        <f t="shared" si="80"/>
        <v>0</v>
      </c>
      <c r="BT43" s="539"/>
      <c r="BU43" s="362">
        <f t="shared" si="107"/>
        <v>0</v>
      </c>
      <c r="BV43" s="362">
        <f t="shared" si="81"/>
        <v>0</v>
      </c>
      <c r="BW43" s="539"/>
      <c r="BX43" s="362">
        <f t="shared" si="108"/>
        <v>0</v>
      </c>
      <c r="BY43" s="362">
        <f t="shared" si="82"/>
        <v>0</v>
      </c>
      <c r="BZ43" s="539"/>
      <c r="CA43" s="362">
        <f t="shared" si="109"/>
        <v>0</v>
      </c>
      <c r="CB43" s="362">
        <f t="shared" si="83"/>
        <v>0</v>
      </c>
      <c r="CC43" s="539"/>
      <c r="CD43" s="362">
        <f t="shared" si="110"/>
        <v>0</v>
      </c>
      <c r="CE43" s="304">
        <f t="shared" si="111"/>
        <v>0</v>
      </c>
      <c r="CF43" s="321">
        <f t="shared" si="84"/>
        <v>0</v>
      </c>
      <c r="CG43" s="529"/>
      <c r="CH43" s="326">
        <f t="shared" si="112"/>
        <v>0</v>
      </c>
      <c r="CI43" s="310"/>
      <c r="CJ43" s="327">
        <f t="shared" si="113"/>
        <v>0</v>
      </c>
      <c r="CK43" s="321">
        <f t="shared" si="85"/>
        <v>0</v>
      </c>
      <c r="CL43" s="528"/>
      <c r="CM43" s="322">
        <f t="shared" si="114"/>
        <v>0</v>
      </c>
      <c r="CN43" s="321">
        <f t="shared" si="86"/>
        <v>0</v>
      </c>
      <c r="CO43" s="524"/>
      <c r="CP43" s="359">
        <f t="shared" si="115"/>
        <v>0</v>
      </c>
      <c r="CQ43" s="312">
        <f t="shared" si="116"/>
        <v>0</v>
      </c>
      <c r="CR43" s="315" t="str">
        <f t="shared" si="87"/>
        <v/>
      </c>
      <c r="CS43" s="236"/>
      <c r="CT43" s="316" t="str">
        <f t="shared" si="117"/>
        <v/>
      </c>
      <c r="CU43" s="315" t="str">
        <f t="shared" si="88"/>
        <v/>
      </c>
      <c r="CV43" s="236"/>
      <c r="CW43" s="316" t="str">
        <f t="shared" si="118"/>
        <v/>
      </c>
      <c r="CX43" s="328" t="str">
        <f t="shared" si="119"/>
        <v/>
      </c>
      <c r="CY43" s="530"/>
      <c r="DA43" s="6">
        <f>IF(AND(CT43&lt;&gt;"",OR(CT43&lt;EXPEDIENTE!$I$25,CT43&gt;EXPEDIENTE!$I$29)),1,0)</f>
        <v>0</v>
      </c>
      <c r="DB43" s="6">
        <f>IF(AND(CW43&lt;&gt;"",OR(CW43&lt;EXPEDIENTE!$I$25,CW43&gt;EXPEDIENTE!$I$29)),1,0)</f>
        <v>0</v>
      </c>
      <c r="DD43" s="88">
        <f t="shared" si="89"/>
        <v>0</v>
      </c>
      <c r="DE43" s="88">
        <f t="shared" si="120"/>
        <v>0</v>
      </c>
      <c r="DF43" s="88">
        <f t="shared" si="121"/>
        <v>0</v>
      </c>
      <c r="DG43" s="88">
        <f t="shared" si="122"/>
        <v>0</v>
      </c>
      <c r="DH43" s="88">
        <f t="shared" si="123"/>
        <v>0</v>
      </c>
      <c r="DI43" s="88">
        <f t="shared" si="124"/>
        <v>0</v>
      </c>
      <c r="DJ43" s="88">
        <f t="shared" si="125"/>
        <v>0</v>
      </c>
      <c r="DK43" s="88">
        <f t="shared" si="126"/>
        <v>0</v>
      </c>
      <c r="DL43" s="88">
        <f t="shared" si="127"/>
        <v>0</v>
      </c>
      <c r="DM43" s="88">
        <f t="shared" si="128"/>
        <v>0</v>
      </c>
      <c r="DN43" s="88">
        <f t="shared" si="129"/>
        <v>0</v>
      </c>
      <c r="DO43" s="88">
        <f t="shared" si="130"/>
        <v>0</v>
      </c>
      <c r="DP43" s="88">
        <f t="shared" si="131"/>
        <v>0</v>
      </c>
      <c r="DQ43" s="88">
        <f t="shared" si="132"/>
        <v>0</v>
      </c>
      <c r="DR43" s="88">
        <f t="shared" si="133"/>
        <v>0</v>
      </c>
      <c r="DS43" s="88">
        <f t="shared" si="134"/>
        <v>0</v>
      </c>
      <c r="DT43" s="88">
        <f t="shared" si="135"/>
        <v>0</v>
      </c>
      <c r="DU43" s="88">
        <f t="shared" si="136"/>
        <v>0</v>
      </c>
      <c r="DW43" s="88">
        <f>IF(CY43&lt;&gt;"",MAX($DW$9:DW42)+1,0)</f>
        <v>0</v>
      </c>
      <c r="DX43" s="182" t="str">
        <f t="shared" si="90"/>
        <v/>
      </c>
    </row>
    <row r="44" spans="2:128" ht="30" customHeight="1" thickBot="1" x14ac:dyDescent="0.3">
      <c r="B44" s="875"/>
      <c r="C44" s="169"/>
      <c r="D44" s="162"/>
      <c r="E44" s="163"/>
      <c r="F44" s="57"/>
      <c r="G44" s="56"/>
      <c r="H44" s="56"/>
      <c r="I44" s="56"/>
      <c r="J44" s="56"/>
      <c r="K44" s="56"/>
      <c r="L44" s="30">
        <f t="shared" si="137"/>
        <v>0</v>
      </c>
      <c r="M44" s="186">
        <f t="shared" si="91"/>
        <v>0</v>
      </c>
      <c r="N44" s="40"/>
      <c r="O44" s="57"/>
      <c r="P44" s="58"/>
      <c r="Q44" s="58"/>
      <c r="R44" s="58"/>
      <c r="S44" s="58"/>
      <c r="T44" s="29">
        <f t="shared" si="92"/>
        <v>0</v>
      </c>
      <c r="U44" s="81"/>
      <c r="V44" s="27"/>
      <c r="W44" s="187">
        <f t="shared" si="93"/>
        <v>0</v>
      </c>
      <c r="X44" s="55"/>
      <c r="Y44" s="56"/>
      <c r="Z44" s="188">
        <f t="shared" si="94"/>
        <v>0</v>
      </c>
      <c r="AA44" s="175"/>
      <c r="AB44" s="173"/>
      <c r="AC44" s="72"/>
      <c r="AD44" s="73"/>
      <c r="AE44" s="189"/>
      <c r="AG44" s="6">
        <f>IF(AND(AA44&lt;&gt;"",OR(AA44&lt;EXPEDIENTE!$I$25,AA44&gt;EXPEDIENTE!$I$29)),1,0)</f>
        <v>0</v>
      </c>
      <c r="AH44" s="6">
        <f>IF(AND(AB44&lt;&gt;"",OR(AB44&lt;EXPEDIENTE!$I$25,AB44&gt;EXPEDIENTE!$I$29)),1,0)</f>
        <v>0</v>
      </c>
      <c r="AM44" s="728"/>
      <c r="AN44" s="363" t="str">
        <f t="shared" si="71"/>
        <v/>
      </c>
      <c r="AO44" s="340" t="str">
        <f t="shared" si="95"/>
        <v/>
      </c>
      <c r="AP44" s="248"/>
      <c r="AQ44" s="341" t="str">
        <f t="shared" si="96"/>
        <v/>
      </c>
      <c r="AR44" s="340" t="str">
        <f t="shared" si="72"/>
        <v/>
      </c>
      <c r="AS44" s="248"/>
      <c r="AT44" s="341" t="str">
        <f t="shared" si="97"/>
        <v/>
      </c>
      <c r="AU44" s="364">
        <f t="shared" si="73"/>
        <v>0</v>
      </c>
      <c r="AV44" s="532"/>
      <c r="AW44" s="332">
        <f t="shared" si="98"/>
        <v>0</v>
      </c>
      <c r="AX44" s="331">
        <f t="shared" si="74"/>
        <v>0</v>
      </c>
      <c r="AY44" s="533"/>
      <c r="AZ44" s="333">
        <f t="shared" si="99"/>
        <v>0</v>
      </c>
      <c r="BA44" s="333">
        <f t="shared" si="75"/>
        <v>0</v>
      </c>
      <c r="BB44" s="533"/>
      <c r="BC44" s="333">
        <f t="shared" si="100"/>
        <v>0</v>
      </c>
      <c r="BD44" s="333">
        <f t="shared" si="76"/>
        <v>0</v>
      </c>
      <c r="BE44" s="533"/>
      <c r="BF44" s="333">
        <f t="shared" si="101"/>
        <v>0</v>
      </c>
      <c r="BG44" s="333">
        <f t="shared" si="77"/>
        <v>0</v>
      </c>
      <c r="BH44" s="533"/>
      <c r="BI44" s="333">
        <f t="shared" si="102"/>
        <v>0</v>
      </c>
      <c r="BJ44" s="333">
        <f t="shared" si="78"/>
        <v>0</v>
      </c>
      <c r="BK44" s="533"/>
      <c r="BL44" s="333">
        <f t="shared" si="103"/>
        <v>0</v>
      </c>
      <c r="BM44" s="334">
        <f t="shared" si="104"/>
        <v>0</v>
      </c>
      <c r="BN44" s="324">
        <f t="shared" si="105"/>
        <v>0</v>
      </c>
      <c r="BO44" s="355"/>
      <c r="BP44" s="331">
        <f t="shared" si="79"/>
        <v>0</v>
      </c>
      <c r="BQ44" s="532"/>
      <c r="BR44" s="336">
        <f t="shared" si="106"/>
        <v>0</v>
      </c>
      <c r="BS44" s="333">
        <f t="shared" si="80"/>
        <v>0</v>
      </c>
      <c r="BT44" s="533"/>
      <c r="BU44" s="333">
        <f t="shared" si="107"/>
        <v>0</v>
      </c>
      <c r="BV44" s="333">
        <f t="shared" si="81"/>
        <v>0</v>
      </c>
      <c r="BW44" s="533"/>
      <c r="BX44" s="333">
        <f t="shared" si="108"/>
        <v>0</v>
      </c>
      <c r="BY44" s="333">
        <f t="shared" si="82"/>
        <v>0</v>
      </c>
      <c r="BZ44" s="533"/>
      <c r="CA44" s="333">
        <f t="shared" si="109"/>
        <v>0</v>
      </c>
      <c r="CB44" s="333">
        <f t="shared" si="83"/>
        <v>0</v>
      </c>
      <c r="CC44" s="533"/>
      <c r="CD44" s="333">
        <f t="shared" si="110"/>
        <v>0</v>
      </c>
      <c r="CE44" s="334">
        <f t="shared" si="111"/>
        <v>0</v>
      </c>
      <c r="CF44" s="331">
        <f t="shared" si="84"/>
        <v>0</v>
      </c>
      <c r="CG44" s="533"/>
      <c r="CH44" s="337">
        <f t="shared" si="112"/>
        <v>0</v>
      </c>
      <c r="CI44" s="310"/>
      <c r="CJ44" s="335">
        <f t="shared" si="113"/>
        <v>0</v>
      </c>
      <c r="CK44" s="331">
        <f t="shared" si="85"/>
        <v>0</v>
      </c>
      <c r="CL44" s="532"/>
      <c r="CM44" s="332">
        <f t="shared" si="114"/>
        <v>0</v>
      </c>
      <c r="CN44" s="331">
        <f t="shared" si="86"/>
        <v>0</v>
      </c>
      <c r="CO44" s="540"/>
      <c r="CP44" s="365">
        <f t="shared" si="115"/>
        <v>0</v>
      </c>
      <c r="CQ44" s="366">
        <f t="shared" si="116"/>
        <v>0</v>
      </c>
      <c r="CR44" s="340" t="str">
        <f t="shared" si="87"/>
        <v/>
      </c>
      <c r="CS44" s="248"/>
      <c r="CT44" s="341" t="str">
        <f t="shared" si="117"/>
        <v/>
      </c>
      <c r="CU44" s="340" t="str">
        <f t="shared" si="88"/>
        <v/>
      </c>
      <c r="CV44" s="248"/>
      <c r="CW44" s="341" t="str">
        <f t="shared" si="118"/>
        <v/>
      </c>
      <c r="CX44" s="342" t="str">
        <f t="shared" si="119"/>
        <v/>
      </c>
      <c r="CY44" s="535"/>
      <c r="DA44" s="6">
        <f>IF(AND(CT44&lt;&gt;"",OR(CT44&lt;EXPEDIENTE!$I$25,CT44&gt;EXPEDIENTE!$I$29)),1,0)</f>
        <v>0</v>
      </c>
      <c r="DB44" s="6">
        <f>IF(AND(CW44&lt;&gt;"",OR(CW44&lt;EXPEDIENTE!$I$25,CW44&gt;EXPEDIENTE!$I$29)),1,0)</f>
        <v>0</v>
      </c>
      <c r="DD44" s="88">
        <f t="shared" si="89"/>
        <v>0</v>
      </c>
      <c r="DE44" s="88">
        <f t="shared" si="120"/>
        <v>0</v>
      </c>
      <c r="DF44" s="88">
        <f t="shared" si="121"/>
        <v>0</v>
      </c>
      <c r="DG44" s="88">
        <f t="shared" si="122"/>
        <v>0</v>
      </c>
      <c r="DH44" s="88">
        <f t="shared" si="123"/>
        <v>0</v>
      </c>
      <c r="DI44" s="88">
        <f t="shared" si="124"/>
        <v>0</v>
      </c>
      <c r="DJ44" s="88">
        <f t="shared" si="125"/>
        <v>0</v>
      </c>
      <c r="DK44" s="88">
        <f t="shared" si="126"/>
        <v>0</v>
      </c>
      <c r="DL44" s="88">
        <f t="shared" si="127"/>
        <v>0</v>
      </c>
      <c r="DM44" s="88">
        <f t="shared" si="128"/>
        <v>0</v>
      </c>
      <c r="DN44" s="88">
        <f t="shared" si="129"/>
        <v>0</v>
      </c>
      <c r="DO44" s="88">
        <f t="shared" si="130"/>
        <v>0</v>
      </c>
      <c r="DP44" s="88">
        <f t="shared" si="131"/>
        <v>0</v>
      </c>
      <c r="DQ44" s="88">
        <f t="shared" si="132"/>
        <v>0</v>
      </c>
      <c r="DR44" s="88">
        <f t="shared" si="133"/>
        <v>0</v>
      </c>
      <c r="DS44" s="88">
        <f t="shared" si="134"/>
        <v>0</v>
      </c>
      <c r="DT44" s="88">
        <f t="shared" si="135"/>
        <v>0</v>
      </c>
      <c r="DU44" s="88">
        <f t="shared" si="136"/>
        <v>0</v>
      </c>
      <c r="DW44" s="88">
        <f>IF(CY44&lt;&gt;"",MAX($DW$9:DW43)+1,0)</f>
        <v>0</v>
      </c>
      <c r="DX44" s="182" t="str">
        <f t="shared" si="90"/>
        <v/>
      </c>
    </row>
    <row r="45" spans="2:128" ht="9.9499999999999993" customHeight="1" thickBot="1" x14ac:dyDescent="0.3">
      <c r="B45" s="875"/>
      <c r="C45" s="177"/>
      <c r="D45" s="161"/>
      <c r="E45" s="161"/>
      <c r="F45" s="161"/>
      <c r="G45" s="161"/>
      <c r="H45" s="161"/>
      <c r="I45" s="161"/>
      <c r="J45" s="161"/>
      <c r="K45" s="161"/>
      <c r="L45" s="161"/>
      <c r="M45" s="178"/>
      <c r="N45" s="32"/>
      <c r="O45" s="44"/>
      <c r="P45" s="44"/>
      <c r="Q45" s="44"/>
      <c r="R45" s="44"/>
      <c r="S45" s="44"/>
      <c r="T45" s="44"/>
      <c r="U45" s="44"/>
      <c r="V45" s="34"/>
      <c r="W45" s="159"/>
      <c r="X45" s="161"/>
      <c r="Y45" s="161"/>
      <c r="Z45" s="161"/>
      <c r="AA45" s="161"/>
      <c r="AB45" s="161"/>
      <c r="AC45" s="161"/>
      <c r="AD45" s="161"/>
      <c r="AE45" s="164"/>
      <c r="AM45" s="728"/>
      <c r="AN45" s="277"/>
      <c r="AO45" s="278"/>
      <c r="AP45" s="278"/>
      <c r="AQ45" s="278"/>
      <c r="AR45" s="278"/>
      <c r="AS45" s="278"/>
      <c r="AT45" s="278"/>
      <c r="AU45" s="278"/>
      <c r="AV45" s="278"/>
      <c r="AW45" s="278"/>
      <c r="AX45" s="278"/>
      <c r="AY45" s="278"/>
      <c r="AZ45" s="278"/>
      <c r="BA45" s="278"/>
      <c r="BB45" s="278"/>
      <c r="BC45" s="278"/>
      <c r="BD45" s="278"/>
      <c r="BE45" s="278"/>
      <c r="BF45" s="278"/>
      <c r="BG45" s="278"/>
      <c r="BH45" s="278"/>
      <c r="BI45" s="278"/>
      <c r="BJ45" s="278"/>
      <c r="BK45" s="278"/>
      <c r="BL45" s="278"/>
      <c r="BM45" s="278"/>
      <c r="BN45" s="367"/>
      <c r="BO45" s="344"/>
      <c r="BP45" s="368"/>
      <c r="BQ45" s="368"/>
      <c r="BR45" s="368"/>
      <c r="BS45" s="368"/>
      <c r="BT45" s="368"/>
      <c r="BU45" s="368"/>
      <c r="BV45" s="368"/>
      <c r="BW45" s="368"/>
      <c r="BX45" s="368"/>
      <c r="BY45" s="368"/>
      <c r="BZ45" s="368"/>
      <c r="CA45" s="368"/>
      <c r="CB45" s="368"/>
      <c r="CC45" s="368"/>
      <c r="CD45" s="368"/>
      <c r="CE45" s="368"/>
      <c r="CF45" s="345"/>
      <c r="CG45" s="345"/>
      <c r="CH45" s="345"/>
      <c r="CI45" s="346"/>
      <c r="CJ45" s="369"/>
      <c r="CK45" s="278"/>
      <c r="CL45" s="278"/>
      <c r="CM45" s="278"/>
      <c r="CN45" s="278"/>
      <c r="CO45" s="278"/>
      <c r="CP45" s="278"/>
      <c r="CQ45" s="278"/>
      <c r="CR45" s="278"/>
      <c r="CS45" s="278"/>
      <c r="CT45" s="278"/>
      <c r="CU45" s="278"/>
      <c r="CV45" s="278"/>
      <c r="CW45" s="278"/>
      <c r="CX45" s="278"/>
      <c r="CY45" s="279"/>
    </row>
    <row r="46" spans="2:128" ht="30" customHeight="1" thickTop="1" thickBot="1" x14ac:dyDescent="0.3">
      <c r="B46" s="875"/>
      <c r="C46" s="833" t="str">
        <f>CONCATENATE("SEGURIDAD SOCIAL EMPRESA EJERCICIO ",YEAR(EXPEDIENTE!$F$25)+1)</f>
        <v>SEGURIDAD SOCIAL EMPRESA EJERCICIO 2024</v>
      </c>
      <c r="D46" s="833"/>
      <c r="E46" s="833"/>
      <c r="F46" s="833"/>
      <c r="G46" s="833"/>
      <c r="H46" s="833"/>
      <c r="I46" s="833"/>
      <c r="J46" s="833"/>
      <c r="K46" s="833"/>
      <c r="L46" s="833"/>
      <c r="M46" s="834"/>
      <c r="AM46" s="728"/>
      <c r="AN46" s="808" t="str">
        <f>CONCATENATE("SEGURIDAD SOCIAL EMPRESA EJERCICIO ",YEAR(EXPEDIENTE!$F$25)+1)</f>
        <v>SEGURIDAD SOCIAL EMPRESA EJERCICIO 2024</v>
      </c>
      <c r="AO46" s="808"/>
      <c r="AP46" s="808"/>
      <c r="AQ46" s="808"/>
      <c r="AR46" s="808"/>
      <c r="AS46" s="808"/>
      <c r="AT46" s="808"/>
      <c r="AU46" s="808"/>
      <c r="AV46" s="808"/>
      <c r="AW46" s="808"/>
      <c r="AX46" s="808"/>
      <c r="AY46" s="808"/>
      <c r="AZ46" s="808"/>
      <c r="BA46" s="808"/>
      <c r="BB46" s="808"/>
      <c r="BC46" s="808"/>
      <c r="BD46" s="808"/>
      <c r="BE46" s="808"/>
      <c r="BF46" s="808"/>
      <c r="BG46" s="808"/>
      <c r="BH46" s="808"/>
      <c r="BI46" s="808"/>
      <c r="BJ46" s="808"/>
      <c r="BK46" s="808"/>
      <c r="BL46" s="808"/>
      <c r="BM46" s="808"/>
      <c r="BN46" s="808"/>
      <c r="BO46" s="808"/>
      <c r="BP46" s="808"/>
      <c r="BQ46" s="808"/>
      <c r="BR46" s="808"/>
      <c r="BS46" s="896"/>
      <c r="CY46" s="123"/>
      <c r="CZ46" s="6"/>
      <c r="DB46" s="4"/>
    </row>
    <row r="47" spans="2:128" ht="20.100000000000001" customHeight="1" thickTop="1" thickBot="1" x14ac:dyDescent="0.3">
      <c r="B47" s="875"/>
      <c r="C47" s="839" t="s">
        <v>76</v>
      </c>
      <c r="D47" s="743" t="str">
        <f>IF(OR(SUM(T20:T31)&gt;0,SUM(T37:T44)&gt;0),"BASE
COTIZACIÓN
SUBVENCIO.","BASE
COTIZACIÓN")</f>
        <v>BASE
COTIZACIÓN</v>
      </c>
      <c r="E47" s="743" t="s">
        <v>186</v>
      </c>
      <c r="F47" s="743" t="s">
        <v>187</v>
      </c>
      <c r="G47" s="743" t="s">
        <v>74</v>
      </c>
      <c r="H47" s="743" t="s">
        <v>188</v>
      </c>
      <c r="I47" s="841" t="s">
        <v>75</v>
      </c>
      <c r="J47" s="844" t="s">
        <v>67</v>
      </c>
      <c r="K47" s="844"/>
      <c r="L47" s="844"/>
      <c r="M47" s="845"/>
      <c r="AM47" s="728"/>
      <c r="AN47" s="717" t="s">
        <v>76</v>
      </c>
      <c r="AO47" s="735" t="s">
        <v>309</v>
      </c>
      <c r="AP47" s="736"/>
      <c r="AQ47" s="737"/>
      <c r="AR47" s="738" t="s">
        <v>186</v>
      </c>
      <c r="AS47" s="719"/>
      <c r="AT47" s="720"/>
      <c r="AU47" s="897" t="s">
        <v>313</v>
      </c>
      <c r="AV47" s="898"/>
      <c r="AW47" s="899"/>
      <c r="AX47" s="900" t="s">
        <v>314</v>
      </c>
      <c r="AY47" s="901"/>
      <c r="AZ47" s="902"/>
      <c r="BA47" s="738" t="s">
        <v>188</v>
      </c>
      <c r="BB47" s="719"/>
      <c r="BC47" s="720"/>
      <c r="BD47" s="913" t="s">
        <v>315</v>
      </c>
      <c r="BE47" s="914"/>
      <c r="BF47" s="915"/>
      <c r="BG47" s="370"/>
      <c r="BH47" s="765"/>
      <c r="BI47" s="765"/>
      <c r="BJ47" s="765"/>
      <c r="BK47" s="765"/>
      <c r="BL47" s="765"/>
      <c r="BM47" s="765"/>
      <c r="BN47" s="765"/>
      <c r="BO47" s="765"/>
      <c r="BP47" s="765"/>
      <c r="BQ47" s="765"/>
      <c r="BR47" s="765"/>
      <c r="BS47" s="903"/>
      <c r="DA47" s="4"/>
      <c r="DB47" s="4"/>
      <c r="DC47" s="6"/>
    </row>
    <row r="48" spans="2:128" ht="50.1" customHeight="1" thickBot="1" x14ac:dyDescent="0.3">
      <c r="B48" s="875"/>
      <c r="C48" s="840"/>
      <c r="D48" s="745"/>
      <c r="E48" s="745"/>
      <c r="F48" s="745"/>
      <c r="G48" s="745"/>
      <c r="H48" s="745"/>
      <c r="I48" s="842"/>
      <c r="J48" s="847"/>
      <c r="K48" s="847"/>
      <c r="L48" s="847"/>
      <c r="M48" s="848"/>
      <c r="AM48" s="728"/>
      <c r="AN48" s="718"/>
      <c r="AO48" s="284" t="s">
        <v>270</v>
      </c>
      <c r="AP48" s="351" t="s">
        <v>245</v>
      </c>
      <c r="AQ48" s="286" t="s">
        <v>271</v>
      </c>
      <c r="AR48" s="739"/>
      <c r="AS48" s="719"/>
      <c r="AT48" s="720"/>
      <c r="AU48" s="371" t="s">
        <v>270</v>
      </c>
      <c r="AV48" s="372" t="s">
        <v>245</v>
      </c>
      <c r="AW48" s="373" t="s">
        <v>271</v>
      </c>
      <c r="AX48" s="371" t="s">
        <v>270</v>
      </c>
      <c r="AY48" s="374" t="s">
        <v>245</v>
      </c>
      <c r="AZ48" s="373" t="s">
        <v>271</v>
      </c>
      <c r="BA48" s="739"/>
      <c r="BB48" s="719"/>
      <c r="BC48" s="720"/>
      <c r="BD48" s="371" t="s">
        <v>270</v>
      </c>
      <c r="BE48" s="374" t="s">
        <v>245</v>
      </c>
      <c r="BF48" s="373" t="s">
        <v>271</v>
      </c>
      <c r="BG48" s="296" t="s">
        <v>321</v>
      </c>
      <c r="BH48" s="904" t="s">
        <v>343</v>
      </c>
      <c r="BI48" s="905"/>
      <c r="BJ48" s="905"/>
      <c r="BK48" s="905"/>
      <c r="BL48" s="905"/>
      <c r="BM48" s="905"/>
      <c r="BN48" s="905"/>
      <c r="BO48" s="905"/>
      <c r="BP48" s="905"/>
      <c r="BQ48" s="905"/>
      <c r="BR48" s="905"/>
      <c r="BS48" s="906"/>
      <c r="DA48" s="4"/>
      <c r="DB48" s="4"/>
      <c r="DD48" s="88" t="s">
        <v>322</v>
      </c>
      <c r="DE48" s="88" t="s">
        <v>340</v>
      </c>
      <c r="DF48" s="88" t="s">
        <v>324</v>
      </c>
      <c r="DG48" s="88" t="s">
        <v>325</v>
      </c>
      <c r="DH48" s="88" t="s">
        <v>327</v>
      </c>
      <c r="DU48" s="4"/>
    </row>
    <row r="49" spans="2:128" ht="30" customHeight="1" x14ac:dyDescent="0.25">
      <c r="B49" s="875"/>
      <c r="C49" s="195" t="s">
        <v>45</v>
      </c>
      <c r="D49" s="51"/>
      <c r="E49" s="23">
        <f>ROUND(D49*$F$14,2)</f>
        <v>0</v>
      </c>
      <c r="F49" s="51"/>
      <c r="G49" s="51"/>
      <c r="H49" s="200">
        <f>E49+F49-G49</f>
        <v>0</v>
      </c>
      <c r="I49" s="108"/>
      <c r="J49" s="920"/>
      <c r="K49" s="836"/>
      <c r="L49" s="836"/>
      <c r="M49" s="837"/>
      <c r="N49" s="730" t="str">
        <f>IF(OR(SUM(T20:T31)&gt;0,SUM(T37:T44)&gt;0),"NOTA:
Se ha minorado el importe subvencionable de alguna de las nóminas del ejercicio.
En consecuencia, en la columna:
''BASE
COTIZACIÓN
SUBVENCIO.''
se deberá reflejar la base de cotización mensual restándole dicha minoración.","")</f>
        <v/>
      </c>
      <c r="O49" s="731"/>
      <c r="P49" s="731"/>
      <c r="AG49" s="6">
        <f>IF(AND(I49&lt;&gt;"",OR(I49&lt;EXPEDIENTE!$I$25,I49&gt;EXPEDIENTE!$I$29)),1,0)</f>
        <v>0</v>
      </c>
      <c r="AI49" s="6">
        <f>IF(DATE(YEAR(EXPEDIENTE!$I$25)+1,MONTH(DATEVALUE($C49&amp;"1")),1)&gt;=DATE(YEAR(EXPEDIENTE!$I$25),MONTH(EXPEDIENTE!$I$25),1),0,1)</f>
        <v>0</v>
      </c>
      <c r="AJ49" s="6" t="e">
        <f>IF(DATE(YEAR(EXPEDIENTE!$I$25)+1,MONTH(DATEVALUE($C49&amp;"1")),1)&lt;=DATE(YEAR(EXPEDIENTE!$I$27),MONTH(EXPEDIENTE!$I$27),1),0,1)</f>
        <v>#VALUE!</v>
      </c>
      <c r="AK49" s="6" t="e">
        <f>SUM(AI49:AJ49)</f>
        <v>#VALUE!</v>
      </c>
      <c r="AM49" s="728"/>
      <c r="AN49" s="298" t="s">
        <v>45</v>
      </c>
      <c r="AO49" s="308">
        <f>IF(D49="",0,D49)</f>
        <v>0</v>
      </c>
      <c r="AP49" s="525"/>
      <c r="AQ49" s="309">
        <f>IF(AP49="",AO49,AP49)</f>
        <v>0</v>
      </c>
      <c r="AR49" s="311">
        <f t="shared" ref="AR49:AR60" si="140">IFERROR(ROUND(AQ49*$AT$14,2),0)</f>
        <v>0</v>
      </c>
      <c r="AS49" s="719"/>
      <c r="AT49" s="720"/>
      <c r="AU49" s="308">
        <f>IF(F49="",0,F49)</f>
        <v>0</v>
      </c>
      <c r="AV49" s="525"/>
      <c r="AW49" s="309">
        <f>IF(AV49="",AU49,AV49)</f>
        <v>0</v>
      </c>
      <c r="AX49" s="301">
        <f>IF(G49="",0,G49)</f>
        <v>0</v>
      </c>
      <c r="AY49" s="524"/>
      <c r="AZ49" s="359">
        <f>IF(AY49="",AX49,AY49)</f>
        <v>0</v>
      </c>
      <c r="BA49" s="375">
        <f t="shared" ref="BA49:BA60" si="141">IFERROR(AR49+AW49-AZ49,0)</f>
        <v>0</v>
      </c>
      <c r="BB49" s="719"/>
      <c r="BC49" s="720"/>
      <c r="BD49" s="353" t="str">
        <f>IF(I49="","",I49)</f>
        <v/>
      </c>
      <c r="BE49" s="227"/>
      <c r="BF49" s="354" t="str">
        <f>IF(BE49="",BD49,BE49)</f>
        <v/>
      </c>
      <c r="BG49" s="317" t="str">
        <f>IF(DD49=0,"",DD49)</f>
        <v/>
      </c>
      <c r="BH49" s="907"/>
      <c r="BI49" s="908"/>
      <c r="BJ49" s="908"/>
      <c r="BK49" s="908"/>
      <c r="BL49" s="908"/>
      <c r="BM49" s="908"/>
      <c r="BN49" s="908"/>
      <c r="BO49" s="908"/>
      <c r="BP49" s="908"/>
      <c r="BQ49" s="908"/>
      <c r="BR49" s="908"/>
      <c r="BS49" s="909"/>
      <c r="DA49" s="6">
        <f>IF(AND(BE49&lt;&gt;"",OR(BE49&lt;EXPEDIENTE!$I$25,BE49&gt;EXPEDIENTE!$I$29)),1,0)</f>
        <v>0</v>
      </c>
      <c r="DB49" s="4"/>
      <c r="DD49" s="88">
        <f t="shared" ref="DD49:DD60" si="142">SUM(DE49:DT49)</f>
        <v>0</v>
      </c>
      <c r="DE49" s="88">
        <f>IF(AP49="",0,1)</f>
        <v>0</v>
      </c>
      <c r="DF49" s="88">
        <f>IF(AV49="",0,1)</f>
        <v>0</v>
      </c>
      <c r="DG49" s="88">
        <f>IF(AY49="",0,1)</f>
        <v>0</v>
      </c>
      <c r="DH49" s="88">
        <f t="shared" ref="DH49:DH60" si="143">IF(BE49="",0,1)</f>
        <v>0</v>
      </c>
      <c r="DU49" s="4"/>
      <c r="DW49" s="88">
        <f>IF(BH49&lt;&gt;"",MAX($DW$9:DW48)+1,0)</f>
        <v>0</v>
      </c>
      <c r="DX49" s="182" t="str">
        <f>IF(DW49=0,"",BH49)</f>
        <v/>
      </c>
    </row>
    <row r="50" spans="2:128" ht="30" customHeight="1" x14ac:dyDescent="0.25">
      <c r="B50" s="875"/>
      <c r="C50" s="154" t="s">
        <v>46</v>
      </c>
      <c r="D50" s="54"/>
      <c r="E50" s="23">
        <f t="shared" ref="E50:E60" si="144">ROUND(D50*$F$14,2)</f>
        <v>0</v>
      </c>
      <c r="F50" s="54"/>
      <c r="G50" s="54"/>
      <c r="H50" s="198">
        <f t="shared" ref="H50:H60" si="145">E50+F50-G50</f>
        <v>0</v>
      </c>
      <c r="I50" s="82"/>
      <c r="J50" s="916"/>
      <c r="K50" s="725"/>
      <c r="L50" s="725"/>
      <c r="M50" s="726"/>
      <c r="N50" s="730"/>
      <c r="O50" s="731"/>
      <c r="P50" s="731"/>
      <c r="AG50" s="6">
        <f>IF(AND(I50&lt;&gt;"",OR(I50&lt;EXPEDIENTE!$I$25,I50&gt;EXPEDIENTE!$I$29)),1,0)</f>
        <v>0</v>
      </c>
      <c r="AI50" s="6">
        <f>IF(DATE(YEAR(EXPEDIENTE!$I$25)+1,MONTH(DATEVALUE($C50&amp;"1")),1)&gt;=DATE(YEAR(EXPEDIENTE!$I$25),MONTH(EXPEDIENTE!$I$25),1),0,1)</f>
        <v>0</v>
      </c>
      <c r="AJ50" s="6" t="e">
        <f>IF(DATE(YEAR(EXPEDIENTE!$I$25)+1,MONTH(DATEVALUE($C50&amp;"1")),1)&lt;=DATE(YEAR(EXPEDIENTE!$I$27),MONTH(EXPEDIENTE!$I$27),1),0,1)</f>
        <v>#VALUE!</v>
      </c>
      <c r="AK50" s="6" t="e">
        <f t="shared" ref="AK50:AK60" si="146">SUM(AI50:AJ50)</f>
        <v>#VALUE!</v>
      </c>
      <c r="AM50" s="728"/>
      <c r="AN50" s="318" t="s">
        <v>46</v>
      </c>
      <c r="AO50" s="321">
        <f>IF(D50="",0,D50)</f>
        <v>0</v>
      </c>
      <c r="AP50" s="529"/>
      <c r="AQ50" s="326">
        <f t="shared" ref="AQ50:AQ60" si="147">IF(AP50="",AO50,AP50)</f>
        <v>0</v>
      </c>
      <c r="AR50" s="327">
        <f t="shared" si="140"/>
        <v>0</v>
      </c>
      <c r="AS50" s="719"/>
      <c r="AT50" s="720"/>
      <c r="AU50" s="321">
        <f>IF(F50="",0,F50)</f>
        <v>0</v>
      </c>
      <c r="AV50" s="529"/>
      <c r="AW50" s="326">
        <f t="shared" ref="AW50:AW60" si="148">IF(AV50="",AU50,AV50)</f>
        <v>0</v>
      </c>
      <c r="AX50" s="321">
        <f>IF(G50="",0,G50)</f>
        <v>0</v>
      </c>
      <c r="AY50" s="529"/>
      <c r="AZ50" s="326">
        <f t="shared" ref="AZ50:AZ60" si="149">IF(AY50="",AX50,AY50)</f>
        <v>0</v>
      </c>
      <c r="BA50" s="376">
        <f t="shared" si="141"/>
        <v>0</v>
      </c>
      <c r="BB50" s="719"/>
      <c r="BC50" s="720"/>
      <c r="BD50" s="313" t="str">
        <f>IF(I50="","",I50)</f>
        <v/>
      </c>
      <c r="BE50" s="536"/>
      <c r="BF50" s="314" t="str">
        <f t="shared" ref="BF50:BF60" si="150">IF(BE50="",BD50,BE50)</f>
        <v/>
      </c>
      <c r="BG50" s="377" t="str">
        <f t="shared" ref="BG50:BG60" si="151">IF(DD50=0,"",DD50)</f>
        <v/>
      </c>
      <c r="BH50" s="892"/>
      <c r="BI50" s="786"/>
      <c r="BJ50" s="786"/>
      <c r="BK50" s="786"/>
      <c r="BL50" s="786"/>
      <c r="BM50" s="786"/>
      <c r="BN50" s="786"/>
      <c r="BO50" s="786"/>
      <c r="BP50" s="786"/>
      <c r="BQ50" s="786"/>
      <c r="BR50" s="786"/>
      <c r="BS50" s="787"/>
      <c r="DA50" s="6">
        <f>IF(AND(BE50&lt;&gt;"",OR(BE50&lt;EXPEDIENTE!$I$25,BE50&gt;EXPEDIENTE!$I$29)),1,0)</f>
        <v>0</v>
      </c>
      <c r="DB50" s="4"/>
      <c r="DD50" s="88">
        <f t="shared" si="142"/>
        <v>0</v>
      </c>
      <c r="DE50" s="88">
        <f t="shared" ref="DE50:DE60" si="152">IF(AP50="",0,1)</f>
        <v>0</v>
      </c>
      <c r="DF50" s="88">
        <f t="shared" ref="DF50:DF60" si="153">IF(AV50="",0,1)</f>
        <v>0</v>
      </c>
      <c r="DG50" s="88">
        <f t="shared" ref="DG50:DG60" si="154">IF(AY50="",0,1)</f>
        <v>0</v>
      </c>
      <c r="DH50" s="88">
        <f t="shared" si="143"/>
        <v>0</v>
      </c>
      <c r="DU50" s="4"/>
      <c r="DW50" s="88">
        <f>IF(BH50&lt;&gt;"",MAX($DW$9:DW49)+1,0)</f>
        <v>0</v>
      </c>
      <c r="DX50" s="182" t="str">
        <f t="shared" ref="DX50:DX60" si="155">IF(DW50=0,"",BH50)</f>
        <v/>
      </c>
    </row>
    <row r="51" spans="2:128" ht="30" customHeight="1" x14ac:dyDescent="0.25">
      <c r="B51" s="875"/>
      <c r="C51" s="154" t="s">
        <v>47</v>
      </c>
      <c r="D51" s="54"/>
      <c r="E51" s="23">
        <f t="shared" si="144"/>
        <v>0</v>
      </c>
      <c r="F51" s="54"/>
      <c r="G51" s="54"/>
      <c r="H51" s="198">
        <f t="shared" si="145"/>
        <v>0</v>
      </c>
      <c r="I51" s="82"/>
      <c r="J51" s="916"/>
      <c r="K51" s="725"/>
      <c r="L51" s="725"/>
      <c r="M51" s="726"/>
      <c r="N51" s="730"/>
      <c r="O51" s="731"/>
      <c r="P51" s="731"/>
      <c r="AG51" s="6">
        <f>IF(AND(I51&lt;&gt;"",OR(I51&lt;EXPEDIENTE!$I$25,I51&gt;EXPEDIENTE!$I$29)),1,0)</f>
        <v>0</v>
      </c>
      <c r="AI51" s="6">
        <f>IF(DATE(YEAR(EXPEDIENTE!$I$25)+1,MONTH(DATEVALUE($C51&amp;"1")),1)&gt;=DATE(YEAR(EXPEDIENTE!$I$25),MONTH(EXPEDIENTE!$I$25),1),0,1)</f>
        <v>0</v>
      </c>
      <c r="AJ51" s="6" t="e">
        <f>IF(DATE(YEAR(EXPEDIENTE!$I$25)+1,MONTH(DATEVALUE($C51&amp;"1")),1)&lt;=DATE(YEAR(EXPEDIENTE!$I$27),MONTH(EXPEDIENTE!$I$27),1),0,1)</f>
        <v>#VALUE!</v>
      </c>
      <c r="AK51" s="6" t="e">
        <f t="shared" si="146"/>
        <v>#VALUE!</v>
      </c>
      <c r="AM51" s="728"/>
      <c r="AN51" s="318" t="s">
        <v>47</v>
      </c>
      <c r="AO51" s="321">
        <f t="shared" ref="AO51:AO59" si="156">IF(D51="",0,D51)</f>
        <v>0</v>
      </c>
      <c r="AP51" s="529"/>
      <c r="AQ51" s="326">
        <f t="shared" si="147"/>
        <v>0</v>
      </c>
      <c r="AR51" s="327">
        <f t="shared" si="140"/>
        <v>0</v>
      </c>
      <c r="AS51" s="719"/>
      <c r="AT51" s="720"/>
      <c r="AU51" s="321">
        <f t="shared" ref="AU51:AU60" si="157">IF(F51="",0,F51)</f>
        <v>0</v>
      </c>
      <c r="AV51" s="529"/>
      <c r="AW51" s="326">
        <f t="shared" si="148"/>
        <v>0</v>
      </c>
      <c r="AX51" s="321">
        <f t="shared" ref="AX51:AX60" si="158">IF(G51="",0,G51)</f>
        <v>0</v>
      </c>
      <c r="AY51" s="529"/>
      <c r="AZ51" s="326">
        <f t="shared" si="149"/>
        <v>0</v>
      </c>
      <c r="BA51" s="376">
        <f t="shared" si="141"/>
        <v>0</v>
      </c>
      <c r="BB51" s="719"/>
      <c r="BC51" s="720"/>
      <c r="BD51" s="313" t="str">
        <f t="shared" ref="BD51:BD60" si="159">IF(I51="","",I51)</f>
        <v/>
      </c>
      <c r="BE51" s="536"/>
      <c r="BF51" s="314" t="str">
        <f t="shared" si="150"/>
        <v/>
      </c>
      <c r="BG51" s="377" t="str">
        <f t="shared" si="151"/>
        <v/>
      </c>
      <c r="BH51" s="892"/>
      <c r="BI51" s="786"/>
      <c r="BJ51" s="786"/>
      <c r="BK51" s="786"/>
      <c r="BL51" s="786"/>
      <c r="BM51" s="786"/>
      <c r="BN51" s="786"/>
      <c r="BO51" s="786"/>
      <c r="BP51" s="786"/>
      <c r="BQ51" s="786"/>
      <c r="BR51" s="786"/>
      <c r="BS51" s="787"/>
      <c r="DA51" s="6">
        <f>IF(AND(BE51&lt;&gt;"",OR(BE51&lt;EXPEDIENTE!$I$25,BE51&gt;EXPEDIENTE!$I$29)),1,0)</f>
        <v>0</v>
      </c>
      <c r="DB51" s="4"/>
      <c r="DD51" s="88">
        <f t="shared" si="142"/>
        <v>0</v>
      </c>
      <c r="DE51" s="88">
        <f t="shared" si="152"/>
        <v>0</v>
      </c>
      <c r="DF51" s="88">
        <f t="shared" si="153"/>
        <v>0</v>
      </c>
      <c r="DG51" s="88">
        <f t="shared" si="154"/>
        <v>0</v>
      </c>
      <c r="DH51" s="88">
        <f t="shared" si="143"/>
        <v>0</v>
      </c>
      <c r="DU51" s="4"/>
      <c r="DW51" s="88">
        <f>IF(BH51&lt;&gt;"",MAX($DW$9:DW50)+1,0)</f>
        <v>0</v>
      </c>
      <c r="DX51" s="182" t="str">
        <f t="shared" si="155"/>
        <v/>
      </c>
    </row>
    <row r="52" spans="2:128" ht="30" customHeight="1" x14ac:dyDescent="0.25">
      <c r="B52" s="875"/>
      <c r="C52" s="154" t="s">
        <v>48</v>
      </c>
      <c r="D52" s="54"/>
      <c r="E52" s="23">
        <f t="shared" si="144"/>
        <v>0</v>
      </c>
      <c r="F52" s="54"/>
      <c r="G52" s="54"/>
      <c r="H52" s="198">
        <f t="shared" si="145"/>
        <v>0</v>
      </c>
      <c r="I52" s="82"/>
      <c r="J52" s="916"/>
      <c r="K52" s="725"/>
      <c r="L52" s="725"/>
      <c r="M52" s="726"/>
      <c r="N52" s="730"/>
      <c r="O52" s="731"/>
      <c r="P52" s="731"/>
      <c r="AG52" s="6">
        <f>IF(AND(I52&lt;&gt;"",OR(I52&lt;EXPEDIENTE!$I$25,I52&gt;EXPEDIENTE!$I$29)),1,0)</f>
        <v>0</v>
      </c>
      <c r="AI52" s="6">
        <f>IF(DATE(YEAR(EXPEDIENTE!$I$25)+1,MONTH(DATEVALUE($C52&amp;"1")),1)&gt;=DATE(YEAR(EXPEDIENTE!$I$25),MONTH(EXPEDIENTE!$I$25),1),0,1)</f>
        <v>0</v>
      </c>
      <c r="AJ52" s="6" t="e">
        <f>IF(DATE(YEAR(EXPEDIENTE!$I$25)+1,MONTH(DATEVALUE($C52&amp;"1")),1)&lt;=DATE(YEAR(EXPEDIENTE!$I$27),MONTH(EXPEDIENTE!$I$27),1),0,1)</f>
        <v>#VALUE!</v>
      </c>
      <c r="AK52" s="6" t="e">
        <f t="shared" si="146"/>
        <v>#VALUE!</v>
      </c>
      <c r="AM52" s="728"/>
      <c r="AN52" s="318" t="s">
        <v>48</v>
      </c>
      <c r="AO52" s="321">
        <f t="shared" si="156"/>
        <v>0</v>
      </c>
      <c r="AP52" s="529"/>
      <c r="AQ52" s="326">
        <f t="shared" si="147"/>
        <v>0</v>
      </c>
      <c r="AR52" s="327">
        <f t="shared" si="140"/>
        <v>0</v>
      </c>
      <c r="AS52" s="719"/>
      <c r="AT52" s="720"/>
      <c r="AU52" s="321">
        <f t="shared" si="157"/>
        <v>0</v>
      </c>
      <c r="AV52" s="529"/>
      <c r="AW52" s="326">
        <f t="shared" si="148"/>
        <v>0</v>
      </c>
      <c r="AX52" s="321">
        <f t="shared" si="158"/>
        <v>0</v>
      </c>
      <c r="AY52" s="529"/>
      <c r="AZ52" s="326">
        <f t="shared" si="149"/>
        <v>0</v>
      </c>
      <c r="BA52" s="376">
        <f t="shared" si="141"/>
        <v>0</v>
      </c>
      <c r="BB52" s="719"/>
      <c r="BC52" s="720"/>
      <c r="BD52" s="313" t="str">
        <f t="shared" si="159"/>
        <v/>
      </c>
      <c r="BE52" s="536"/>
      <c r="BF52" s="314" t="str">
        <f t="shared" si="150"/>
        <v/>
      </c>
      <c r="BG52" s="377" t="str">
        <f t="shared" si="151"/>
        <v/>
      </c>
      <c r="BH52" s="892"/>
      <c r="BI52" s="786"/>
      <c r="BJ52" s="786"/>
      <c r="BK52" s="786"/>
      <c r="BL52" s="786"/>
      <c r="BM52" s="786"/>
      <c r="BN52" s="786"/>
      <c r="BO52" s="786"/>
      <c r="BP52" s="786"/>
      <c r="BQ52" s="786"/>
      <c r="BR52" s="786"/>
      <c r="BS52" s="787"/>
      <c r="DA52" s="6">
        <f>IF(AND(BE52&lt;&gt;"",OR(BE52&lt;EXPEDIENTE!$I$25,BE52&gt;EXPEDIENTE!$I$29)),1,0)</f>
        <v>0</v>
      </c>
      <c r="DB52" s="4"/>
      <c r="DD52" s="88">
        <f t="shared" si="142"/>
        <v>0</v>
      </c>
      <c r="DE52" s="88">
        <f t="shared" si="152"/>
        <v>0</v>
      </c>
      <c r="DF52" s="88">
        <f t="shared" si="153"/>
        <v>0</v>
      </c>
      <c r="DG52" s="88">
        <f t="shared" si="154"/>
        <v>0</v>
      </c>
      <c r="DH52" s="88">
        <f t="shared" si="143"/>
        <v>0</v>
      </c>
      <c r="DU52" s="4"/>
      <c r="DW52" s="88">
        <f>IF(BH52&lt;&gt;"",MAX($DW$9:DW51)+1,0)</f>
        <v>0</v>
      </c>
      <c r="DX52" s="182" t="str">
        <f t="shared" si="155"/>
        <v/>
      </c>
    </row>
    <row r="53" spans="2:128" ht="30" customHeight="1" x14ac:dyDescent="0.25">
      <c r="B53" s="875"/>
      <c r="C53" s="154" t="s">
        <v>49</v>
      </c>
      <c r="D53" s="54"/>
      <c r="E53" s="23">
        <f t="shared" si="144"/>
        <v>0</v>
      </c>
      <c r="F53" s="54"/>
      <c r="G53" s="54"/>
      <c r="H53" s="198">
        <f t="shared" si="145"/>
        <v>0</v>
      </c>
      <c r="I53" s="82"/>
      <c r="J53" s="916"/>
      <c r="K53" s="725"/>
      <c r="L53" s="725"/>
      <c r="M53" s="726"/>
      <c r="N53" s="730"/>
      <c r="O53" s="731"/>
      <c r="P53" s="731"/>
      <c r="AG53" s="6">
        <f>IF(AND(I53&lt;&gt;"",OR(I53&lt;EXPEDIENTE!$I$25,I53&gt;EXPEDIENTE!$I$29)),1,0)</f>
        <v>0</v>
      </c>
      <c r="AI53" s="6">
        <f>IF(DATE(YEAR(EXPEDIENTE!$I$25)+1,MONTH(DATEVALUE($C53&amp;"1")),1)&gt;=DATE(YEAR(EXPEDIENTE!$I$25),MONTH(EXPEDIENTE!$I$25),1),0,1)</f>
        <v>0</v>
      </c>
      <c r="AJ53" s="6" t="e">
        <f>IF(DATE(YEAR(EXPEDIENTE!$I$25)+1,MONTH(DATEVALUE($C53&amp;"1")),1)&lt;=DATE(YEAR(EXPEDIENTE!$I$27),MONTH(EXPEDIENTE!$I$27),1),0,1)</f>
        <v>#VALUE!</v>
      </c>
      <c r="AK53" s="6" t="e">
        <f t="shared" si="146"/>
        <v>#VALUE!</v>
      </c>
      <c r="AM53" s="728"/>
      <c r="AN53" s="318" t="s">
        <v>49</v>
      </c>
      <c r="AO53" s="321">
        <f t="shared" si="156"/>
        <v>0</v>
      </c>
      <c r="AP53" s="529"/>
      <c r="AQ53" s="326">
        <f t="shared" si="147"/>
        <v>0</v>
      </c>
      <c r="AR53" s="327">
        <f t="shared" si="140"/>
        <v>0</v>
      </c>
      <c r="AS53" s="719"/>
      <c r="AT53" s="720"/>
      <c r="AU53" s="321">
        <f t="shared" si="157"/>
        <v>0</v>
      </c>
      <c r="AV53" s="529"/>
      <c r="AW53" s="326">
        <f t="shared" si="148"/>
        <v>0</v>
      </c>
      <c r="AX53" s="321">
        <f t="shared" si="158"/>
        <v>0</v>
      </c>
      <c r="AY53" s="529"/>
      <c r="AZ53" s="326">
        <f t="shared" si="149"/>
        <v>0</v>
      </c>
      <c r="BA53" s="376">
        <f t="shared" si="141"/>
        <v>0</v>
      </c>
      <c r="BB53" s="719"/>
      <c r="BC53" s="720"/>
      <c r="BD53" s="313" t="str">
        <f t="shared" si="159"/>
        <v/>
      </c>
      <c r="BE53" s="536"/>
      <c r="BF53" s="314" t="str">
        <f t="shared" si="150"/>
        <v/>
      </c>
      <c r="BG53" s="377" t="str">
        <f t="shared" si="151"/>
        <v/>
      </c>
      <c r="BH53" s="892"/>
      <c r="BI53" s="786"/>
      <c r="BJ53" s="786"/>
      <c r="BK53" s="786"/>
      <c r="BL53" s="786"/>
      <c r="BM53" s="786"/>
      <c r="BN53" s="786"/>
      <c r="BO53" s="786"/>
      <c r="BP53" s="786"/>
      <c r="BQ53" s="786"/>
      <c r="BR53" s="786"/>
      <c r="BS53" s="787"/>
      <c r="DA53" s="6">
        <f>IF(AND(BE53&lt;&gt;"",OR(BE53&lt;EXPEDIENTE!$I$25,BE53&gt;EXPEDIENTE!$I$29)),1,0)</f>
        <v>0</v>
      </c>
      <c r="DB53" s="4"/>
      <c r="DD53" s="88">
        <f t="shared" si="142"/>
        <v>0</v>
      </c>
      <c r="DE53" s="88">
        <f t="shared" si="152"/>
        <v>0</v>
      </c>
      <c r="DF53" s="88">
        <f t="shared" si="153"/>
        <v>0</v>
      </c>
      <c r="DG53" s="88">
        <f t="shared" si="154"/>
        <v>0</v>
      </c>
      <c r="DH53" s="88">
        <f t="shared" si="143"/>
        <v>0</v>
      </c>
      <c r="DU53" s="4"/>
      <c r="DW53" s="88">
        <f>IF(BH53&lt;&gt;"",MAX($DW$9:DW52)+1,0)</f>
        <v>0</v>
      </c>
      <c r="DX53" s="182" t="str">
        <f t="shared" si="155"/>
        <v/>
      </c>
    </row>
    <row r="54" spans="2:128" ht="30" customHeight="1" x14ac:dyDescent="0.25">
      <c r="B54" s="875"/>
      <c r="C54" s="154" t="s">
        <v>50</v>
      </c>
      <c r="D54" s="54"/>
      <c r="E54" s="23">
        <f t="shared" si="144"/>
        <v>0</v>
      </c>
      <c r="F54" s="54"/>
      <c r="G54" s="54"/>
      <c r="H54" s="198">
        <f t="shared" si="145"/>
        <v>0</v>
      </c>
      <c r="I54" s="82"/>
      <c r="J54" s="916"/>
      <c r="K54" s="725"/>
      <c r="L54" s="725"/>
      <c r="M54" s="726"/>
      <c r="N54" s="730"/>
      <c r="O54" s="731"/>
      <c r="P54" s="731"/>
      <c r="AG54" s="6">
        <f>IF(AND(I54&lt;&gt;"",OR(I54&lt;EXPEDIENTE!$I$25,I54&gt;EXPEDIENTE!$I$29)),1,0)</f>
        <v>0</v>
      </c>
      <c r="AI54" s="6">
        <f>IF(DATE(YEAR(EXPEDIENTE!$I$25)+1,MONTH(DATEVALUE($C54&amp;"1")),1)&gt;=DATE(YEAR(EXPEDIENTE!$I$25),MONTH(EXPEDIENTE!$I$25),1),0,1)</f>
        <v>0</v>
      </c>
      <c r="AJ54" s="6" t="e">
        <f>IF(DATE(YEAR(EXPEDIENTE!$I$25)+1,MONTH(DATEVALUE($C54&amp;"1")),1)&lt;=DATE(YEAR(EXPEDIENTE!$I$27),MONTH(EXPEDIENTE!$I$27),1),0,1)</f>
        <v>#VALUE!</v>
      </c>
      <c r="AK54" s="6" t="e">
        <f t="shared" si="146"/>
        <v>#VALUE!</v>
      </c>
      <c r="AM54" s="728"/>
      <c r="AN54" s="318" t="s">
        <v>50</v>
      </c>
      <c r="AO54" s="321">
        <f t="shared" si="156"/>
        <v>0</v>
      </c>
      <c r="AP54" s="529"/>
      <c r="AQ54" s="326">
        <f t="shared" si="147"/>
        <v>0</v>
      </c>
      <c r="AR54" s="327">
        <f t="shared" si="140"/>
        <v>0</v>
      </c>
      <c r="AS54" s="719"/>
      <c r="AT54" s="720"/>
      <c r="AU54" s="321">
        <f t="shared" si="157"/>
        <v>0</v>
      </c>
      <c r="AV54" s="529"/>
      <c r="AW54" s="326">
        <f t="shared" si="148"/>
        <v>0</v>
      </c>
      <c r="AX54" s="321">
        <f t="shared" si="158"/>
        <v>0</v>
      </c>
      <c r="AY54" s="529"/>
      <c r="AZ54" s="326">
        <f t="shared" si="149"/>
        <v>0</v>
      </c>
      <c r="BA54" s="376">
        <f t="shared" si="141"/>
        <v>0</v>
      </c>
      <c r="BB54" s="719"/>
      <c r="BC54" s="720"/>
      <c r="BD54" s="313" t="str">
        <f t="shared" si="159"/>
        <v/>
      </c>
      <c r="BE54" s="536"/>
      <c r="BF54" s="314" t="str">
        <f t="shared" si="150"/>
        <v/>
      </c>
      <c r="BG54" s="377" t="str">
        <f t="shared" si="151"/>
        <v/>
      </c>
      <c r="BH54" s="892"/>
      <c r="BI54" s="786"/>
      <c r="BJ54" s="786"/>
      <c r="BK54" s="786"/>
      <c r="BL54" s="786"/>
      <c r="BM54" s="786"/>
      <c r="BN54" s="786"/>
      <c r="BO54" s="786"/>
      <c r="BP54" s="786"/>
      <c r="BQ54" s="786"/>
      <c r="BR54" s="786"/>
      <c r="BS54" s="787"/>
      <c r="DA54" s="6">
        <f>IF(AND(BE54&lt;&gt;"",OR(BE54&lt;EXPEDIENTE!$I$25,BE54&gt;EXPEDIENTE!$I$29)),1,0)</f>
        <v>0</v>
      </c>
      <c r="DB54" s="4"/>
      <c r="DD54" s="88">
        <f t="shared" si="142"/>
        <v>0</v>
      </c>
      <c r="DE54" s="88">
        <f t="shared" si="152"/>
        <v>0</v>
      </c>
      <c r="DF54" s="88">
        <f t="shared" si="153"/>
        <v>0</v>
      </c>
      <c r="DG54" s="88">
        <f t="shared" si="154"/>
        <v>0</v>
      </c>
      <c r="DH54" s="88">
        <f t="shared" si="143"/>
        <v>0</v>
      </c>
      <c r="DU54" s="4"/>
      <c r="DW54" s="88">
        <f>IF(BH54&lt;&gt;"",MAX($DW$9:DW53)+1,0)</f>
        <v>0</v>
      </c>
      <c r="DX54" s="182" t="str">
        <f t="shared" si="155"/>
        <v/>
      </c>
    </row>
    <row r="55" spans="2:128" ht="30" customHeight="1" x14ac:dyDescent="0.25">
      <c r="B55" s="875"/>
      <c r="C55" s="154" t="s">
        <v>51</v>
      </c>
      <c r="D55" s="54"/>
      <c r="E55" s="23">
        <f t="shared" si="144"/>
        <v>0</v>
      </c>
      <c r="F55" s="54"/>
      <c r="G55" s="54"/>
      <c r="H55" s="198">
        <f t="shared" si="145"/>
        <v>0</v>
      </c>
      <c r="I55" s="82"/>
      <c r="J55" s="916"/>
      <c r="K55" s="725"/>
      <c r="L55" s="725"/>
      <c r="M55" s="726"/>
      <c r="N55" s="730"/>
      <c r="O55" s="731"/>
      <c r="P55" s="731"/>
      <c r="AG55" s="6">
        <f>IF(AND(I55&lt;&gt;"",OR(I55&lt;EXPEDIENTE!$I$25,I55&gt;EXPEDIENTE!$I$29)),1,0)</f>
        <v>0</v>
      </c>
      <c r="AI55" s="6">
        <f>IF(DATE(YEAR(EXPEDIENTE!$I$25)+1,MONTH(DATEVALUE($C55&amp;"1")),1)&gt;=DATE(YEAR(EXPEDIENTE!$I$25),MONTH(EXPEDIENTE!$I$25),1),0,1)</f>
        <v>0</v>
      </c>
      <c r="AJ55" s="6" t="e">
        <f>IF(DATE(YEAR(EXPEDIENTE!$I$25)+1,MONTH(DATEVALUE($C55&amp;"1")),1)&lt;=DATE(YEAR(EXPEDIENTE!$I$27),MONTH(EXPEDIENTE!$I$27),1),0,1)</f>
        <v>#VALUE!</v>
      </c>
      <c r="AK55" s="6" t="e">
        <f t="shared" si="146"/>
        <v>#VALUE!</v>
      </c>
      <c r="AM55" s="728"/>
      <c r="AN55" s="318" t="s">
        <v>51</v>
      </c>
      <c r="AO55" s="321">
        <f t="shared" si="156"/>
        <v>0</v>
      </c>
      <c r="AP55" s="529"/>
      <c r="AQ55" s="326">
        <f t="shared" si="147"/>
        <v>0</v>
      </c>
      <c r="AR55" s="327">
        <f t="shared" si="140"/>
        <v>0</v>
      </c>
      <c r="AS55" s="719"/>
      <c r="AT55" s="720"/>
      <c r="AU55" s="321">
        <f t="shared" si="157"/>
        <v>0</v>
      </c>
      <c r="AV55" s="529"/>
      <c r="AW55" s="326">
        <f t="shared" si="148"/>
        <v>0</v>
      </c>
      <c r="AX55" s="321">
        <f t="shared" si="158"/>
        <v>0</v>
      </c>
      <c r="AY55" s="529"/>
      <c r="AZ55" s="326">
        <f t="shared" si="149"/>
        <v>0</v>
      </c>
      <c r="BA55" s="376">
        <f t="shared" si="141"/>
        <v>0</v>
      </c>
      <c r="BB55" s="719"/>
      <c r="BC55" s="720"/>
      <c r="BD55" s="313" t="str">
        <f t="shared" si="159"/>
        <v/>
      </c>
      <c r="BE55" s="536"/>
      <c r="BF55" s="314" t="str">
        <f t="shared" si="150"/>
        <v/>
      </c>
      <c r="BG55" s="377" t="str">
        <f t="shared" si="151"/>
        <v/>
      </c>
      <c r="BH55" s="892"/>
      <c r="BI55" s="786"/>
      <c r="BJ55" s="786"/>
      <c r="BK55" s="786"/>
      <c r="BL55" s="786"/>
      <c r="BM55" s="786"/>
      <c r="BN55" s="786"/>
      <c r="BO55" s="786"/>
      <c r="BP55" s="786"/>
      <c r="BQ55" s="786"/>
      <c r="BR55" s="786"/>
      <c r="BS55" s="787"/>
      <c r="DA55" s="6">
        <f>IF(AND(BE55&lt;&gt;"",OR(BE55&lt;EXPEDIENTE!$I$25,BE55&gt;EXPEDIENTE!$I$29)),1,0)</f>
        <v>0</v>
      </c>
      <c r="DB55" s="4"/>
      <c r="DD55" s="88">
        <f t="shared" si="142"/>
        <v>0</v>
      </c>
      <c r="DE55" s="88">
        <f t="shared" si="152"/>
        <v>0</v>
      </c>
      <c r="DF55" s="88">
        <f t="shared" si="153"/>
        <v>0</v>
      </c>
      <c r="DG55" s="88">
        <f t="shared" si="154"/>
        <v>0</v>
      </c>
      <c r="DH55" s="88">
        <f t="shared" si="143"/>
        <v>0</v>
      </c>
      <c r="DU55" s="4"/>
      <c r="DW55" s="88">
        <f>IF(BH55&lt;&gt;"",MAX($DW$9:DW54)+1,0)</f>
        <v>0</v>
      </c>
      <c r="DX55" s="182" t="str">
        <f t="shared" si="155"/>
        <v/>
      </c>
    </row>
    <row r="56" spans="2:128" ht="30" customHeight="1" x14ac:dyDescent="0.25">
      <c r="B56" s="875"/>
      <c r="C56" s="154" t="s">
        <v>52</v>
      </c>
      <c r="D56" s="54"/>
      <c r="E56" s="23">
        <f t="shared" si="144"/>
        <v>0</v>
      </c>
      <c r="F56" s="54"/>
      <c r="G56" s="54"/>
      <c r="H56" s="198">
        <f t="shared" si="145"/>
        <v>0</v>
      </c>
      <c r="I56" s="82"/>
      <c r="J56" s="916"/>
      <c r="K56" s="725"/>
      <c r="L56" s="725"/>
      <c r="M56" s="726"/>
      <c r="N56" s="730"/>
      <c r="O56" s="731"/>
      <c r="P56" s="731"/>
      <c r="AG56" s="6">
        <f>IF(AND(I56&lt;&gt;"",OR(I56&lt;EXPEDIENTE!$I$25,I56&gt;EXPEDIENTE!$I$29)),1,0)</f>
        <v>0</v>
      </c>
      <c r="AI56" s="6">
        <f>IF(DATE(YEAR(EXPEDIENTE!$I$25)+1,MONTH(DATEVALUE($C56&amp;"1")),1)&gt;=DATE(YEAR(EXPEDIENTE!$I$25),MONTH(EXPEDIENTE!$I$25),1),0,1)</f>
        <v>0</v>
      </c>
      <c r="AJ56" s="6" t="e">
        <f>IF(DATE(YEAR(EXPEDIENTE!$I$25)+1,MONTH(DATEVALUE($C56&amp;"1")),1)&lt;=DATE(YEAR(EXPEDIENTE!$I$27),MONTH(EXPEDIENTE!$I$27),1),0,1)</f>
        <v>#VALUE!</v>
      </c>
      <c r="AK56" s="6" t="e">
        <f t="shared" si="146"/>
        <v>#VALUE!</v>
      </c>
      <c r="AM56" s="728"/>
      <c r="AN56" s="318" t="s">
        <v>52</v>
      </c>
      <c r="AO56" s="321">
        <f t="shared" si="156"/>
        <v>0</v>
      </c>
      <c r="AP56" s="529"/>
      <c r="AQ56" s="326">
        <f t="shared" si="147"/>
        <v>0</v>
      </c>
      <c r="AR56" s="327">
        <f t="shared" si="140"/>
        <v>0</v>
      </c>
      <c r="AS56" s="719"/>
      <c r="AT56" s="720"/>
      <c r="AU56" s="321">
        <f t="shared" si="157"/>
        <v>0</v>
      </c>
      <c r="AV56" s="529"/>
      <c r="AW56" s="326">
        <f t="shared" si="148"/>
        <v>0</v>
      </c>
      <c r="AX56" s="321">
        <f t="shared" si="158"/>
        <v>0</v>
      </c>
      <c r="AY56" s="529"/>
      <c r="AZ56" s="326">
        <f t="shared" si="149"/>
        <v>0</v>
      </c>
      <c r="BA56" s="376">
        <f t="shared" si="141"/>
        <v>0</v>
      </c>
      <c r="BB56" s="719"/>
      <c r="BC56" s="720"/>
      <c r="BD56" s="313" t="str">
        <f t="shared" si="159"/>
        <v/>
      </c>
      <c r="BE56" s="536"/>
      <c r="BF56" s="314" t="str">
        <f t="shared" si="150"/>
        <v/>
      </c>
      <c r="BG56" s="377" t="str">
        <f t="shared" si="151"/>
        <v/>
      </c>
      <c r="BH56" s="892"/>
      <c r="BI56" s="786"/>
      <c r="BJ56" s="786"/>
      <c r="BK56" s="786"/>
      <c r="BL56" s="786"/>
      <c r="BM56" s="786"/>
      <c r="BN56" s="786"/>
      <c r="BO56" s="786"/>
      <c r="BP56" s="786"/>
      <c r="BQ56" s="786"/>
      <c r="BR56" s="786"/>
      <c r="BS56" s="787"/>
      <c r="DA56" s="6">
        <f>IF(AND(BE56&lt;&gt;"",OR(BE56&lt;EXPEDIENTE!$I$25,BE56&gt;EXPEDIENTE!$I$29)),1,0)</f>
        <v>0</v>
      </c>
      <c r="DB56" s="4"/>
      <c r="DD56" s="88">
        <f t="shared" si="142"/>
        <v>0</v>
      </c>
      <c r="DE56" s="88">
        <f t="shared" si="152"/>
        <v>0</v>
      </c>
      <c r="DF56" s="88">
        <f t="shared" si="153"/>
        <v>0</v>
      </c>
      <c r="DG56" s="88">
        <f t="shared" si="154"/>
        <v>0</v>
      </c>
      <c r="DH56" s="88">
        <f t="shared" si="143"/>
        <v>0</v>
      </c>
      <c r="DU56" s="4"/>
      <c r="DW56" s="88">
        <f>IF(BH56&lt;&gt;"",MAX($DW$9:DW55)+1,0)</f>
        <v>0</v>
      </c>
      <c r="DX56" s="182" t="str">
        <f t="shared" si="155"/>
        <v/>
      </c>
    </row>
    <row r="57" spans="2:128" ht="30" customHeight="1" x14ac:dyDescent="0.25">
      <c r="B57" s="875"/>
      <c r="C57" s="154" t="s">
        <v>53</v>
      </c>
      <c r="D57" s="54"/>
      <c r="E57" s="23">
        <f t="shared" si="144"/>
        <v>0</v>
      </c>
      <c r="F57" s="54"/>
      <c r="G57" s="54"/>
      <c r="H57" s="198">
        <f t="shared" si="145"/>
        <v>0</v>
      </c>
      <c r="I57" s="82"/>
      <c r="J57" s="916"/>
      <c r="K57" s="725"/>
      <c r="L57" s="725"/>
      <c r="M57" s="726"/>
      <c r="N57" s="730"/>
      <c r="O57" s="731"/>
      <c r="P57" s="731"/>
      <c r="AG57" s="6">
        <f>IF(AND(I57&lt;&gt;"",OR(I57&lt;EXPEDIENTE!$I$25,I57&gt;EXPEDIENTE!$I$29)),1,0)</f>
        <v>0</v>
      </c>
      <c r="AI57" s="6">
        <f>IF(DATE(YEAR(EXPEDIENTE!$I$25)+1,MONTH(DATEVALUE($C57&amp;"1")),1)&gt;=DATE(YEAR(EXPEDIENTE!$I$25),MONTH(EXPEDIENTE!$I$25),1),0,1)</f>
        <v>0</v>
      </c>
      <c r="AJ57" s="6" t="e">
        <f>IF(DATE(YEAR(EXPEDIENTE!$I$25)+1,MONTH(DATEVALUE($C57&amp;"1")),1)&lt;=DATE(YEAR(EXPEDIENTE!$I$27),MONTH(EXPEDIENTE!$I$27),1),0,1)</f>
        <v>#VALUE!</v>
      </c>
      <c r="AK57" s="6" t="e">
        <f t="shared" si="146"/>
        <v>#VALUE!</v>
      </c>
      <c r="AM57" s="728"/>
      <c r="AN57" s="318" t="s">
        <v>53</v>
      </c>
      <c r="AO57" s="321">
        <f t="shared" si="156"/>
        <v>0</v>
      </c>
      <c r="AP57" s="529"/>
      <c r="AQ57" s="326">
        <f t="shared" si="147"/>
        <v>0</v>
      </c>
      <c r="AR57" s="327">
        <f t="shared" si="140"/>
        <v>0</v>
      </c>
      <c r="AS57" s="719"/>
      <c r="AT57" s="720"/>
      <c r="AU57" s="321">
        <f t="shared" si="157"/>
        <v>0</v>
      </c>
      <c r="AV57" s="529"/>
      <c r="AW57" s="326">
        <f t="shared" si="148"/>
        <v>0</v>
      </c>
      <c r="AX57" s="321">
        <f t="shared" si="158"/>
        <v>0</v>
      </c>
      <c r="AY57" s="529"/>
      <c r="AZ57" s="326">
        <f t="shared" si="149"/>
        <v>0</v>
      </c>
      <c r="BA57" s="376">
        <f t="shared" si="141"/>
        <v>0</v>
      </c>
      <c r="BB57" s="719"/>
      <c r="BC57" s="720"/>
      <c r="BD57" s="313" t="str">
        <f t="shared" si="159"/>
        <v/>
      </c>
      <c r="BE57" s="536"/>
      <c r="BF57" s="314" t="str">
        <f t="shared" si="150"/>
        <v/>
      </c>
      <c r="BG57" s="377" t="str">
        <f t="shared" si="151"/>
        <v/>
      </c>
      <c r="BH57" s="892"/>
      <c r="BI57" s="786"/>
      <c r="BJ57" s="786"/>
      <c r="BK57" s="786"/>
      <c r="BL57" s="786"/>
      <c r="BM57" s="786"/>
      <c r="BN57" s="786"/>
      <c r="BO57" s="786"/>
      <c r="BP57" s="786"/>
      <c r="BQ57" s="786"/>
      <c r="BR57" s="786"/>
      <c r="BS57" s="787"/>
      <c r="DA57" s="6">
        <f>IF(AND(BE57&lt;&gt;"",OR(BE57&lt;EXPEDIENTE!$I$25,BE57&gt;EXPEDIENTE!$I$29)),1,0)</f>
        <v>0</v>
      </c>
      <c r="DB57" s="4"/>
      <c r="DD57" s="88">
        <f t="shared" si="142"/>
        <v>0</v>
      </c>
      <c r="DE57" s="88">
        <f t="shared" si="152"/>
        <v>0</v>
      </c>
      <c r="DF57" s="88">
        <f t="shared" si="153"/>
        <v>0</v>
      </c>
      <c r="DG57" s="88">
        <f t="shared" si="154"/>
        <v>0</v>
      </c>
      <c r="DH57" s="88">
        <f t="shared" si="143"/>
        <v>0</v>
      </c>
      <c r="DU57" s="4"/>
      <c r="DW57" s="88">
        <f>IF(BH57&lt;&gt;"",MAX($DW$9:DW56)+1,0)</f>
        <v>0</v>
      </c>
      <c r="DX57" s="182" t="str">
        <f t="shared" si="155"/>
        <v/>
      </c>
    </row>
    <row r="58" spans="2:128" ht="30" customHeight="1" x14ac:dyDescent="0.25">
      <c r="B58" s="875"/>
      <c r="C58" s="154" t="s">
        <v>54</v>
      </c>
      <c r="D58" s="54"/>
      <c r="E58" s="23">
        <f t="shared" si="144"/>
        <v>0</v>
      </c>
      <c r="F58" s="54"/>
      <c r="G58" s="54"/>
      <c r="H58" s="198">
        <f t="shared" si="145"/>
        <v>0</v>
      </c>
      <c r="I58" s="82"/>
      <c r="J58" s="916"/>
      <c r="K58" s="725"/>
      <c r="L58" s="725"/>
      <c r="M58" s="726"/>
      <c r="N58" s="730"/>
      <c r="O58" s="731"/>
      <c r="P58" s="731"/>
      <c r="AG58" s="6">
        <f>IF(AND(I58&lt;&gt;"",OR(I58&lt;EXPEDIENTE!$I$25,I58&gt;EXPEDIENTE!$I$29)),1,0)</f>
        <v>0</v>
      </c>
      <c r="AI58" s="6">
        <f>IF(DATE(YEAR(EXPEDIENTE!$I$25)+1,MONTH(DATEVALUE($C58&amp;"1")),1)&gt;=DATE(YEAR(EXPEDIENTE!$I$25),MONTH(EXPEDIENTE!$I$25),1),0,1)</f>
        <v>0</v>
      </c>
      <c r="AJ58" s="6" t="e">
        <f>IF(DATE(YEAR(EXPEDIENTE!$I$25)+1,MONTH(DATEVALUE($C58&amp;"1")),1)&lt;=DATE(YEAR(EXPEDIENTE!$I$27),MONTH(EXPEDIENTE!$I$27),1),0,1)</f>
        <v>#VALUE!</v>
      </c>
      <c r="AK58" s="6" t="e">
        <f t="shared" si="146"/>
        <v>#VALUE!</v>
      </c>
      <c r="AM58" s="728"/>
      <c r="AN58" s="318" t="s">
        <v>54</v>
      </c>
      <c r="AO58" s="321">
        <f t="shared" si="156"/>
        <v>0</v>
      </c>
      <c r="AP58" s="529"/>
      <c r="AQ58" s="326">
        <f t="shared" si="147"/>
        <v>0</v>
      </c>
      <c r="AR58" s="327">
        <f t="shared" si="140"/>
        <v>0</v>
      </c>
      <c r="AS58" s="719"/>
      <c r="AT58" s="720"/>
      <c r="AU58" s="321">
        <f t="shared" si="157"/>
        <v>0</v>
      </c>
      <c r="AV58" s="529"/>
      <c r="AW58" s="326">
        <f t="shared" si="148"/>
        <v>0</v>
      </c>
      <c r="AX58" s="321">
        <f t="shared" si="158"/>
        <v>0</v>
      </c>
      <c r="AY58" s="529"/>
      <c r="AZ58" s="326">
        <f t="shared" si="149"/>
        <v>0</v>
      </c>
      <c r="BA58" s="376">
        <f t="shared" si="141"/>
        <v>0</v>
      </c>
      <c r="BB58" s="719"/>
      <c r="BC58" s="720"/>
      <c r="BD58" s="313" t="str">
        <f t="shared" si="159"/>
        <v/>
      </c>
      <c r="BE58" s="536"/>
      <c r="BF58" s="314" t="str">
        <f t="shared" si="150"/>
        <v/>
      </c>
      <c r="BG58" s="377" t="str">
        <f t="shared" si="151"/>
        <v/>
      </c>
      <c r="BH58" s="892"/>
      <c r="BI58" s="786"/>
      <c r="BJ58" s="786"/>
      <c r="BK58" s="786"/>
      <c r="BL58" s="786"/>
      <c r="BM58" s="786"/>
      <c r="BN58" s="786"/>
      <c r="BO58" s="786"/>
      <c r="BP58" s="786"/>
      <c r="BQ58" s="786"/>
      <c r="BR58" s="786"/>
      <c r="BS58" s="787"/>
      <c r="DA58" s="6">
        <f>IF(AND(BE58&lt;&gt;"",OR(BE58&lt;EXPEDIENTE!$I$25,BE58&gt;EXPEDIENTE!$I$29)),1,0)</f>
        <v>0</v>
      </c>
      <c r="DB58" s="4"/>
      <c r="DD58" s="88">
        <f t="shared" si="142"/>
        <v>0</v>
      </c>
      <c r="DE58" s="88">
        <f t="shared" si="152"/>
        <v>0</v>
      </c>
      <c r="DF58" s="88">
        <f t="shared" si="153"/>
        <v>0</v>
      </c>
      <c r="DG58" s="88">
        <f t="shared" si="154"/>
        <v>0</v>
      </c>
      <c r="DH58" s="88">
        <f t="shared" si="143"/>
        <v>0</v>
      </c>
      <c r="DU58" s="4"/>
      <c r="DW58" s="88">
        <f>IF(BH58&lt;&gt;"",MAX($DW$9:DW57)+1,0)</f>
        <v>0</v>
      </c>
      <c r="DX58" s="182" t="str">
        <f t="shared" si="155"/>
        <v/>
      </c>
    </row>
    <row r="59" spans="2:128" ht="30" customHeight="1" x14ac:dyDescent="0.25">
      <c r="B59" s="875"/>
      <c r="C59" s="154" t="s">
        <v>55</v>
      </c>
      <c r="D59" s="54"/>
      <c r="E59" s="23">
        <f t="shared" si="144"/>
        <v>0</v>
      </c>
      <c r="F59" s="54"/>
      <c r="G59" s="54"/>
      <c r="H59" s="198">
        <f t="shared" si="145"/>
        <v>0</v>
      </c>
      <c r="I59" s="82"/>
      <c r="J59" s="916"/>
      <c r="K59" s="725"/>
      <c r="L59" s="725"/>
      <c r="M59" s="726"/>
      <c r="N59" s="730"/>
      <c r="O59" s="731"/>
      <c r="P59" s="731"/>
      <c r="AG59" s="6">
        <f>IF(AND(I59&lt;&gt;"",OR(I59&lt;EXPEDIENTE!$I$25,I59&gt;EXPEDIENTE!$I$29)),1,0)</f>
        <v>0</v>
      </c>
      <c r="AI59" s="6">
        <f>IF(DATE(YEAR(EXPEDIENTE!$I$25)+1,MONTH(DATEVALUE($C59&amp;"1")),1)&gt;=DATE(YEAR(EXPEDIENTE!$I$25),MONTH(EXPEDIENTE!$I$25),1),0,1)</f>
        <v>0</v>
      </c>
      <c r="AJ59" s="6" t="e">
        <f>IF(DATE(YEAR(EXPEDIENTE!$I$25)+1,MONTH(DATEVALUE($C59&amp;"1")),1)&lt;=DATE(YEAR(EXPEDIENTE!$I$27),MONTH(EXPEDIENTE!$I$27),1),0,1)</f>
        <v>#VALUE!</v>
      </c>
      <c r="AK59" s="6" t="e">
        <f t="shared" si="146"/>
        <v>#VALUE!</v>
      </c>
      <c r="AM59" s="728"/>
      <c r="AN59" s="318" t="s">
        <v>55</v>
      </c>
      <c r="AO59" s="321">
        <f t="shared" si="156"/>
        <v>0</v>
      </c>
      <c r="AP59" s="529"/>
      <c r="AQ59" s="326">
        <f t="shared" si="147"/>
        <v>0</v>
      </c>
      <c r="AR59" s="327">
        <f t="shared" si="140"/>
        <v>0</v>
      </c>
      <c r="AS59" s="719"/>
      <c r="AT59" s="720"/>
      <c r="AU59" s="321">
        <f t="shared" si="157"/>
        <v>0</v>
      </c>
      <c r="AV59" s="529"/>
      <c r="AW59" s="326">
        <f t="shared" si="148"/>
        <v>0</v>
      </c>
      <c r="AX59" s="321">
        <f t="shared" si="158"/>
        <v>0</v>
      </c>
      <c r="AY59" s="529"/>
      <c r="AZ59" s="326">
        <f t="shared" si="149"/>
        <v>0</v>
      </c>
      <c r="BA59" s="376">
        <f t="shared" si="141"/>
        <v>0</v>
      </c>
      <c r="BB59" s="719"/>
      <c r="BC59" s="720"/>
      <c r="BD59" s="313" t="str">
        <f t="shared" si="159"/>
        <v/>
      </c>
      <c r="BE59" s="536"/>
      <c r="BF59" s="314" t="str">
        <f t="shared" si="150"/>
        <v/>
      </c>
      <c r="BG59" s="377" t="str">
        <f t="shared" si="151"/>
        <v/>
      </c>
      <c r="BH59" s="892"/>
      <c r="BI59" s="786"/>
      <c r="BJ59" s="786"/>
      <c r="BK59" s="786"/>
      <c r="BL59" s="786"/>
      <c r="BM59" s="786"/>
      <c r="BN59" s="786"/>
      <c r="BO59" s="786"/>
      <c r="BP59" s="786"/>
      <c r="BQ59" s="786"/>
      <c r="BR59" s="786"/>
      <c r="BS59" s="787"/>
      <c r="DA59" s="6">
        <f>IF(AND(BE59&lt;&gt;"",OR(BE59&lt;EXPEDIENTE!$I$25,BE59&gt;EXPEDIENTE!$I$29)),1,0)</f>
        <v>0</v>
      </c>
      <c r="DB59" s="4"/>
      <c r="DD59" s="88">
        <f t="shared" si="142"/>
        <v>0</v>
      </c>
      <c r="DE59" s="88">
        <f t="shared" si="152"/>
        <v>0</v>
      </c>
      <c r="DF59" s="88">
        <f t="shared" si="153"/>
        <v>0</v>
      </c>
      <c r="DG59" s="88">
        <f t="shared" si="154"/>
        <v>0</v>
      </c>
      <c r="DH59" s="88">
        <f t="shared" si="143"/>
        <v>0</v>
      </c>
      <c r="DU59" s="4"/>
      <c r="DW59" s="88">
        <f>IF(BH59&lt;&gt;"",MAX($DW$9:DW58)+1,0)</f>
        <v>0</v>
      </c>
      <c r="DX59" s="182" t="str">
        <f t="shared" si="155"/>
        <v/>
      </c>
    </row>
    <row r="60" spans="2:128" ht="30" customHeight="1" thickBot="1" x14ac:dyDescent="0.3">
      <c r="B60" s="875"/>
      <c r="C60" s="196" t="s">
        <v>56</v>
      </c>
      <c r="D60" s="192"/>
      <c r="E60" s="30">
        <f t="shared" si="144"/>
        <v>0</v>
      </c>
      <c r="F60" s="56"/>
      <c r="G60" s="56"/>
      <c r="H60" s="201">
        <f t="shared" si="145"/>
        <v>0</v>
      </c>
      <c r="I60" s="194"/>
      <c r="J60" s="917"/>
      <c r="K60" s="918"/>
      <c r="L60" s="918"/>
      <c r="M60" s="919"/>
      <c r="N60" s="730"/>
      <c r="O60" s="731"/>
      <c r="P60" s="731"/>
      <c r="AG60" s="6">
        <f>IF(AND(I60&lt;&gt;"",OR(I60&lt;EXPEDIENTE!$I$25,I60&gt;EXPEDIENTE!$I$29)),1,0)</f>
        <v>0</v>
      </c>
      <c r="AI60" s="6">
        <f>IF(DATE(YEAR(EXPEDIENTE!$I$25)+1,MONTH(DATEVALUE($C60&amp;"1")),1)&gt;=DATE(YEAR(EXPEDIENTE!$I$25),MONTH(EXPEDIENTE!$I$25),1),0,1)</f>
        <v>0</v>
      </c>
      <c r="AJ60" s="6" t="e">
        <f>IF(DATE(YEAR(EXPEDIENTE!$I$25)+1,MONTH(DATEVALUE($C60&amp;"1")),1)&lt;=DATE(YEAR(EXPEDIENTE!$I$27),MONTH(EXPEDIENTE!$I$27),1),0,1)</f>
        <v>#VALUE!</v>
      </c>
      <c r="AK60" s="6" t="e">
        <f t="shared" si="146"/>
        <v>#VALUE!</v>
      </c>
      <c r="AM60" s="728"/>
      <c r="AN60" s="378" t="s">
        <v>56</v>
      </c>
      <c r="AO60" s="379">
        <f>IF(D60="",0,D60)</f>
        <v>0</v>
      </c>
      <c r="AP60" s="541"/>
      <c r="AQ60" s="380">
        <f t="shared" si="147"/>
        <v>0</v>
      </c>
      <c r="AR60" s="335">
        <f t="shared" si="140"/>
        <v>0</v>
      </c>
      <c r="AS60" s="721"/>
      <c r="AT60" s="722"/>
      <c r="AU60" s="331">
        <f t="shared" si="157"/>
        <v>0</v>
      </c>
      <c r="AV60" s="533"/>
      <c r="AW60" s="337">
        <f t="shared" si="148"/>
        <v>0</v>
      </c>
      <c r="AX60" s="331">
        <f t="shared" si="158"/>
        <v>0</v>
      </c>
      <c r="AY60" s="533"/>
      <c r="AZ60" s="337">
        <f t="shared" si="149"/>
        <v>0</v>
      </c>
      <c r="BA60" s="381">
        <f t="shared" si="141"/>
        <v>0</v>
      </c>
      <c r="BB60" s="721"/>
      <c r="BC60" s="722"/>
      <c r="BD60" s="338" t="str">
        <f t="shared" si="159"/>
        <v/>
      </c>
      <c r="BE60" s="542"/>
      <c r="BF60" s="339" t="str">
        <f t="shared" si="150"/>
        <v/>
      </c>
      <c r="BG60" s="382" t="str">
        <f t="shared" si="151"/>
        <v/>
      </c>
      <c r="BH60" s="893"/>
      <c r="BI60" s="894"/>
      <c r="BJ60" s="894"/>
      <c r="BK60" s="894"/>
      <c r="BL60" s="894"/>
      <c r="BM60" s="894"/>
      <c r="BN60" s="894"/>
      <c r="BO60" s="894"/>
      <c r="BP60" s="894"/>
      <c r="BQ60" s="894"/>
      <c r="BR60" s="894"/>
      <c r="BS60" s="895"/>
      <c r="DA60" s="6">
        <f>IF(AND(BE60&lt;&gt;"",OR(BE60&lt;EXPEDIENTE!$I$25,BE60&gt;EXPEDIENTE!$I$29)),1,0)</f>
        <v>0</v>
      </c>
      <c r="DB60" s="4"/>
      <c r="DD60" s="88">
        <f t="shared" si="142"/>
        <v>0</v>
      </c>
      <c r="DE60" s="88">
        <f t="shared" si="152"/>
        <v>0</v>
      </c>
      <c r="DF60" s="88">
        <f t="shared" si="153"/>
        <v>0</v>
      </c>
      <c r="DG60" s="88">
        <f t="shared" si="154"/>
        <v>0</v>
      </c>
      <c r="DH60" s="88">
        <f t="shared" si="143"/>
        <v>0</v>
      </c>
      <c r="DU60" s="4"/>
      <c r="DW60" s="88">
        <f>IF(BH60&lt;&gt;"",MAX($DW$9:DW59)+1,0)</f>
        <v>0</v>
      </c>
      <c r="DX60" s="182" t="str">
        <f t="shared" si="155"/>
        <v/>
      </c>
    </row>
    <row r="61" spans="2:128" ht="9.9499999999999993" customHeight="1" thickBot="1" x14ac:dyDescent="0.3">
      <c r="B61" s="876"/>
      <c r="C61" s="181"/>
      <c r="D61" s="181"/>
      <c r="E61" s="181"/>
      <c r="F61" s="181"/>
      <c r="G61" s="181"/>
      <c r="H61" s="181"/>
      <c r="I61" s="181"/>
      <c r="J61" s="181"/>
      <c r="K61" s="181"/>
      <c r="L61" s="181"/>
      <c r="M61" s="190"/>
      <c r="AM61" s="729"/>
      <c r="AN61" s="383"/>
      <c r="AO61" s="384"/>
      <c r="AP61" s="384"/>
      <c r="AQ61" s="384"/>
      <c r="AR61" s="384"/>
      <c r="AS61" s="384"/>
      <c r="AT61" s="384"/>
      <c r="AU61" s="384"/>
      <c r="AV61" s="384"/>
      <c r="AW61" s="384"/>
      <c r="AX61" s="384"/>
      <c r="AY61" s="384"/>
      <c r="AZ61" s="384"/>
      <c r="BA61" s="384"/>
      <c r="BB61" s="384"/>
      <c r="BC61" s="384"/>
      <c r="BD61" s="384"/>
      <c r="BE61" s="384"/>
      <c r="BF61" s="384"/>
      <c r="BG61" s="384"/>
      <c r="BH61" s="384"/>
      <c r="BI61" s="384"/>
      <c r="BJ61" s="384"/>
      <c r="BK61" s="384"/>
      <c r="BL61" s="384"/>
      <c r="BM61" s="384"/>
      <c r="BN61" s="384"/>
      <c r="BO61" s="384"/>
      <c r="BP61" s="384"/>
      <c r="BQ61" s="384"/>
      <c r="BR61" s="384"/>
      <c r="BS61" s="385"/>
      <c r="DA61" s="4"/>
    </row>
    <row r="62" spans="2:128" ht="14.25" thickTop="1" x14ac:dyDescent="0.25"/>
  </sheetData>
  <sheetProtection algorithmName="SHA-512" hashValue="07MBAF8udnl0oHRk+UxO+QSiU6RNXTXCbdv75+dMDNkV2zNn72JBaXqiuGPwvmbUZrv6XqTRGcQn+Vp9Y2Nk4Q==" saltValue="mDoubKDtUoyXfcR8lZB4nw==" spinCount="100000" sheet="1" formatColumns="0"/>
  <protectedRanges>
    <protectedRange algorithmName="SHA-512" hashValue="e4jCzgrpmuYj0DZgQmRmczAvYGCwxJkR2rlIu4m9eQFUIkFnIhTwlptWewt9P3V3a3vwiLmSWrnOiCsvTTnLcw==" saltValue="UY1iiW9JFziCgS/vfybDlg==" spinCount="100000" sqref="CY37:CY44" name="Rango6"/>
    <protectedRange algorithmName="SHA-512" hashValue="Z+QpQ7NUSD8pQfT5bGoJH1DnC33gtqTKGO9oVjInDoS/ki1jPLgzLBzGqDoAfRjFRLYRwx+/XrVzmRYQSeTqvA==" saltValue="ODub7niNSrCZHLDtMC4hbg==" spinCount="100000" sqref="AS9:AS13 AU9:BG14" name="Rango1"/>
    <protectedRange algorithmName="SHA-512" hashValue="Qv7PaqSMuIIVP5k1DCDW+VMW3yE6EEUl6tHyjm/weBZ5p9g/iNh1bXZuhNdztV26r+6wOdgBwAumeJuQsMCqng==" saltValue="EoWYHCCw3fTtbTMFHWkUtw==" spinCount="100000" sqref="AS20:AS31 AV20:AV31 AY20:AY31 BB20:BB31 BE20:BE31 BH20:BH31 BK20:BK31 BQ20:BQ31 BT20:BT31 BW20:BW31 BZ20:BZ31 CC20:CC31 CG20:CG31 CL20:CL31 CO20:CO31 CS20:CS31 CV20:CV31" name="Rango2"/>
    <protectedRange algorithmName="SHA-512" hashValue="BoDjrAje4MiN1BogtHw2Zq1pNLQ2cNwqwLSZtr5CmHaW/OFC37bf+A+YW2abtq1Dlg+1pw9wPRYppFpbO0T13g==" saltValue="oLJU2i0YdLoZ9GA+E10Uvg==" spinCount="100000" sqref="CY20:CY31" name="Rango3"/>
    <protectedRange algorithmName="SHA-512" hashValue="gj6BpnjC3lZz485Kr4Z4fRRZK2L9BgkxzOb0I383kCe5fX88yR/yu88ByTBw3lt0BUxAp6j+q0uttwy7DAmUlg==" saltValue="XUgbJroCfMNNylWmcqpqSQ==" spinCount="100000" sqref="AP37:AP44 AS37:AS44 AV37:AV44 AY37:AY44 BB37:BB44 BE37:BE44 BH37:BH44 BK37:BK44 BQ37:BQ44 BT37:BT44 BW37:BW44 BZ37:BZ44 CC37:CC44 CG37:CG44 CL37:CL44 CO37:CO44 CS37:CS44 CV37:CV44" name="Rango4"/>
    <protectedRange algorithmName="SHA-512" hashValue="FQB2XXdwFFvvTK5gOa/Nek0MuJLL5maSt3bMhRF4tlvvUKaCVBC2QKcfbeuzmE8RNcPblIfa52xZpm4iXgS/2A==" saltValue="TpSkvUQ80mlmylvH1UxtXA==" spinCount="100000" sqref="AP49:AP60 AV49:AV60 AY49:AY60 BE49:BE60 BH49:BS60" name="Rango5"/>
  </protectedRanges>
  <mergeCells count="210">
    <mergeCell ref="B8:B61"/>
    <mergeCell ref="BH58:BS58"/>
    <mergeCell ref="BH59:BS59"/>
    <mergeCell ref="BH60:BS60"/>
    <mergeCell ref="C47:C48"/>
    <mergeCell ref="D47:D48"/>
    <mergeCell ref="E47:E48"/>
    <mergeCell ref="F47:F48"/>
    <mergeCell ref="G47:G48"/>
    <mergeCell ref="H47:H48"/>
    <mergeCell ref="I47:I48"/>
    <mergeCell ref="J47:M48"/>
    <mergeCell ref="BH52:BS52"/>
    <mergeCell ref="BH53:BS53"/>
    <mergeCell ref="BH54:BS54"/>
    <mergeCell ref="BH55:BS55"/>
    <mergeCell ref="BH56:BS56"/>
    <mergeCell ref="AN31:AO31"/>
    <mergeCell ref="AN33:CY33"/>
    <mergeCell ref="AN34:AT34"/>
    <mergeCell ref="AU34:BN34"/>
    <mergeCell ref="BO34:CI34"/>
    <mergeCell ref="CY34:CY35"/>
    <mergeCell ref="AR35:AT35"/>
    <mergeCell ref="CW35:CW36"/>
    <mergeCell ref="AN46:BS46"/>
    <mergeCell ref="AN47:AN48"/>
    <mergeCell ref="AO47:AQ47"/>
    <mergeCell ref="AR47:AR48"/>
    <mergeCell ref="AS47:AT60"/>
    <mergeCell ref="AU47:AW47"/>
    <mergeCell ref="AX47:AZ47"/>
    <mergeCell ref="BA47:BA48"/>
    <mergeCell ref="BB47:BC60"/>
    <mergeCell ref="BD47:BF47"/>
    <mergeCell ref="BH47:BS47"/>
    <mergeCell ref="BH48:BS48"/>
    <mergeCell ref="BH49:BS49"/>
    <mergeCell ref="BH50:BS50"/>
    <mergeCell ref="BH51:BS51"/>
    <mergeCell ref="CJ34:CJ36"/>
    <mergeCell ref="CK34:CM34"/>
    <mergeCell ref="CN34:CP34"/>
    <mergeCell ref="CQ34:CQ36"/>
    <mergeCell ref="CR34:CT34"/>
    <mergeCell ref="CU34:CW34"/>
    <mergeCell ref="AN35:AN36"/>
    <mergeCell ref="AO35:AQ35"/>
    <mergeCell ref="AU35:AW35"/>
    <mergeCell ref="AN26:AO26"/>
    <mergeCell ref="AN27:AO27"/>
    <mergeCell ref="AN28:AO28"/>
    <mergeCell ref="AN29:AO29"/>
    <mergeCell ref="AN30:AO30"/>
    <mergeCell ref="CY17:CY18"/>
    <mergeCell ref="DB17:DB18"/>
    <mergeCell ref="AN18:AO19"/>
    <mergeCell ref="AP18:AQ31"/>
    <mergeCell ref="AT18:AT19"/>
    <mergeCell ref="AU18:AW18"/>
    <mergeCell ref="AX18:BM18"/>
    <mergeCell ref="BN18:BN19"/>
    <mergeCell ref="BP18:CE18"/>
    <mergeCell ref="CF18:CH18"/>
    <mergeCell ref="CP18:CP19"/>
    <mergeCell ref="CW18:CW19"/>
    <mergeCell ref="AN20:AO20"/>
    <mergeCell ref="AN21:AO21"/>
    <mergeCell ref="AN22:AO22"/>
    <mergeCell ref="AN23:AO23"/>
    <mergeCell ref="CN35:CN36"/>
    <mergeCell ref="CO35:CO36"/>
    <mergeCell ref="DW7:DX7"/>
    <mergeCell ref="AM8:AM61"/>
    <mergeCell ref="AN8:AP8"/>
    <mergeCell ref="AU8:BG8"/>
    <mergeCell ref="AN9:AP9"/>
    <mergeCell ref="AU9:BG9"/>
    <mergeCell ref="AN10:AP10"/>
    <mergeCell ref="AU10:BG10"/>
    <mergeCell ref="AN11:AP11"/>
    <mergeCell ref="AU11:BG11"/>
    <mergeCell ref="AN12:AP12"/>
    <mergeCell ref="AU12:BG12"/>
    <mergeCell ref="AN13:AP13"/>
    <mergeCell ref="AU13:BG13"/>
    <mergeCell ref="AN14:AP14"/>
    <mergeCell ref="DA15:DB16"/>
    <mergeCell ref="BH57:BS57"/>
    <mergeCell ref="CR35:CR36"/>
    <mergeCell ref="CS35:CS36"/>
    <mergeCell ref="CT35:CT36"/>
    <mergeCell ref="CU35:CU36"/>
    <mergeCell ref="CV35:CV36"/>
    <mergeCell ref="CL35:CL36"/>
    <mergeCell ref="CM35:CM36"/>
    <mergeCell ref="AR4:AU4"/>
    <mergeCell ref="DD7:DU7"/>
    <mergeCell ref="AN16:CY16"/>
    <mergeCell ref="AN17:AQ17"/>
    <mergeCell ref="AR17:AT17"/>
    <mergeCell ref="AU17:BN17"/>
    <mergeCell ref="BO17:CI17"/>
    <mergeCell ref="CJ17:CJ19"/>
    <mergeCell ref="CK17:CM17"/>
    <mergeCell ref="CN17:CP17"/>
    <mergeCell ref="CQ17:CQ19"/>
    <mergeCell ref="CR17:CT17"/>
    <mergeCell ref="CU17:CW17"/>
    <mergeCell ref="AR18:AR19"/>
    <mergeCell ref="AS18:AS19"/>
    <mergeCell ref="CP35:CP36"/>
    <mergeCell ref="CK35:CK36"/>
    <mergeCell ref="AX35:BM35"/>
    <mergeCell ref="BN35:BN36"/>
    <mergeCell ref="BP35:CE35"/>
    <mergeCell ref="CF35:CH35"/>
    <mergeCell ref="CU18:CU19"/>
    <mergeCell ref="CV18:CV19"/>
    <mergeCell ref="CO18:CO19"/>
    <mergeCell ref="CR18:CR19"/>
    <mergeCell ref="CS18:CS19"/>
    <mergeCell ref="CT18:CT19"/>
    <mergeCell ref="CK18:CK19"/>
    <mergeCell ref="CL18:CL19"/>
    <mergeCell ref="CM18:CM19"/>
    <mergeCell ref="CN18:CN19"/>
    <mergeCell ref="AN24:AO24"/>
    <mergeCell ref="AN25:AO25"/>
    <mergeCell ref="DA17:DA18"/>
    <mergeCell ref="AI15:AI16"/>
    <mergeCell ref="AJ15:AJ16"/>
    <mergeCell ref="AK15:AK16"/>
    <mergeCell ref="H12:H13"/>
    <mergeCell ref="I12:T13"/>
    <mergeCell ref="AG15:AH16"/>
    <mergeCell ref="AG17:AG18"/>
    <mergeCell ref="AH17:AH18"/>
    <mergeCell ref="N17:V17"/>
    <mergeCell ref="W17:W19"/>
    <mergeCell ref="G35:L35"/>
    <mergeCell ref="M35:M36"/>
    <mergeCell ref="O35:T35"/>
    <mergeCell ref="U35:U36"/>
    <mergeCell ref="X17:X19"/>
    <mergeCell ref="Z17:Z19"/>
    <mergeCell ref="U18:U19"/>
    <mergeCell ref="C33:AE33"/>
    <mergeCell ref="C34:E34"/>
    <mergeCell ref="F34:M34"/>
    <mergeCell ref="N34:V34"/>
    <mergeCell ref="W34:W36"/>
    <mergeCell ref="X34:X36"/>
    <mergeCell ref="Y34:Y36"/>
    <mergeCell ref="Z34:Z36"/>
    <mergeCell ref="AA34:AA36"/>
    <mergeCell ref="AB34:AB36"/>
    <mergeCell ref="AD34:AD36"/>
    <mergeCell ref="AE34:AE36"/>
    <mergeCell ref="AC34:AC36"/>
    <mergeCell ref="C35:C36"/>
    <mergeCell ref="D35:E35"/>
    <mergeCell ref="F35:F36"/>
    <mergeCell ref="AA17:AA19"/>
    <mergeCell ref="C31:D31"/>
    <mergeCell ref="C20:D20"/>
    <mergeCell ref="C21:D21"/>
    <mergeCell ref="C22:D22"/>
    <mergeCell ref="C23:D23"/>
    <mergeCell ref="C24:D24"/>
    <mergeCell ref="C25:D25"/>
    <mergeCell ref="C26:D26"/>
    <mergeCell ref="C27:D27"/>
    <mergeCell ref="C28:D28"/>
    <mergeCell ref="C29:D29"/>
    <mergeCell ref="C30:D30"/>
    <mergeCell ref="E18:E19"/>
    <mergeCell ref="F18:F19"/>
    <mergeCell ref="G18:L18"/>
    <mergeCell ref="M18:M19"/>
    <mergeCell ref="O18:T18"/>
    <mergeCell ref="E4:F4"/>
    <mergeCell ref="C8:F8"/>
    <mergeCell ref="I8:T8"/>
    <mergeCell ref="I9:T9"/>
    <mergeCell ref="I10:T10"/>
    <mergeCell ref="I11:T11"/>
    <mergeCell ref="C16:AE16"/>
    <mergeCell ref="C17:E17"/>
    <mergeCell ref="F17:M17"/>
    <mergeCell ref="AB17:AB19"/>
    <mergeCell ref="AC17:AC19"/>
    <mergeCell ref="AD17:AD19"/>
    <mergeCell ref="AE17:AE19"/>
    <mergeCell ref="C18:D19"/>
    <mergeCell ref="Y17:Y19"/>
    <mergeCell ref="N49:P60"/>
    <mergeCell ref="J58:M58"/>
    <mergeCell ref="J59:M59"/>
    <mergeCell ref="J60:M60"/>
    <mergeCell ref="C46:M46"/>
    <mergeCell ref="J53:M53"/>
    <mergeCell ref="J54:M54"/>
    <mergeCell ref="J55:M55"/>
    <mergeCell ref="J56:M56"/>
    <mergeCell ref="J57:M57"/>
    <mergeCell ref="J49:M49"/>
    <mergeCell ref="J50:M50"/>
    <mergeCell ref="J51:M51"/>
    <mergeCell ref="J52:M52"/>
  </mergeCells>
  <phoneticPr fontId="10" type="noConversion"/>
  <conditionalFormatting sqref="C49:I60">
    <cfRule type="expression" dxfId="392" priority="3">
      <formula>$AK20=1</formula>
    </cfRule>
  </conditionalFormatting>
  <conditionalFormatting sqref="D47:D48">
    <cfRule type="expression" dxfId="391" priority="230">
      <formula>OR(SUM(T20:T31)&gt;0,SUM(T37:T44)&gt;0)</formula>
    </cfRule>
  </conditionalFormatting>
  <conditionalFormatting sqref="H12:T13">
    <cfRule type="expression" dxfId="378" priority="16">
      <formula>OR($AG$19&gt;0,$AH$19&gt;0)</formula>
    </cfRule>
  </conditionalFormatting>
  <conditionalFormatting sqref="I49:I60 AA20:AA31 AA37:AA44">
    <cfRule type="expression" dxfId="377" priority="17" stopIfTrue="1">
      <formula>$AG20&lt;&gt;0</formula>
    </cfRule>
  </conditionalFormatting>
  <conditionalFormatting sqref="N49:P60">
    <cfRule type="cellIs" dxfId="376" priority="229" operator="notEqual">
      <formula>""</formula>
    </cfRule>
  </conditionalFormatting>
  <conditionalFormatting sqref="W20:AD31 C20:M31 O20:U31">
    <cfRule type="expression" dxfId="374" priority="83">
      <formula>$AK20=1</formula>
    </cfRule>
  </conditionalFormatting>
  <conditionalFormatting sqref="AB20:AB31 AB37:AB44">
    <cfRule type="expression" dxfId="362" priority="18" stopIfTrue="1">
      <formula>$AH20&lt;&gt;0</formula>
    </cfRule>
  </conditionalFormatting>
  <conditionalFormatting sqref="AP37:AP44">
    <cfRule type="expression" dxfId="360" priority="46">
      <formula>AND($AP37&lt;&gt;"",$AO37&lt;&gt;$AP37)</formula>
    </cfRule>
  </conditionalFormatting>
  <conditionalFormatting sqref="AP49:AP60">
    <cfRule type="expression" dxfId="359" priority="68">
      <formula>AND($AP49&lt;&gt;"",$AO49&lt;&gt;$AP49)</formula>
    </cfRule>
  </conditionalFormatting>
  <conditionalFormatting sqref="AS9:AS13">
    <cfRule type="expression" dxfId="358" priority="21">
      <formula>AND($AS9&lt;&gt;"",$AR9&lt;&gt;$AS9)</formula>
    </cfRule>
  </conditionalFormatting>
  <conditionalFormatting sqref="AS20:AS31">
    <cfRule type="expression" dxfId="357" priority="26">
      <formula>AND($AS20&lt;&gt;"",$AR20&lt;&gt;$AS20)</formula>
    </cfRule>
  </conditionalFormatting>
  <conditionalFormatting sqref="AS37:AS44">
    <cfRule type="expression" dxfId="356" priority="47">
      <formula>AND($AS37&lt;&gt;"",$AR37&lt;&gt;$AS37)</formula>
    </cfRule>
  </conditionalFormatting>
  <conditionalFormatting sqref="AT14">
    <cfRule type="cellIs" dxfId="355" priority="25" operator="notEqual">
      <formula>$AR$14</formula>
    </cfRule>
  </conditionalFormatting>
  <conditionalFormatting sqref="AU9:AU13">
    <cfRule type="expression" dxfId="354" priority="22" stopIfTrue="1">
      <formula>AND($AR9&lt;&gt;$AT9,$AU9="")</formula>
    </cfRule>
    <cfRule type="expression" dxfId="353" priority="23">
      <formula>AND($AR9=$AT9,$AU9&lt;&gt;"")</formula>
    </cfRule>
    <cfRule type="expression" dxfId="352" priority="24">
      <formula>AND($AR9&lt;&gt;$AS9,$AU9&lt;&gt;"")</formula>
    </cfRule>
  </conditionalFormatting>
  <conditionalFormatting sqref="AV20:AV31">
    <cfRule type="expression" dxfId="351" priority="27">
      <formula>AND($AV20&lt;&gt;"",$AU20&lt;&gt;$AV20)</formula>
    </cfRule>
  </conditionalFormatting>
  <conditionalFormatting sqref="AV37:AV44">
    <cfRule type="expression" dxfId="350" priority="48">
      <formula>AND($AV37&lt;&gt;"",$AU37&lt;&gt;$AV37)</formula>
    </cfRule>
  </conditionalFormatting>
  <conditionalFormatting sqref="AV49:AV60">
    <cfRule type="expression" dxfId="349" priority="69">
      <formula>AND($AV49&lt;&gt;"",$AU49&lt;&gt;$AV49)</formula>
    </cfRule>
  </conditionalFormatting>
  <conditionalFormatting sqref="AY20:AY31">
    <cfRule type="expression" dxfId="348" priority="28">
      <formula>AND($AY20&lt;&gt;"",$AX20&lt;&gt;$AY20)</formula>
    </cfRule>
  </conditionalFormatting>
  <conditionalFormatting sqref="AY37:AY44">
    <cfRule type="expression" dxfId="347" priority="49">
      <formula>AND($AY37&lt;&gt;"",$AX37&lt;&gt;$AY37)</formula>
    </cfRule>
  </conditionalFormatting>
  <conditionalFormatting sqref="AY49:AY60">
    <cfRule type="expression" dxfId="346" priority="70">
      <formula>AND($AY49&lt;&gt;"",$AX49&lt;&gt;$AY49)</formula>
    </cfRule>
  </conditionalFormatting>
  <conditionalFormatting sqref="BB20:BB31">
    <cfRule type="expression" dxfId="345" priority="29">
      <formula>AND($BB20&lt;&gt;"",$BA20&lt;&gt;$BB20)</formula>
    </cfRule>
  </conditionalFormatting>
  <conditionalFormatting sqref="BB37:BB44">
    <cfRule type="expression" dxfId="344" priority="50">
      <formula>AND($BB37&lt;&gt;"",$BA37&lt;&gt;$BB37)</formula>
    </cfRule>
  </conditionalFormatting>
  <conditionalFormatting sqref="BD49:BF60 AU49:BA60 AN49:AR60">
    <cfRule type="expression" dxfId="342" priority="98">
      <formula>$AK49=1</formula>
    </cfRule>
  </conditionalFormatting>
  <conditionalFormatting sqref="BE20:BE31">
    <cfRule type="expression" dxfId="330" priority="30">
      <formula>AND($BE20&lt;&gt;"",$BD20&lt;&gt;$BE20)</formula>
    </cfRule>
  </conditionalFormatting>
  <conditionalFormatting sqref="BE37:BE44">
    <cfRule type="expression" dxfId="329" priority="51">
      <formula>AND($BE37&lt;&gt;"",$BD37&lt;&gt;$BE37)</formula>
    </cfRule>
  </conditionalFormatting>
  <conditionalFormatting sqref="BE49:BE60">
    <cfRule type="expression" dxfId="328" priority="78" stopIfTrue="1">
      <formula>AND($DA49&lt;&gt;0,$BE49&lt;&gt;"")</formula>
    </cfRule>
    <cfRule type="expression" dxfId="327" priority="71">
      <formula>AND($BE49&lt;&gt;"",$BD49&lt;&gt;$BE49)</formula>
    </cfRule>
  </conditionalFormatting>
  <conditionalFormatting sqref="BF49:BF60">
    <cfRule type="expression" dxfId="326" priority="79" stopIfTrue="1">
      <formula>AND($DA49&lt;&gt;0,$BF49&lt;&gt;"")</formula>
    </cfRule>
  </conditionalFormatting>
  <conditionalFormatting sqref="BH20:BH31">
    <cfRule type="expression" dxfId="325" priority="31">
      <formula>AND($BH20&lt;&gt;"",$BG20&lt;&gt;$BH20)</formula>
    </cfRule>
  </conditionalFormatting>
  <conditionalFormatting sqref="BH37:BH44">
    <cfRule type="expression" dxfId="324" priority="52">
      <formula>AND($BH37&lt;&gt;"",$BG37&lt;&gt;$BH37)</formula>
    </cfRule>
  </conditionalFormatting>
  <conditionalFormatting sqref="BH49:BS60">
    <cfRule type="expression" dxfId="323" priority="72" stopIfTrue="1">
      <formula>IF($BG49&lt;&gt;"",$BH49="")</formula>
    </cfRule>
    <cfRule type="expression" dxfId="322" priority="73">
      <formula>IF($BG49="",$BH49&lt;&gt;"")</formula>
    </cfRule>
    <cfRule type="expression" dxfId="321" priority="74">
      <formula>IF($BG49&lt;&gt;"",$BH49&lt;&gt;"")</formula>
    </cfRule>
  </conditionalFormatting>
  <conditionalFormatting sqref="BK20:BK31">
    <cfRule type="expression" dxfId="320" priority="32">
      <formula>AND($BK20&lt;&gt;"",$BJ20&lt;&gt;$BK20)</formula>
    </cfRule>
  </conditionalFormatting>
  <conditionalFormatting sqref="BK37:BK44">
    <cfRule type="expression" dxfId="319" priority="54">
      <formula>IF($BK37&lt;&gt;"",$BJ37&lt;&gt;$BK37)</formula>
    </cfRule>
  </conditionalFormatting>
  <conditionalFormatting sqref="BQ20:BQ31">
    <cfRule type="expression" dxfId="318" priority="33">
      <formula>AND($BQ20&lt;&gt;"",$BP20&lt;&gt;$BQ20)</formula>
    </cfRule>
  </conditionalFormatting>
  <conditionalFormatting sqref="BQ37:BQ44">
    <cfRule type="expression" dxfId="317" priority="55">
      <formula>AND($BQ37&lt;&gt;"",$BP37&lt;&gt;$BQ37)</formula>
    </cfRule>
  </conditionalFormatting>
  <conditionalFormatting sqref="BT20:BT31">
    <cfRule type="expression" dxfId="316" priority="34">
      <formula>AND($BT20&lt;&gt;"",$BS20&lt;&gt;$BT20)</formula>
    </cfRule>
  </conditionalFormatting>
  <conditionalFormatting sqref="BT37:BT44">
    <cfRule type="expression" dxfId="315" priority="56">
      <formula>AND($BT37&lt;&gt;"",$BS37&lt;&gt;$BT37)</formula>
    </cfRule>
  </conditionalFormatting>
  <conditionalFormatting sqref="BW20:BW31">
    <cfRule type="expression" dxfId="314" priority="35">
      <formula>AND($BW20&lt;&gt;"",$BV20&lt;&gt;$BW20)</formula>
    </cfRule>
  </conditionalFormatting>
  <conditionalFormatting sqref="BW37:BW44">
    <cfRule type="expression" dxfId="313" priority="57">
      <formula>AND($BW37&lt;&gt;"",$BV37&lt;&gt;$BW$37)</formula>
    </cfRule>
  </conditionalFormatting>
  <conditionalFormatting sqref="BZ20:BZ31">
    <cfRule type="expression" dxfId="312" priority="36">
      <formula>AND($BZ20&lt;&gt;"",$BY20&lt;&gt;$BZ20)</formula>
    </cfRule>
  </conditionalFormatting>
  <conditionalFormatting sqref="BZ37:BZ44">
    <cfRule type="expression" dxfId="311" priority="58">
      <formula>AND($BZ37&lt;&gt;"",$BY37&lt;&gt;$BZ37)</formula>
    </cfRule>
  </conditionalFormatting>
  <conditionalFormatting sqref="CC20:CC31">
    <cfRule type="expression" dxfId="310" priority="37">
      <formula>AND($CC20&lt;&gt;"",$CB20&lt;&gt;$CC20)</formula>
    </cfRule>
  </conditionalFormatting>
  <conditionalFormatting sqref="CC37:CC44">
    <cfRule type="expression" dxfId="309" priority="59">
      <formula>AND($CC37&lt;&gt;"",$CB37&lt;&gt;$CC37)</formula>
    </cfRule>
  </conditionalFormatting>
  <conditionalFormatting sqref="CG20:CG31">
    <cfRule type="expression" dxfId="308" priority="38">
      <formula>AND($CG20&lt;&gt;"",$CF20&lt;&gt;$CG20)</formula>
    </cfRule>
  </conditionalFormatting>
  <conditionalFormatting sqref="CG37:CG44">
    <cfRule type="expression" dxfId="307" priority="60">
      <formula>AND($CG37&lt;&gt;"",$CF37&lt;&gt;$CG37)</formula>
    </cfRule>
  </conditionalFormatting>
  <conditionalFormatting sqref="CJ20:CW31 BP20:CH31 AR20:BN31 AN20:AO31">
    <cfRule type="expression" dxfId="305" priority="97">
      <formula>$AK20=1</formula>
    </cfRule>
  </conditionalFormatting>
  <conditionalFormatting sqref="CL20:CL31">
    <cfRule type="expression" dxfId="293" priority="39">
      <formula>AND($CL20&lt;&gt;"",$CK20&lt;&gt;$CL20)</formula>
    </cfRule>
  </conditionalFormatting>
  <conditionalFormatting sqref="CL37:CL44">
    <cfRule type="expression" dxfId="292" priority="61">
      <formula>AND($CL37&lt;&gt;"",$CK37&lt;&gt;$CL37)</formula>
    </cfRule>
  </conditionalFormatting>
  <conditionalFormatting sqref="CO20:CO31">
    <cfRule type="expression" dxfId="291" priority="40">
      <formula>AND($CO20&lt;&gt;"",$CN20&lt;&gt;$CO20)</formula>
    </cfRule>
  </conditionalFormatting>
  <conditionalFormatting sqref="CO37:CO44">
    <cfRule type="expression" dxfId="290" priority="62">
      <formula>AND($CO37&lt;&gt;"",$CN37&lt;&gt;$CO37)</formula>
    </cfRule>
  </conditionalFormatting>
  <conditionalFormatting sqref="CR20:CR31 CR37:CR44 BD49:BD60">
    <cfRule type="expression" dxfId="289" priority="75" stopIfTrue="1">
      <formula>$AG20&lt;&gt;0</formula>
    </cfRule>
  </conditionalFormatting>
  <conditionalFormatting sqref="CS20:CS31">
    <cfRule type="expression" dxfId="288" priority="41">
      <formula>AND($CS20&lt;&gt;"",$CR20&lt;&gt;$CS20)</formula>
    </cfRule>
  </conditionalFormatting>
  <conditionalFormatting sqref="CS37:CS44 CS20:CS31">
    <cfRule type="expression" dxfId="287" priority="76" stopIfTrue="1">
      <formula>AND($DA20&lt;&gt;0,$CS20&lt;&gt;"")</formula>
    </cfRule>
  </conditionalFormatting>
  <conditionalFormatting sqref="CS37:CS44">
    <cfRule type="expression" dxfId="286" priority="63">
      <formula>AND($CS37&lt;&gt;"",$CR37&lt;&gt;$CT37)</formula>
    </cfRule>
  </conditionalFormatting>
  <conditionalFormatting sqref="CT20:CT31 CT37:CT44">
    <cfRule type="expression" dxfId="285" priority="77" stopIfTrue="1">
      <formula>AND($DA20&lt;&gt;0,$CT20&lt;&gt;"")</formula>
    </cfRule>
  </conditionalFormatting>
  <conditionalFormatting sqref="CU20:CU31 CU37:CU44">
    <cfRule type="expression" dxfId="284" priority="80" stopIfTrue="1">
      <formula>$AG20&lt;&gt;0</formula>
    </cfRule>
  </conditionalFormatting>
  <conditionalFormatting sqref="CV20:CV31">
    <cfRule type="expression" dxfId="283" priority="42">
      <formula>AND($CV20&lt;&gt;"",$CU20&lt;&gt;$CV20)</formula>
    </cfRule>
  </conditionalFormatting>
  <conditionalFormatting sqref="CV37:CV44 CV20:CV31">
    <cfRule type="expression" dxfId="282" priority="81" stopIfTrue="1">
      <formula>AND($DB20&lt;&gt;0,$CV20&lt;&gt;"")</formula>
    </cfRule>
  </conditionalFormatting>
  <conditionalFormatting sqref="CV37:CV44">
    <cfRule type="expression" dxfId="281" priority="64">
      <formula>AND($CV37&lt;&gt;"",$CU37&lt;&gt;$CW37)</formula>
    </cfRule>
  </conditionalFormatting>
  <conditionalFormatting sqref="CW20:CW31 CW37:CW44">
    <cfRule type="expression" dxfId="280" priority="82" stopIfTrue="1">
      <formula>AND($DB20&lt;&gt;0,$CW20&lt;&gt;"")</formula>
    </cfRule>
  </conditionalFormatting>
  <conditionalFormatting sqref="CY20:CY31">
    <cfRule type="expression" dxfId="279" priority="43" stopIfTrue="1">
      <formula>IF($CX20&lt;&gt;"",$CY20="")</formula>
    </cfRule>
    <cfRule type="expression" dxfId="278" priority="44">
      <formula>IF($CX20="",$CY20&lt;&gt;"")</formula>
    </cfRule>
    <cfRule type="expression" dxfId="277" priority="45">
      <formula>IF($CX20&lt;&gt;"",$CY20&lt;&gt;"")</formula>
    </cfRule>
  </conditionalFormatting>
  <conditionalFormatting sqref="CY37:CY44">
    <cfRule type="expression" dxfId="276" priority="67">
      <formula>IF($CX37&lt;&gt;"",$CY37&lt;&gt;"")</formula>
    </cfRule>
    <cfRule type="expression" dxfId="275" priority="65" stopIfTrue="1">
      <formula>IF($CX37&lt;&gt;"",$CY37="")</formula>
    </cfRule>
    <cfRule type="expression" dxfId="274" priority="66">
      <formula>IF($CX37="",$CY37&lt;&gt;"")</formula>
    </cfRule>
  </conditionalFormatting>
  <printOptions horizontalCentered="1" verticalCentered="1"/>
  <pageMargins left="0.39370078740157483" right="0.39370078740157483" top="0.59055118110236227" bottom="0.39370078740157483" header="0.19685039370078741" footer="0.19685039370078741"/>
  <pageSetup paperSize="8" scale="29" orientation="landscape" r:id="rId1"/>
  <colBreaks count="1" manualBreakCount="1">
    <brk id="32" max="60" man="1"/>
  </colBreaks>
  <ignoredErrors>
    <ignoredError sqref="L28"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1" stopIfTrue="1" id="{6EEE30E1-A4BB-4564-B501-B0114E698C83}">
            <xm:f>OR(EXPEDIENTE!$I$25="",EXPEDIENTE!$I$27="",AND(EXPEDIENTE!$I$25&lt;&gt;"",EXPEDIENTE!$I$27&lt;&gt;"",YEAR(EXPEDIENTE!$I$27)&lt;YEAR(EXPEDIENTE!$I$25)+1))</xm:f>
            <x14:dxf>
              <font>
                <color theme="0"/>
              </font>
              <fill>
                <patternFill>
                  <bgColor theme="0"/>
                </patternFill>
              </fill>
              <border>
                <left/>
                <right/>
                <top/>
                <bottom/>
              </border>
            </x14:dxf>
          </x14:cfRule>
          <xm:sqref>A1:CZ61</xm:sqref>
        </x14:conditionalFormatting>
        <x14:conditionalFormatting xmlns:xm="http://schemas.microsoft.com/office/excel/2006/main">
          <x14:cfRule type="expression" priority="4" id="{DBFC79F0-C43A-42B1-8AC6-45191FCE85FD}">
            <xm:f>'% DEDICACIÓN TRABAJADOR'!$G$45=0</xm:f>
            <x14:dxf>
              <font>
                <color theme="9" tint="0.79998168889431442"/>
              </font>
              <fill>
                <patternFill>
                  <bgColor theme="9" tint="0.79998168889431442"/>
                </patternFill>
              </fill>
            </x14:dxf>
          </x14:cfRule>
          <xm:sqref>D49:I49</xm:sqref>
        </x14:conditionalFormatting>
        <x14:conditionalFormatting xmlns:xm="http://schemas.microsoft.com/office/excel/2006/main">
          <x14:cfRule type="expression" priority="5" id="{3720CE64-1196-4A4B-B0B7-1EA7243B3441}">
            <xm:f>'% DEDICACIÓN TRABAJADOR'!$H$45=0</xm:f>
            <x14:dxf>
              <font>
                <color theme="9" tint="0.79998168889431442"/>
              </font>
              <fill>
                <patternFill>
                  <bgColor theme="9" tint="0.79998168889431442"/>
                </patternFill>
              </fill>
            </x14:dxf>
          </x14:cfRule>
          <xm:sqref>D50:I50</xm:sqref>
        </x14:conditionalFormatting>
        <x14:conditionalFormatting xmlns:xm="http://schemas.microsoft.com/office/excel/2006/main">
          <x14:cfRule type="expression" priority="6" id="{D60D6869-5A4F-427A-A86F-BB1AF031FB57}">
            <xm:f>'% DEDICACIÓN TRABAJADOR'!$I$45=0</xm:f>
            <x14:dxf>
              <font>
                <color theme="9" tint="0.79998168889431442"/>
              </font>
              <fill>
                <patternFill>
                  <bgColor theme="9" tint="0.79998168889431442"/>
                </patternFill>
              </fill>
            </x14:dxf>
          </x14:cfRule>
          <xm:sqref>D51:I51</xm:sqref>
        </x14:conditionalFormatting>
        <x14:conditionalFormatting xmlns:xm="http://schemas.microsoft.com/office/excel/2006/main">
          <x14:cfRule type="expression" priority="7" id="{7486DE0B-7E59-4AEC-B426-6B0FAB61138B}">
            <xm:f>'% DEDICACIÓN TRABAJADOR'!$J$45=0</xm:f>
            <x14:dxf>
              <font>
                <color theme="9" tint="0.79998168889431442"/>
              </font>
              <fill>
                <patternFill>
                  <bgColor theme="9" tint="0.79998168889431442"/>
                </patternFill>
              </fill>
            </x14:dxf>
          </x14:cfRule>
          <xm:sqref>D52:I52</xm:sqref>
        </x14:conditionalFormatting>
        <x14:conditionalFormatting xmlns:xm="http://schemas.microsoft.com/office/excel/2006/main">
          <x14:cfRule type="expression" priority="8" id="{2B2DAA75-8AB4-499E-87A6-76402E32A812}">
            <xm:f>'% DEDICACIÓN TRABAJADOR'!$K$45=0</xm:f>
            <x14:dxf>
              <font>
                <color theme="9" tint="0.79998168889431442"/>
              </font>
              <fill>
                <patternFill>
                  <bgColor theme="9" tint="0.79998168889431442"/>
                </patternFill>
              </fill>
            </x14:dxf>
          </x14:cfRule>
          <xm:sqref>D53:I53</xm:sqref>
        </x14:conditionalFormatting>
        <x14:conditionalFormatting xmlns:xm="http://schemas.microsoft.com/office/excel/2006/main">
          <x14:cfRule type="expression" priority="9" id="{1DAC87EF-B72E-447F-9FB6-5137E8C6BC6F}">
            <xm:f>'% DEDICACIÓN TRABAJADOR'!$L$45=0</xm:f>
            <x14:dxf>
              <font>
                <color theme="9" tint="0.79998168889431442"/>
              </font>
              <fill>
                <patternFill>
                  <bgColor theme="9" tint="0.79998168889431442"/>
                </patternFill>
              </fill>
            </x14:dxf>
          </x14:cfRule>
          <xm:sqref>D54:I54</xm:sqref>
        </x14:conditionalFormatting>
        <x14:conditionalFormatting xmlns:xm="http://schemas.microsoft.com/office/excel/2006/main">
          <x14:cfRule type="expression" priority="10" id="{59E40124-F1A5-4656-8A51-7AB0160F0C6D}">
            <xm:f>'% DEDICACIÓN TRABAJADOR'!$M$45=0</xm:f>
            <x14:dxf>
              <font>
                <color theme="9" tint="0.79998168889431442"/>
              </font>
              <fill>
                <patternFill>
                  <bgColor theme="9" tint="0.79998168889431442"/>
                </patternFill>
              </fill>
            </x14:dxf>
          </x14:cfRule>
          <xm:sqref>D55:I55</xm:sqref>
        </x14:conditionalFormatting>
        <x14:conditionalFormatting xmlns:xm="http://schemas.microsoft.com/office/excel/2006/main">
          <x14:cfRule type="expression" priority="11" id="{97A9944D-6458-423A-B71E-9040FBC50D1F}">
            <xm:f>'% DEDICACIÓN TRABAJADOR'!$N$45=0</xm:f>
            <x14:dxf>
              <font>
                <color theme="9" tint="0.79998168889431442"/>
              </font>
              <fill>
                <patternFill>
                  <bgColor theme="9" tint="0.79998168889431442"/>
                </patternFill>
              </fill>
            </x14:dxf>
          </x14:cfRule>
          <xm:sqref>D56:I56</xm:sqref>
        </x14:conditionalFormatting>
        <x14:conditionalFormatting xmlns:xm="http://schemas.microsoft.com/office/excel/2006/main">
          <x14:cfRule type="expression" priority="12" id="{066511C7-0B13-4461-8D8F-365C8ED19F56}">
            <xm:f>'% DEDICACIÓN TRABAJADOR'!$O$45=0</xm:f>
            <x14:dxf>
              <font>
                <color theme="9" tint="0.79998168889431442"/>
              </font>
              <fill>
                <patternFill>
                  <bgColor theme="9" tint="0.79998168889431442"/>
                </patternFill>
              </fill>
            </x14:dxf>
          </x14:cfRule>
          <xm:sqref>D57:I57</xm:sqref>
        </x14:conditionalFormatting>
        <x14:conditionalFormatting xmlns:xm="http://schemas.microsoft.com/office/excel/2006/main">
          <x14:cfRule type="expression" priority="13" id="{9EFEDA1D-953A-42CB-97BA-29E63C2070A3}">
            <xm:f>'% DEDICACIÓN TRABAJADOR'!$P$45=0</xm:f>
            <x14:dxf>
              <font>
                <color theme="9" tint="0.79998168889431442"/>
              </font>
              <fill>
                <patternFill>
                  <bgColor theme="9" tint="0.79998168889431442"/>
                </patternFill>
              </fill>
            </x14:dxf>
          </x14:cfRule>
          <xm:sqref>D58:I58</xm:sqref>
        </x14:conditionalFormatting>
        <x14:conditionalFormatting xmlns:xm="http://schemas.microsoft.com/office/excel/2006/main">
          <x14:cfRule type="expression" priority="14" id="{5B83DF91-B5DA-4DBF-BA1C-54A476822BA0}">
            <xm:f>'% DEDICACIÓN TRABAJADOR'!$Q$45=0</xm:f>
            <x14:dxf>
              <font>
                <color theme="9" tint="0.79998168889431442"/>
              </font>
              <fill>
                <patternFill>
                  <bgColor theme="9" tint="0.79998168889431442"/>
                </patternFill>
              </fill>
            </x14:dxf>
          </x14:cfRule>
          <xm:sqref>D59:I59</xm:sqref>
        </x14:conditionalFormatting>
        <x14:conditionalFormatting xmlns:xm="http://schemas.microsoft.com/office/excel/2006/main">
          <x14:cfRule type="expression" priority="15" id="{4D735FE5-858C-48DD-BF88-9FBFBF3D86A8}">
            <xm:f>'% DEDICACIÓN TRABAJADOR'!$R$45=0</xm:f>
            <x14:dxf>
              <font>
                <color theme="9" tint="0.79998168889431442"/>
              </font>
              <fill>
                <patternFill>
                  <bgColor theme="9" tint="0.79998168889431442"/>
                </patternFill>
              </fill>
            </x14:dxf>
          </x14:cfRule>
          <xm:sqref>D60:I60</xm:sqref>
        </x14:conditionalFormatting>
        <x14:conditionalFormatting xmlns:xm="http://schemas.microsoft.com/office/excel/2006/main">
          <x14:cfRule type="expression" priority="84" id="{125A7253-240E-4152-8B3B-BF001A5475C3}">
            <xm:f>'% DEDICACIÓN TRABAJADOR'!$G$45=0</xm:f>
            <x14:dxf>
              <font>
                <color theme="9" tint="0.79998168889431442"/>
              </font>
              <fill>
                <patternFill>
                  <bgColor theme="9" tint="0.79998168889431442"/>
                </patternFill>
              </fill>
            </x14:dxf>
          </x14:cfRule>
          <xm:sqref>W20:AD20 E20:M20 O20:U20</xm:sqref>
        </x14:conditionalFormatting>
        <x14:conditionalFormatting xmlns:xm="http://schemas.microsoft.com/office/excel/2006/main">
          <x14:cfRule type="expression" priority="86" id="{051DEE40-227D-4892-98D2-532FDFE76041}">
            <xm:f>'% DEDICACIÓN TRABAJADOR'!$H$45=0</xm:f>
            <x14:dxf>
              <font>
                <color theme="9" tint="0.79998168889431442"/>
              </font>
              <fill>
                <patternFill>
                  <bgColor theme="9" tint="0.79998168889431442"/>
                </patternFill>
              </fill>
            </x14:dxf>
          </x14:cfRule>
          <xm:sqref>W21:AD21 E21:M21 O21:U21</xm:sqref>
        </x14:conditionalFormatting>
        <x14:conditionalFormatting xmlns:xm="http://schemas.microsoft.com/office/excel/2006/main">
          <x14:cfRule type="expression" priority="87" id="{96291266-04B4-400B-A269-A80B20ECA607}">
            <xm:f>'% DEDICACIÓN TRABAJADOR'!$I$45=0</xm:f>
            <x14:dxf>
              <font>
                <color theme="9" tint="0.79998168889431442"/>
              </font>
              <fill>
                <patternFill>
                  <bgColor theme="9" tint="0.79998168889431442"/>
                </patternFill>
              </fill>
            </x14:dxf>
          </x14:cfRule>
          <xm:sqref>W22:AD22 E22:M22 O22:U22</xm:sqref>
        </x14:conditionalFormatting>
        <x14:conditionalFormatting xmlns:xm="http://schemas.microsoft.com/office/excel/2006/main">
          <x14:cfRule type="expression" priority="88" id="{C78916DA-3DC5-4D4D-A8D6-F8BF16D03265}">
            <xm:f>'% DEDICACIÓN TRABAJADOR'!$J$45=0</xm:f>
            <x14:dxf>
              <font>
                <color theme="9" tint="0.79998168889431442"/>
              </font>
              <fill>
                <patternFill>
                  <bgColor theme="9" tint="0.79998168889431442"/>
                </patternFill>
              </fill>
            </x14:dxf>
          </x14:cfRule>
          <xm:sqref>W23:AD23 E23:M23 O23:U23</xm:sqref>
        </x14:conditionalFormatting>
        <x14:conditionalFormatting xmlns:xm="http://schemas.microsoft.com/office/excel/2006/main">
          <x14:cfRule type="expression" priority="89" id="{7166A011-0822-4428-8926-58FC139A8D01}">
            <xm:f>'% DEDICACIÓN TRABAJADOR'!$K$45=0</xm:f>
            <x14:dxf>
              <font>
                <color theme="9" tint="0.79998168889431442"/>
              </font>
              <fill>
                <patternFill>
                  <bgColor theme="9" tint="0.79998168889431442"/>
                </patternFill>
              </fill>
            </x14:dxf>
          </x14:cfRule>
          <xm:sqref>W24:AD24 E24:M24 O24:U24</xm:sqref>
        </x14:conditionalFormatting>
        <x14:conditionalFormatting xmlns:xm="http://schemas.microsoft.com/office/excel/2006/main">
          <x14:cfRule type="expression" priority="90" id="{E1EB2FF0-E3A8-4C14-80AE-CDC204513478}">
            <xm:f>'% DEDICACIÓN TRABAJADOR'!$L$45=0</xm:f>
            <x14:dxf>
              <font>
                <color theme="9" tint="0.79998168889431442"/>
              </font>
              <fill>
                <patternFill>
                  <bgColor theme="9" tint="0.79998168889431442"/>
                </patternFill>
              </fill>
            </x14:dxf>
          </x14:cfRule>
          <xm:sqref>W25:AD25 E25:M25 O25:U25</xm:sqref>
        </x14:conditionalFormatting>
        <x14:conditionalFormatting xmlns:xm="http://schemas.microsoft.com/office/excel/2006/main">
          <x14:cfRule type="expression" priority="91" id="{38DF8A5F-009E-4478-A723-D943A7664E93}">
            <xm:f>'% DEDICACIÓN TRABAJADOR'!$M$45=0</xm:f>
            <x14:dxf>
              <font>
                <color theme="9" tint="0.79998168889431442"/>
              </font>
              <fill>
                <patternFill>
                  <bgColor theme="9" tint="0.79998168889431442"/>
                </patternFill>
              </fill>
            </x14:dxf>
          </x14:cfRule>
          <xm:sqref>W26:AD26 E26:M26 O26:U26</xm:sqref>
        </x14:conditionalFormatting>
        <x14:conditionalFormatting xmlns:xm="http://schemas.microsoft.com/office/excel/2006/main">
          <x14:cfRule type="expression" priority="92" id="{EDE73296-46B2-479E-ACAD-BAE8CFD7BAD8}">
            <xm:f>'% DEDICACIÓN TRABAJADOR'!$N$45=0</xm:f>
            <x14:dxf>
              <font>
                <color theme="9" tint="0.79998168889431442"/>
              </font>
              <fill>
                <patternFill>
                  <bgColor theme="9" tint="0.79998168889431442"/>
                </patternFill>
              </fill>
            </x14:dxf>
          </x14:cfRule>
          <xm:sqref>W27:AD27 E27:M27 O27:U27</xm:sqref>
        </x14:conditionalFormatting>
        <x14:conditionalFormatting xmlns:xm="http://schemas.microsoft.com/office/excel/2006/main">
          <x14:cfRule type="expression" priority="93" id="{3ED366CD-9C72-4F2F-84CF-7583066A702A}">
            <xm:f>'% DEDICACIÓN TRABAJADOR'!$O$45=0</xm:f>
            <x14:dxf>
              <font>
                <color theme="9" tint="0.79998168889431442"/>
              </font>
              <fill>
                <patternFill>
                  <bgColor theme="9" tint="0.79998168889431442"/>
                </patternFill>
              </fill>
            </x14:dxf>
          </x14:cfRule>
          <xm:sqref>W28:AD28 E28:M28 O28:U28</xm:sqref>
        </x14:conditionalFormatting>
        <x14:conditionalFormatting xmlns:xm="http://schemas.microsoft.com/office/excel/2006/main">
          <x14:cfRule type="expression" priority="94" id="{43D5807B-91B3-4D8E-914F-97E0965D2E73}">
            <xm:f>'% DEDICACIÓN TRABAJADOR'!$P$45=0</xm:f>
            <x14:dxf>
              <font>
                <color theme="9" tint="0.79998168889431442"/>
              </font>
              <fill>
                <patternFill>
                  <bgColor theme="9" tint="0.79998168889431442"/>
                </patternFill>
              </fill>
            </x14:dxf>
          </x14:cfRule>
          <xm:sqref>W29:AD29 E29:M29 O29:U29</xm:sqref>
        </x14:conditionalFormatting>
        <x14:conditionalFormatting xmlns:xm="http://schemas.microsoft.com/office/excel/2006/main">
          <x14:cfRule type="expression" priority="95" id="{3D236573-E47E-4554-84D6-73D023174DBC}">
            <xm:f>'% DEDICACIÓN TRABAJADOR'!$Q$45=0</xm:f>
            <x14:dxf>
              <font>
                <color theme="9" tint="0.79998168889431442"/>
              </font>
              <fill>
                <patternFill>
                  <bgColor theme="9" tint="0.79998168889431442"/>
                </patternFill>
              </fill>
            </x14:dxf>
          </x14:cfRule>
          <xm:sqref>W30:AD30 E30:M30 O30:U30</xm:sqref>
        </x14:conditionalFormatting>
        <x14:conditionalFormatting xmlns:xm="http://schemas.microsoft.com/office/excel/2006/main">
          <x14:cfRule type="expression" priority="96" id="{C5A8D61B-9261-4A1A-A004-778110B50733}">
            <xm:f>'% DEDICACIÓN TRABAJADOR'!$R$45=0</xm:f>
            <x14:dxf>
              <font>
                <color theme="9" tint="0.79998168889431442"/>
              </font>
              <fill>
                <patternFill>
                  <bgColor theme="9" tint="0.79998168889431442"/>
                </patternFill>
              </fill>
            </x14:dxf>
          </x14:cfRule>
          <xm:sqref>W31:AD31 E31:M31 O31:U31</xm:sqref>
        </x14:conditionalFormatting>
        <x14:conditionalFormatting xmlns:xm="http://schemas.microsoft.com/office/excel/2006/main">
          <x14:cfRule type="expression" priority="2" stopIfTrue="1" id="{372D8325-4F6A-4D70-9446-46FA3F26C7CF}">
            <xm:f>OR(USUARIO!$C$2="",AUXILIAR!$W$6&lt;&gt;USUARIO!$C$2)</xm:f>
            <x14:dxf>
              <font>
                <color theme="0"/>
              </font>
              <fill>
                <patternFill>
                  <bgColor theme="0"/>
                </patternFill>
              </fill>
              <border>
                <left/>
                <right/>
                <top/>
                <bottom/>
              </border>
            </x14:dxf>
          </x14:cfRule>
          <xm:sqref>AL1:CZ1048576</xm:sqref>
        </x14:conditionalFormatting>
        <x14:conditionalFormatting xmlns:xm="http://schemas.microsoft.com/office/excel/2006/main">
          <x14:cfRule type="expression" priority="201" id="{A72E063D-C414-408C-AA93-9DAD3D72A966}">
            <xm:f>'% DEDICACIÓN TRABAJADOR'!$G$45=0</xm:f>
            <x14:dxf>
              <font>
                <color theme="9" tint="0.79998168889431442"/>
              </font>
              <fill>
                <patternFill>
                  <bgColor theme="9" tint="0.79998168889431442"/>
                </patternFill>
              </fill>
            </x14:dxf>
          </x14:cfRule>
          <xm:sqref>BD49:BF49 AU49:BA49 AO49:AR49</xm:sqref>
        </x14:conditionalFormatting>
        <x14:conditionalFormatting xmlns:xm="http://schemas.microsoft.com/office/excel/2006/main">
          <x14:cfRule type="expression" priority="203" id="{7B363773-7161-4709-A8F3-C2D1F9D6082B}">
            <xm:f>'% DEDICACIÓN TRABAJADOR'!$H$45=0</xm:f>
            <x14:dxf>
              <font>
                <color theme="9" tint="0.79998168889431442"/>
              </font>
              <fill>
                <patternFill>
                  <bgColor theme="9" tint="0.79998168889431442"/>
                </patternFill>
              </fill>
            </x14:dxf>
          </x14:cfRule>
          <xm:sqref>BD50:BF50 AU50:BA50 AO50:AR50</xm:sqref>
        </x14:conditionalFormatting>
        <x14:conditionalFormatting xmlns:xm="http://schemas.microsoft.com/office/excel/2006/main">
          <x14:cfRule type="expression" priority="204" id="{D1C959D9-824F-44DF-B3FD-91B98B65209B}">
            <xm:f>'% DEDICACIÓN TRABAJADOR'!$I$45=0</xm:f>
            <x14:dxf>
              <font>
                <color theme="9" tint="0.79998168889431442"/>
              </font>
              <fill>
                <patternFill>
                  <bgColor theme="9" tint="0.79998168889431442"/>
                </patternFill>
              </fill>
            </x14:dxf>
          </x14:cfRule>
          <xm:sqref>BD51:BF51 AU51:BA51 AO51:AR51</xm:sqref>
        </x14:conditionalFormatting>
        <x14:conditionalFormatting xmlns:xm="http://schemas.microsoft.com/office/excel/2006/main">
          <x14:cfRule type="expression" priority="220" id="{B1941DCD-2E6B-48AD-9CE0-61490CF9FF39}">
            <xm:f>'% DEDICACIÓN TRABAJADOR'!$J$45=0</xm:f>
            <x14:dxf>
              <font>
                <color theme="9" tint="0.79998168889431442"/>
              </font>
              <fill>
                <patternFill>
                  <bgColor theme="9" tint="0.79998168889431442"/>
                </patternFill>
              </fill>
            </x14:dxf>
          </x14:cfRule>
          <xm:sqref>BD52:BF52 AU52:BA52 AO52:AR52</xm:sqref>
        </x14:conditionalFormatting>
        <x14:conditionalFormatting xmlns:xm="http://schemas.microsoft.com/office/excel/2006/main">
          <x14:cfRule type="expression" priority="221" id="{9AF73021-DED5-4B3C-9A51-720A174505E9}">
            <xm:f>'% DEDICACIÓN TRABAJADOR'!$K$45=0</xm:f>
            <x14:dxf>
              <font>
                <color theme="9" tint="0.79998168889431442"/>
              </font>
              <fill>
                <patternFill>
                  <bgColor theme="9" tint="0.79998168889431442"/>
                </patternFill>
              </fill>
            </x14:dxf>
          </x14:cfRule>
          <xm:sqref>BD53:BF53 AU53:BA53 AO53:AR53</xm:sqref>
        </x14:conditionalFormatting>
        <x14:conditionalFormatting xmlns:xm="http://schemas.microsoft.com/office/excel/2006/main">
          <x14:cfRule type="expression" priority="222" id="{A4E54400-7828-48D5-9F82-84ACA18517E2}">
            <xm:f>'% DEDICACIÓN TRABAJADOR'!$L$45=0</xm:f>
            <x14:dxf>
              <font>
                <color theme="9" tint="0.79998168889431442"/>
              </font>
              <fill>
                <patternFill>
                  <bgColor theme="9" tint="0.79998168889431442"/>
                </patternFill>
              </fill>
            </x14:dxf>
          </x14:cfRule>
          <xm:sqref>BD54:BF54 AU54:BA54 AO54:AR54</xm:sqref>
        </x14:conditionalFormatting>
        <x14:conditionalFormatting xmlns:xm="http://schemas.microsoft.com/office/excel/2006/main">
          <x14:cfRule type="expression" priority="223" id="{EDA6BF1F-0C5B-4323-B27B-E77C10CB550F}">
            <xm:f>'% DEDICACIÓN TRABAJADOR'!$M$45=0</xm:f>
            <x14:dxf>
              <font>
                <color theme="9" tint="0.79998168889431442"/>
              </font>
              <fill>
                <patternFill>
                  <bgColor theme="9" tint="0.79998168889431442"/>
                </patternFill>
              </fill>
            </x14:dxf>
          </x14:cfRule>
          <xm:sqref>BD55:BF55 AU55:BA55 AO55:AR55</xm:sqref>
        </x14:conditionalFormatting>
        <x14:conditionalFormatting xmlns:xm="http://schemas.microsoft.com/office/excel/2006/main">
          <x14:cfRule type="expression" priority="224" id="{E596B564-0DEE-468D-ABF1-E2D8CDEBA6F6}">
            <xm:f>'% DEDICACIÓN TRABAJADOR'!$N$45=0</xm:f>
            <x14:dxf>
              <font>
                <color theme="9" tint="0.79998168889431442"/>
              </font>
              <fill>
                <patternFill>
                  <bgColor theme="9" tint="0.79998168889431442"/>
                </patternFill>
              </fill>
            </x14:dxf>
          </x14:cfRule>
          <xm:sqref>BD56:BF56 AU56:BA56 AO56:AR56</xm:sqref>
        </x14:conditionalFormatting>
        <x14:conditionalFormatting xmlns:xm="http://schemas.microsoft.com/office/excel/2006/main">
          <x14:cfRule type="expression" priority="225" id="{46294EFC-C7B6-4380-8A6A-3E452FCE3553}">
            <xm:f>'% DEDICACIÓN TRABAJADOR'!$O$45=0</xm:f>
            <x14:dxf>
              <font>
                <color theme="9" tint="0.79998168889431442"/>
              </font>
              <fill>
                <patternFill>
                  <bgColor theme="9" tint="0.79998168889431442"/>
                </patternFill>
              </fill>
            </x14:dxf>
          </x14:cfRule>
          <xm:sqref>BD57:BF57 AU57:BA57 AO57:AR57</xm:sqref>
        </x14:conditionalFormatting>
        <x14:conditionalFormatting xmlns:xm="http://schemas.microsoft.com/office/excel/2006/main">
          <x14:cfRule type="expression" priority="226" id="{0C991B1C-B537-4AB0-97D1-AAD210F365C0}">
            <xm:f>'% DEDICACIÓN TRABAJADOR'!$P$45=0</xm:f>
            <x14:dxf>
              <font>
                <color theme="9" tint="0.79998168889431442"/>
              </font>
              <fill>
                <patternFill>
                  <bgColor theme="9" tint="0.79998168889431442"/>
                </patternFill>
              </fill>
            </x14:dxf>
          </x14:cfRule>
          <xm:sqref>BD58:BF58 AU58:BA58 AO58:AR58</xm:sqref>
        </x14:conditionalFormatting>
        <x14:conditionalFormatting xmlns:xm="http://schemas.microsoft.com/office/excel/2006/main">
          <x14:cfRule type="expression" priority="227" id="{5AC308DC-6820-4B88-B332-B907720AEDE1}">
            <xm:f>'% DEDICACIÓN TRABAJADOR'!$Q$45=0</xm:f>
            <x14:dxf>
              <font>
                <color theme="9" tint="0.79998168889431442"/>
              </font>
              <fill>
                <patternFill>
                  <bgColor theme="9" tint="0.79998168889431442"/>
                </patternFill>
              </fill>
            </x14:dxf>
          </x14:cfRule>
          <xm:sqref>BD59:BF59 AU59:BA59 AO59:AR59</xm:sqref>
        </x14:conditionalFormatting>
        <x14:conditionalFormatting xmlns:xm="http://schemas.microsoft.com/office/excel/2006/main">
          <x14:cfRule type="expression" priority="228" id="{0D0F1224-1184-4DF1-9721-4B9AD2F04084}">
            <xm:f>'% DEDICACIÓN TRABAJADOR'!$R$45=0</xm:f>
            <x14:dxf>
              <font>
                <color theme="9" tint="0.79998168889431442"/>
              </font>
              <fill>
                <patternFill>
                  <bgColor theme="9" tint="0.79998168889431442"/>
                </patternFill>
              </fill>
            </x14:dxf>
          </x14:cfRule>
          <xm:sqref>BD60:BF60 AU60:BA60 AO60:AR60</xm:sqref>
        </x14:conditionalFormatting>
        <x14:conditionalFormatting xmlns:xm="http://schemas.microsoft.com/office/excel/2006/main">
          <x14:cfRule type="expression" priority="188" id="{85D5AD60-FAC0-4B51-898C-C612D66FE36C}">
            <xm:f>'% DEDICACIÓN TRABAJADOR'!$G$45=0</xm:f>
            <x14:dxf>
              <font>
                <color theme="9" tint="0.79998168889431442"/>
              </font>
              <fill>
                <patternFill>
                  <bgColor theme="9" tint="0.79998168889431442"/>
                </patternFill>
              </fill>
            </x14:dxf>
          </x14:cfRule>
          <xm:sqref>CJ20:CW20 BP20:CH20 AR20:BN20</xm:sqref>
        </x14:conditionalFormatting>
        <x14:conditionalFormatting xmlns:xm="http://schemas.microsoft.com/office/excel/2006/main">
          <x14:cfRule type="expression" priority="189" id="{32E0C71E-D8F2-489D-965E-00783416ECDB}">
            <xm:f>'% DEDICACIÓN TRABAJADOR'!$H$45=0</xm:f>
            <x14:dxf>
              <font>
                <color theme="9" tint="0.79998168889431442"/>
              </font>
              <fill>
                <patternFill>
                  <bgColor theme="9" tint="0.79998168889431442"/>
                </patternFill>
              </fill>
            </x14:dxf>
          </x14:cfRule>
          <xm:sqref>CJ21:CW21 BP21:CH21 AR21:BN21</xm:sqref>
        </x14:conditionalFormatting>
        <x14:conditionalFormatting xmlns:xm="http://schemas.microsoft.com/office/excel/2006/main">
          <x14:cfRule type="expression" priority="190" id="{E7123EA5-970B-444F-806E-49E530F89E5C}">
            <xm:f>'% DEDICACIÓN TRABAJADOR'!$I$45=0</xm:f>
            <x14:dxf>
              <font>
                <color theme="9" tint="0.79998168889431442"/>
              </font>
              <fill>
                <patternFill>
                  <bgColor theme="9" tint="0.79998168889431442"/>
                </patternFill>
              </fill>
            </x14:dxf>
          </x14:cfRule>
          <xm:sqref>CJ22:CW22 BP22:CH22 AR22:BN22</xm:sqref>
        </x14:conditionalFormatting>
        <x14:conditionalFormatting xmlns:xm="http://schemas.microsoft.com/office/excel/2006/main">
          <x14:cfRule type="expression" priority="191" id="{600DE9BF-C913-4778-882C-8B44CCAAF08A}">
            <xm:f>'% DEDICACIÓN TRABAJADOR'!$J$45=0</xm:f>
            <x14:dxf>
              <font>
                <color theme="9" tint="0.79998168889431442"/>
              </font>
              <fill>
                <patternFill>
                  <bgColor theme="9" tint="0.79998168889431442"/>
                </patternFill>
              </fill>
            </x14:dxf>
          </x14:cfRule>
          <xm:sqref>CJ23:CW23 BP23:CH23 AR23:BN23</xm:sqref>
        </x14:conditionalFormatting>
        <x14:conditionalFormatting xmlns:xm="http://schemas.microsoft.com/office/excel/2006/main">
          <x14:cfRule type="expression" priority="192" id="{1487C90C-B44C-4014-A2F7-1A3673F9C6FD}">
            <xm:f>'% DEDICACIÓN TRABAJADOR'!$K$45=0</xm:f>
            <x14:dxf>
              <font>
                <color theme="9" tint="0.79998168889431442"/>
              </font>
              <fill>
                <patternFill>
                  <bgColor theme="9" tint="0.79998168889431442"/>
                </patternFill>
              </fill>
            </x14:dxf>
          </x14:cfRule>
          <xm:sqref>CJ24:CW24 BP24:CH24 AR24:BN24</xm:sqref>
        </x14:conditionalFormatting>
        <x14:conditionalFormatting xmlns:xm="http://schemas.microsoft.com/office/excel/2006/main">
          <x14:cfRule type="expression" priority="193" id="{B32A6FBC-8B9A-41C0-817B-06FCC736A7E6}">
            <xm:f>'% DEDICACIÓN TRABAJADOR'!$L$45=0</xm:f>
            <x14:dxf>
              <font>
                <color theme="9" tint="0.79998168889431442"/>
              </font>
              <fill>
                <patternFill>
                  <bgColor theme="9" tint="0.79998168889431442"/>
                </patternFill>
              </fill>
            </x14:dxf>
          </x14:cfRule>
          <xm:sqref>CJ25:CW25 BP25:CH25 AR25:BN25</xm:sqref>
        </x14:conditionalFormatting>
        <x14:conditionalFormatting xmlns:xm="http://schemas.microsoft.com/office/excel/2006/main">
          <x14:cfRule type="expression" priority="194" id="{A4439158-6620-4254-BCA1-8584411CC518}">
            <xm:f>'% DEDICACIÓN TRABAJADOR'!$M$45=0</xm:f>
            <x14:dxf>
              <font>
                <color theme="9" tint="0.79998168889431442"/>
              </font>
              <fill>
                <patternFill>
                  <bgColor theme="9" tint="0.79998168889431442"/>
                </patternFill>
              </fill>
            </x14:dxf>
          </x14:cfRule>
          <xm:sqref>CJ26:CW26 BP26:CH26 AR26:BN26</xm:sqref>
        </x14:conditionalFormatting>
        <x14:conditionalFormatting xmlns:xm="http://schemas.microsoft.com/office/excel/2006/main">
          <x14:cfRule type="expression" priority="195" id="{8A025F6C-AB81-4574-A37C-6F250ED139F7}">
            <xm:f>'% DEDICACIÓN TRABAJADOR'!$N$45=0</xm:f>
            <x14:dxf>
              <font>
                <color theme="9" tint="0.79998168889431442"/>
              </font>
              <fill>
                <patternFill>
                  <bgColor theme="9" tint="0.79998168889431442"/>
                </patternFill>
              </fill>
            </x14:dxf>
          </x14:cfRule>
          <xm:sqref>CJ27:CW27 BP27:CH27 AR27:BN27</xm:sqref>
        </x14:conditionalFormatting>
        <x14:conditionalFormatting xmlns:xm="http://schemas.microsoft.com/office/excel/2006/main">
          <x14:cfRule type="expression" priority="196" id="{9A49F17D-380A-4EF0-8758-E1BDC2F23A84}">
            <xm:f>'% DEDICACIÓN TRABAJADOR'!$O$45=0</xm:f>
            <x14:dxf>
              <font>
                <color theme="9" tint="0.79998168889431442"/>
              </font>
              <fill>
                <patternFill>
                  <bgColor theme="9" tint="0.79998168889431442"/>
                </patternFill>
              </fill>
            </x14:dxf>
          </x14:cfRule>
          <xm:sqref>CJ28:CW28 BP28:CH28 AR28:BN28</xm:sqref>
        </x14:conditionalFormatting>
        <x14:conditionalFormatting xmlns:xm="http://schemas.microsoft.com/office/excel/2006/main">
          <x14:cfRule type="expression" priority="197" id="{3353C852-B53C-4B77-B556-791B6D8AF51B}">
            <xm:f>'% DEDICACIÓN TRABAJADOR'!$P$45=0</xm:f>
            <x14:dxf>
              <font>
                <color theme="9" tint="0.79998168889431442"/>
              </font>
              <fill>
                <patternFill>
                  <bgColor theme="9" tint="0.79998168889431442"/>
                </patternFill>
              </fill>
            </x14:dxf>
          </x14:cfRule>
          <xm:sqref>CJ29:CW29 BP29:CH29 AR29:BN29</xm:sqref>
        </x14:conditionalFormatting>
        <x14:conditionalFormatting xmlns:xm="http://schemas.microsoft.com/office/excel/2006/main">
          <x14:cfRule type="expression" priority="198" id="{D079E7B2-EDA6-4550-80F2-DEFEABDBD1B6}">
            <xm:f>'% DEDICACIÓN TRABAJADOR'!$Q$45=0</xm:f>
            <x14:dxf>
              <font>
                <color theme="9" tint="0.79998168889431442"/>
              </font>
              <fill>
                <patternFill>
                  <bgColor theme="9" tint="0.79998168889431442"/>
                </patternFill>
              </fill>
            </x14:dxf>
          </x14:cfRule>
          <xm:sqref>CJ30:CW30 BP30:CH30 AR30:BN30</xm:sqref>
        </x14:conditionalFormatting>
        <x14:conditionalFormatting xmlns:xm="http://schemas.microsoft.com/office/excel/2006/main">
          <x14:cfRule type="expression" priority="200" id="{D95F9997-7DB9-4858-BCE6-5FB6F633506E}">
            <xm:f>'% DEDICACIÓN TRABAJADOR'!$R$45=0</xm:f>
            <x14:dxf>
              <font>
                <color theme="9" tint="0.79998168889431442"/>
              </font>
              <fill>
                <patternFill>
                  <bgColor theme="9" tint="0.79998168889431442"/>
                </patternFill>
              </fill>
            </x14:dxf>
          </x14:cfRule>
          <xm:sqref>CJ31:CW31 BP31:CH31 AR31:BN31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5E205-086C-4D1C-9216-F440A02E5022}">
  <dimension ref="A1:DX62"/>
  <sheetViews>
    <sheetView showGridLines="0" zoomScaleNormal="100" workbookViewId="0">
      <selection activeCell="BF50" sqref="BF50"/>
    </sheetView>
  </sheetViews>
  <sheetFormatPr baseColWidth="10" defaultColWidth="11.42578125" defaultRowHeight="13.5" outlineLevelCol="1" x14ac:dyDescent="0.25"/>
  <cols>
    <col min="1" max="2" width="5.5703125" style="4" customWidth="1"/>
    <col min="3" max="3" width="13.7109375" style="4" customWidth="1"/>
    <col min="4" max="5" width="10.5703125" style="4" customWidth="1"/>
    <col min="6" max="6" width="9.5703125" style="4" customWidth="1"/>
    <col min="7" max="12" width="11.5703125" style="4" customWidth="1"/>
    <col min="13" max="13" width="15.5703125" style="4" customWidth="1"/>
    <col min="14" max="14" width="1.5703125" style="4" customWidth="1"/>
    <col min="15" max="20" width="11.5703125" style="4" customWidth="1"/>
    <col min="21" max="21" width="12.5703125" style="4" customWidth="1"/>
    <col min="22" max="22" width="1.5703125" style="4" customWidth="1"/>
    <col min="23" max="27" width="12.5703125" style="4" customWidth="1"/>
    <col min="28" max="30" width="13.5703125" style="4" customWidth="1"/>
    <col min="31" max="31" width="40.7109375" style="4" customWidth="1"/>
    <col min="32" max="32" width="5.5703125" style="4" customWidth="1"/>
    <col min="33" max="34" width="5.7109375" style="6" hidden="1" customWidth="1"/>
    <col min="35" max="37" width="8.7109375" style="6" hidden="1" customWidth="1"/>
    <col min="38" max="38" width="5.7109375" style="4" hidden="1" customWidth="1" outlineLevel="1"/>
    <col min="39" max="39" width="5.5703125" style="126" hidden="1" customWidth="1" outlineLevel="1"/>
    <col min="40" max="40" width="13.7109375" style="126" hidden="1" customWidth="1" outlineLevel="1"/>
    <col min="41" max="46" width="9.7109375" style="126" hidden="1" customWidth="1" outlineLevel="1"/>
    <col min="47" max="49" width="9.5703125" style="126" hidden="1" customWidth="1" outlineLevel="1"/>
    <col min="50" max="66" width="9.7109375" style="126" hidden="1" customWidth="1" outlineLevel="1"/>
    <col min="67" max="67" width="1.5703125" style="126" hidden="1" customWidth="1" outlineLevel="1"/>
    <col min="68" max="86" width="9.7109375" style="126" hidden="1" customWidth="1" outlineLevel="1"/>
    <col min="87" max="87" width="1.5703125" style="126" hidden="1" customWidth="1" outlineLevel="1"/>
    <col min="88" max="88" width="11.28515625" style="126" hidden="1" customWidth="1" outlineLevel="1"/>
    <col min="89" max="101" width="9.7109375" style="126" hidden="1" customWidth="1" outlineLevel="1"/>
    <col min="102" max="102" width="5.7109375" style="126" hidden="1" customWidth="1" outlineLevel="1"/>
    <col min="103" max="103" width="90.7109375" style="126" hidden="1" customWidth="1" outlineLevel="1"/>
    <col min="104" max="104" width="5.5703125" style="4" customWidth="1" collapsed="1"/>
    <col min="105" max="106" width="5.7109375" style="6" hidden="1" customWidth="1"/>
    <col min="107" max="107" width="5.7109375" style="4" hidden="1" customWidth="1"/>
    <col min="108" max="125" width="5.7109375" style="6" hidden="1" customWidth="1"/>
    <col min="126" max="126" width="5.7109375" style="4" hidden="1" customWidth="1"/>
    <col min="127" max="128" width="0" style="4" hidden="1" customWidth="1"/>
    <col min="129" max="16384" width="11.42578125" style="4"/>
  </cols>
  <sheetData>
    <row r="1" spans="1:128" ht="20.100000000000001" customHeight="1" x14ac:dyDescent="0.25">
      <c r="A1" s="97"/>
    </row>
    <row r="2" spans="1:128" ht="20.100000000000001" customHeight="1" x14ac:dyDescent="0.25">
      <c r="F2" s="86"/>
      <c r="G2" s="90"/>
      <c r="I2" s="85"/>
      <c r="AU2" s="127"/>
      <c r="AV2" s="127"/>
      <c r="AW2" s="127"/>
      <c r="AX2" s="214"/>
      <c r="AY2" s="214"/>
      <c r="AZ2" s="214"/>
      <c r="BD2" s="258"/>
      <c r="BE2" s="258"/>
      <c r="BF2" s="258"/>
    </row>
    <row r="3" spans="1:128" ht="20.100000000000001" customHeight="1" x14ac:dyDescent="0.25">
      <c r="E3" s="90" t="str">
        <f>'IDENTIFICACIÓN TRABAJADOR'!F4</f>
        <v>Nº DE EXPEDIENTE: 2024.08.EPTE.0000</v>
      </c>
      <c r="AR3" s="214" t="str">
        <f>'IDENTIFICACIÓN TRABAJADOR'!$F$4</f>
        <v>Nº DE EXPEDIENTE: 2024.08.EPTE.0000</v>
      </c>
      <c r="AS3" s="214"/>
      <c r="AT3" s="214"/>
    </row>
    <row r="4" spans="1:128" ht="20.100000000000001" customHeight="1" x14ac:dyDescent="0.25">
      <c r="E4" s="849"/>
      <c r="F4" s="849"/>
      <c r="G4" s="87"/>
      <c r="AR4" s="763"/>
      <c r="AS4" s="763"/>
      <c r="AT4" s="763"/>
      <c r="AU4" s="763"/>
      <c r="AV4" s="131"/>
      <c r="AW4" s="131"/>
      <c r="AX4" s="208"/>
      <c r="AY4" s="208"/>
      <c r="AZ4" s="208"/>
    </row>
    <row r="5" spans="1:128" ht="20.100000000000001" customHeight="1" x14ac:dyDescent="0.25">
      <c r="E5" s="91" t="str">
        <f>'% DEDICACIÓN TRABAJADOR'!F6</f>
        <v>TRABAJADOR:</v>
      </c>
      <c r="F5" s="7"/>
      <c r="G5" s="7"/>
      <c r="H5" s="7"/>
      <c r="I5" s="7"/>
      <c r="J5" s="7"/>
      <c r="K5" s="7"/>
      <c r="L5" s="7"/>
      <c r="M5" s="7"/>
      <c r="N5" s="7"/>
      <c r="O5" s="7"/>
      <c r="P5" s="7"/>
      <c r="Q5" s="7"/>
      <c r="R5" s="7"/>
      <c r="S5" s="7"/>
      <c r="T5" s="7"/>
      <c r="AR5" s="215" t="str">
        <f>'% DEDICACIÓN TRABAJADOR'!$F$6</f>
        <v>TRABAJADOR:</v>
      </c>
      <c r="AS5" s="215"/>
      <c r="AT5" s="215"/>
      <c r="AU5" s="216"/>
      <c r="AV5" s="216"/>
      <c r="AW5" s="216"/>
      <c r="AX5" s="216"/>
      <c r="AY5" s="216"/>
      <c r="AZ5" s="216"/>
      <c r="BA5" s="216"/>
      <c r="BB5" s="216"/>
      <c r="BC5" s="216"/>
      <c r="BD5" s="216"/>
      <c r="BE5" s="216"/>
      <c r="BF5" s="216"/>
      <c r="BG5" s="216"/>
      <c r="BH5" s="216"/>
      <c r="BI5" s="216"/>
      <c r="BM5" s="216"/>
      <c r="BN5" s="216"/>
      <c r="BO5" s="216"/>
      <c r="BP5" s="216"/>
      <c r="BQ5" s="216"/>
      <c r="BR5" s="216"/>
      <c r="BS5" s="216"/>
      <c r="BT5" s="216"/>
      <c r="BU5" s="216"/>
      <c r="BV5" s="216"/>
      <c r="BW5" s="216"/>
      <c r="BX5" s="216"/>
      <c r="BY5" s="216"/>
      <c r="BZ5" s="216"/>
      <c r="CA5" s="216"/>
      <c r="CB5" s="216"/>
      <c r="CC5" s="216"/>
      <c r="CD5" s="216"/>
      <c r="CE5" s="216"/>
    </row>
    <row r="6" spans="1:128" ht="20.100000000000001" customHeight="1" x14ac:dyDescent="0.25">
      <c r="E6" s="91" t="str">
        <f>'% DEDICACIÓN TRABAJADOR'!F7</f>
        <v>ACRÓNIMO:</v>
      </c>
      <c r="F6" s="7"/>
      <c r="G6" s="7"/>
      <c r="H6" s="7"/>
      <c r="I6" s="7"/>
      <c r="J6" s="7"/>
      <c r="K6" s="7"/>
      <c r="L6" s="7"/>
      <c r="M6" s="7"/>
      <c r="N6" s="7"/>
      <c r="O6" s="7"/>
      <c r="P6" s="7"/>
      <c r="Q6" s="7"/>
      <c r="R6" s="7"/>
      <c r="S6" s="7"/>
      <c r="T6" s="7"/>
      <c r="AR6" s="215" t="str">
        <f>'% DEDICACIÓN TRABAJADOR'!$F$7</f>
        <v>ACRÓNIMO:</v>
      </c>
      <c r="AS6" s="215"/>
      <c r="AT6" s="215"/>
      <c r="AU6" s="216"/>
      <c r="AV6" s="216"/>
      <c r="AW6" s="216"/>
      <c r="AX6" s="216"/>
      <c r="AY6" s="216"/>
      <c r="AZ6" s="216"/>
      <c r="BA6" s="216"/>
      <c r="BB6" s="216"/>
      <c r="BC6" s="216"/>
      <c r="BD6" s="216"/>
      <c r="BE6" s="216"/>
      <c r="BF6" s="216"/>
      <c r="BG6" s="216"/>
      <c r="BH6" s="216"/>
      <c r="BI6" s="216"/>
      <c r="BJ6" s="216"/>
      <c r="BM6" s="216"/>
      <c r="BN6" s="216"/>
      <c r="BO6" s="216"/>
      <c r="BP6" s="216"/>
      <c r="BQ6" s="216"/>
      <c r="BR6" s="216"/>
      <c r="BS6" s="216"/>
      <c r="BT6" s="216"/>
      <c r="BU6" s="216"/>
      <c r="BV6" s="216"/>
      <c r="BW6" s="216"/>
      <c r="BX6" s="216"/>
      <c r="BY6" s="216"/>
      <c r="BZ6" s="216"/>
      <c r="CA6" s="216"/>
      <c r="CB6" s="216"/>
      <c r="CC6" s="216"/>
      <c r="CD6" s="216"/>
      <c r="CE6" s="216"/>
    </row>
    <row r="7" spans="1:128" ht="20.100000000000001" customHeight="1" thickBot="1" x14ac:dyDescent="0.3">
      <c r="BA7" s="216"/>
      <c r="BB7" s="216"/>
      <c r="BC7" s="216"/>
      <c r="BD7" s="216"/>
      <c r="BE7" s="216"/>
      <c r="BF7" s="216"/>
      <c r="BG7" s="216"/>
      <c r="BH7" s="216"/>
      <c r="BI7" s="216"/>
      <c r="BJ7" s="216"/>
      <c r="BM7" s="216"/>
      <c r="BN7" s="216"/>
      <c r="BO7" s="216"/>
      <c r="BP7" s="216"/>
      <c r="BQ7" s="216"/>
      <c r="BR7" s="216"/>
      <c r="BS7" s="216"/>
      <c r="BT7" s="216"/>
      <c r="BU7" s="216"/>
      <c r="BV7" s="216"/>
      <c r="BW7" s="216"/>
      <c r="BX7" s="216"/>
      <c r="BY7" s="216"/>
      <c r="BZ7" s="216"/>
      <c r="CA7" s="216"/>
      <c r="CB7" s="216"/>
      <c r="CC7" s="216"/>
      <c r="CD7" s="216"/>
      <c r="CE7" s="216"/>
      <c r="DD7" s="691" t="s">
        <v>342</v>
      </c>
      <c r="DE7" s="691"/>
      <c r="DF7" s="691"/>
      <c r="DG7" s="691"/>
      <c r="DH7" s="691"/>
      <c r="DI7" s="691"/>
      <c r="DJ7" s="691"/>
      <c r="DK7" s="691"/>
      <c r="DL7" s="691"/>
      <c r="DM7" s="691"/>
      <c r="DN7" s="691"/>
      <c r="DO7" s="691"/>
      <c r="DP7" s="691"/>
      <c r="DQ7" s="691"/>
      <c r="DR7" s="691"/>
      <c r="DS7" s="691"/>
      <c r="DT7" s="691"/>
      <c r="DU7" s="691"/>
      <c r="DW7" s="690" t="s">
        <v>341</v>
      </c>
      <c r="DX7" s="690"/>
    </row>
    <row r="8" spans="1:128" ht="30" customHeight="1" thickTop="1" thickBot="1" x14ac:dyDescent="0.3">
      <c r="B8" s="874" t="str">
        <f>CONCATENATE("GASTO DEL TRABAJADOR ",'IDENTIFICACIÓN TRABAJADOR'!D14," EJERCICIO ",YEAR(EXPEDIENTE!F25)+2)</f>
        <v>GASTO DEL TRABAJADOR  EJERCICIO 2025</v>
      </c>
      <c r="C8" s="850" t="str">
        <f>CONCATENATE("TABLA DE COTIZACIONES ",YEAR(EXPEDIENTE!F25)+2)</f>
        <v>TABLA DE COTIZACIONES 2025</v>
      </c>
      <c r="D8" s="850"/>
      <c r="E8" s="850"/>
      <c r="F8" s="851"/>
      <c r="H8" s="89" t="s">
        <v>112</v>
      </c>
      <c r="I8" s="869" t="s">
        <v>115</v>
      </c>
      <c r="J8" s="869"/>
      <c r="K8" s="869"/>
      <c r="L8" s="869"/>
      <c r="M8" s="869"/>
      <c r="N8" s="869"/>
      <c r="O8" s="869"/>
      <c r="P8" s="869"/>
      <c r="Q8" s="869"/>
      <c r="R8" s="869"/>
      <c r="S8" s="869"/>
      <c r="T8" s="870"/>
      <c r="AM8" s="727" t="str">
        <f>CONCATENATE("GASTO DEL TRABAJADOR ",'IDENTIFICACIÓN TRABAJADOR'!$D$14," EJERCICIO ",YEAR(EXPEDIENTE!$F$25))</f>
        <v>GASTO DEL TRABAJADOR  EJERCICIO 2023</v>
      </c>
      <c r="AN8" s="808" t="str">
        <f>CONCATENATE("COTIZACIONES ",YEAR(EXPEDIENTE!$F$25)+2)</f>
        <v>COTIZACIONES 2025</v>
      </c>
      <c r="AO8" s="808"/>
      <c r="AP8" s="808"/>
      <c r="AQ8" s="259"/>
      <c r="AR8" s="260" t="s">
        <v>270</v>
      </c>
      <c r="AS8" s="261" t="s">
        <v>245</v>
      </c>
      <c r="AT8" s="262" t="s">
        <v>271</v>
      </c>
      <c r="AU8" s="774" t="s">
        <v>269</v>
      </c>
      <c r="AV8" s="774"/>
      <c r="AW8" s="774"/>
      <c r="AX8" s="774"/>
      <c r="AY8" s="774"/>
      <c r="AZ8" s="774"/>
      <c r="BA8" s="774"/>
      <c r="BB8" s="774"/>
      <c r="BC8" s="774"/>
      <c r="BD8" s="774"/>
      <c r="BE8" s="774"/>
      <c r="BF8" s="774"/>
      <c r="BG8" s="775"/>
      <c r="BJ8" s="216"/>
      <c r="BK8" s="216"/>
      <c r="BL8" s="216"/>
      <c r="BM8" s="216"/>
      <c r="BN8" s="216"/>
      <c r="BO8" s="216"/>
      <c r="BP8" s="216"/>
      <c r="BQ8" s="216"/>
      <c r="BR8" s="216"/>
      <c r="BS8" s="216"/>
      <c r="BT8" s="216"/>
      <c r="BU8" s="216"/>
      <c r="BV8" s="216"/>
      <c r="BW8" s="216"/>
      <c r="BX8" s="216"/>
      <c r="BY8" s="216"/>
      <c r="BZ8" s="216"/>
      <c r="CA8" s="216"/>
      <c r="CB8" s="216"/>
      <c r="CY8" s="123"/>
      <c r="CZ8" s="6"/>
      <c r="DD8" s="88" t="s">
        <v>322</v>
      </c>
      <c r="DE8" s="88" t="s">
        <v>323</v>
      </c>
      <c r="DF8" s="88" t="s">
        <v>324</v>
      </c>
      <c r="DG8" s="88" t="s">
        <v>325</v>
      </c>
      <c r="DH8" s="88" t="s">
        <v>326</v>
      </c>
      <c r="DI8" s="88" t="s">
        <v>327</v>
      </c>
      <c r="DJ8" s="88" t="s">
        <v>328</v>
      </c>
      <c r="DK8" s="88" t="s">
        <v>329</v>
      </c>
      <c r="DL8" s="88" t="s">
        <v>330</v>
      </c>
      <c r="DM8" s="88" t="s">
        <v>331</v>
      </c>
      <c r="DN8" s="88" t="s">
        <v>332</v>
      </c>
      <c r="DO8" s="88" t="s">
        <v>333</v>
      </c>
      <c r="DP8" s="88" t="s">
        <v>334</v>
      </c>
      <c r="DQ8" s="88" t="s">
        <v>335</v>
      </c>
      <c r="DR8" s="88" t="s">
        <v>336</v>
      </c>
      <c r="DS8" s="88" t="s">
        <v>337</v>
      </c>
      <c r="DT8" s="88" t="s">
        <v>338</v>
      </c>
      <c r="DU8" s="88" t="s">
        <v>339</v>
      </c>
    </row>
    <row r="9" spans="1:128" ht="15" customHeight="1" thickTop="1" x14ac:dyDescent="0.25">
      <c r="B9" s="875"/>
      <c r="C9" s="92" t="s">
        <v>40</v>
      </c>
      <c r="D9" s="8"/>
      <c r="E9" s="8"/>
      <c r="F9" s="47"/>
      <c r="H9" s="94" t="s">
        <v>130</v>
      </c>
      <c r="I9" s="757" t="s">
        <v>114</v>
      </c>
      <c r="J9" s="757"/>
      <c r="K9" s="757"/>
      <c r="L9" s="757"/>
      <c r="M9" s="757"/>
      <c r="N9" s="757"/>
      <c r="O9" s="757"/>
      <c r="P9" s="757"/>
      <c r="Q9" s="757"/>
      <c r="R9" s="757"/>
      <c r="S9" s="757"/>
      <c r="T9" s="758"/>
      <c r="AM9" s="728"/>
      <c r="AN9" s="809" t="s">
        <v>40</v>
      </c>
      <c r="AO9" s="810"/>
      <c r="AP9" s="811"/>
      <c r="AQ9" s="263"/>
      <c r="AR9" s="264">
        <f>IF(F9="",0,F9)</f>
        <v>0</v>
      </c>
      <c r="AS9" s="265"/>
      <c r="AT9" s="266">
        <f>IF(AS9="",AR9,AS9)</f>
        <v>0</v>
      </c>
      <c r="AU9" s="813"/>
      <c r="AV9" s="813"/>
      <c r="AW9" s="813"/>
      <c r="AX9" s="813"/>
      <c r="AY9" s="813"/>
      <c r="AZ9" s="813"/>
      <c r="BA9" s="813"/>
      <c r="BB9" s="813"/>
      <c r="BC9" s="813"/>
      <c r="BD9" s="813"/>
      <c r="BE9" s="813"/>
      <c r="BF9" s="813"/>
      <c r="BG9" s="814"/>
      <c r="BJ9" s="216"/>
      <c r="BK9" s="216"/>
      <c r="BL9" s="216"/>
      <c r="BM9" s="216"/>
      <c r="BN9" s="216"/>
      <c r="BO9" s="216"/>
      <c r="BP9" s="216"/>
      <c r="BQ9" s="216"/>
      <c r="BR9" s="216"/>
      <c r="BS9" s="216"/>
      <c r="BT9" s="216"/>
      <c r="BU9" s="216"/>
      <c r="BV9" s="216"/>
      <c r="BW9" s="216"/>
      <c r="BX9" s="216"/>
      <c r="BY9" s="216"/>
      <c r="BZ9" s="216"/>
      <c r="CA9" s="216"/>
      <c r="CB9" s="216"/>
      <c r="CY9" s="123"/>
      <c r="CZ9" s="6"/>
      <c r="DD9" s="160">
        <f>SUM(DE9:DU9)</f>
        <v>0</v>
      </c>
      <c r="DE9" s="160">
        <f>IF(AS9="",0,1)</f>
        <v>0</v>
      </c>
      <c r="DW9" s="88">
        <f>IF(AU9&lt;&gt;"",1,0)</f>
        <v>0</v>
      </c>
      <c r="DX9" s="182" t="str">
        <f>IF(DW9=0,"",AU9)</f>
        <v/>
      </c>
    </row>
    <row r="10" spans="1:128" ht="15" customHeight="1" x14ac:dyDescent="0.25">
      <c r="B10" s="875"/>
      <c r="C10" s="93" t="s">
        <v>61</v>
      </c>
      <c r="D10" s="9"/>
      <c r="E10" s="10"/>
      <c r="F10" s="48"/>
      <c r="H10" s="95"/>
      <c r="I10" s="867" t="s">
        <v>113</v>
      </c>
      <c r="J10" s="867"/>
      <c r="K10" s="867"/>
      <c r="L10" s="867"/>
      <c r="M10" s="867"/>
      <c r="N10" s="867"/>
      <c r="O10" s="867"/>
      <c r="P10" s="867"/>
      <c r="Q10" s="867"/>
      <c r="R10" s="867"/>
      <c r="S10" s="867"/>
      <c r="T10" s="868"/>
      <c r="AM10" s="728"/>
      <c r="AN10" s="783" t="s">
        <v>61</v>
      </c>
      <c r="AO10" s="784"/>
      <c r="AP10" s="785"/>
      <c r="AQ10" s="267"/>
      <c r="AR10" s="268">
        <f>IF(F10="",0,F10)</f>
        <v>0</v>
      </c>
      <c r="AS10" s="269"/>
      <c r="AT10" s="270">
        <f t="shared" ref="AT10:AT13" si="0">IF(AS10="",AR10,AS10)</f>
        <v>0</v>
      </c>
      <c r="AU10" s="786"/>
      <c r="AV10" s="786"/>
      <c r="AW10" s="786"/>
      <c r="AX10" s="786"/>
      <c r="AY10" s="786"/>
      <c r="AZ10" s="786"/>
      <c r="BA10" s="786"/>
      <c r="BB10" s="786"/>
      <c r="BC10" s="786"/>
      <c r="BD10" s="786"/>
      <c r="BE10" s="786"/>
      <c r="BF10" s="786"/>
      <c r="BG10" s="787"/>
      <c r="BJ10" s="216"/>
      <c r="BK10" s="216"/>
      <c r="BL10" s="216"/>
      <c r="BM10" s="216"/>
      <c r="BN10" s="216"/>
      <c r="BO10" s="216"/>
      <c r="BP10" s="216"/>
      <c r="BQ10" s="216"/>
      <c r="BR10" s="216"/>
      <c r="BS10" s="216"/>
      <c r="BT10" s="216"/>
      <c r="BU10" s="216"/>
      <c r="BV10" s="216"/>
      <c r="BW10" s="216"/>
      <c r="BX10" s="216"/>
      <c r="BY10" s="216"/>
      <c r="BZ10" s="216"/>
      <c r="CA10" s="216"/>
      <c r="CB10" s="216"/>
      <c r="CY10" s="123"/>
      <c r="CZ10" s="6"/>
      <c r="DD10" s="88">
        <f t="shared" ref="DD10:DD13" si="1">SUM(DE10:DU10)</f>
        <v>0</v>
      </c>
      <c r="DE10" s="88">
        <f t="shared" ref="DE10:DE13" si="2">IF(AS10="",0,1)</f>
        <v>0</v>
      </c>
      <c r="DW10" s="88">
        <f>IF(AU10&lt;&gt;"",MAX($DW$9:DW9)+1,0)</f>
        <v>0</v>
      </c>
      <c r="DX10" s="182" t="str">
        <f t="shared" ref="DX10:DX14" si="3">IF(DW10=0,"",AU10)</f>
        <v/>
      </c>
    </row>
    <row r="11" spans="1:128" ht="15" customHeight="1" thickBot="1" x14ac:dyDescent="0.3">
      <c r="B11" s="875"/>
      <c r="C11" s="93" t="s">
        <v>41</v>
      </c>
      <c r="D11" s="9"/>
      <c r="E11" s="10"/>
      <c r="F11" s="48"/>
      <c r="H11" s="96"/>
      <c r="I11" s="856" t="str">
        <f>CONCATENATE("b) La fecha valor de abono de la nómina y/o de su IRPF sea anterior a la finalización del plazo de justificación (",TEXT(EXPEDIENTE!F29,"dd/mm/aa"),").")</f>
        <v>b) La fecha valor de abono de la nómina y/o de su IRPF sea anterior a la finalización del plazo de justificación ().</v>
      </c>
      <c r="J11" s="856"/>
      <c r="K11" s="856"/>
      <c r="L11" s="856"/>
      <c r="M11" s="856"/>
      <c r="N11" s="856"/>
      <c r="O11" s="856"/>
      <c r="P11" s="856"/>
      <c r="Q11" s="856"/>
      <c r="R11" s="856"/>
      <c r="S11" s="856"/>
      <c r="T11" s="857"/>
      <c r="AM11" s="728"/>
      <c r="AN11" s="783" t="s">
        <v>41</v>
      </c>
      <c r="AO11" s="784"/>
      <c r="AP11" s="785"/>
      <c r="AQ11" s="267"/>
      <c r="AR11" s="268">
        <f>IF(F11="",0,F11)</f>
        <v>0</v>
      </c>
      <c r="AS11" s="269"/>
      <c r="AT11" s="270">
        <f t="shared" si="0"/>
        <v>0</v>
      </c>
      <c r="AU11" s="786"/>
      <c r="AV11" s="786"/>
      <c r="AW11" s="786"/>
      <c r="AX11" s="786"/>
      <c r="AY11" s="786"/>
      <c r="AZ11" s="786"/>
      <c r="BA11" s="786"/>
      <c r="BB11" s="786"/>
      <c r="BC11" s="786"/>
      <c r="BD11" s="786"/>
      <c r="BE11" s="786"/>
      <c r="BF11" s="786"/>
      <c r="BG11" s="787"/>
      <c r="BJ11" s="216"/>
      <c r="BK11" s="216"/>
      <c r="BL11" s="216"/>
      <c r="BM11" s="216"/>
      <c r="BN11" s="216"/>
      <c r="BO11" s="216"/>
      <c r="BP11" s="216"/>
      <c r="BQ11" s="216"/>
      <c r="BR11" s="216"/>
      <c r="BS11" s="216"/>
      <c r="BT11" s="216"/>
      <c r="BU11" s="216"/>
      <c r="BV11" s="216"/>
      <c r="BW11" s="216"/>
      <c r="BX11" s="216"/>
      <c r="BY11" s="216"/>
      <c r="BZ11" s="216"/>
      <c r="CA11" s="216"/>
      <c r="CB11" s="216"/>
      <c r="CY11" s="123"/>
      <c r="CZ11" s="6"/>
      <c r="DD11" s="88">
        <f t="shared" si="1"/>
        <v>0</v>
      </c>
      <c r="DE11" s="88">
        <f t="shared" si="2"/>
        <v>0</v>
      </c>
      <c r="DW11" s="88">
        <f>IF(AU11&lt;&gt;"",MAX($DW$9:DW10)+1,0)</f>
        <v>0</v>
      </c>
      <c r="DX11" s="182" t="str">
        <f t="shared" si="3"/>
        <v/>
      </c>
    </row>
    <row r="12" spans="1:128" ht="15" customHeight="1" x14ac:dyDescent="0.25">
      <c r="B12" s="875"/>
      <c r="C12" s="93" t="s">
        <v>42</v>
      </c>
      <c r="D12" s="9"/>
      <c r="E12" s="10"/>
      <c r="F12" s="48"/>
      <c r="H12" s="755" t="s">
        <v>210</v>
      </c>
      <c r="I12" s="757" t="s">
        <v>290</v>
      </c>
      <c r="J12" s="757"/>
      <c r="K12" s="757"/>
      <c r="L12" s="757"/>
      <c r="M12" s="757"/>
      <c r="N12" s="757"/>
      <c r="O12" s="757"/>
      <c r="P12" s="757"/>
      <c r="Q12" s="757"/>
      <c r="R12" s="757"/>
      <c r="S12" s="757"/>
      <c r="T12" s="758"/>
      <c r="AM12" s="728"/>
      <c r="AN12" s="783" t="s">
        <v>42</v>
      </c>
      <c r="AO12" s="784"/>
      <c r="AP12" s="785"/>
      <c r="AQ12" s="267"/>
      <c r="AR12" s="268">
        <f>IF(F12="",0,F12)</f>
        <v>0</v>
      </c>
      <c r="AS12" s="269"/>
      <c r="AT12" s="270">
        <f t="shared" si="0"/>
        <v>0</v>
      </c>
      <c r="AU12" s="786"/>
      <c r="AV12" s="786"/>
      <c r="AW12" s="786"/>
      <c r="AX12" s="786"/>
      <c r="AY12" s="786"/>
      <c r="AZ12" s="786"/>
      <c r="BA12" s="786"/>
      <c r="BB12" s="786"/>
      <c r="BC12" s="786"/>
      <c r="BD12" s="786"/>
      <c r="BE12" s="786"/>
      <c r="BF12" s="786"/>
      <c r="BG12" s="787"/>
      <c r="BJ12" s="216"/>
      <c r="BK12" s="216"/>
      <c r="BL12" s="216"/>
      <c r="BM12" s="216"/>
      <c r="BN12" s="216"/>
      <c r="BO12" s="216"/>
      <c r="BP12" s="216"/>
      <c r="BQ12" s="216"/>
      <c r="BR12" s="216"/>
      <c r="BS12" s="216"/>
      <c r="BT12" s="216"/>
      <c r="BU12" s="216"/>
      <c r="BV12" s="216"/>
      <c r="BW12" s="216"/>
      <c r="BX12" s="216"/>
      <c r="BY12" s="216"/>
      <c r="BZ12" s="216"/>
      <c r="CA12" s="216"/>
      <c r="CB12" s="216"/>
      <c r="CY12" s="123"/>
      <c r="CZ12" s="6"/>
      <c r="DD12" s="88">
        <f t="shared" si="1"/>
        <v>0</v>
      </c>
      <c r="DE12" s="88">
        <f t="shared" si="2"/>
        <v>0</v>
      </c>
      <c r="DW12" s="88">
        <f>IF(AU12&lt;&gt;"",MAX($DW$9:DW11)+1,0)</f>
        <v>0</v>
      </c>
      <c r="DX12" s="182" t="str">
        <f t="shared" si="3"/>
        <v/>
      </c>
    </row>
    <row r="13" spans="1:128" ht="15" customHeight="1" thickBot="1" x14ac:dyDescent="0.3">
      <c r="B13" s="875"/>
      <c r="C13" s="93" t="s">
        <v>62</v>
      </c>
      <c r="D13" s="9"/>
      <c r="E13" s="10"/>
      <c r="F13" s="48"/>
      <c r="H13" s="756"/>
      <c r="I13" s="759"/>
      <c r="J13" s="759"/>
      <c r="K13" s="759"/>
      <c r="L13" s="759"/>
      <c r="M13" s="759"/>
      <c r="N13" s="759"/>
      <c r="O13" s="759"/>
      <c r="P13" s="759"/>
      <c r="Q13" s="759"/>
      <c r="R13" s="759"/>
      <c r="S13" s="759"/>
      <c r="T13" s="760"/>
      <c r="AM13" s="728"/>
      <c r="AN13" s="783" t="s">
        <v>62</v>
      </c>
      <c r="AO13" s="784"/>
      <c r="AP13" s="785"/>
      <c r="AQ13" s="267"/>
      <c r="AR13" s="268">
        <f>IF(F13="",0,F13)</f>
        <v>0</v>
      </c>
      <c r="AS13" s="269"/>
      <c r="AT13" s="270">
        <f t="shared" si="0"/>
        <v>0</v>
      </c>
      <c r="AU13" s="792"/>
      <c r="AV13" s="792"/>
      <c r="AW13" s="792"/>
      <c r="AX13" s="792"/>
      <c r="AY13" s="792"/>
      <c r="AZ13" s="792"/>
      <c r="BA13" s="792"/>
      <c r="BB13" s="792"/>
      <c r="BC13" s="792"/>
      <c r="BD13" s="792"/>
      <c r="BE13" s="792"/>
      <c r="BF13" s="792"/>
      <c r="BG13" s="793"/>
      <c r="BJ13" s="216"/>
      <c r="BK13" s="216"/>
      <c r="BL13" s="216"/>
      <c r="BM13" s="216"/>
      <c r="BN13" s="216"/>
      <c r="BO13" s="216"/>
      <c r="BP13" s="216"/>
      <c r="BQ13" s="216"/>
      <c r="BR13" s="216"/>
      <c r="BS13" s="216"/>
      <c r="BT13" s="216"/>
      <c r="BU13" s="216"/>
      <c r="BV13" s="216"/>
      <c r="BW13" s="216"/>
      <c r="BX13" s="216"/>
      <c r="BY13" s="216"/>
      <c r="BZ13" s="216"/>
      <c r="CA13" s="216"/>
      <c r="CB13" s="216"/>
      <c r="CY13" s="123"/>
      <c r="CZ13" s="6"/>
      <c r="DD13" s="88">
        <f t="shared" si="1"/>
        <v>0</v>
      </c>
      <c r="DE13" s="88">
        <f t="shared" si="2"/>
        <v>0</v>
      </c>
      <c r="DW13" s="88">
        <f>IF(AU13&lt;&gt;"",MAX($DW$9:DW12)+1,0)</f>
        <v>0</v>
      </c>
      <c r="DX13" s="182" t="str">
        <f t="shared" si="3"/>
        <v/>
      </c>
    </row>
    <row r="14" spans="1:128" ht="15" customHeight="1" thickBot="1" x14ac:dyDescent="0.3">
      <c r="B14" s="875"/>
      <c r="C14" s="93" t="s">
        <v>43</v>
      </c>
      <c r="D14" s="9"/>
      <c r="E14" s="10"/>
      <c r="F14" s="11">
        <f>SUM(F9:F13)</f>
        <v>0</v>
      </c>
      <c r="AM14" s="728"/>
      <c r="AN14" s="796" t="s">
        <v>43</v>
      </c>
      <c r="AO14" s="797"/>
      <c r="AP14" s="798"/>
      <c r="AQ14" s="271"/>
      <c r="AR14" s="272">
        <f>SUM(AR9:AR13)</f>
        <v>0</v>
      </c>
      <c r="AS14" s="273"/>
      <c r="AT14" s="274">
        <f>SUM(AT9:AT13)</f>
        <v>0</v>
      </c>
      <c r="AU14" s="275"/>
      <c r="AV14" s="275"/>
      <c r="AW14" s="275"/>
      <c r="AX14" s="275"/>
      <c r="AY14" s="275"/>
      <c r="AZ14" s="275"/>
      <c r="BA14" s="275"/>
      <c r="BB14" s="275"/>
      <c r="BC14" s="275"/>
      <c r="BD14" s="275"/>
      <c r="BE14" s="275"/>
      <c r="BF14" s="275"/>
      <c r="BG14" s="276"/>
      <c r="BJ14" s="216"/>
      <c r="BK14" s="216"/>
      <c r="CY14" s="123"/>
      <c r="CZ14" s="6"/>
      <c r="DW14" s="88">
        <f>IF(AU14&lt;&gt;"",MAX($DW$9:DW13)+1,0)</f>
        <v>0</v>
      </c>
      <c r="DX14" s="182" t="str">
        <f t="shared" si="3"/>
        <v/>
      </c>
    </row>
    <row r="15" spans="1:128" ht="9.9499999999999993" customHeight="1" thickBot="1" x14ac:dyDescent="0.3">
      <c r="B15" s="875"/>
      <c r="C15" s="12"/>
      <c r="D15" s="13"/>
      <c r="E15" s="14"/>
      <c r="F15" s="15"/>
      <c r="G15" s="6"/>
      <c r="H15" s="6"/>
      <c r="I15" s="6"/>
      <c r="J15" s="6"/>
      <c r="K15" s="6"/>
      <c r="L15" s="6"/>
      <c r="M15" s="6"/>
      <c r="N15" s="6"/>
      <c r="O15" s="6"/>
      <c r="P15" s="6"/>
      <c r="Q15" s="6"/>
      <c r="R15" s="6"/>
      <c r="S15" s="6"/>
      <c r="T15" s="6"/>
      <c r="U15" s="6"/>
      <c r="V15" s="6"/>
      <c r="W15" s="6"/>
      <c r="X15" s="6"/>
      <c r="Y15" s="6"/>
      <c r="Z15" s="6"/>
      <c r="AA15" s="6"/>
      <c r="AB15" s="6"/>
      <c r="AC15" s="6"/>
      <c r="AD15" s="6"/>
      <c r="AE15" s="6"/>
      <c r="AF15" s="6"/>
      <c r="AG15" s="761" t="s">
        <v>209</v>
      </c>
      <c r="AH15" s="761"/>
      <c r="AI15" s="761" t="s">
        <v>212</v>
      </c>
      <c r="AJ15" s="761" t="s">
        <v>213</v>
      </c>
      <c r="AK15" s="761" t="s">
        <v>215</v>
      </c>
      <c r="AL15" s="6"/>
      <c r="AM15" s="728"/>
      <c r="AN15" s="277"/>
      <c r="AO15" s="278"/>
      <c r="AP15" s="278"/>
      <c r="AQ15" s="278"/>
      <c r="AR15" s="278"/>
      <c r="AS15" s="278"/>
      <c r="AT15" s="278"/>
      <c r="AU15" s="278"/>
      <c r="AV15" s="278"/>
      <c r="AW15" s="278"/>
      <c r="AX15" s="278"/>
      <c r="AY15" s="278"/>
      <c r="AZ15" s="278"/>
      <c r="BA15" s="278"/>
      <c r="BB15" s="278"/>
      <c r="BC15" s="278"/>
      <c r="BD15" s="278"/>
      <c r="BE15" s="278"/>
      <c r="BF15" s="278"/>
      <c r="BG15" s="279"/>
      <c r="BH15" s="123"/>
      <c r="BI15" s="123"/>
      <c r="BJ15" s="123"/>
      <c r="BK15" s="123"/>
      <c r="BL15" s="123"/>
      <c r="BM15" s="123"/>
      <c r="BN15" s="123"/>
      <c r="BO15" s="123"/>
      <c r="BP15" s="123"/>
      <c r="BQ15" s="123"/>
      <c r="BR15" s="123"/>
      <c r="BS15" s="123"/>
      <c r="BT15" s="123"/>
      <c r="BU15" s="123"/>
      <c r="BV15" s="123"/>
      <c r="BW15" s="123"/>
      <c r="BX15" s="123"/>
      <c r="BY15" s="123"/>
      <c r="BZ15" s="123"/>
      <c r="CA15" s="123"/>
      <c r="CB15" s="123"/>
      <c r="CC15" s="123"/>
      <c r="CD15" s="123"/>
      <c r="CE15" s="123"/>
      <c r="CF15" s="123"/>
      <c r="CG15" s="123"/>
      <c r="CH15" s="123"/>
      <c r="CI15" s="123"/>
      <c r="CJ15" s="123"/>
      <c r="CK15" s="123"/>
      <c r="CL15" s="123"/>
      <c r="CM15" s="123"/>
      <c r="CN15" s="123"/>
      <c r="CO15" s="123"/>
      <c r="CP15" s="123"/>
      <c r="CQ15" s="123"/>
      <c r="CR15" s="123"/>
      <c r="CS15" s="123"/>
      <c r="CT15" s="123"/>
      <c r="CU15" s="123"/>
      <c r="CV15" s="123"/>
      <c r="CW15" s="123"/>
      <c r="CX15" s="123"/>
      <c r="DA15" s="761" t="s">
        <v>211</v>
      </c>
      <c r="DB15" s="761"/>
    </row>
    <row r="16" spans="1:128" ht="30" customHeight="1" thickTop="1" thickBot="1" x14ac:dyDescent="0.3">
      <c r="B16" s="875"/>
      <c r="C16" s="850" t="str">
        <f>CONCATENATE("NÓMINAS MENSUALES EJERCICIO ",YEAR(EXPEDIENTE!F25)+2)</f>
        <v>NÓMINAS MENSUALES EJERCICIO 2025</v>
      </c>
      <c r="D16" s="850"/>
      <c r="E16" s="850"/>
      <c r="F16" s="850"/>
      <c r="G16" s="850"/>
      <c r="H16" s="850"/>
      <c r="I16" s="850"/>
      <c r="J16" s="850"/>
      <c r="K16" s="850"/>
      <c r="L16" s="850"/>
      <c r="M16" s="850"/>
      <c r="N16" s="850"/>
      <c r="O16" s="850"/>
      <c r="P16" s="850"/>
      <c r="Q16" s="850"/>
      <c r="R16" s="850"/>
      <c r="S16" s="850"/>
      <c r="T16" s="850"/>
      <c r="U16" s="850"/>
      <c r="V16" s="850"/>
      <c r="W16" s="850"/>
      <c r="X16" s="850"/>
      <c r="Y16" s="850"/>
      <c r="Z16" s="850"/>
      <c r="AA16" s="850"/>
      <c r="AB16" s="850"/>
      <c r="AC16" s="850"/>
      <c r="AD16" s="850"/>
      <c r="AE16" s="851"/>
      <c r="AG16" s="761"/>
      <c r="AH16" s="761"/>
      <c r="AI16" s="690"/>
      <c r="AJ16" s="690"/>
      <c r="AK16" s="690"/>
      <c r="AM16" s="728"/>
      <c r="AN16" s="794" t="str">
        <f>CONCATENATE("NÓMINAS MENSUALES EJERCICIO ",YEAR(EXPEDIENTE!$F$25)+2)</f>
        <v>NÓMINAS MENSUALES EJERCICIO 2025</v>
      </c>
      <c r="AO16" s="794"/>
      <c r="AP16" s="794"/>
      <c r="AQ16" s="794"/>
      <c r="AR16" s="794"/>
      <c r="AS16" s="794"/>
      <c r="AT16" s="794"/>
      <c r="AU16" s="794"/>
      <c r="AV16" s="794"/>
      <c r="AW16" s="794"/>
      <c r="AX16" s="794"/>
      <c r="AY16" s="794"/>
      <c r="AZ16" s="794"/>
      <c r="BA16" s="794"/>
      <c r="BB16" s="794"/>
      <c r="BC16" s="794"/>
      <c r="BD16" s="794"/>
      <c r="BE16" s="794"/>
      <c r="BF16" s="794"/>
      <c r="BG16" s="794"/>
      <c r="BH16" s="794"/>
      <c r="BI16" s="794"/>
      <c r="BJ16" s="794"/>
      <c r="BK16" s="794"/>
      <c r="BL16" s="794"/>
      <c r="BM16" s="794"/>
      <c r="BN16" s="794"/>
      <c r="BO16" s="794"/>
      <c r="BP16" s="794"/>
      <c r="BQ16" s="794"/>
      <c r="BR16" s="794"/>
      <c r="BS16" s="794"/>
      <c r="BT16" s="794"/>
      <c r="BU16" s="794"/>
      <c r="BV16" s="794"/>
      <c r="BW16" s="794"/>
      <c r="BX16" s="794"/>
      <c r="BY16" s="794"/>
      <c r="BZ16" s="794"/>
      <c r="CA16" s="794"/>
      <c r="CB16" s="794"/>
      <c r="CC16" s="794"/>
      <c r="CD16" s="794"/>
      <c r="CE16" s="794"/>
      <c r="CF16" s="794"/>
      <c r="CG16" s="794"/>
      <c r="CH16" s="794"/>
      <c r="CI16" s="794"/>
      <c r="CJ16" s="794"/>
      <c r="CK16" s="794"/>
      <c r="CL16" s="794"/>
      <c r="CM16" s="794"/>
      <c r="CN16" s="794"/>
      <c r="CO16" s="794"/>
      <c r="CP16" s="794"/>
      <c r="CQ16" s="794"/>
      <c r="CR16" s="794"/>
      <c r="CS16" s="794"/>
      <c r="CT16" s="794"/>
      <c r="CU16" s="794"/>
      <c r="CV16" s="794"/>
      <c r="CW16" s="794"/>
      <c r="CX16" s="794"/>
      <c r="CY16" s="795"/>
      <c r="DA16" s="812"/>
      <c r="DB16" s="812"/>
    </row>
    <row r="17" spans="2:128" ht="20.100000000000001" customHeight="1" thickTop="1" thickBot="1" x14ac:dyDescent="0.3">
      <c r="B17" s="875"/>
      <c r="C17" s="858" t="s">
        <v>87</v>
      </c>
      <c r="D17" s="859"/>
      <c r="E17" s="860"/>
      <c r="F17" s="861" t="s">
        <v>85</v>
      </c>
      <c r="G17" s="862"/>
      <c r="H17" s="862"/>
      <c r="I17" s="862"/>
      <c r="J17" s="862"/>
      <c r="K17" s="862"/>
      <c r="L17" s="862"/>
      <c r="M17" s="863"/>
      <c r="N17" s="740" t="s">
        <v>88</v>
      </c>
      <c r="O17" s="741"/>
      <c r="P17" s="741"/>
      <c r="Q17" s="741"/>
      <c r="R17" s="741"/>
      <c r="S17" s="741"/>
      <c r="T17" s="741"/>
      <c r="U17" s="741"/>
      <c r="V17" s="742"/>
      <c r="W17" s="864" t="s">
        <v>79</v>
      </c>
      <c r="X17" s="746" t="s">
        <v>66</v>
      </c>
      <c r="Y17" s="743" t="s">
        <v>59</v>
      </c>
      <c r="Z17" s="743" t="s">
        <v>60</v>
      </c>
      <c r="AA17" s="743" t="s">
        <v>64</v>
      </c>
      <c r="AB17" s="789" t="s">
        <v>84</v>
      </c>
      <c r="AC17" s="746" t="s">
        <v>91</v>
      </c>
      <c r="AD17" s="789" t="s">
        <v>90</v>
      </c>
      <c r="AE17" s="871" t="s">
        <v>67</v>
      </c>
      <c r="AG17" s="762" t="s">
        <v>406</v>
      </c>
      <c r="AH17" s="704" t="s">
        <v>71</v>
      </c>
      <c r="AM17" s="728"/>
      <c r="AN17" s="732" t="s">
        <v>87</v>
      </c>
      <c r="AO17" s="733"/>
      <c r="AP17" s="733"/>
      <c r="AQ17" s="733"/>
      <c r="AR17" s="825" t="s">
        <v>312</v>
      </c>
      <c r="AS17" s="733"/>
      <c r="AT17" s="734"/>
      <c r="AU17" s="764" t="s">
        <v>85</v>
      </c>
      <c r="AV17" s="765"/>
      <c r="AW17" s="765"/>
      <c r="AX17" s="765"/>
      <c r="AY17" s="765"/>
      <c r="AZ17" s="765"/>
      <c r="BA17" s="765"/>
      <c r="BB17" s="765"/>
      <c r="BC17" s="765"/>
      <c r="BD17" s="765"/>
      <c r="BE17" s="765"/>
      <c r="BF17" s="765"/>
      <c r="BG17" s="765"/>
      <c r="BH17" s="765"/>
      <c r="BI17" s="765"/>
      <c r="BJ17" s="765"/>
      <c r="BK17" s="765"/>
      <c r="BL17" s="765"/>
      <c r="BM17" s="765"/>
      <c r="BN17" s="766"/>
      <c r="BO17" s="767" t="s">
        <v>407</v>
      </c>
      <c r="BP17" s="921"/>
      <c r="BQ17" s="921"/>
      <c r="BR17" s="921"/>
      <c r="BS17" s="921"/>
      <c r="BT17" s="921"/>
      <c r="BU17" s="921"/>
      <c r="BV17" s="921"/>
      <c r="BW17" s="921"/>
      <c r="BX17" s="921"/>
      <c r="BY17" s="921"/>
      <c r="BZ17" s="921"/>
      <c r="CA17" s="921"/>
      <c r="CB17" s="921"/>
      <c r="CC17" s="921"/>
      <c r="CD17" s="921"/>
      <c r="CE17" s="921"/>
      <c r="CF17" s="922"/>
      <c r="CG17" s="922"/>
      <c r="CH17" s="922"/>
      <c r="CI17" s="923"/>
      <c r="CJ17" s="827" t="s">
        <v>79</v>
      </c>
      <c r="CK17" s="695" t="s">
        <v>316</v>
      </c>
      <c r="CL17" s="696"/>
      <c r="CM17" s="697"/>
      <c r="CN17" s="714" t="s">
        <v>317</v>
      </c>
      <c r="CO17" s="715"/>
      <c r="CP17" s="716"/>
      <c r="CQ17" s="828" t="s">
        <v>60</v>
      </c>
      <c r="CR17" s="706" t="s">
        <v>319</v>
      </c>
      <c r="CS17" s="707"/>
      <c r="CT17" s="708"/>
      <c r="CU17" s="709" t="s">
        <v>318</v>
      </c>
      <c r="CV17" s="710"/>
      <c r="CW17" s="711"/>
      <c r="CX17" s="280"/>
      <c r="CY17" s="712" t="s">
        <v>320</v>
      </c>
      <c r="DA17" s="762" t="s">
        <v>406</v>
      </c>
      <c r="DB17" s="704" t="s">
        <v>71</v>
      </c>
    </row>
    <row r="18" spans="2:128" ht="15" customHeight="1" x14ac:dyDescent="0.25">
      <c r="B18" s="875"/>
      <c r="C18" s="879" t="s">
        <v>44</v>
      </c>
      <c r="D18" s="880"/>
      <c r="E18" s="852" t="s">
        <v>86</v>
      </c>
      <c r="F18" s="854" t="s">
        <v>57</v>
      </c>
      <c r="G18" s="753" t="s">
        <v>72</v>
      </c>
      <c r="H18" s="753"/>
      <c r="I18" s="753"/>
      <c r="J18" s="753"/>
      <c r="K18" s="753"/>
      <c r="L18" s="753"/>
      <c r="M18" s="749" t="s">
        <v>96</v>
      </c>
      <c r="N18" s="16"/>
      <c r="O18" s="788" t="s">
        <v>73</v>
      </c>
      <c r="P18" s="753"/>
      <c r="Q18" s="753"/>
      <c r="R18" s="753"/>
      <c r="S18" s="753"/>
      <c r="T18" s="753"/>
      <c r="U18" s="749" t="s">
        <v>89</v>
      </c>
      <c r="V18" s="17"/>
      <c r="W18" s="865"/>
      <c r="X18" s="747"/>
      <c r="Y18" s="744"/>
      <c r="Z18" s="744"/>
      <c r="AA18" s="744"/>
      <c r="AB18" s="790"/>
      <c r="AC18" s="747"/>
      <c r="AD18" s="790"/>
      <c r="AE18" s="872"/>
      <c r="AG18" s="705"/>
      <c r="AH18" s="705"/>
      <c r="AM18" s="728"/>
      <c r="AN18" s="815" t="s">
        <v>44</v>
      </c>
      <c r="AO18" s="816"/>
      <c r="AP18" s="776"/>
      <c r="AQ18" s="777"/>
      <c r="AR18" s="819" t="s">
        <v>270</v>
      </c>
      <c r="AS18" s="826" t="s">
        <v>245</v>
      </c>
      <c r="AT18" s="773" t="s">
        <v>271</v>
      </c>
      <c r="AU18" s="778" t="s">
        <v>272</v>
      </c>
      <c r="AV18" s="779"/>
      <c r="AW18" s="780"/>
      <c r="AX18" s="820" t="s">
        <v>72</v>
      </c>
      <c r="AY18" s="821"/>
      <c r="AZ18" s="821"/>
      <c r="BA18" s="821"/>
      <c r="BB18" s="821"/>
      <c r="BC18" s="821"/>
      <c r="BD18" s="821"/>
      <c r="BE18" s="821"/>
      <c r="BF18" s="821"/>
      <c r="BG18" s="821"/>
      <c r="BH18" s="821"/>
      <c r="BI18" s="821"/>
      <c r="BJ18" s="821"/>
      <c r="BK18" s="821"/>
      <c r="BL18" s="821"/>
      <c r="BM18" s="822"/>
      <c r="BN18" s="823" t="s">
        <v>273</v>
      </c>
      <c r="BO18" s="281"/>
      <c r="BP18" s="799" t="s">
        <v>410</v>
      </c>
      <c r="BQ18" s="924"/>
      <c r="BR18" s="924"/>
      <c r="BS18" s="821"/>
      <c r="BT18" s="821"/>
      <c r="BU18" s="821"/>
      <c r="BV18" s="821"/>
      <c r="BW18" s="821"/>
      <c r="BX18" s="821"/>
      <c r="BY18" s="821"/>
      <c r="BZ18" s="821"/>
      <c r="CA18" s="821"/>
      <c r="CB18" s="821"/>
      <c r="CC18" s="821"/>
      <c r="CD18" s="821"/>
      <c r="CE18" s="822"/>
      <c r="CF18" s="692" t="s">
        <v>409</v>
      </c>
      <c r="CG18" s="925"/>
      <c r="CH18" s="926"/>
      <c r="CI18" s="282"/>
      <c r="CJ18" s="738"/>
      <c r="CK18" s="698" t="s">
        <v>270</v>
      </c>
      <c r="CL18" s="700" t="s">
        <v>245</v>
      </c>
      <c r="CM18" s="702" t="s">
        <v>271</v>
      </c>
      <c r="CN18" s="698" t="s">
        <v>270</v>
      </c>
      <c r="CO18" s="700" t="s">
        <v>245</v>
      </c>
      <c r="CP18" s="702" t="s">
        <v>271</v>
      </c>
      <c r="CQ18" s="829"/>
      <c r="CR18" s="698" t="s">
        <v>270</v>
      </c>
      <c r="CS18" s="700" t="s">
        <v>245</v>
      </c>
      <c r="CT18" s="702" t="s">
        <v>271</v>
      </c>
      <c r="CU18" s="698" t="s">
        <v>270</v>
      </c>
      <c r="CV18" s="700" t="s">
        <v>245</v>
      </c>
      <c r="CW18" s="702" t="s">
        <v>271</v>
      </c>
      <c r="CX18" s="283"/>
      <c r="CY18" s="713"/>
      <c r="DA18" s="705"/>
      <c r="DB18" s="705"/>
    </row>
    <row r="19" spans="2:128" ht="45" customHeight="1" thickBot="1" x14ac:dyDescent="0.3">
      <c r="B19" s="875"/>
      <c r="C19" s="881"/>
      <c r="D19" s="882"/>
      <c r="E19" s="853"/>
      <c r="F19" s="855"/>
      <c r="G19" s="18" t="s">
        <v>97</v>
      </c>
      <c r="H19" s="18" t="s">
        <v>98</v>
      </c>
      <c r="I19" s="18" t="s">
        <v>99</v>
      </c>
      <c r="J19" s="18" t="s">
        <v>100</v>
      </c>
      <c r="K19" s="18" t="s">
        <v>101</v>
      </c>
      <c r="L19" s="19" t="s">
        <v>108</v>
      </c>
      <c r="M19" s="750"/>
      <c r="N19" s="20"/>
      <c r="O19" s="21" t="s">
        <v>102</v>
      </c>
      <c r="P19" s="18" t="s">
        <v>103</v>
      </c>
      <c r="Q19" s="18" t="s">
        <v>104</v>
      </c>
      <c r="R19" s="18" t="s">
        <v>105</v>
      </c>
      <c r="S19" s="18" t="s">
        <v>106</v>
      </c>
      <c r="T19" s="18" t="s">
        <v>107</v>
      </c>
      <c r="U19" s="750"/>
      <c r="V19" s="22"/>
      <c r="W19" s="866"/>
      <c r="X19" s="748"/>
      <c r="Y19" s="745"/>
      <c r="Z19" s="745"/>
      <c r="AA19" s="745"/>
      <c r="AB19" s="791"/>
      <c r="AC19" s="748"/>
      <c r="AD19" s="791"/>
      <c r="AE19" s="873"/>
      <c r="AG19" s="88">
        <f>SUM(AG20:AG31,AG37:AG44,AG49:AG60)</f>
        <v>0</v>
      </c>
      <c r="AH19" s="88">
        <f>SUM(AH20:AH31,AH37:AH44)</f>
        <v>0</v>
      </c>
      <c r="AM19" s="728"/>
      <c r="AN19" s="817"/>
      <c r="AO19" s="818"/>
      <c r="AP19" s="719"/>
      <c r="AQ19" s="720"/>
      <c r="AR19" s="699"/>
      <c r="AS19" s="701"/>
      <c r="AT19" s="703"/>
      <c r="AU19" s="284" t="s">
        <v>270</v>
      </c>
      <c r="AV19" s="285" t="s">
        <v>245</v>
      </c>
      <c r="AW19" s="286" t="s">
        <v>271</v>
      </c>
      <c r="AX19" s="287" t="s">
        <v>274</v>
      </c>
      <c r="AY19" s="288" t="s">
        <v>275</v>
      </c>
      <c r="AZ19" s="289" t="s">
        <v>276</v>
      </c>
      <c r="BA19" s="289" t="s">
        <v>277</v>
      </c>
      <c r="BB19" s="288" t="s">
        <v>278</v>
      </c>
      <c r="BC19" s="289" t="s">
        <v>279</v>
      </c>
      <c r="BD19" s="289" t="s">
        <v>280</v>
      </c>
      <c r="BE19" s="288" t="s">
        <v>281</v>
      </c>
      <c r="BF19" s="289" t="s">
        <v>282</v>
      </c>
      <c r="BG19" s="289" t="s">
        <v>283</v>
      </c>
      <c r="BH19" s="288" t="s">
        <v>284</v>
      </c>
      <c r="BI19" s="289" t="s">
        <v>285</v>
      </c>
      <c r="BJ19" s="289" t="s">
        <v>286</v>
      </c>
      <c r="BK19" s="288" t="s">
        <v>287</v>
      </c>
      <c r="BL19" s="289" t="s">
        <v>288</v>
      </c>
      <c r="BM19" s="290" t="s">
        <v>289</v>
      </c>
      <c r="BN19" s="824"/>
      <c r="BO19" s="291"/>
      <c r="BP19" s="287" t="s">
        <v>291</v>
      </c>
      <c r="BQ19" s="288" t="s">
        <v>292</v>
      </c>
      <c r="BR19" s="289" t="s">
        <v>293</v>
      </c>
      <c r="BS19" s="289" t="s">
        <v>294</v>
      </c>
      <c r="BT19" s="288" t="s">
        <v>295</v>
      </c>
      <c r="BU19" s="289" t="s">
        <v>296</v>
      </c>
      <c r="BV19" s="289" t="s">
        <v>297</v>
      </c>
      <c r="BW19" s="288" t="s">
        <v>298</v>
      </c>
      <c r="BX19" s="289" t="s">
        <v>299</v>
      </c>
      <c r="BY19" s="289" t="s">
        <v>300</v>
      </c>
      <c r="BZ19" s="288" t="s">
        <v>301</v>
      </c>
      <c r="CA19" s="289" t="s">
        <v>302</v>
      </c>
      <c r="CB19" s="289" t="s">
        <v>303</v>
      </c>
      <c r="CC19" s="288" t="s">
        <v>304</v>
      </c>
      <c r="CD19" s="289" t="s">
        <v>305</v>
      </c>
      <c r="CE19" s="290" t="s">
        <v>306</v>
      </c>
      <c r="CF19" s="292" t="s">
        <v>270</v>
      </c>
      <c r="CG19" s="293" t="s">
        <v>245</v>
      </c>
      <c r="CH19" s="294" t="s">
        <v>271</v>
      </c>
      <c r="CI19" s="295"/>
      <c r="CJ19" s="739"/>
      <c r="CK19" s="699"/>
      <c r="CL19" s="701"/>
      <c r="CM19" s="703"/>
      <c r="CN19" s="699"/>
      <c r="CO19" s="701"/>
      <c r="CP19" s="703"/>
      <c r="CQ19" s="830"/>
      <c r="CR19" s="699"/>
      <c r="CS19" s="701"/>
      <c r="CT19" s="703"/>
      <c r="CU19" s="699"/>
      <c r="CV19" s="701"/>
      <c r="CW19" s="703"/>
      <c r="CX19" s="296" t="s">
        <v>321</v>
      </c>
      <c r="CY19" s="297" t="s">
        <v>245</v>
      </c>
      <c r="DA19" s="88">
        <f>SUM(DA20:DA31,DA37:DA44,DA49:DA60)</f>
        <v>0</v>
      </c>
      <c r="DB19" s="88">
        <f>SUM(DB20:DB31,DB37:DB44)</f>
        <v>0</v>
      </c>
      <c r="DD19" s="88" t="s">
        <v>322</v>
      </c>
      <c r="DE19" s="88" t="s">
        <v>323</v>
      </c>
      <c r="DF19" s="88" t="s">
        <v>324</v>
      </c>
      <c r="DG19" s="88" t="s">
        <v>325</v>
      </c>
      <c r="DH19" s="88" t="s">
        <v>326</v>
      </c>
      <c r="DI19" s="88" t="s">
        <v>327</v>
      </c>
      <c r="DJ19" s="88" t="s">
        <v>328</v>
      </c>
      <c r="DK19" s="88" t="s">
        <v>329</v>
      </c>
      <c r="DL19" s="88" t="s">
        <v>330</v>
      </c>
      <c r="DM19" s="88" t="s">
        <v>331</v>
      </c>
      <c r="DN19" s="88" t="s">
        <v>332</v>
      </c>
      <c r="DO19" s="88" t="s">
        <v>333</v>
      </c>
      <c r="DP19" s="88" t="s">
        <v>334</v>
      </c>
      <c r="DQ19" s="88" t="s">
        <v>335</v>
      </c>
      <c r="DR19" s="88" t="s">
        <v>336</v>
      </c>
      <c r="DS19" s="88" t="s">
        <v>337</v>
      </c>
      <c r="DT19" s="88" t="s">
        <v>338</v>
      </c>
      <c r="DU19" s="88" t="s">
        <v>339</v>
      </c>
    </row>
    <row r="20" spans="2:128" ht="30" customHeight="1" x14ac:dyDescent="0.25">
      <c r="B20" s="875"/>
      <c r="C20" s="883" t="s">
        <v>45</v>
      </c>
      <c r="D20" s="884"/>
      <c r="E20" s="49"/>
      <c r="F20" s="50"/>
      <c r="G20" s="51"/>
      <c r="H20" s="51"/>
      <c r="I20" s="51"/>
      <c r="J20" s="51"/>
      <c r="K20" s="51"/>
      <c r="L20" s="23">
        <f>SUM(G20:K20)</f>
        <v>0</v>
      </c>
      <c r="M20" s="24">
        <f t="shared" ref="M20" si="4">F20+L20</f>
        <v>0</v>
      </c>
      <c r="N20" s="25"/>
      <c r="O20" s="50"/>
      <c r="P20" s="51"/>
      <c r="Q20" s="51"/>
      <c r="R20" s="51"/>
      <c r="S20" s="51"/>
      <c r="T20" s="26">
        <f>SUM(O20:S20)</f>
        <v>0</v>
      </c>
      <c r="U20" s="59"/>
      <c r="V20" s="27"/>
      <c r="W20" s="24">
        <f t="shared" ref="W20" si="5">M20+T20+U20</f>
        <v>0</v>
      </c>
      <c r="X20" s="50"/>
      <c r="Y20" s="51"/>
      <c r="Z20" s="26">
        <f>F20+L20+T20+U20-X20-Y20</f>
        <v>0</v>
      </c>
      <c r="AA20" s="62"/>
      <c r="AB20" s="63"/>
      <c r="AC20" s="66"/>
      <c r="AD20" s="67"/>
      <c r="AE20" s="68"/>
      <c r="AG20" s="6">
        <f>IF(AND(AA20&lt;&gt;"",OR(AA20&lt;EXPEDIENTE!$I$25,AA20&gt;EXPEDIENTE!$I$29)),1,0)</f>
        <v>0</v>
      </c>
      <c r="AH20" s="6">
        <f>IF(AND(AB20&lt;&gt;"",OR(AB20&lt;EXPEDIENTE!$I$25,AB20&gt;EXPEDIENTE!$I$29)),1,0)</f>
        <v>0</v>
      </c>
      <c r="AI20" s="6">
        <f>IF(DATE(YEAR(EXPEDIENTE!$I$25)+2,MONTH(DATEVALUE($C20&amp;"1")),1)&gt;=DATE(YEAR(EXPEDIENTE!$I$25),MONTH(EXPEDIENTE!$I$25),1),0,1)</f>
        <v>0</v>
      </c>
      <c r="AJ20" s="6" t="e">
        <f>IF(DATE(YEAR(EXPEDIENTE!$I$25)+2,MONTH(DATEVALUE($C20&amp;"1")),1)&lt;=DATE(YEAR(EXPEDIENTE!$I$27),MONTH(EXPEDIENTE!$I$27),1),0,1)</f>
        <v>#VALUE!</v>
      </c>
      <c r="AK20" s="6" t="e">
        <f>SUM(AI20:AJ20)</f>
        <v>#VALUE!</v>
      </c>
      <c r="AM20" s="728"/>
      <c r="AN20" s="771" t="s">
        <v>45</v>
      </c>
      <c r="AO20" s="772"/>
      <c r="AP20" s="719"/>
      <c r="AQ20" s="720"/>
      <c r="AR20" s="299">
        <f t="shared" ref="AR20:AR31" si="6">IF(E20="",0,E20)</f>
        <v>0</v>
      </c>
      <c r="AS20" s="522"/>
      <c r="AT20" s="300">
        <f>IF(AS20="",AR20,AS20)</f>
        <v>0</v>
      </c>
      <c r="AU20" s="301">
        <f t="shared" ref="AU20:AU31" si="7">IF(F20="",0,F20)</f>
        <v>0</v>
      </c>
      <c r="AV20" s="523"/>
      <c r="AW20" s="302">
        <f>IF(AV20="",AU20,AV20)</f>
        <v>0</v>
      </c>
      <c r="AX20" s="301">
        <f t="shared" ref="AX20:AX31" si="8">IF(G20="",0,G20)</f>
        <v>0</v>
      </c>
      <c r="AY20" s="524"/>
      <c r="AZ20" s="303">
        <f>IF(AY20="",AX20,AY20)</f>
        <v>0</v>
      </c>
      <c r="BA20" s="303">
        <f t="shared" ref="BA20:BA31" si="9">IF(H20="",0,H20)</f>
        <v>0</v>
      </c>
      <c r="BB20" s="524"/>
      <c r="BC20" s="303">
        <f>IF(BB20="",BA20,BB20)</f>
        <v>0</v>
      </c>
      <c r="BD20" s="303">
        <f t="shared" ref="BD20:BD31" si="10">IF(I20="",0,I20)</f>
        <v>0</v>
      </c>
      <c r="BE20" s="524"/>
      <c r="BF20" s="303">
        <f>IF(BE20="",BD20,BE20)</f>
        <v>0</v>
      </c>
      <c r="BG20" s="303">
        <f t="shared" ref="BG20:BG31" si="11">IF(J20="",0,J20)</f>
        <v>0</v>
      </c>
      <c r="BH20" s="524"/>
      <c r="BI20" s="303">
        <f>IF(BH20="",BG20,BH20)</f>
        <v>0</v>
      </c>
      <c r="BJ20" s="303">
        <f t="shared" ref="BJ20:BJ31" si="12">IF(K20="",0,K20)</f>
        <v>0</v>
      </c>
      <c r="BK20" s="524"/>
      <c r="BL20" s="303">
        <f>IF(BK20="",BJ20,BK20)</f>
        <v>0</v>
      </c>
      <c r="BM20" s="304">
        <f>AZ20+BC20+BF20+BI20+BL20</f>
        <v>0</v>
      </c>
      <c r="BN20" s="305">
        <f>AW20+BM20</f>
        <v>0</v>
      </c>
      <c r="BO20" s="306"/>
      <c r="BP20" s="301">
        <f t="shared" ref="BP20:BP31" si="13">IF(O20="",0,O20)</f>
        <v>0</v>
      </c>
      <c r="BQ20" s="523"/>
      <c r="BR20" s="307">
        <f>IF(BQ20="",BP20,BQ20)</f>
        <v>0</v>
      </c>
      <c r="BS20" s="303">
        <f t="shared" ref="BS20:BS31" si="14">IF(P20="",0,P20)</f>
        <v>0</v>
      </c>
      <c r="BT20" s="524"/>
      <c r="BU20" s="303">
        <f>IF(BT20="",BS20,BT20)</f>
        <v>0</v>
      </c>
      <c r="BV20" s="303">
        <f t="shared" ref="BV20:BV31" si="15">IF(Q20="",0,Q20)</f>
        <v>0</v>
      </c>
      <c r="BW20" s="524"/>
      <c r="BX20" s="303">
        <f>IF(BW20="",BV20,BW20)</f>
        <v>0</v>
      </c>
      <c r="BY20" s="303">
        <f t="shared" ref="BY20:BY31" si="16">IF(R20="",0,R20)</f>
        <v>0</v>
      </c>
      <c r="BZ20" s="524"/>
      <c r="CA20" s="303">
        <f>IF(BZ20="",BY20,BZ20)</f>
        <v>0</v>
      </c>
      <c r="CB20" s="303">
        <f t="shared" ref="CB20:CB31" si="17">IF(S20="",0,S20)</f>
        <v>0</v>
      </c>
      <c r="CC20" s="524"/>
      <c r="CD20" s="303">
        <f>IF(CC20="",CB20,CC20)</f>
        <v>0</v>
      </c>
      <c r="CE20" s="304">
        <f>BR20+BU20+BX20+CA20+CD20</f>
        <v>0</v>
      </c>
      <c r="CF20" s="308">
        <f t="shared" ref="CF20:CF31" si="18">IF(U20="",0,U20)</f>
        <v>0</v>
      </c>
      <c r="CG20" s="525"/>
      <c r="CH20" s="309">
        <f>IF(CG20="",CF20,CG20)</f>
        <v>0</v>
      </c>
      <c r="CI20" s="310"/>
      <c r="CJ20" s="311">
        <f>BN20+CE20+CH20</f>
        <v>0</v>
      </c>
      <c r="CK20" s="301">
        <f t="shared" ref="CK20:CK31" si="19">IF(X20="",0,X20)</f>
        <v>0</v>
      </c>
      <c r="CL20" s="523"/>
      <c r="CM20" s="302">
        <f>IF(CL20="",CK20,CL20)</f>
        <v>0</v>
      </c>
      <c r="CN20" s="308">
        <f t="shared" ref="CN20:CN31" si="20">IF(Y20="",0,Y20)</f>
        <v>0</v>
      </c>
      <c r="CO20" s="525"/>
      <c r="CP20" s="309">
        <f>IF(CO20="",CN20,CO20)</f>
        <v>0</v>
      </c>
      <c r="CQ20" s="312">
        <f>AW20+BM20+CE20+CH20-CM20-CP20</f>
        <v>0</v>
      </c>
      <c r="CR20" s="313" t="str">
        <f t="shared" ref="CR20:CR31" si="21">IF(AA20="","",AA20)</f>
        <v/>
      </c>
      <c r="CS20" s="526"/>
      <c r="CT20" s="314" t="str">
        <f>IF(CS20="",CR20,CS20)</f>
        <v/>
      </c>
      <c r="CU20" s="315" t="str">
        <f t="shared" ref="CU20:CU31" si="22">IF(AB20="","",AB20)</f>
        <v/>
      </c>
      <c r="CV20" s="236"/>
      <c r="CW20" s="316" t="str">
        <f>IF(CV20="",CU20,CV20)</f>
        <v/>
      </c>
      <c r="CX20" s="317" t="str">
        <f>IF(DD20=0,"",DD20)</f>
        <v/>
      </c>
      <c r="CY20" s="527"/>
      <c r="DA20" s="6">
        <f>IF(AND(CT20&lt;&gt;"",OR(CT20&lt;EXPEDIENTE!$I$25,CT20&gt;EXPEDIENTE!$I$29)),1,0)</f>
        <v>0</v>
      </c>
      <c r="DB20" s="6">
        <f>IF(AND(CW20&lt;&gt;"",OR(CW20&lt;EXPEDIENTE!$I$25,CW20&gt;EXPEDIENTE!$I$29)),1,0)</f>
        <v>0</v>
      </c>
      <c r="DD20" s="88">
        <f t="shared" ref="DD20:DD31" si="23">SUM(DE20:DU20)</f>
        <v>0</v>
      </c>
      <c r="DE20" s="88">
        <f>IF(AS20="",0,1)</f>
        <v>0</v>
      </c>
      <c r="DF20" s="88">
        <f>IF(AV20="",0,1)</f>
        <v>0</v>
      </c>
      <c r="DG20" s="88">
        <f>IF(AY20="",0,1)</f>
        <v>0</v>
      </c>
      <c r="DH20" s="88">
        <f>IF(BB20="",0,1)</f>
        <v>0</v>
      </c>
      <c r="DI20" s="88">
        <f>IF(BE20="",0,1)</f>
        <v>0</v>
      </c>
      <c r="DJ20" s="88">
        <f>IF(BH20="",0,1)</f>
        <v>0</v>
      </c>
      <c r="DK20" s="88">
        <f>IF(BK20="",0,1)</f>
        <v>0</v>
      </c>
      <c r="DL20" s="88">
        <f>IF(BQ20="",0,1)</f>
        <v>0</v>
      </c>
      <c r="DM20" s="88">
        <f>IF(BT20="",0,1)</f>
        <v>0</v>
      </c>
      <c r="DN20" s="88">
        <f>IF(BW20="",0,1)</f>
        <v>0</v>
      </c>
      <c r="DO20" s="88">
        <f>IF(BZ20="",0,1)</f>
        <v>0</v>
      </c>
      <c r="DP20" s="88">
        <f>IF(CC20="",0,1)</f>
        <v>0</v>
      </c>
      <c r="DQ20" s="88">
        <f>IF(CG20="",0,1)</f>
        <v>0</v>
      </c>
      <c r="DR20" s="88">
        <f>IF(CL20="",0,1)</f>
        <v>0</v>
      </c>
      <c r="DS20" s="88">
        <f>IF(CO20="",0,1)</f>
        <v>0</v>
      </c>
      <c r="DT20" s="88">
        <f>IF(CS20="",0,1)</f>
        <v>0</v>
      </c>
      <c r="DU20" s="88">
        <f>IF(CV20="",0,1)</f>
        <v>0</v>
      </c>
      <c r="DW20" s="88">
        <f>IF(CY20&lt;&gt;"",MAX($DW$9:DW19)+1,0)</f>
        <v>0</v>
      </c>
      <c r="DX20" s="182" t="str">
        <f>IF(DW20=0,"",CY20)</f>
        <v/>
      </c>
    </row>
    <row r="21" spans="2:128" ht="30" customHeight="1" x14ac:dyDescent="0.25">
      <c r="B21" s="875"/>
      <c r="C21" s="885" t="s">
        <v>46</v>
      </c>
      <c r="D21" s="886"/>
      <c r="E21" s="52"/>
      <c r="F21" s="53"/>
      <c r="G21" s="54"/>
      <c r="H21" s="54"/>
      <c r="I21" s="54"/>
      <c r="J21" s="54"/>
      <c r="K21" s="54"/>
      <c r="L21" s="23">
        <f t="shared" ref="L21:L31" si="24">SUM(G21:K21)</f>
        <v>0</v>
      </c>
      <c r="M21" s="28">
        <f>F21+L21</f>
        <v>0</v>
      </c>
      <c r="N21" s="25"/>
      <c r="O21" s="53"/>
      <c r="P21" s="54"/>
      <c r="Q21" s="54"/>
      <c r="R21" s="54"/>
      <c r="S21" s="54"/>
      <c r="T21" s="23">
        <f t="shared" ref="T21:T31" si="25">SUM(O21:S21)</f>
        <v>0</v>
      </c>
      <c r="U21" s="60"/>
      <c r="V21" s="27"/>
      <c r="W21" s="28">
        <f>M21+T21+U21</f>
        <v>0</v>
      </c>
      <c r="X21" s="53"/>
      <c r="Y21" s="54"/>
      <c r="Z21" s="23">
        <f t="shared" ref="Z21:Z31" si="26">F21+L21+T21+U21-X21-Y21</f>
        <v>0</v>
      </c>
      <c r="AA21" s="62"/>
      <c r="AB21" s="63"/>
      <c r="AC21" s="69"/>
      <c r="AD21" s="70"/>
      <c r="AE21" s="71"/>
      <c r="AG21" s="6">
        <f>IF(AND(AA21&lt;&gt;"",OR(AA21&lt;EXPEDIENTE!$I$25,AA21&gt;EXPEDIENTE!$I$29)),1,0)</f>
        <v>0</v>
      </c>
      <c r="AH21" s="6">
        <f>IF(AND(AB21&lt;&gt;"",OR(AB21&lt;EXPEDIENTE!$I$25,AB21&gt;EXPEDIENTE!$I$29)),1,0)</f>
        <v>0</v>
      </c>
      <c r="AI21" s="6">
        <f>IF(DATE(YEAR(EXPEDIENTE!$I$25)+2,MONTH(DATEVALUE($C21&amp;"1")),1)&gt;=DATE(YEAR(EXPEDIENTE!$I$25),MONTH(EXPEDIENTE!$I$25),1),0,1)</f>
        <v>0</v>
      </c>
      <c r="AJ21" s="6" t="e">
        <f>IF(DATE(YEAR(EXPEDIENTE!$I$25)+2,MONTH(DATEVALUE($C21&amp;"1")),1)&lt;=DATE(YEAR(EXPEDIENTE!$I$27),MONTH(EXPEDIENTE!$I$27),1),0,1)</f>
        <v>#VALUE!</v>
      </c>
      <c r="AK21" s="6" t="e">
        <f t="shared" ref="AK21:AK31" si="27">SUM(AI21:AJ21)</f>
        <v>#VALUE!</v>
      </c>
      <c r="AM21" s="728"/>
      <c r="AN21" s="723" t="s">
        <v>46</v>
      </c>
      <c r="AO21" s="724"/>
      <c r="AP21" s="719"/>
      <c r="AQ21" s="720"/>
      <c r="AR21" s="319">
        <f t="shared" si="6"/>
        <v>0</v>
      </c>
      <c r="AS21" s="120"/>
      <c r="AT21" s="320">
        <f t="shared" ref="AT21:AT31" si="28">IF(AS21="",AR21,AS21)</f>
        <v>0</v>
      </c>
      <c r="AU21" s="321">
        <f t="shared" si="7"/>
        <v>0</v>
      </c>
      <c r="AV21" s="528"/>
      <c r="AW21" s="322">
        <f t="shared" ref="AW21:AW31" si="29">IF(AV21="",AU21,AV21)</f>
        <v>0</v>
      </c>
      <c r="AX21" s="321">
        <f t="shared" si="8"/>
        <v>0</v>
      </c>
      <c r="AY21" s="529"/>
      <c r="AZ21" s="323">
        <f t="shared" ref="AZ21:AZ31" si="30">IF(AY21="",AX21,AY21)</f>
        <v>0</v>
      </c>
      <c r="BA21" s="323">
        <f t="shared" si="9"/>
        <v>0</v>
      </c>
      <c r="BB21" s="529"/>
      <c r="BC21" s="323">
        <f t="shared" ref="BC21:BC31" si="31">IF(BB21="",BA21,BB21)</f>
        <v>0</v>
      </c>
      <c r="BD21" s="323">
        <f t="shared" si="10"/>
        <v>0</v>
      </c>
      <c r="BE21" s="529"/>
      <c r="BF21" s="323">
        <f t="shared" ref="BF21:BF31" si="32">IF(BE21="",BD21,BE21)</f>
        <v>0</v>
      </c>
      <c r="BG21" s="323">
        <f t="shared" si="11"/>
        <v>0</v>
      </c>
      <c r="BH21" s="529"/>
      <c r="BI21" s="323">
        <f t="shared" ref="BI21:BI31" si="33">IF(BH21="",BG21,BH21)</f>
        <v>0</v>
      </c>
      <c r="BJ21" s="323">
        <f t="shared" si="12"/>
        <v>0</v>
      </c>
      <c r="BK21" s="529"/>
      <c r="BL21" s="323">
        <f t="shared" ref="BL21:BL31" si="34">IF(BK21="",BJ21,BK21)</f>
        <v>0</v>
      </c>
      <c r="BM21" s="304">
        <f t="shared" ref="BM21:BM31" si="35">AZ21+BC21+BF21+BI21+BL21</f>
        <v>0</v>
      </c>
      <c r="BN21" s="324">
        <f t="shared" ref="BN21:BN31" si="36">AW21+BM21</f>
        <v>0</v>
      </c>
      <c r="BO21" s="306"/>
      <c r="BP21" s="321">
        <f t="shared" si="13"/>
        <v>0</v>
      </c>
      <c r="BQ21" s="528"/>
      <c r="BR21" s="325">
        <f t="shared" ref="BR21:BR31" si="37">IF(BQ21="",BP21,BQ21)</f>
        <v>0</v>
      </c>
      <c r="BS21" s="323">
        <f t="shared" si="14"/>
        <v>0</v>
      </c>
      <c r="BT21" s="529"/>
      <c r="BU21" s="323">
        <f t="shared" ref="BU21:BU31" si="38">IF(BT21="",BS21,BT21)</f>
        <v>0</v>
      </c>
      <c r="BV21" s="323">
        <f t="shared" si="15"/>
        <v>0</v>
      </c>
      <c r="BW21" s="529"/>
      <c r="BX21" s="323">
        <f t="shared" ref="BX21:BX31" si="39">IF(BW21="",BV21,BW21)</f>
        <v>0</v>
      </c>
      <c r="BY21" s="323">
        <f t="shared" si="16"/>
        <v>0</v>
      </c>
      <c r="BZ21" s="529"/>
      <c r="CA21" s="323">
        <f t="shared" ref="CA21:CA31" si="40">IF(BZ21="",BY21,BZ21)</f>
        <v>0</v>
      </c>
      <c r="CB21" s="323">
        <f t="shared" si="17"/>
        <v>0</v>
      </c>
      <c r="CC21" s="529"/>
      <c r="CD21" s="323">
        <f t="shared" ref="CD21:CD31" si="41">IF(CC21="",CB21,CC21)</f>
        <v>0</v>
      </c>
      <c r="CE21" s="304">
        <f t="shared" ref="CE21:CE31" si="42">BR21+BU21+BX21+CA21+CD21</f>
        <v>0</v>
      </c>
      <c r="CF21" s="321">
        <f t="shared" si="18"/>
        <v>0</v>
      </c>
      <c r="CG21" s="529"/>
      <c r="CH21" s="326">
        <f t="shared" ref="CH21:CH31" si="43">IF(CG21="",CF21,CG21)</f>
        <v>0</v>
      </c>
      <c r="CI21" s="310"/>
      <c r="CJ21" s="327">
        <f t="shared" ref="CJ21:CJ31" si="44">BN21+CE21+CH21</f>
        <v>0</v>
      </c>
      <c r="CK21" s="321">
        <f t="shared" si="19"/>
        <v>0</v>
      </c>
      <c r="CL21" s="528"/>
      <c r="CM21" s="322">
        <f t="shared" ref="CM21:CM31" si="45">IF(CL21="",CK21,CL21)</f>
        <v>0</v>
      </c>
      <c r="CN21" s="321">
        <f t="shared" si="20"/>
        <v>0</v>
      </c>
      <c r="CO21" s="529"/>
      <c r="CP21" s="326">
        <f t="shared" ref="CP21:CP31" si="46">IF(CO21="",CN21,CO21)</f>
        <v>0</v>
      </c>
      <c r="CQ21" s="327">
        <f t="shared" ref="CQ21:CQ31" si="47">AW21+BM21+CE21+CH21-CM21-CP21</f>
        <v>0</v>
      </c>
      <c r="CR21" s="313" t="str">
        <f t="shared" si="21"/>
        <v/>
      </c>
      <c r="CS21" s="526"/>
      <c r="CT21" s="314" t="str">
        <f t="shared" ref="CT21:CT31" si="48">IF(CS21="",CR21,CS21)</f>
        <v/>
      </c>
      <c r="CU21" s="315" t="str">
        <f t="shared" si="22"/>
        <v/>
      </c>
      <c r="CV21" s="236"/>
      <c r="CW21" s="316" t="str">
        <f t="shared" ref="CW21:CW31" si="49">IF(CV21="",CU21,CV21)</f>
        <v/>
      </c>
      <c r="CX21" s="328" t="str">
        <f t="shared" ref="CX21:CX31" si="50">IF(DD21=0,"",DD21)</f>
        <v/>
      </c>
      <c r="CY21" s="530"/>
      <c r="DA21" s="6">
        <f>IF(AND(CT21&lt;&gt;"",OR(CT21&lt;EXPEDIENTE!$I$25,CT21&gt;EXPEDIENTE!$I$29)),1,0)</f>
        <v>0</v>
      </c>
      <c r="DB21" s="6">
        <f>IF(AND(CW21&lt;&gt;"",OR(CW21&lt;EXPEDIENTE!$I$25,CW21&gt;EXPEDIENTE!$I$29)),1,0)</f>
        <v>0</v>
      </c>
      <c r="DD21" s="88">
        <f t="shared" si="23"/>
        <v>0</v>
      </c>
      <c r="DE21" s="88">
        <f t="shared" ref="DE21:DE31" si="51">IF(AS21="",0,1)</f>
        <v>0</v>
      </c>
      <c r="DF21" s="88">
        <f t="shared" ref="DF21:DF31" si="52">IF(AV21="",0,1)</f>
        <v>0</v>
      </c>
      <c r="DG21" s="88">
        <f t="shared" ref="DG21:DG31" si="53">IF(AY21="",0,1)</f>
        <v>0</v>
      </c>
      <c r="DH21" s="88">
        <f t="shared" ref="DH21:DH31" si="54">IF(BB21="",0,1)</f>
        <v>0</v>
      </c>
      <c r="DI21" s="88">
        <f t="shared" ref="DI21:DI31" si="55">IF(BE21="",0,1)</f>
        <v>0</v>
      </c>
      <c r="DJ21" s="88">
        <f t="shared" ref="DJ21:DJ31" si="56">IF(BH21="",0,1)</f>
        <v>0</v>
      </c>
      <c r="DK21" s="88">
        <f t="shared" ref="DK21:DK31" si="57">IF(BK21="",0,1)</f>
        <v>0</v>
      </c>
      <c r="DL21" s="88">
        <f t="shared" ref="DL21:DL31" si="58">IF(BQ21="",0,1)</f>
        <v>0</v>
      </c>
      <c r="DM21" s="88">
        <f t="shared" ref="DM21:DM31" si="59">IF(BT21="",0,1)</f>
        <v>0</v>
      </c>
      <c r="DN21" s="88">
        <f t="shared" ref="DN21:DN31" si="60">IF(BW21="",0,1)</f>
        <v>0</v>
      </c>
      <c r="DO21" s="88">
        <f t="shared" ref="DO21:DO31" si="61">IF(BZ21="",0,1)</f>
        <v>0</v>
      </c>
      <c r="DP21" s="88">
        <f t="shared" ref="DP21:DP31" si="62">IF(CC21="",0,1)</f>
        <v>0</v>
      </c>
      <c r="DQ21" s="88">
        <f t="shared" ref="DQ21:DQ31" si="63">IF(CG21="",0,1)</f>
        <v>0</v>
      </c>
      <c r="DR21" s="88">
        <f t="shared" ref="DR21:DR31" si="64">IF(CL21="",0,1)</f>
        <v>0</v>
      </c>
      <c r="DS21" s="88">
        <f t="shared" ref="DS21:DS31" si="65">IF(CO21="",0,1)</f>
        <v>0</v>
      </c>
      <c r="DT21" s="88">
        <f t="shared" ref="DT21:DT31" si="66">IF(CS21="",0,1)</f>
        <v>0</v>
      </c>
      <c r="DU21" s="88">
        <f t="shared" ref="DU21:DU31" si="67">IF(CV21="",0,1)</f>
        <v>0</v>
      </c>
      <c r="DW21" s="88">
        <f>IF(CY21&lt;&gt;"",MAX($DW$9:DW20)+1,0)</f>
        <v>0</v>
      </c>
      <c r="DX21" s="182" t="str">
        <f t="shared" ref="DX21:DX31" si="68">IF(DW21=0,"",CY21)</f>
        <v/>
      </c>
    </row>
    <row r="22" spans="2:128" ht="30" customHeight="1" x14ac:dyDescent="0.25">
      <c r="B22" s="875"/>
      <c r="C22" s="885" t="s">
        <v>47</v>
      </c>
      <c r="D22" s="886"/>
      <c r="E22" s="52"/>
      <c r="F22" s="53"/>
      <c r="G22" s="54"/>
      <c r="H22" s="54"/>
      <c r="I22" s="54"/>
      <c r="J22" s="54"/>
      <c r="K22" s="54"/>
      <c r="L22" s="23">
        <f t="shared" si="24"/>
        <v>0</v>
      </c>
      <c r="M22" s="28">
        <f t="shared" ref="M22:M31" si="69">F22+L22</f>
        <v>0</v>
      </c>
      <c r="N22" s="25"/>
      <c r="O22" s="53"/>
      <c r="P22" s="54"/>
      <c r="Q22" s="54"/>
      <c r="R22" s="54"/>
      <c r="S22" s="54"/>
      <c r="T22" s="23">
        <f t="shared" si="25"/>
        <v>0</v>
      </c>
      <c r="U22" s="60"/>
      <c r="V22" s="27"/>
      <c r="W22" s="28">
        <f t="shared" ref="W22:W31" si="70">M22+T22+U22</f>
        <v>0</v>
      </c>
      <c r="X22" s="53"/>
      <c r="Y22" s="54"/>
      <c r="Z22" s="23">
        <f t="shared" si="26"/>
        <v>0</v>
      </c>
      <c r="AA22" s="62"/>
      <c r="AB22" s="63"/>
      <c r="AC22" s="69"/>
      <c r="AD22" s="70"/>
      <c r="AE22" s="71"/>
      <c r="AG22" s="6">
        <f>IF(AND(AA22&lt;&gt;"",OR(AA22&lt;EXPEDIENTE!$I$25,AA22&gt;EXPEDIENTE!$I$29)),1,0)</f>
        <v>0</v>
      </c>
      <c r="AH22" s="6">
        <f>IF(AND(AB22&lt;&gt;"",OR(AB22&lt;EXPEDIENTE!$I$25,AB22&gt;EXPEDIENTE!$I$29)),1,0)</f>
        <v>0</v>
      </c>
      <c r="AI22" s="6">
        <f>IF(DATE(YEAR(EXPEDIENTE!$I$25)+2,MONTH(DATEVALUE($C22&amp;"1")),1)&gt;=DATE(YEAR(EXPEDIENTE!$I$25),MONTH(EXPEDIENTE!$I$25),1),0,1)</f>
        <v>0</v>
      </c>
      <c r="AJ22" s="6" t="e">
        <f>IF(DATE(YEAR(EXPEDIENTE!$I$25)+2,MONTH(DATEVALUE($C22&amp;"1")),1)&lt;=DATE(YEAR(EXPEDIENTE!$I$27),MONTH(EXPEDIENTE!$I$27),1),0,1)</f>
        <v>#VALUE!</v>
      </c>
      <c r="AK22" s="6" t="e">
        <f t="shared" si="27"/>
        <v>#VALUE!</v>
      </c>
      <c r="AM22" s="728"/>
      <c r="AN22" s="723" t="s">
        <v>47</v>
      </c>
      <c r="AO22" s="724"/>
      <c r="AP22" s="719"/>
      <c r="AQ22" s="720"/>
      <c r="AR22" s="319">
        <f t="shared" si="6"/>
        <v>0</v>
      </c>
      <c r="AS22" s="120"/>
      <c r="AT22" s="320">
        <f t="shared" si="28"/>
        <v>0</v>
      </c>
      <c r="AU22" s="321">
        <f t="shared" si="7"/>
        <v>0</v>
      </c>
      <c r="AV22" s="528"/>
      <c r="AW22" s="322">
        <f t="shared" si="29"/>
        <v>0</v>
      </c>
      <c r="AX22" s="321">
        <f t="shared" si="8"/>
        <v>0</v>
      </c>
      <c r="AY22" s="529"/>
      <c r="AZ22" s="323">
        <f t="shared" si="30"/>
        <v>0</v>
      </c>
      <c r="BA22" s="323">
        <f t="shared" si="9"/>
        <v>0</v>
      </c>
      <c r="BB22" s="529"/>
      <c r="BC22" s="323">
        <f t="shared" si="31"/>
        <v>0</v>
      </c>
      <c r="BD22" s="323">
        <f t="shared" si="10"/>
        <v>0</v>
      </c>
      <c r="BE22" s="529"/>
      <c r="BF22" s="323">
        <f t="shared" si="32"/>
        <v>0</v>
      </c>
      <c r="BG22" s="323">
        <f t="shared" si="11"/>
        <v>0</v>
      </c>
      <c r="BH22" s="529"/>
      <c r="BI22" s="323">
        <f t="shared" si="33"/>
        <v>0</v>
      </c>
      <c r="BJ22" s="323">
        <f t="shared" si="12"/>
        <v>0</v>
      </c>
      <c r="BK22" s="529"/>
      <c r="BL22" s="323">
        <f t="shared" si="34"/>
        <v>0</v>
      </c>
      <c r="BM22" s="304">
        <f t="shared" si="35"/>
        <v>0</v>
      </c>
      <c r="BN22" s="324">
        <f t="shared" si="36"/>
        <v>0</v>
      </c>
      <c r="BO22" s="306"/>
      <c r="BP22" s="321">
        <f t="shared" si="13"/>
        <v>0</v>
      </c>
      <c r="BQ22" s="528"/>
      <c r="BR22" s="325">
        <f t="shared" si="37"/>
        <v>0</v>
      </c>
      <c r="BS22" s="323">
        <f t="shared" si="14"/>
        <v>0</v>
      </c>
      <c r="BT22" s="529"/>
      <c r="BU22" s="323">
        <f t="shared" si="38"/>
        <v>0</v>
      </c>
      <c r="BV22" s="323">
        <f t="shared" si="15"/>
        <v>0</v>
      </c>
      <c r="BW22" s="529"/>
      <c r="BX22" s="323">
        <f t="shared" si="39"/>
        <v>0</v>
      </c>
      <c r="BY22" s="323">
        <f t="shared" si="16"/>
        <v>0</v>
      </c>
      <c r="BZ22" s="529"/>
      <c r="CA22" s="323">
        <f t="shared" si="40"/>
        <v>0</v>
      </c>
      <c r="CB22" s="323">
        <f t="shared" si="17"/>
        <v>0</v>
      </c>
      <c r="CC22" s="529"/>
      <c r="CD22" s="323">
        <f t="shared" si="41"/>
        <v>0</v>
      </c>
      <c r="CE22" s="304">
        <f t="shared" si="42"/>
        <v>0</v>
      </c>
      <c r="CF22" s="321">
        <f t="shared" si="18"/>
        <v>0</v>
      </c>
      <c r="CG22" s="529"/>
      <c r="CH22" s="326">
        <f t="shared" si="43"/>
        <v>0</v>
      </c>
      <c r="CI22" s="310"/>
      <c r="CJ22" s="327">
        <f t="shared" si="44"/>
        <v>0</v>
      </c>
      <c r="CK22" s="321">
        <f t="shared" si="19"/>
        <v>0</v>
      </c>
      <c r="CL22" s="528"/>
      <c r="CM22" s="322">
        <f t="shared" si="45"/>
        <v>0</v>
      </c>
      <c r="CN22" s="321">
        <f t="shared" si="20"/>
        <v>0</v>
      </c>
      <c r="CO22" s="529"/>
      <c r="CP22" s="326">
        <f t="shared" si="46"/>
        <v>0</v>
      </c>
      <c r="CQ22" s="327">
        <f t="shared" si="47"/>
        <v>0</v>
      </c>
      <c r="CR22" s="313" t="str">
        <f t="shared" si="21"/>
        <v/>
      </c>
      <c r="CS22" s="526"/>
      <c r="CT22" s="314" t="str">
        <f t="shared" si="48"/>
        <v/>
      </c>
      <c r="CU22" s="315" t="str">
        <f t="shared" si="22"/>
        <v/>
      </c>
      <c r="CV22" s="236"/>
      <c r="CW22" s="316" t="str">
        <f t="shared" si="49"/>
        <v/>
      </c>
      <c r="CX22" s="328" t="str">
        <f t="shared" si="50"/>
        <v/>
      </c>
      <c r="CY22" s="530"/>
      <c r="DA22" s="6">
        <f>IF(AND(CT22&lt;&gt;"",OR(CT22&lt;EXPEDIENTE!$I$25,CT22&gt;EXPEDIENTE!$I$29)),1,0)</f>
        <v>0</v>
      </c>
      <c r="DB22" s="6">
        <f>IF(AND(CW22&lt;&gt;"",OR(CW22&lt;EXPEDIENTE!$I$25,CW22&gt;EXPEDIENTE!$I$29)),1,0)</f>
        <v>0</v>
      </c>
      <c r="DD22" s="88">
        <f t="shared" si="23"/>
        <v>0</v>
      </c>
      <c r="DE22" s="88">
        <f t="shared" si="51"/>
        <v>0</v>
      </c>
      <c r="DF22" s="88">
        <f t="shared" si="52"/>
        <v>0</v>
      </c>
      <c r="DG22" s="88">
        <f t="shared" si="53"/>
        <v>0</v>
      </c>
      <c r="DH22" s="88">
        <f t="shared" si="54"/>
        <v>0</v>
      </c>
      <c r="DI22" s="88">
        <f t="shared" si="55"/>
        <v>0</v>
      </c>
      <c r="DJ22" s="88">
        <f t="shared" si="56"/>
        <v>0</v>
      </c>
      <c r="DK22" s="88">
        <f t="shared" si="57"/>
        <v>0</v>
      </c>
      <c r="DL22" s="88">
        <f t="shared" si="58"/>
        <v>0</v>
      </c>
      <c r="DM22" s="88">
        <f t="shared" si="59"/>
        <v>0</v>
      </c>
      <c r="DN22" s="88">
        <f t="shared" si="60"/>
        <v>0</v>
      </c>
      <c r="DO22" s="88">
        <f t="shared" si="61"/>
        <v>0</v>
      </c>
      <c r="DP22" s="88">
        <f t="shared" si="62"/>
        <v>0</v>
      </c>
      <c r="DQ22" s="88">
        <f t="shared" si="63"/>
        <v>0</v>
      </c>
      <c r="DR22" s="88">
        <f t="shared" si="64"/>
        <v>0</v>
      </c>
      <c r="DS22" s="88">
        <f t="shared" si="65"/>
        <v>0</v>
      </c>
      <c r="DT22" s="88">
        <f t="shared" si="66"/>
        <v>0</v>
      </c>
      <c r="DU22" s="88">
        <f t="shared" si="67"/>
        <v>0</v>
      </c>
      <c r="DW22" s="88">
        <f>IF(CY22&lt;&gt;"",MAX($DW$9:DW21)+1,0)</f>
        <v>0</v>
      </c>
      <c r="DX22" s="182" t="str">
        <f t="shared" si="68"/>
        <v/>
      </c>
    </row>
    <row r="23" spans="2:128" ht="30" customHeight="1" x14ac:dyDescent="0.25">
      <c r="B23" s="875"/>
      <c r="C23" s="885" t="s">
        <v>48</v>
      </c>
      <c r="D23" s="886"/>
      <c r="E23" s="52"/>
      <c r="F23" s="53"/>
      <c r="G23" s="54"/>
      <c r="H23" s="54"/>
      <c r="I23" s="54"/>
      <c r="J23" s="54"/>
      <c r="K23" s="54"/>
      <c r="L23" s="23">
        <f t="shared" si="24"/>
        <v>0</v>
      </c>
      <c r="M23" s="28">
        <f t="shared" si="69"/>
        <v>0</v>
      </c>
      <c r="N23" s="25"/>
      <c r="O23" s="53"/>
      <c r="P23" s="54"/>
      <c r="Q23" s="54"/>
      <c r="R23" s="54"/>
      <c r="S23" s="54"/>
      <c r="T23" s="23">
        <f t="shared" si="25"/>
        <v>0</v>
      </c>
      <c r="U23" s="60"/>
      <c r="V23" s="27"/>
      <c r="W23" s="28">
        <f t="shared" si="70"/>
        <v>0</v>
      </c>
      <c r="X23" s="53"/>
      <c r="Y23" s="54"/>
      <c r="Z23" s="23">
        <f t="shared" si="26"/>
        <v>0</v>
      </c>
      <c r="AA23" s="62"/>
      <c r="AB23" s="63"/>
      <c r="AC23" s="69"/>
      <c r="AD23" s="70"/>
      <c r="AE23" s="71"/>
      <c r="AG23" s="6">
        <f>IF(AND(AA23&lt;&gt;"",OR(AA23&lt;EXPEDIENTE!$I$25,AA23&gt;EXPEDIENTE!$I$29)),1,0)</f>
        <v>0</v>
      </c>
      <c r="AH23" s="6">
        <f>IF(AND(AB23&lt;&gt;"",OR(AB23&lt;EXPEDIENTE!$I$25,AB23&gt;EXPEDIENTE!$I$29)),1,0)</f>
        <v>0</v>
      </c>
      <c r="AI23" s="6">
        <f>IF(DATE(YEAR(EXPEDIENTE!$I$25)+2,MONTH(DATEVALUE($C23&amp;"1")),1)&gt;=DATE(YEAR(EXPEDIENTE!$I$25),MONTH(EXPEDIENTE!$I$25),1),0,1)</f>
        <v>0</v>
      </c>
      <c r="AJ23" s="6" t="e">
        <f>IF(DATE(YEAR(EXPEDIENTE!$I$25)+2,MONTH(DATEVALUE($C23&amp;"1")),1)&lt;=DATE(YEAR(EXPEDIENTE!$I$27),MONTH(EXPEDIENTE!$I$27),1),0,1)</f>
        <v>#VALUE!</v>
      </c>
      <c r="AK23" s="6" t="e">
        <f t="shared" si="27"/>
        <v>#VALUE!</v>
      </c>
      <c r="AM23" s="728"/>
      <c r="AN23" s="723" t="s">
        <v>48</v>
      </c>
      <c r="AO23" s="724"/>
      <c r="AP23" s="719"/>
      <c r="AQ23" s="720"/>
      <c r="AR23" s="319">
        <f t="shared" si="6"/>
        <v>0</v>
      </c>
      <c r="AS23" s="120"/>
      <c r="AT23" s="320">
        <f t="shared" si="28"/>
        <v>0</v>
      </c>
      <c r="AU23" s="321">
        <f t="shared" si="7"/>
        <v>0</v>
      </c>
      <c r="AV23" s="528"/>
      <c r="AW23" s="322">
        <f t="shared" si="29"/>
        <v>0</v>
      </c>
      <c r="AX23" s="321">
        <f t="shared" si="8"/>
        <v>0</v>
      </c>
      <c r="AY23" s="529"/>
      <c r="AZ23" s="323">
        <f t="shared" si="30"/>
        <v>0</v>
      </c>
      <c r="BA23" s="323">
        <f t="shared" si="9"/>
        <v>0</v>
      </c>
      <c r="BB23" s="529"/>
      <c r="BC23" s="323">
        <f t="shared" si="31"/>
        <v>0</v>
      </c>
      <c r="BD23" s="323">
        <f t="shared" si="10"/>
        <v>0</v>
      </c>
      <c r="BE23" s="529"/>
      <c r="BF23" s="323">
        <f t="shared" si="32"/>
        <v>0</v>
      </c>
      <c r="BG23" s="323">
        <f t="shared" si="11"/>
        <v>0</v>
      </c>
      <c r="BH23" s="529"/>
      <c r="BI23" s="323">
        <f t="shared" si="33"/>
        <v>0</v>
      </c>
      <c r="BJ23" s="323">
        <f t="shared" si="12"/>
        <v>0</v>
      </c>
      <c r="BK23" s="529"/>
      <c r="BL23" s="323">
        <f t="shared" si="34"/>
        <v>0</v>
      </c>
      <c r="BM23" s="304">
        <f t="shared" si="35"/>
        <v>0</v>
      </c>
      <c r="BN23" s="324">
        <f t="shared" si="36"/>
        <v>0</v>
      </c>
      <c r="BO23" s="306"/>
      <c r="BP23" s="321">
        <f t="shared" si="13"/>
        <v>0</v>
      </c>
      <c r="BQ23" s="528"/>
      <c r="BR23" s="325">
        <f t="shared" si="37"/>
        <v>0</v>
      </c>
      <c r="BS23" s="323">
        <f t="shared" si="14"/>
        <v>0</v>
      </c>
      <c r="BT23" s="529"/>
      <c r="BU23" s="323">
        <f t="shared" si="38"/>
        <v>0</v>
      </c>
      <c r="BV23" s="323">
        <f t="shared" si="15"/>
        <v>0</v>
      </c>
      <c r="BW23" s="529"/>
      <c r="BX23" s="323">
        <f t="shared" si="39"/>
        <v>0</v>
      </c>
      <c r="BY23" s="323">
        <f t="shared" si="16"/>
        <v>0</v>
      </c>
      <c r="BZ23" s="529"/>
      <c r="CA23" s="323">
        <f t="shared" si="40"/>
        <v>0</v>
      </c>
      <c r="CB23" s="323">
        <f t="shared" si="17"/>
        <v>0</v>
      </c>
      <c r="CC23" s="529"/>
      <c r="CD23" s="323">
        <f t="shared" si="41"/>
        <v>0</v>
      </c>
      <c r="CE23" s="304">
        <f t="shared" si="42"/>
        <v>0</v>
      </c>
      <c r="CF23" s="321">
        <f t="shared" si="18"/>
        <v>0</v>
      </c>
      <c r="CG23" s="529"/>
      <c r="CH23" s="326">
        <f t="shared" si="43"/>
        <v>0</v>
      </c>
      <c r="CI23" s="310"/>
      <c r="CJ23" s="327">
        <f t="shared" si="44"/>
        <v>0</v>
      </c>
      <c r="CK23" s="321">
        <f t="shared" si="19"/>
        <v>0</v>
      </c>
      <c r="CL23" s="528"/>
      <c r="CM23" s="322">
        <f t="shared" si="45"/>
        <v>0</v>
      </c>
      <c r="CN23" s="321">
        <f t="shared" si="20"/>
        <v>0</v>
      </c>
      <c r="CO23" s="529"/>
      <c r="CP23" s="326">
        <f t="shared" si="46"/>
        <v>0</v>
      </c>
      <c r="CQ23" s="327">
        <f t="shared" si="47"/>
        <v>0</v>
      </c>
      <c r="CR23" s="313" t="str">
        <f t="shared" si="21"/>
        <v/>
      </c>
      <c r="CS23" s="526"/>
      <c r="CT23" s="314" t="str">
        <f t="shared" si="48"/>
        <v/>
      </c>
      <c r="CU23" s="315" t="str">
        <f t="shared" si="22"/>
        <v/>
      </c>
      <c r="CV23" s="236"/>
      <c r="CW23" s="316" t="str">
        <f t="shared" si="49"/>
        <v/>
      </c>
      <c r="CX23" s="328" t="str">
        <f t="shared" si="50"/>
        <v/>
      </c>
      <c r="CY23" s="530"/>
      <c r="DA23" s="6">
        <f>IF(AND(CT23&lt;&gt;"",OR(CT23&lt;EXPEDIENTE!$I$25,CT23&gt;EXPEDIENTE!$I$29)),1,0)</f>
        <v>0</v>
      </c>
      <c r="DB23" s="6">
        <f>IF(AND(CW23&lt;&gt;"",OR(CW23&lt;EXPEDIENTE!$I$25,CW23&gt;EXPEDIENTE!$I$29)),1,0)</f>
        <v>0</v>
      </c>
      <c r="DD23" s="88">
        <f t="shared" si="23"/>
        <v>0</v>
      </c>
      <c r="DE23" s="88">
        <f t="shared" si="51"/>
        <v>0</v>
      </c>
      <c r="DF23" s="88">
        <f t="shared" si="52"/>
        <v>0</v>
      </c>
      <c r="DG23" s="88">
        <f t="shared" si="53"/>
        <v>0</v>
      </c>
      <c r="DH23" s="88">
        <f t="shared" si="54"/>
        <v>0</v>
      </c>
      <c r="DI23" s="88">
        <f t="shared" si="55"/>
        <v>0</v>
      </c>
      <c r="DJ23" s="88">
        <f t="shared" si="56"/>
        <v>0</v>
      </c>
      <c r="DK23" s="88">
        <f t="shared" si="57"/>
        <v>0</v>
      </c>
      <c r="DL23" s="88">
        <f t="shared" si="58"/>
        <v>0</v>
      </c>
      <c r="DM23" s="88">
        <f t="shared" si="59"/>
        <v>0</v>
      </c>
      <c r="DN23" s="88">
        <f t="shared" si="60"/>
        <v>0</v>
      </c>
      <c r="DO23" s="88">
        <f t="shared" si="61"/>
        <v>0</v>
      </c>
      <c r="DP23" s="88">
        <f t="shared" si="62"/>
        <v>0</v>
      </c>
      <c r="DQ23" s="88">
        <f t="shared" si="63"/>
        <v>0</v>
      </c>
      <c r="DR23" s="88">
        <f t="shared" si="64"/>
        <v>0</v>
      </c>
      <c r="DS23" s="88">
        <f t="shared" si="65"/>
        <v>0</v>
      </c>
      <c r="DT23" s="88">
        <f t="shared" si="66"/>
        <v>0</v>
      </c>
      <c r="DU23" s="88">
        <f t="shared" si="67"/>
        <v>0</v>
      </c>
      <c r="DW23" s="88">
        <f>IF(CY23&lt;&gt;"",MAX($DW$9:DW22)+1,0)</f>
        <v>0</v>
      </c>
      <c r="DX23" s="182" t="str">
        <f t="shared" si="68"/>
        <v/>
      </c>
    </row>
    <row r="24" spans="2:128" ht="30" customHeight="1" x14ac:dyDescent="0.25">
      <c r="B24" s="875"/>
      <c r="C24" s="885" t="s">
        <v>49</v>
      </c>
      <c r="D24" s="886"/>
      <c r="E24" s="52"/>
      <c r="F24" s="53"/>
      <c r="G24" s="54"/>
      <c r="H24" s="54"/>
      <c r="I24" s="54"/>
      <c r="J24" s="54"/>
      <c r="K24" s="54"/>
      <c r="L24" s="23">
        <f t="shared" si="24"/>
        <v>0</v>
      </c>
      <c r="M24" s="28">
        <f t="shared" si="69"/>
        <v>0</v>
      </c>
      <c r="N24" s="25"/>
      <c r="O24" s="53"/>
      <c r="P24" s="54"/>
      <c r="Q24" s="54"/>
      <c r="R24" s="54"/>
      <c r="S24" s="54"/>
      <c r="T24" s="23">
        <f t="shared" si="25"/>
        <v>0</v>
      </c>
      <c r="U24" s="60"/>
      <c r="V24" s="27"/>
      <c r="W24" s="28">
        <f t="shared" si="70"/>
        <v>0</v>
      </c>
      <c r="X24" s="53"/>
      <c r="Y24" s="54"/>
      <c r="Z24" s="23">
        <f t="shared" si="26"/>
        <v>0</v>
      </c>
      <c r="AA24" s="62"/>
      <c r="AB24" s="63"/>
      <c r="AC24" s="69"/>
      <c r="AD24" s="70"/>
      <c r="AE24" s="71"/>
      <c r="AG24" s="6">
        <f>IF(AND(AA24&lt;&gt;"",OR(AA24&lt;EXPEDIENTE!$I$25,AA24&gt;EXPEDIENTE!$I$29)),1,0)</f>
        <v>0</v>
      </c>
      <c r="AH24" s="6">
        <f>IF(AND(AB24&lt;&gt;"",OR(AB24&lt;EXPEDIENTE!$I$25,AB24&gt;EXPEDIENTE!$I$29)),1,0)</f>
        <v>0</v>
      </c>
      <c r="AI24" s="6">
        <f>IF(DATE(YEAR(EXPEDIENTE!$I$25)+2,MONTH(DATEVALUE($C24&amp;"1")),1)&gt;=DATE(YEAR(EXPEDIENTE!$I$25),MONTH(EXPEDIENTE!$I$25),1),0,1)</f>
        <v>0</v>
      </c>
      <c r="AJ24" s="6" t="e">
        <f>IF(DATE(YEAR(EXPEDIENTE!$I$25)+2,MONTH(DATEVALUE($C24&amp;"1")),1)&lt;=DATE(YEAR(EXPEDIENTE!$I$27),MONTH(EXPEDIENTE!$I$27),1),0,1)</f>
        <v>#VALUE!</v>
      </c>
      <c r="AK24" s="6" t="e">
        <f t="shared" si="27"/>
        <v>#VALUE!</v>
      </c>
      <c r="AM24" s="728"/>
      <c r="AN24" s="723" t="s">
        <v>49</v>
      </c>
      <c r="AO24" s="724"/>
      <c r="AP24" s="719"/>
      <c r="AQ24" s="720"/>
      <c r="AR24" s="319">
        <f t="shared" si="6"/>
        <v>0</v>
      </c>
      <c r="AS24" s="120"/>
      <c r="AT24" s="320">
        <f t="shared" si="28"/>
        <v>0</v>
      </c>
      <c r="AU24" s="321">
        <f t="shared" si="7"/>
        <v>0</v>
      </c>
      <c r="AV24" s="528"/>
      <c r="AW24" s="322">
        <f t="shared" si="29"/>
        <v>0</v>
      </c>
      <c r="AX24" s="321">
        <f t="shared" si="8"/>
        <v>0</v>
      </c>
      <c r="AY24" s="529"/>
      <c r="AZ24" s="323">
        <f t="shared" si="30"/>
        <v>0</v>
      </c>
      <c r="BA24" s="323">
        <f t="shared" si="9"/>
        <v>0</v>
      </c>
      <c r="BB24" s="529"/>
      <c r="BC24" s="323">
        <f t="shared" si="31"/>
        <v>0</v>
      </c>
      <c r="BD24" s="323">
        <f t="shared" si="10"/>
        <v>0</v>
      </c>
      <c r="BE24" s="529"/>
      <c r="BF24" s="323">
        <f t="shared" si="32"/>
        <v>0</v>
      </c>
      <c r="BG24" s="323">
        <f t="shared" si="11"/>
        <v>0</v>
      </c>
      <c r="BH24" s="529"/>
      <c r="BI24" s="323">
        <f t="shared" si="33"/>
        <v>0</v>
      </c>
      <c r="BJ24" s="323">
        <f t="shared" si="12"/>
        <v>0</v>
      </c>
      <c r="BK24" s="529"/>
      <c r="BL24" s="323">
        <f t="shared" si="34"/>
        <v>0</v>
      </c>
      <c r="BM24" s="304">
        <f t="shared" si="35"/>
        <v>0</v>
      </c>
      <c r="BN24" s="324">
        <f t="shared" si="36"/>
        <v>0</v>
      </c>
      <c r="BO24" s="306"/>
      <c r="BP24" s="321">
        <f t="shared" si="13"/>
        <v>0</v>
      </c>
      <c r="BQ24" s="528"/>
      <c r="BR24" s="325">
        <f t="shared" si="37"/>
        <v>0</v>
      </c>
      <c r="BS24" s="323">
        <f t="shared" si="14"/>
        <v>0</v>
      </c>
      <c r="BT24" s="529"/>
      <c r="BU24" s="323">
        <f t="shared" si="38"/>
        <v>0</v>
      </c>
      <c r="BV24" s="323">
        <f t="shared" si="15"/>
        <v>0</v>
      </c>
      <c r="BW24" s="529"/>
      <c r="BX24" s="323">
        <f t="shared" si="39"/>
        <v>0</v>
      </c>
      <c r="BY24" s="323">
        <f t="shared" si="16"/>
        <v>0</v>
      </c>
      <c r="BZ24" s="529"/>
      <c r="CA24" s="323">
        <f t="shared" si="40"/>
        <v>0</v>
      </c>
      <c r="CB24" s="323">
        <f t="shared" si="17"/>
        <v>0</v>
      </c>
      <c r="CC24" s="529"/>
      <c r="CD24" s="323">
        <f t="shared" si="41"/>
        <v>0</v>
      </c>
      <c r="CE24" s="304">
        <f t="shared" si="42"/>
        <v>0</v>
      </c>
      <c r="CF24" s="321">
        <f t="shared" si="18"/>
        <v>0</v>
      </c>
      <c r="CG24" s="529"/>
      <c r="CH24" s="326">
        <f t="shared" si="43"/>
        <v>0</v>
      </c>
      <c r="CI24" s="310"/>
      <c r="CJ24" s="327">
        <f t="shared" si="44"/>
        <v>0</v>
      </c>
      <c r="CK24" s="321">
        <f t="shared" si="19"/>
        <v>0</v>
      </c>
      <c r="CL24" s="528"/>
      <c r="CM24" s="322">
        <f t="shared" si="45"/>
        <v>0</v>
      </c>
      <c r="CN24" s="321">
        <f t="shared" si="20"/>
        <v>0</v>
      </c>
      <c r="CO24" s="529"/>
      <c r="CP24" s="326">
        <f t="shared" si="46"/>
        <v>0</v>
      </c>
      <c r="CQ24" s="327">
        <f t="shared" si="47"/>
        <v>0</v>
      </c>
      <c r="CR24" s="313" t="str">
        <f t="shared" si="21"/>
        <v/>
      </c>
      <c r="CS24" s="526"/>
      <c r="CT24" s="314" t="str">
        <f t="shared" si="48"/>
        <v/>
      </c>
      <c r="CU24" s="315" t="str">
        <f t="shared" si="22"/>
        <v/>
      </c>
      <c r="CV24" s="236"/>
      <c r="CW24" s="316" t="str">
        <f t="shared" si="49"/>
        <v/>
      </c>
      <c r="CX24" s="328" t="str">
        <f t="shared" si="50"/>
        <v/>
      </c>
      <c r="CY24" s="530"/>
      <c r="DA24" s="6">
        <f>IF(AND(CT24&lt;&gt;"",OR(CT24&lt;EXPEDIENTE!$I$25,CT24&gt;EXPEDIENTE!$I$29)),1,0)</f>
        <v>0</v>
      </c>
      <c r="DB24" s="6">
        <f>IF(AND(CW24&lt;&gt;"",OR(CW24&lt;EXPEDIENTE!$I$25,CW24&gt;EXPEDIENTE!$I$29)),1,0)</f>
        <v>0</v>
      </c>
      <c r="DD24" s="88">
        <f t="shared" si="23"/>
        <v>0</v>
      </c>
      <c r="DE24" s="88">
        <f t="shared" si="51"/>
        <v>0</v>
      </c>
      <c r="DF24" s="88">
        <f t="shared" si="52"/>
        <v>0</v>
      </c>
      <c r="DG24" s="88">
        <f t="shared" si="53"/>
        <v>0</v>
      </c>
      <c r="DH24" s="88">
        <f t="shared" si="54"/>
        <v>0</v>
      </c>
      <c r="DI24" s="88">
        <f t="shared" si="55"/>
        <v>0</v>
      </c>
      <c r="DJ24" s="88">
        <f t="shared" si="56"/>
        <v>0</v>
      </c>
      <c r="DK24" s="88">
        <f t="shared" si="57"/>
        <v>0</v>
      </c>
      <c r="DL24" s="88">
        <f t="shared" si="58"/>
        <v>0</v>
      </c>
      <c r="DM24" s="88">
        <f t="shared" si="59"/>
        <v>0</v>
      </c>
      <c r="DN24" s="88">
        <f t="shared" si="60"/>
        <v>0</v>
      </c>
      <c r="DO24" s="88">
        <f t="shared" si="61"/>
        <v>0</v>
      </c>
      <c r="DP24" s="88">
        <f t="shared" si="62"/>
        <v>0</v>
      </c>
      <c r="DQ24" s="88">
        <f t="shared" si="63"/>
        <v>0</v>
      </c>
      <c r="DR24" s="88">
        <f t="shared" si="64"/>
        <v>0</v>
      </c>
      <c r="DS24" s="88">
        <f t="shared" si="65"/>
        <v>0</v>
      </c>
      <c r="DT24" s="88">
        <f t="shared" si="66"/>
        <v>0</v>
      </c>
      <c r="DU24" s="88">
        <f t="shared" si="67"/>
        <v>0</v>
      </c>
      <c r="DW24" s="88">
        <f>IF(CY24&lt;&gt;"",MAX($DW$9:DW23)+1,0)</f>
        <v>0</v>
      </c>
      <c r="DX24" s="182" t="str">
        <f t="shared" si="68"/>
        <v/>
      </c>
    </row>
    <row r="25" spans="2:128" ht="30" customHeight="1" x14ac:dyDescent="0.25">
      <c r="B25" s="875"/>
      <c r="C25" s="885" t="s">
        <v>50</v>
      </c>
      <c r="D25" s="886"/>
      <c r="E25" s="52"/>
      <c r="F25" s="53"/>
      <c r="G25" s="54"/>
      <c r="H25" s="54"/>
      <c r="I25" s="54"/>
      <c r="J25" s="54"/>
      <c r="K25" s="54"/>
      <c r="L25" s="23">
        <f t="shared" si="24"/>
        <v>0</v>
      </c>
      <c r="M25" s="28">
        <f t="shared" si="69"/>
        <v>0</v>
      </c>
      <c r="N25" s="25"/>
      <c r="O25" s="53"/>
      <c r="P25" s="54"/>
      <c r="Q25" s="54"/>
      <c r="R25" s="54"/>
      <c r="S25" s="54"/>
      <c r="T25" s="23">
        <f t="shared" si="25"/>
        <v>0</v>
      </c>
      <c r="U25" s="60"/>
      <c r="V25" s="27"/>
      <c r="W25" s="28">
        <f t="shared" si="70"/>
        <v>0</v>
      </c>
      <c r="X25" s="53"/>
      <c r="Y25" s="54"/>
      <c r="Z25" s="23">
        <f t="shared" si="26"/>
        <v>0</v>
      </c>
      <c r="AA25" s="62"/>
      <c r="AB25" s="63"/>
      <c r="AC25" s="69"/>
      <c r="AD25" s="70"/>
      <c r="AE25" s="71"/>
      <c r="AG25" s="6">
        <f>IF(AND(AA25&lt;&gt;"",OR(AA25&lt;EXPEDIENTE!$I$25,AA25&gt;EXPEDIENTE!$I$29)),1,0)</f>
        <v>0</v>
      </c>
      <c r="AH25" s="6">
        <f>IF(AND(AB25&lt;&gt;"",OR(AB25&lt;EXPEDIENTE!$I$25,AB25&gt;EXPEDIENTE!$I$29)),1,0)</f>
        <v>0</v>
      </c>
      <c r="AI25" s="6">
        <f>IF(DATE(YEAR(EXPEDIENTE!$I$25)+2,MONTH(DATEVALUE($C25&amp;"1")),1)&gt;=DATE(YEAR(EXPEDIENTE!$I$25),MONTH(EXPEDIENTE!$I$25),1),0,1)</f>
        <v>0</v>
      </c>
      <c r="AJ25" s="6" t="e">
        <f>IF(DATE(YEAR(EXPEDIENTE!$I$25)+2,MONTH(DATEVALUE($C25&amp;"1")),1)&lt;=DATE(YEAR(EXPEDIENTE!$I$27),MONTH(EXPEDIENTE!$I$27),1),0,1)</f>
        <v>#VALUE!</v>
      </c>
      <c r="AK25" s="6" t="e">
        <f t="shared" si="27"/>
        <v>#VALUE!</v>
      </c>
      <c r="AM25" s="728"/>
      <c r="AN25" s="723" t="s">
        <v>50</v>
      </c>
      <c r="AO25" s="724"/>
      <c r="AP25" s="719"/>
      <c r="AQ25" s="720"/>
      <c r="AR25" s="319">
        <f t="shared" si="6"/>
        <v>0</v>
      </c>
      <c r="AS25" s="120"/>
      <c r="AT25" s="320">
        <f t="shared" si="28"/>
        <v>0</v>
      </c>
      <c r="AU25" s="321">
        <f t="shared" si="7"/>
        <v>0</v>
      </c>
      <c r="AV25" s="528"/>
      <c r="AW25" s="322">
        <f t="shared" si="29"/>
        <v>0</v>
      </c>
      <c r="AX25" s="321">
        <f t="shared" si="8"/>
        <v>0</v>
      </c>
      <c r="AY25" s="529"/>
      <c r="AZ25" s="323">
        <f t="shared" si="30"/>
        <v>0</v>
      </c>
      <c r="BA25" s="323">
        <f t="shared" si="9"/>
        <v>0</v>
      </c>
      <c r="BB25" s="529"/>
      <c r="BC25" s="323">
        <f t="shared" si="31"/>
        <v>0</v>
      </c>
      <c r="BD25" s="323">
        <f t="shared" si="10"/>
        <v>0</v>
      </c>
      <c r="BE25" s="529"/>
      <c r="BF25" s="323">
        <f t="shared" si="32"/>
        <v>0</v>
      </c>
      <c r="BG25" s="323">
        <f t="shared" si="11"/>
        <v>0</v>
      </c>
      <c r="BH25" s="529"/>
      <c r="BI25" s="323">
        <f t="shared" si="33"/>
        <v>0</v>
      </c>
      <c r="BJ25" s="323">
        <f t="shared" si="12"/>
        <v>0</v>
      </c>
      <c r="BK25" s="529"/>
      <c r="BL25" s="323">
        <f t="shared" si="34"/>
        <v>0</v>
      </c>
      <c r="BM25" s="304">
        <f t="shared" si="35"/>
        <v>0</v>
      </c>
      <c r="BN25" s="324">
        <f t="shared" si="36"/>
        <v>0</v>
      </c>
      <c r="BO25" s="306"/>
      <c r="BP25" s="321">
        <f t="shared" si="13"/>
        <v>0</v>
      </c>
      <c r="BQ25" s="528"/>
      <c r="BR25" s="325">
        <f t="shared" si="37"/>
        <v>0</v>
      </c>
      <c r="BS25" s="323">
        <f t="shared" si="14"/>
        <v>0</v>
      </c>
      <c r="BT25" s="529"/>
      <c r="BU25" s="323">
        <f t="shared" si="38"/>
        <v>0</v>
      </c>
      <c r="BV25" s="323">
        <f t="shared" si="15"/>
        <v>0</v>
      </c>
      <c r="BW25" s="529"/>
      <c r="BX25" s="323">
        <f t="shared" si="39"/>
        <v>0</v>
      </c>
      <c r="BY25" s="323">
        <f t="shared" si="16"/>
        <v>0</v>
      </c>
      <c r="BZ25" s="529"/>
      <c r="CA25" s="323">
        <f t="shared" si="40"/>
        <v>0</v>
      </c>
      <c r="CB25" s="323">
        <f t="shared" si="17"/>
        <v>0</v>
      </c>
      <c r="CC25" s="529"/>
      <c r="CD25" s="323">
        <f t="shared" si="41"/>
        <v>0</v>
      </c>
      <c r="CE25" s="304">
        <f t="shared" si="42"/>
        <v>0</v>
      </c>
      <c r="CF25" s="321">
        <f t="shared" si="18"/>
        <v>0</v>
      </c>
      <c r="CG25" s="529"/>
      <c r="CH25" s="326">
        <f t="shared" si="43"/>
        <v>0</v>
      </c>
      <c r="CI25" s="310"/>
      <c r="CJ25" s="327">
        <f t="shared" si="44"/>
        <v>0</v>
      </c>
      <c r="CK25" s="321">
        <f t="shared" si="19"/>
        <v>0</v>
      </c>
      <c r="CL25" s="528"/>
      <c r="CM25" s="322">
        <f t="shared" si="45"/>
        <v>0</v>
      </c>
      <c r="CN25" s="321">
        <f t="shared" si="20"/>
        <v>0</v>
      </c>
      <c r="CO25" s="529"/>
      <c r="CP25" s="326">
        <f t="shared" si="46"/>
        <v>0</v>
      </c>
      <c r="CQ25" s="327">
        <f t="shared" si="47"/>
        <v>0</v>
      </c>
      <c r="CR25" s="313" t="str">
        <f t="shared" si="21"/>
        <v/>
      </c>
      <c r="CS25" s="526"/>
      <c r="CT25" s="314" t="str">
        <f t="shared" si="48"/>
        <v/>
      </c>
      <c r="CU25" s="315" t="str">
        <f t="shared" si="22"/>
        <v/>
      </c>
      <c r="CV25" s="236"/>
      <c r="CW25" s="316" t="str">
        <f t="shared" si="49"/>
        <v/>
      </c>
      <c r="CX25" s="328" t="str">
        <f t="shared" si="50"/>
        <v/>
      </c>
      <c r="CY25" s="530"/>
      <c r="DA25" s="6">
        <f>IF(AND(CT25&lt;&gt;"",OR(CT25&lt;EXPEDIENTE!$I$25,CT25&gt;EXPEDIENTE!$I$29)),1,0)</f>
        <v>0</v>
      </c>
      <c r="DB25" s="6">
        <f>IF(AND(CW25&lt;&gt;"",OR(CW25&lt;EXPEDIENTE!$I$25,CW25&gt;EXPEDIENTE!$I$29)),1,0)</f>
        <v>0</v>
      </c>
      <c r="DD25" s="88">
        <f t="shared" si="23"/>
        <v>0</v>
      </c>
      <c r="DE25" s="88">
        <f t="shared" si="51"/>
        <v>0</v>
      </c>
      <c r="DF25" s="88">
        <f t="shared" si="52"/>
        <v>0</v>
      </c>
      <c r="DG25" s="88">
        <f t="shared" si="53"/>
        <v>0</v>
      </c>
      <c r="DH25" s="88">
        <f t="shared" si="54"/>
        <v>0</v>
      </c>
      <c r="DI25" s="88">
        <f t="shared" si="55"/>
        <v>0</v>
      </c>
      <c r="DJ25" s="88">
        <f t="shared" si="56"/>
        <v>0</v>
      </c>
      <c r="DK25" s="88">
        <f t="shared" si="57"/>
        <v>0</v>
      </c>
      <c r="DL25" s="88">
        <f t="shared" si="58"/>
        <v>0</v>
      </c>
      <c r="DM25" s="88">
        <f t="shared" si="59"/>
        <v>0</v>
      </c>
      <c r="DN25" s="88">
        <f t="shared" si="60"/>
        <v>0</v>
      </c>
      <c r="DO25" s="88">
        <f t="shared" si="61"/>
        <v>0</v>
      </c>
      <c r="DP25" s="88">
        <f t="shared" si="62"/>
        <v>0</v>
      </c>
      <c r="DQ25" s="88">
        <f t="shared" si="63"/>
        <v>0</v>
      </c>
      <c r="DR25" s="88">
        <f t="shared" si="64"/>
        <v>0</v>
      </c>
      <c r="DS25" s="88">
        <f t="shared" si="65"/>
        <v>0</v>
      </c>
      <c r="DT25" s="88">
        <f t="shared" si="66"/>
        <v>0</v>
      </c>
      <c r="DU25" s="88">
        <f t="shared" si="67"/>
        <v>0</v>
      </c>
      <c r="DW25" s="88">
        <f>IF(CY25&lt;&gt;"",MAX($DW$9:DW24)+1,0)</f>
        <v>0</v>
      </c>
      <c r="DX25" s="182" t="str">
        <f t="shared" si="68"/>
        <v/>
      </c>
    </row>
    <row r="26" spans="2:128" ht="30" customHeight="1" x14ac:dyDescent="0.25">
      <c r="B26" s="875"/>
      <c r="C26" s="885" t="s">
        <v>51</v>
      </c>
      <c r="D26" s="886"/>
      <c r="E26" s="52"/>
      <c r="F26" s="53"/>
      <c r="G26" s="54"/>
      <c r="H26" s="54"/>
      <c r="I26" s="54"/>
      <c r="J26" s="54"/>
      <c r="K26" s="54"/>
      <c r="L26" s="23">
        <f t="shared" si="24"/>
        <v>0</v>
      </c>
      <c r="M26" s="28">
        <f t="shared" si="69"/>
        <v>0</v>
      </c>
      <c r="N26" s="25"/>
      <c r="O26" s="53"/>
      <c r="P26" s="54"/>
      <c r="Q26" s="54"/>
      <c r="R26" s="54"/>
      <c r="S26" s="54"/>
      <c r="T26" s="23">
        <f t="shared" si="25"/>
        <v>0</v>
      </c>
      <c r="U26" s="60"/>
      <c r="V26" s="27"/>
      <c r="W26" s="28">
        <f t="shared" si="70"/>
        <v>0</v>
      </c>
      <c r="X26" s="53"/>
      <c r="Y26" s="54"/>
      <c r="Z26" s="23">
        <f t="shared" si="26"/>
        <v>0</v>
      </c>
      <c r="AA26" s="62"/>
      <c r="AB26" s="63"/>
      <c r="AC26" s="69"/>
      <c r="AD26" s="70"/>
      <c r="AE26" s="71"/>
      <c r="AG26" s="6">
        <f>IF(AND(AA26&lt;&gt;"",OR(AA26&lt;EXPEDIENTE!$I$25,AA26&gt;EXPEDIENTE!$I$29)),1,0)</f>
        <v>0</v>
      </c>
      <c r="AH26" s="6">
        <f>IF(AND(AB26&lt;&gt;"",OR(AB26&lt;EXPEDIENTE!$I$25,AB26&gt;EXPEDIENTE!$I$29)),1,0)</f>
        <v>0</v>
      </c>
      <c r="AI26" s="6">
        <f>IF(DATE(YEAR(EXPEDIENTE!$I$25)+2,MONTH(DATEVALUE($C26&amp;"1")),1)&gt;=DATE(YEAR(EXPEDIENTE!$I$25),MONTH(EXPEDIENTE!$I$25),1),0,1)</f>
        <v>0</v>
      </c>
      <c r="AJ26" s="6" t="e">
        <f>IF(DATE(YEAR(EXPEDIENTE!$I$25)+2,MONTH(DATEVALUE($C26&amp;"1")),1)&lt;=DATE(YEAR(EXPEDIENTE!$I$27),MONTH(EXPEDIENTE!$I$27),1),0,1)</f>
        <v>#VALUE!</v>
      </c>
      <c r="AK26" s="6" t="e">
        <f t="shared" si="27"/>
        <v>#VALUE!</v>
      </c>
      <c r="AM26" s="728"/>
      <c r="AN26" s="723" t="s">
        <v>51</v>
      </c>
      <c r="AO26" s="724"/>
      <c r="AP26" s="719"/>
      <c r="AQ26" s="720"/>
      <c r="AR26" s="319">
        <f t="shared" si="6"/>
        <v>0</v>
      </c>
      <c r="AS26" s="120"/>
      <c r="AT26" s="320">
        <f t="shared" si="28"/>
        <v>0</v>
      </c>
      <c r="AU26" s="321">
        <f t="shared" si="7"/>
        <v>0</v>
      </c>
      <c r="AV26" s="528"/>
      <c r="AW26" s="322">
        <f t="shared" si="29"/>
        <v>0</v>
      </c>
      <c r="AX26" s="321">
        <f t="shared" si="8"/>
        <v>0</v>
      </c>
      <c r="AY26" s="529"/>
      <c r="AZ26" s="323">
        <f t="shared" si="30"/>
        <v>0</v>
      </c>
      <c r="BA26" s="323">
        <f t="shared" si="9"/>
        <v>0</v>
      </c>
      <c r="BB26" s="529"/>
      <c r="BC26" s="323">
        <f t="shared" si="31"/>
        <v>0</v>
      </c>
      <c r="BD26" s="323">
        <f t="shared" si="10"/>
        <v>0</v>
      </c>
      <c r="BE26" s="529"/>
      <c r="BF26" s="323">
        <f t="shared" si="32"/>
        <v>0</v>
      </c>
      <c r="BG26" s="323">
        <f t="shared" si="11"/>
        <v>0</v>
      </c>
      <c r="BH26" s="529"/>
      <c r="BI26" s="323">
        <f t="shared" si="33"/>
        <v>0</v>
      </c>
      <c r="BJ26" s="323">
        <f t="shared" si="12"/>
        <v>0</v>
      </c>
      <c r="BK26" s="529"/>
      <c r="BL26" s="323">
        <f t="shared" si="34"/>
        <v>0</v>
      </c>
      <c r="BM26" s="304">
        <f t="shared" si="35"/>
        <v>0</v>
      </c>
      <c r="BN26" s="324">
        <f t="shared" si="36"/>
        <v>0</v>
      </c>
      <c r="BO26" s="306"/>
      <c r="BP26" s="321">
        <f t="shared" si="13"/>
        <v>0</v>
      </c>
      <c r="BQ26" s="528"/>
      <c r="BR26" s="325">
        <f t="shared" si="37"/>
        <v>0</v>
      </c>
      <c r="BS26" s="323">
        <f t="shared" si="14"/>
        <v>0</v>
      </c>
      <c r="BT26" s="529"/>
      <c r="BU26" s="323">
        <f t="shared" si="38"/>
        <v>0</v>
      </c>
      <c r="BV26" s="323">
        <f t="shared" si="15"/>
        <v>0</v>
      </c>
      <c r="BW26" s="529"/>
      <c r="BX26" s="323">
        <f t="shared" si="39"/>
        <v>0</v>
      </c>
      <c r="BY26" s="323">
        <f t="shared" si="16"/>
        <v>0</v>
      </c>
      <c r="BZ26" s="529"/>
      <c r="CA26" s="323">
        <f t="shared" si="40"/>
        <v>0</v>
      </c>
      <c r="CB26" s="323">
        <f t="shared" si="17"/>
        <v>0</v>
      </c>
      <c r="CC26" s="529"/>
      <c r="CD26" s="323">
        <f t="shared" si="41"/>
        <v>0</v>
      </c>
      <c r="CE26" s="304">
        <f t="shared" si="42"/>
        <v>0</v>
      </c>
      <c r="CF26" s="321">
        <f t="shared" si="18"/>
        <v>0</v>
      </c>
      <c r="CG26" s="529"/>
      <c r="CH26" s="326">
        <f t="shared" si="43"/>
        <v>0</v>
      </c>
      <c r="CI26" s="310"/>
      <c r="CJ26" s="327">
        <f t="shared" si="44"/>
        <v>0</v>
      </c>
      <c r="CK26" s="321">
        <f t="shared" si="19"/>
        <v>0</v>
      </c>
      <c r="CL26" s="528"/>
      <c r="CM26" s="322">
        <f t="shared" si="45"/>
        <v>0</v>
      </c>
      <c r="CN26" s="321">
        <f t="shared" si="20"/>
        <v>0</v>
      </c>
      <c r="CO26" s="529"/>
      <c r="CP26" s="326">
        <f t="shared" si="46"/>
        <v>0</v>
      </c>
      <c r="CQ26" s="327">
        <f t="shared" si="47"/>
        <v>0</v>
      </c>
      <c r="CR26" s="313" t="str">
        <f t="shared" si="21"/>
        <v/>
      </c>
      <c r="CS26" s="526"/>
      <c r="CT26" s="314" t="str">
        <f t="shared" si="48"/>
        <v/>
      </c>
      <c r="CU26" s="315" t="str">
        <f t="shared" si="22"/>
        <v/>
      </c>
      <c r="CV26" s="236"/>
      <c r="CW26" s="316" t="str">
        <f t="shared" si="49"/>
        <v/>
      </c>
      <c r="CX26" s="328" t="str">
        <f t="shared" si="50"/>
        <v/>
      </c>
      <c r="CY26" s="530"/>
      <c r="DA26" s="6">
        <f>IF(AND(CT26&lt;&gt;"",OR(CT26&lt;EXPEDIENTE!$I$25,CT26&gt;EXPEDIENTE!$I$29)),1,0)</f>
        <v>0</v>
      </c>
      <c r="DB26" s="6">
        <f>IF(AND(CW26&lt;&gt;"",OR(CW26&lt;EXPEDIENTE!$I$25,CW26&gt;EXPEDIENTE!$I$29)),1,0)</f>
        <v>0</v>
      </c>
      <c r="DD26" s="88">
        <f t="shared" si="23"/>
        <v>0</v>
      </c>
      <c r="DE26" s="88">
        <f t="shared" si="51"/>
        <v>0</v>
      </c>
      <c r="DF26" s="88">
        <f t="shared" si="52"/>
        <v>0</v>
      </c>
      <c r="DG26" s="88">
        <f t="shared" si="53"/>
        <v>0</v>
      </c>
      <c r="DH26" s="88">
        <f t="shared" si="54"/>
        <v>0</v>
      </c>
      <c r="DI26" s="88">
        <f t="shared" si="55"/>
        <v>0</v>
      </c>
      <c r="DJ26" s="88">
        <f t="shared" si="56"/>
        <v>0</v>
      </c>
      <c r="DK26" s="88">
        <f t="shared" si="57"/>
        <v>0</v>
      </c>
      <c r="DL26" s="88">
        <f t="shared" si="58"/>
        <v>0</v>
      </c>
      <c r="DM26" s="88">
        <f t="shared" si="59"/>
        <v>0</v>
      </c>
      <c r="DN26" s="88">
        <f t="shared" si="60"/>
        <v>0</v>
      </c>
      <c r="DO26" s="88">
        <f t="shared" si="61"/>
        <v>0</v>
      </c>
      <c r="DP26" s="88">
        <f t="shared" si="62"/>
        <v>0</v>
      </c>
      <c r="DQ26" s="88">
        <f t="shared" si="63"/>
        <v>0</v>
      </c>
      <c r="DR26" s="88">
        <f t="shared" si="64"/>
        <v>0</v>
      </c>
      <c r="DS26" s="88">
        <f t="shared" si="65"/>
        <v>0</v>
      </c>
      <c r="DT26" s="88">
        <f t="shared" si="66"/>
        <v>0</v>
      </c>
      <c r="DU26" s="88">
        <f t="shared" si="67"/>
        <v>0</v>
      </c>
      <c r="DW26" s="88">
        <f>IF(CY26&lt;&gt;"",MAX($DW$9:DW25)+1,0)</f>
        <v>0</v>
      </c>
      <c r="DX26" s="182" t="str">
        <f t="shared" si="68"/>
        <v/>
      </c>
    </row>
    <row r="27" spans="2:128" ht="30" customHeight="1" x14ac:dyDescent="0.25">
      <c r="B27" s="875"/>
      <c r="C27" s="885" t="s">
        <v>52</v>
      </c>
      <c r="D27" s="886"/>
      <c r="E27" s="52"/>
      <c r="F27" s="53"/>
      <c r="G27" s="54"/>
      <c r="H27" s="54"/>
      <c r="I27" s="54"/>
      <c r="J27" s="54"/>
      <c r="K27" s="54"/>
      <c r="L27" s="23">
        <f t="shared" si="24"/>
        <v>0</v>
      </c>
      <c r="M27" s="28">
        <f t="shared" si="69"/>
        <v>0</v>
      </c>
      <c r="N27" s="25"/>
      <c r="O27" s="53"/>
      <c r="P27" s="54"/>
      <c r="Q27" s="54"/>
      <c r="R27" s="54"/>
      <c r="S27" s="54"/>
      <c r="T27" s="23">
        <f t="shared" si="25"/>
        <v>0</v>
      </c>
      <c r="U27" s="60"/>
      <c r="V27" s="27"/>
      <c r="W27" s="28">
        <f t="shared" si="70"/>
        <v>0</v>
      </c>
      <c r="X27" s="53"/>
      <c r="Y27" s="54"/>
      <c r="Z27" s="23">
        <f t="shared" si="26"/>
        <v>0</v>
      </c>
      <c r="AA27" s="62"/>
      <c r="AB27" s="63"/>
      <c r="AC27" s="69"/>
      <c r="AD27" s="70"/>
      <c r="AE27" s="71"/>
      <c r="AG27" s="6">
        <f>IF(AND(AA27&lt;&gt;"",OR(AA27&lt;EXPEDIENTE!$I$25,AA27&gt;EXPEDIENTE!$I$29)),1,0)</f>
        <v>0</v>
      </c>
      <c r="AH27" s="6">
        <f>IF(AND(AB27&lt;&gt;"",OR(AB27&lt;EXPEDIENTE!$I$25,AB27&gt;EXPEDIENTE!$I$29)),1,0)</f>
        <v>0</v>
      </c>
      <c r="AI27" s="6">
        <f>IF(DATE(YEAR(EXPEDIENTE!$I$25)+2,MONTH(DATEVALUE($C27&amp;"1")),1)&gt;=DATE(YEAR(EXPEDIENTE!$I$25),MONTH(EXPEDIENTE!$I$25),1),0,1)</f>
        <v>0</v>
      </c>
      <c r="AJ27" s="6" t="e">
        <f>IF(DATE(YEAR(EXPEDIENTE!$I$25)+2,MONTH(DATEVALUE($C27&amp;"1")),1)&lt;=DATE(YEAR(EXPEDIENTE!$I$27),MONTH(EXPEDIENTE!$I$27),1),0,1)</f>
        <v>#VALUE!</v>
      </c>
      <c r="AK27" s="6" t="e">
        <f t="shared" si="27"/>
        <v>#VALUE!</v>
      </c>
      <c r="AM27" s="728"/>
      <c r="AN27" s="723" t="s">
        <v>52</v>
      </c>
      <c r="AO27" s="724"/>
      <c r="AP27" s="719"/>
      <c r="AQ27" s="720"/>
      <c r="AR27" s="319">
        <f t="shared" si="6"/>
        <v>0</v>
      </c>
      <c r="AS27" s="120"/>
      <c r="AT27" s="320">
        <f t="shared" si="28"/>
        <v>0</v>
      </c>
      <c r="AU27" s="321">
        <f t="shared" si="7"/>
        <v>0</v>
      </c>
      <c r="AV27" s="528"/>
      <c r="AW27" s="322">
        <f t="shared" si="29"/>
        <v>0</v>
      </c>
      <c r="AX27" s="321">
        <f t="shared" si="8"/>
        <v>0</v>
      </c>
      <c r="AY27" s="529"/>
      <c r="AZ27" s="323">
        <f t="shared" si="30"/>
        <v>0</v>
      </c>
      <c r="BA27" s="323">
        <f t="shared" si="9"/>
        <v>0</v>
      </c>
      <c r="BB27" s="529"/>
      <c r="BC27" s="323">
        <f t="shared" si="31"/>
        <v>0</v>
      </c>
      <c r="BD27" s="323">
        <f t="shared" si="10"/>
        <v>0</v>
      </c>
      <c r="BE27" s="529"/>
      <c r="BF27" s="323">
        <f t="shared" si="32"/>
        <v>0</v>
      </c>
      <c r="BG27" s="323">
        <f t="shared" si="11"/>
        <v>0</v>
      </c>
      <c r="BH27" s="529"/>
      <c r="BI27" s="323">
        <f t="shared" si="33"/>
        <v>0</v>
      </c>
      <c r="BJ27" s="323">
        <f t="shared" si="12"/>
        <v>0</v>
      </c>
      <c r="BK27" s="529"/>
      <c r="BL27" s="323">
        <f t="shared" si="34"/>
        <v>0</v>
      </c>
      <c r="BM27" s="304">
        <f t="shared" si="35"/>
        <v>0</v>
      </c>
      <c r="BN27" s="324">
        <f t="shared" si="36"/>
        <v>0</v>
      </c>
      <c r="BO27" s="306"/>
      <c r="BP27" s="321">
        <f t="shared" si="13"/>
        <v>0</v>
      </c>
      <c r="BQ27" s="528"/>
      <c r="BR27" s="325">
        <f t="shared" si="37"/>
        <v>0</v>
      </c>
      <c r="BS27" s="323">
        <f t="shared" si="14"/>
        <v>0</v>
      </c>
      <c r="BT27" s="529"/>
      <c r="BU27" s="323">
        <f t="shared" si="38"/>
        <v>0</v>
      </c>
      <c r="BV27" s="323">
        <f t="shared" si="15"/>
        <v>0</v>
      </c>
      <c r="BW27" s="529"/>
      <c r="BX27" s="323">
        <f t="shared" si="39"/>
        <v>0</v>
      </c>
      <c r="BY27" s="323">
        <f t="shared" si="16"/>
        <v>0</v>
      </c>
      <c r="BZ27" s="529"/>
      <c r="CA27" s="323">
        <f t="shared" si="40"/>
        <v>0</v>
      </c>
      <c r="CB27" s="323">
        <f t="shared" si="17"/>
        <v>0</v>
      </c>
      <c r="CC27" s="529"/>
      <c r="CD27" s="323">
        <f t="shared" si="41"/>
        <v>0</v>
      </c>
      <c r="CE27" s="304">
        <f t="shared" si="42"/>
        <v>0</v>
      </c>
      <c r="CF27" s="321">
        <f t="shared" si="18"/>
        <v>0</v>
      </c>
      <c r="CG27" s="529"/>
      <c r="CH27" s="326">
        <f t="shared" si="43"/>
        <v>0</v>
      </c>
      <c r="CI27" s="310"/>
      <c r="CJ27" s="327">
        <f t="shared" si="44"/>
        <v>0</v>
      </c>
      <c r="CK27" s="321">
        <f t="shared" si="19"/>
        <v>0</v>
      </c>
      <c r="CL27" s="528"/>
      <c r="CM27" s="322">
        <f t="shared" si="45"/>
        <v>0</v>
      </c>
      <c r="CN27" s="321">
        <f t="shared" si="20"/>
        <v>0</v>
      </c>
      <c r="CO27" s="529"/>
      <c r="CP27" s="326">
        <f t="shared" si="46"/>
        <v>0</v>
      </c>
      <c r="CQ27" s="327">
        <f t="shared" si="47"/>
        <v>0</v>
      </c>
      <c r="CR27" s="313" t="str">
        <f t="shared" si="21"/>
        <v/>
      </c>
      <c r="CS27" s="526"/>
      <c r="CT27" s="314" t="str">
        <f t="shared" si="48"/>
        <v/>
      </c>
      <c r="CU27" s="315" t="str">
        <f t="shared" si="22"/>
        <v/>
      </c>
      <c r="CV27" s="236"/>
      <c r="CW27" s="316" t="str">
        <f t="shared" si="49"/>
        <v/>
      </c>
      <c r="CX27" s="328" t="str">
        <f t="shared" si="50"/>
        <v/>
      </c>
      <c r="CY27" s="530"/>
      <c r="DA27" s="6">
        <f>IF(AND(CT27&lt;&gt;"",OR(CT27&lt;EXPEDIENTE!$I$25,CT27&gt;EXPEDIENTE!$I$29)),1,0)</f>
        <v>0</v>
      </c>
      <c r="DB27" s="6">
        <f>IF(AND(CW27&lt;&gt;"",OR(CW27&lt;EXPEDIENTE!$I$25,CW27&gt;EXPEDIENTE!$I$29)),1,0)</f>
        <v>0</v>
      </c>
      <c r="DD27" s="88">
        <f t="shared" si="23"/>
        <v>0</v>
      </c>
      <c r="DE27" s="88">
        <f t="shared" si="51"/>
        <v>0</v>
      </c>
      <c r="DF27" s="88">
        <f t="shared" si="52"/>
        <v>0</v>
      </c>
      <c r="DG27" s="88">
        <f t="shared" si="53"/>
        <v>0</v>
      </c>
      <c r="DH27" s="88">
        <f t="shared" si="54"/>
        <v>0</v>
      </c>
      <c r="DI27" s="88">
        <f t="shared" si="55"/>
        <v>0</v>
      </c>
      <c r="DJ27" s="88">
        <f t="shared" si="56"/>
        <v>0</v>
      </c>
      <c r="DK27" s="88">
        <f t="shared" si="57"/>
        <v>0</v>
      </c>
      <c r="DL27" s="88">
        <f t="shared" si="58"/>
        <v>0</v>
      </c>
      <c r="DM27" s="88">
        <f t="shared" si="59"/>
        <v>0</v>
      </c>
      <c r="DN27" s="88">
        <f t="shared" si="60"/>
        <v>0</v>
      </c>
      <c r="DO27" s="88">
        <f t="shared" si="61"/>
        <v>0</v>
      </c>
      <c r="DP27" s="88">
        <f t="shared" si="62"/>
        <v>0</v>
      </c>
      <c r="DQ27" s="88">
        <f t="shared" si="63"/>
        <v>0</v>
      </c>
      <c r="DR27" s="88">
        <f t="shared" si="64"/>
        <v>0</v>
      </c>
      <c r="DS27" s="88">
        <f t="shared" si="65"/>
        <v>0</v>
      </c>
      <c r="DT27" s="88">
        <f t="shared" si="66"/>
        <v>0</v>
      </c>
      <c r="DU27" s="88">
        <f t="shared" si="67"/>
        <v>0</v>
      </c>
      <c r="DW27" s="88">
        <f>IF(CY27&lt;&gt;"",MAX($DW$9:DW26)+1,0)</f>
        <v>0</v>
      </c>
      <c r="DX27" s="182" t="str">
        <f t="shared" si="68"/>
        <v/>
      </c>
    </row>
    <row r="28" spans="2:128" ht="30" customHeight="1" x14ac:dyDescent="0.25">
      <c r="B28" s="875"/>
      <c r="C28" s="885" t="s">
        <v>53</v>
      </c>
      <c r="D28" s="886"/>
      <c r="E28" s="52"/>
      <c r="F28" s="53"/>
      <c r="G28" s="54"/>
      <c r="H28" s="54"/>
      <c r="I28" s="54"/>
      <c r="J28" s="54"/>
      <c r="K28" s="54"/>
      <c r="L28" s="23">
        <f t="shared" si="24"/>
        <v>0</v>
      </c>
      <c r="M28" s="28">
        <f t="shared" si="69"/>
        <v>0</v>
      </c>
      <c r="N28" s="25"/>
      <c r="O28" s="53"/>
      <c r="P28" s="54"/>
      <c r="Q28" s="54"/>
      <c r="R28" s="54"/>
      <c r="S28" s="54"/>
      <c r="T28" s="23">
        <f t="shared" si="25"/>
        <v>0</v>
      </c>
      <c r="U28" s="60"/>
      <c r="V28" s="27"/>
      <c r="W28" s="28">
        <f t="shared" si="70"/>
        <v>0</v>
      </c>
      <c r="X28" s="53"/>
      <c r="Y28" s="54"/>
      <c r="Z28" s="23">
        <f t="shared" si="26"/>
        <v>0</v>
      </c>
      <c r="AA28" s="62"/>
      <c r="AB28" s="63"/>
      <c r="AC28" s="69"/>
      <c r="AD28" s="70"/>
      <c r="AE28" s="71"/>
      <c r="AG28" s="6">
        <f>IF(AND(AA28&lt;&gt;"",OR(AA28&lt;EXPEDIENTE!$I$25,AA28&gt;EXPEDIENTE!$I$29)),1,0)</f>
        <v>0</v>
      </c>
      <c r="AH28" s="6">
        <f>IF(AND(AB28&lt;&gt;"",OR(AB28&lt;EXPEDIENTE!$I$25,AB28&gt;EXPEDIENTE!$I$29)),1,0)</f>
        <v>0</v>
      </c>
      <c r="AI28" s="6">
        <f>IF(DATE(YEAR(EXPEDIENTE!$I$25)+2,MONTH(DATEVALUE($C28&amp;"1")),1)&gt;=DATE(YEAR(EXPEDIENTE!$I$25),MONTH(EXPEDIENTE!$I$25),1),0,1)</f>
        <v>0</v>
      </c>
      <c r="AJ28" s="6" t="e">
        <f>IF(DATE(YEAR(EXPEDIENTE!$I$25)+2,MONTH(DATEVALUE($C28&amp;"1")),1)&lt;=DATE(YEAR(EXPEDIENTE!$I$27),MONTH(EXPEDIENTE!$I$27),1),0,1)</f>
        <v>#VALUE!</v>
      </c>
      <c r="AK28" s="6" t="e">
        <f t="shared" si="27"/>
        <v>#VALUE!</v>
      </c>
      <c r="AM28" s="728"/>
      <c r="AN28" s="723" t="s">
        <v>53</v>
      </c>
      <c r="AO28" s="724"/>
      <c r="AP28" s="719"/>
      <c r="AQ28" s="720"/>
      <c r="AR28" s="319">
        <f t="shared" si="6"/>
        <v>0</v>
      </c>
      <c r="AS28" s="120"/>
      <c r="AT28" s="320">
        <f t="shared" si="28"/>
        <v>0</v>
      </c>
      <c r="AU28" s="321">
        <f t="shared" si="7"/>
        <v>0</v>
      </c>
      <c r="AV28" s="528"/>
      <c r="AW28" s="322">
        <f t="shared" si="29"/>
        <v>0</v>
      </c>
      <c r="AX28" s="321">
        <f t="shared" si="8"/>
        <v>0</v>
      </c>
      <c r="AY28" s="529"/>
      <c r="AZ28" s="323">
        <f t="shared" si="30"/>
        <v>0</v>
      </c>
      <c r="BA28" s="323">
        <f t="shared" si="9"/>
        <v>0</v>
      </c>
      <c r="BB28" s="529"/>
      <c r="BC28" s="323">
        <f t="shared" si="31"/>
        <v>0</v>
      </c>
      <c r="BD28" s="323">
        <f t="shared" si="10"/>
        <v>0</v>
      </c>
      <c r="BE28" s="529"/>
      <c r="BF28" s="323">
        <f t="shared" si="32"/>
        <v>0</v>
      </c>
      <c r="BG28" s="323">
        <f t="shared" si="11"/>
        <v>0</v>
      </c>
      <c r="BH28" s="529"/>
      <c r="BI28" s="323">
        <f t="shared" si="33"/>
        <v>0</v>
      </c>
      <c r="BJ28" s="323">
        <f t="shared" si="12"/>
        <v>0</v>
      </c>
      <c r="BK28" s="529"/>
      <c r="BL28" s="323">
        <f t="shared" si="34"/>
        <v>0</v>
      </c>
      <c r="BM28" s="304">
        <f t="shared" si="35"/>
        <v>0</v>
      </c>
      <c r="BN28" s="324">
        <f t="shared" si="36"/>
        <v>0</v>
      </c>
      <c r="BO28" s="306"/>
      <c r="BP28" s="321">
        <f t="shared" si="13"/>
        <v>0</v>
      </c>
      <c r="BQ28" s="528"/>
      <c r="BR28" s="325">
        <f t="shared" si="37"/>
        <v>0</v>
      </c>
      <c r="BS28" s="323">
        <f t="shared" si="14"/>
        <v>0</v>
      </c>
      <c r="BT28" s="529"/>
      <c r="BU28" s="323">
        <f t="shared" si="38"/>
        <v>0</v>
      </c>
      <c r="BV28" s="323">
        <f t="shared" si="15"/>
        <v>0</v>
      </c>
      <c r="BW28" s="529"/>
      <c r="BX28" s="323">
        <f t="shared" si="39"/>
        <v>0</v>
      </c>
      <c r="BY28" s="323">
        <f t="shared" si="16"/>
        <v>0</v>
      </c>
      <c r="BZ28" s="529"/>
      <c r="CA28" s="323">
        <f t="shared" si="40"/>
        <v>0</v>
      </c>
      <c r="CB28" s="323">
        <f t="shared" si="17"/>
        <v>0</v>
      </c>
      <c r="CC28" s="529"/>
      <c r="CD28" s="323">
        <f t="shared" si="41"/>
        <v>0</v>
      </c>
      <c r="CE28" s="304">
        <f t="shared" si="42"/>
        <v>0</v>
      </c>
      <c r="CF28" s="321">
        <f t="shared" si="18"/>
        <v>0</v>
      </c>
      <c r="CG28" s="529"/>
      <c r="CH28" s="326">
        <f t="shared" si="43"/>
        <v>0</v>
      </c>
      <c r="CI28" s="310"/>
      <c r="CJ28" s="327">
        <f t="shared" si="44"/>
        <v>0</v>
      </c>
      <c r="CK28" s="321">
        <f t="shared" si="19"/>
        <v>0</v>
      </c>
      <c r="CL28" s="528"/>
      <c r="CM28" s="322">
        <f t="shared" si="45"/>
        <v>0</v>
      </c>
      <c r="CN28" s="321">
        <f t="shared" si="20"/>
        <v>0</v>
      </c>
      <c r="CO28" s="529"/>
      <c r="CP28" s="326">
        <f t="shared" si="46"/>
        <v>0</v>
      </c>
      <c r="CQ28" s="327">
        <f t="shared" si="47"/>
        <v>0</v>
      </c>
      <c r="CR28" s="313" t="str">
        <f t="shared" si="21"/>
        <v/>
      </c>
      <c r="CS28" s="526"/>
      <c r="CT28" s="314" t="str">
        <f t="shared" si="48"/>
        <v/>
      </c>
      <c r="CU28" s="315" t="str">
        <f t="shared" si="22"/>
        <v/>
      </c>
      <c r="CV28" s="236"/>
      <c r="CW28" s="316" t="str">
        <f t="shared" si="49"/>
        <v/>
      </c>
      <c r="CX28" s="328" t="str">
        <f t="shared" si="50"/>
        <v/>
      </c>
      <c r="CY28" s="530"/>
      <c r="DA28" s="6">
        <f>IF(AND(CT28&lt;&gt;"",OR(CT28&lt;EXPEDIENTE!$I$25,CT28&gt;EXPEDIENTE!$I$29)),1,0)</f>
        <v>0</v>
      </c>
      <c r="DB28" s="6">
        <f>IF(AND(CW28&lt;&gt;"",OR(CW28&lt;EXPEDIENTE!$I$25,CW28&gt;EXPEDIENTE!$I$29)),1,0)</f>
        <v>0</v>
      </c>
      <c r="DD28" s="88">
        <f t="shared" si="23"/>
        <v>0</v>
      </c>
      <c r="DE28" s="88">
        <f t="shared" si="51"/>
        <v>0</v>
      </c>
      <c r="DF28" s="88">
        <f t="shared" si="52"/>
        <v>0</v>
      </c>
      <c r="DG28" s="88">
        <f t="shared" si="53"/>
        <v>0</v>
      </c>
      <c r="DH28" s="88">
        <f t="shared" si="54"/>
        <v>0</v>
      </c>
      <c r="DI28" s="88">
        <f t="shared" si="55"/>
        <v>0</v>
      </c>
      <c r="DJ28" s="88">
        <f t="shared" si="56"/>
        <v>0</v>
      </c>
      <c r="DK28" s="88">
        <f t="shared" si="57"/>
        <v>0</v>
      </c>
      <c r="DL28" s="88">
        <f t="shared" si="58"/>
        <v>0</v>
      </c>
      <c r="DM28" s="88">
        <f t="shared" si="59"/>
        <v>0</v>
      </c>
      <c r="DN28" s="88">
        <f t="shared" si="60"/>
        <v>0</v>
      </c>
      <c r="DO28" s="88">
        <f t="shared" si="61"/>
        <v>0</v>
      </c>
      <c r="DP28" s="88">
        <f t="shared" si="62"/>
        <v>0</v>
      </c>
      <c r="DQ28" s="88">
        <f t="shared" si="63"/>
        <v>0</v>
      </c>
      <c r="DR28" s="88">
        <f t="shared" si="64"/>
        <v>0</v>
      </c>
      <c r="DS28" s="88">
        <f t="shared" si="65"/>
        <v>0</v>
      </c>
      <c r="DT28" s="88">
        <f t="shared" si="66"/>
        <v>0</v>
      </c>
      <c r="DU28" s="88">
        <f t="shared" si="67"/>
        <v>0</v>
      </c>
      <c r="DW28" s="88">
        <f>IF(CY28&lt;&gt;"",MAX($DW$9:DW27)+1,0)</f>
        <v>0</v>
      </c>
      <c r="DX28" s="182" t="str">
        <f t="shared" si="68"/>
        <v/>
      </c>
    </row>
    <row r="29" spans="2:128" ht="30" customHeight="1" x14ac:dyDescent="0.25">
      <c r="B29" s="875"/>
      <c r="C29" s="885" t="s">
        <v>54</v>
      </c>
      <c r="D29" s="886"/>
      <c r="E29" s="52"/>
      <c r="F29" s="53"/>
      <c r="G29" s="54"/>
      <c r="H29" s="54"/>
      <c r="I29" s="54"/>
      <c r="J29" s="54"/>
      <c r="K29" s="54"/>
      <c r="L29" s="23">
        <f t="shared" si="24"/>
        <v>0</v>
      </c>
      <c r="M29" s="28">
        <f t="shared" si="69"/>
        <v>0</v>
      </c>
      <c r="N29" s="25"/>
      <c r="O29" s="53"/>
      <c r="P29" s="54"/>
      <c r="Q29" s="54"/>
      <c r="R29" s="54"/>
      <c r="S29" s="54"/>
      <c r="T29" s="23">
        <f t="shared" si="25"/>
        <v>0</v>
      </c>
      <c r="U29" s="60"/>
      <c r="V29" s="27"/>
      <c r="W29" s="28">
        <f t="shared" si="70"/>
        <v>0</v>
      </c>
      <c r="X29" s="53"/>
      <c r="Y29" s="54"/>
      <c r="Z29" s="23">
        <f t="shared" si="26"/>
        <v>0</v>
      </c>
      <c r="AA29" s="62"/>
      <c r="AB29" s="63"/>
      <c r="AC29" s="69"/>
      <c r="AD29" s="70"/>
      <c r="AE29" s="71"/>
      <c r="AG29" s="6">
        <f>IF(AND(AA29&lt;&gt;"",OR(AA29&lt;EXPEDIENTE!$I$25,AA29&gt;EXPEDIENTE!$I$29)),1,0)</f>
        <v>0</v>
      </c>
      <c r="AH29" s="6">
        <f>IF(AND(AB29&lt;&gt;"",OR(AB29&lt;EXPEDIENTE!$I$25,AB29&gt;EXPEDIENTE!$I$29)),1,0)</f>
        <v>0</v>
      </c>
      <c r="AI29" s="6">
        <f>IF(DATE(YEAR(EXPEDIENTE!$I$25)+2,MONTH(DATEVALUE($C29&amp;"1")),1)&gt;=DATE(YEAR(EXPEDIENTE!$I$25),MONTH(EXPEDIENTE!$I$25),1),0,1)</f>
        <v>0</v>
      </c>
      <c r="AJ29" s="6" t="e">
        <f>IF(DATE(YEAR(EXPEDIENTE!$I$25)+2,MONTH(DATEVALUE($C29&amp;"1")),1)&lt;=DATE(YEAR(EXPEDIENTE!$I$27),MONTH(EXPEDIENTE!$I$27),1),0,1)</f>
        <v>#VALUE!</v>
      </c>
      <c r="AK29" s="6" t="e">
        <f t="shared" si="27"/>
        <v>#VALUE!</v>
      </c>
      <c r="AM29" s="728"/>
      <c r="AN29" s="723" t="s">
        <v>54</v>
      </c>
      <c r="AO29" s="724"/>
      <c r="AP29" s="719"/>
      <c r="AQ29" s="720"/>
      <c r="AR29" s="319">
        <f t="shared" si="6"/>
        <v>0</v>
      </c>
      <c r="AS29" s="120"/>
      <c r="AT29" s="320">
        <f t="shared" si="28"/>
        <v>0</v>
      </c>
      <c r="AU29" s="321">
        <f t="shared" si="7"/>
        <v>0</v>
      </c>
      <c r="AV29" s="528"/>
      <c r="AW29" s="322">
        <f t="shared" si="29"/>
        <v>0</v>
      </c>
      <c r="AX29" s="321">
        <f t="shared" si="8"/>
        <v>0</v>
      </c>
      <c r="AY29" s="529"/>
      <c r="AZ29" s="323">
        <f t="shared" si="30"/>
        <v>0</v>
      </c>
      <c r="BA29" s="323">
        <f t="shared" si="9"/>
        <v>0</v>
      </c>
      <c r="BB29" s="529"/>
      <c r="BC29" s="323">
        <f t="shared" si="31"/>
        <v>0</v>
      </c>
      <c r="BD29" s="323">
        <f t="shared" si="10"/>
        <v>0</v>
      </c>
      <c r="BE29" s="529"/>
      <c r="BF29" s="323">
        <f t="shared" si="32"/>
        <v>0</v>
      </c>
      <c r="BG29" s="323">
        <f t="shared" si="11"/>
        <v>0</v>
      </c>
      <c r="BH29" s="529"/>
      <c r="BI29" s="323">
        <f t="shared" si="33"/>
        <v>0</v>
      </c>
      <c r="BJ29" s="323">
        <f t="shared" si="12"/>
        <v>0</v>
      </c>
      <c r="BK29" s="529"/>
      <c r="BL29" s="323">
        <f t="shared" si="34"/>
        <v>0</v>
      </c>
      <c r="BM29" s="304">
        <f t="shared" si="35"/>
        <v>0</v>
      </c>
      <c r="BN29" s="324">
        <f t="shared" si="36"/>
        <v>0</v>
      </c>
      <c r="BO29" s="306"/>
      <c r="BP29" s="321">
        <f t="shared" si="13"/>
        <v>0</v>
      </c>
      <c r="BQ29" s="528"/>
      <c r="BR29" s="325">
        <f t="shared" si="37"/>
        <v>0</v>
      </c>
      <c r="BS29" s="323">
        <f t="shared" si="14"/>
        <v>0</v>
      </c>
      <c r="BT29" s="529"/>
      <c r="BU29" s="323">
        <f t="shared" si="38"/>
        <v>0</v>
      </c>
      <c r="BV29" s="323">
        <f t="shared" si="15"/>
        <v>0</v>
      </c>
      <c r="BW29" s="529"/>
      <c r="BX29" s="323">
        <f t="shared" si="39"/>
        <v>0</v>
      </c>
      <c r="BY29" s="323">
        <f t="shared" si="16"/>
        <v>0</v>
      </c>
      <c r="BZ29" s="529"/>
      <c r="CA29" s="323">
        <f t="shared" si="40"/>
        <v>0</v>
      </c>
      <c r="CB29" s="323">
        <f t="shared" si="17"/>
        <v>0</v>
      </c>
      <c r="CC29" s="529"/>
      <c r="CD29" s="323">
        <f t="shared" si="41"/>
        <v>0</v>
      </c>
      <c r="CE29" s="304">
        <f t="shared" si="42"/>
        <v>0</v>
      </c>
      <c r="CF29" s="321">
        <f t="shared" si="18"/>
        <v>0</v>
      </c>
      <c r="CG29" s="529"/>
      <c r="CH29" s="326">
        <f t="shared" si="43"/>
        <v>0</v>
      </c>
      <c r="CI29" s="310"/>
      <c r="CJ29" s="327">
        <f t="shared" si="44"/>
        <v>0</v>
      </c>
      <c r="CK29" s="321">
        <f t="shared" si="19"/>
        <v>0</v>
      </c>
      <c r="CL29" s="528"/>
      <c r="CM29" s="322">
        <f t="shared" si="45"/>
        <v>0</v>
      </c>
      <c r="CN29" s="321">
        <f t="shared" si="20"/>
        <v>0</v>
      </c>
      <c r="CO29" s="529"/>
      <c r="CP29" s="326">
        <f t="shared" si="46"/>
        <v>0</v>
      </c>
      <c r="CQ29" s="327">
        <f t="shared" si="47"/>
        <v>0</v>
      </c>
      <c r="CR29" s="313" t="str">
        <f t="shared" si="21"/>
        <v/>
      </c>
      <c r="CS29" s="526"/>
      <c r="CT29" s="314" t="str">
        <f t="shared" si="48"/>
        <v/>
      </c>
      <c r="CU29" s="315" t="str">
        <f t="shared" si="22"/>
        <v/>
      </c>
      <c r="CV29" s="236"/>
      <c r="CW29" s="316" t="str">
        <f t="shared" si="49"/>
        <v/>
      </c>
      <c r="CX29" s="328" t="str">
        <f t="shared" si="50"/>
        <v/>
      </c>
      <c r="CY29" s="530"/>
      <c r="DA29" s="6">
        <f>IF(AND(CT29&lt;&gt;"",OR(CT29&lt;EXPEDIENTE!$I$25,CT29&gt;EXPEDIENTE!$I$29)),1,0)</f>
        <v>0</v>
      </c>
      <c r="DB29" s="6">
        <f>IF(AND(CW29&lt;&gt;"",OR(CW29&lt;EXPEDIENTE!$I$25,CW29&gt;EXPEDIENTE!$I$29)),1,0)</f>
        <v>0</v>
      </c>
      <c r="DD29" s="88">
        <f t="shared" si="23"/>
        <v>0</v>
      </c>
      <c r="DE29" s="88">
        <f t="shared" si="51"/>
        <v>0</v>
      </c>
      <c r="DF29" s="88">
        <f t="shared" si="52"/>
        <v>0</v>
      </c>
      <c r="DG29" s="88">
        <f t="shared" si="53"/>
        <v>0</v>
      </c>
      <c r="DH29" s="88">
        <f t="shared" si="54"/>
        <v>0</v>
      </c>
      <c r="DI29" s="88">
        <f t="shared" si="55"/>
        <v>0</v>
      </c>
      <c r="DJ29" s="88">
        <f t="shared" si="56"/>
        <v>0</v>
      </c>
      <c r="DK29" s="88">
        <f t="shared" si="57"/>
        <v>0</v>
      </c>
      <c r="DL29" s="88">
        <f t="shared" si="58"/>
        <v>0</v>
      </c>
      <c r="DM29" s="88">
        <f t="shared" si="59"/>
        <v>0</v>
      </c>
      <c r="DN29" s="88">
        <f t="shared" si="60"/>
        <v>0</v>
      </c>
      <c r="DO29" s="88">
        <f t="shared" si="61"/>
        <v>0</v>
      </c>
      <c r="DP29" s="88">
        <f t="shared" si="62"/>
        <v>0</v>
      </c>
      <c r="DQ29" s="88">
        <f t="shared" si="63"/>
        <v>0</v>
      </c>
      <c r="DR29" s="88">
        <f t="shared" si="64"/>
        <v>0</v>
      </c>
      <c r="DS29" s="88">
        <f t="shared" si="65"/>
        <v>0</v>
      </c>
      <c r="DT29" s="88">
        <f t="shared" si="66"/>
        <v>0</v>
      </c>
      <c r="DU29" s="88">
        <f t="shared" si="67"/>
        <v>0</v>
      </c>
      <c r="DW29" s="88">
        <f>IF(CY29&lt;&gt;"",MAX($DW$9:DW28)+1,0)</f>
        <v>0</v>
      </c>
      <c r="DX29" s="182" t="str">
        <f t="shared" si="68"/>
        <v/>
      </c>
    </row>
    <row r="30" spans="2:128" ht="30" customHeight="1" x14ac:dyDescent="0.25">
      <c r="B30" s="875"/>
      <c r="C30" s="885" t="s">
        <v>55</v>
      </c>
      <c r="D30" s="886"/>
      <c r="E30" s="52"/>
      <c r="F30" s="53"/>
      <c r="G30" s="54"/>
      <c r="H30" s="54"/>
      <c r="I30" s="54"/>
      <c r="J30" s="54"/>
      <c r="K30" s="54"/>
      <c r="L30" s="23">
        <f t="shared" si="24"/>
        <v>0</v>
      </c>
      <c r="M30" s="28">
        <f t="shared" si="69"/>
        <v>0</v>
      </c>
      <c r="N30" s="25"/>
      <c r="O30" s="53"/>
      <c r="P30" s="54"/>
      <c r="Q30" s="54"/>
      <c r="R30" s="54"/>
      <c r="S30" s="54"/>
      <c r="T30" s="23">
        <f t="shared" si="25"/>
        <v>0</v>
      </c>
      <c r="U30" s="60"/>
      <c r="V30" s="27"/>
      <c r="W30" s="28">
        <f t="shared" si="70"/>
        <v>0</v>
      </c>
      <c r="X30" s="53"/>
      <c r="Y30" s="54"/>
      <c r="Z30" s="23">
        <f t="shared" si="26"/>
        <v>0</v>
      </c>
      <c r="AA30" s="62"/>
      <c r="AB30" s="63"/>
      <c r="AC30" s="69"/>
      <c r="AD30" s="70"/>
      <c r="AE30" s="71"/>
      <c r="AG30" s="6">
        <f>IF(AND(AA30&lt;&gt;"",OR(AA30&lt;EXPEDIENTE!$I$25,AA30&gt;EXPEDIENTE!$I$29)),1,0)</f>
        <v>0</v>
      </c>
      <c r="AH30" s="6">
        <f>IF(AND(AB30&lt;&gt;"",OR(AB30&lt;EXPEDIENTE!$I$25,AB30&gt;EXPEDIENTE!$I$29)),1,0)</f>
        <v>0</v>
      </c>
      <c r="AI30" s="6">
        <f>IF(DATE(YEAR(EXPEDIENTE!$I$25)+2,MONTH(DATEVALUE($C30&amp;"1")),1)&gt;=DATE(YEAR(EXPEDIENTE!$I$25),MONTH(EXPEDIENTE!$I$25),1),0,1)</f>
        <v>0</v>
      </c>
      <c r="AJ30" s="6" t="e">
        <f>IF(DATE(YEAR(EXPEDIENTE!$I$25)+2,MONTH(DATEVALUE($C30&amp;"1")),1)&lt;=DATE(YEAR(EXPEDIENTE!$I$27),MONTH(EXPEDIENTE!$I$27),1),0,1)</f>
        <v>#VALUE!</v>
      </c>
      <c r="AK30" s="6" t="e">
        <f t="shared" si="27"/>
        <v>#VALUE!</v>
      </c>
      <c r="AM30" s="728"/>
      <c r="AN30" s="723" t="s">
        <v>55</v>
      </c>
      <c r="AO30" s="724"/>
      <c r="AP30" s="719"/>
      <c r="AQ30" s="720"/>
      <c r="AR30" s="319">
        <f t="shared" si="6"/>
        <v>0</v>
      </c>
      <c r="AS30" s="120"/>
      <c r="AT30" s="320">
        <f t="shared" si="28"/>
        <v>0</v>
      </c>
      <c r="AU30" s="321">
        <f t="shared" si="7"/>
        <v>0</v>
      </c>
      <c r="AV30" s="528"/>
      <c r="AW30" s="322">
        <f t="shared" si="29"/>
        <v>0</v>
      </c>
      <c r="AX30" s="321">
        <f t="shared" si="8"/>
        <v>0</v>
      </c>
      <c r="AY30" s="529"/>
      <c r="AZ30" s="323">
        <f t="shared" si="30"/>
        <v>0</v>
      </c>
      <c r="BA30" s="323">
        <f t="shared" si="9"/>
        <v>0</v>
      </c>
      <c r="BB30" s="529"/>
      <c r="BC30" s="323">
        <f t="shared" si="31"/>
        <v>0</v>
      </c>
      <c r="BD30" s="323">
        <f t="shared" si="10"/>
        <v>0</v>
      </c>
      <c r="BE30" s="529"/>
      <c r="BF30" s="323">
        <f t="shared" si="32"/>
        <v>0</v>
      </c>
      <c r="BG30" s="323">
        <f t="shared" si="11"/>
        <v>0</v>
      </c>
      <c r="BH30" s="529"/>
      <c r="BI30" s="323">
        <f t="shared" si="33"/>
        <v>0</v>
      </c>
      <c r="BJ30" s="323">
        <f t="shared" si="12"/>
        <v>0</v>
      </c>
      <c r="BK30" s="529"/>
      <c r="BL30" s="323">
        <f t="shared" si="34"/>
        <v>0</v>
      </c>
      <c r="BM30" s="304">
        <f t="shared" si="35"/>
        <v>0</v>
      </c>
      <c r="BN30" s="324">
        <f t="shared" si="36"/>
        <v>0</v>
      </c>
      <c r="BO30" s="306"/>
      <c r="BP30" s="321">
        <f t="shared" si="13"/>
        <v>0</v>
      </c>
      <c r="BQ30" s="528"/>
      <c r="BR30" s="325">
        <f t="shared" si="37"/>
        <v>0</v>
      </c>
      <c r="BS30" s="323">
        <f t="shared" si="14"/>
        <v>0</v>
      </c>
      <c r="BT30" s="529"/>
      <c r="BU30" s="323">
        <f t="shared" si="38"/>
        <v>0</v>
      </c>
      <c r="BV30" s="323">
        <f t="shared" si="15"/>
        <v>0</v>
      </c>
      <c r="BW30" s="529"/>
      <c r="BX30" s="323">
        <f t="shared" si="39"/>
        <v>0</v>
      </c>
      <c r="BY30" s="323">
        <f t="shared" si="16"/>
        <v>0</v>
      </c>
      <c r="BZ30" s="529"/>
      <c r="CA30" s="323">
        <f t="shared" si="40"/>
        <v>0</v>
      </c>
      <c r="CB30" s="323">
        <f t="shared" si="17"/>
        <v>0</v>
      </c>
      <c r="CC30" s="529"/>
      <c r="CD30" s="323">
        <f t="shared" si="41"/>
        <v>0</v>
      </c>
      <c r="CE30" s="304">
        <f t="shared" si="42"/>
        <v>0</v>
      </c>
      <c r="CF30" s="321">
        <f t="shared" si="18"/>
        <v>0</v>
      </c>
      <c r="CG30" s="529"/>
      <c r="CH30" s="326">
        <f t="shared" si="43"/>
        <v>0</v>
      </c>
      <c r="CI30" s="310"/>
      <c r="CJ30" s="327">
        <f t="shared" si="44"/>
        <v>0</v>
      </c>
      <c r="CK30" s="321">
        <f t="shared" si="19"/>
        <v>0</v>
      </c>
      <c r="CL30" s="528"/>
      <c r="CM30" s="322">
        <f t="shared" si="45"/>
        <v>0</v>
      </c>
      <c r="CN30" s="321">
        <f t="shared" si="20"/>
        <v>0</v>
      </c>
      <c r="CO30" s="529"/>
      <c r="CP30" s="326">
        <f t="shared" si="46"/>
        <v>0</v>
      </c>
      <c r="CQ30" s="327">
        <f t="shared" si="47"/>
        <v>0</v>
      </c>
      <c r="CR30" s="313" t="str">
        <f t="shared" si="21"/>
        <v/>
      </c>
      <c r="CS30" s="526"/>
      <c r="CT30" s="314" t="str">
        <f t="shared" si="48"/>
        <v/>
      </c>
      <c r="CU30" s="315" t="str">
        <f t="shared" si="22"/>
        <v/>
      </c>
      <c r="CV30" s="236"/>
      <c r="CW30" s="316" t="str">
        <f t="shared" si="49"/>
        <v/>
      </c>
      <c r="CX30" s="328" t="str">
        <f t="shared" si="50"/>
        <v/>
      </c>
      <c r="CY30" s="530"/>
      <c r="DA30" s="6">
        <f>IF(AND(CT30&lt;&gt;"",OR(CT30&lt;EXPEDIENTE!$I$25,CT30&gt;EXPEDIENTE!$I$29)),1,0)</f>
        <v>0</v>
      </c>
      <c r="DB30" s="6">
        <f>IF(AND(CW30&lt;&gt;"",OR(CW30&lt;EXPEDIENTE!$I$25,CW30&gt;EXPEDIENTE!$I$29)),1,0)</f>
        <v>0</v>
      </c>
      <c r="DD30" s="88">
        <f t="shared" si="23"/>
        <v>0</v>
      </c>
      <c r="DE30" s="88">
        <f t="shared" si="51"/>
        <v>0</v>
      </c>
      <c r="DF30" s="88">
        <f t="shared" si="52"/>
        <v>0</v>
      </c>
      <c r="DG30" s="88">
        <f t="shared" si="53"/>
        <v>0</v>
      </c>
      <c r="DH30" s="88">
        <f t="shared" si="54"/>
        <v>0</v>
      </c>
      <c r="DI30" s="88">
        <f t="shared" si="55"/>
        <v>0</v>
      </c>
      <c r="DJ30" s="88">
        <f t="shared" si="56"/>
        <v>0</v>
      </c>
      <c r="DK30" s="88">
        <f t="shared" si="57"/>
        <v>0</v>
      </c>
      <c r="DL30" s="88">
        <f t="shared" si="58"/>
        <v>0</v>
      </c>
      <c r="DM30" s="88">
        <f t="shared" si="59"/>
        <v>0</v>
      </c>
      <c r="DN30" s="88">
        <f t="shared" si="60"/>
        <v>0</v>
      </c>
      <c r="DO30" s="88">
        <f t="shared" si="61"/>
        <v>0</v>
      </c>
      <c r="DP30" s="88">
        <f t="shared" si="62"/>
        <v>0</v>
      </c>
      <c r="DQ30" s="88">
        <f t="shared" si="63"/>
        <v>0</v>
      </c>
      <c r="DR30" s="88">
        <f t="shared" si="64"/>
        <v>0</v>
      </c>
      <c r="DS30" s="88">
        <f t="shared" si="65"/>
        <v>0</v>
      </c>
      <c r="DT30" s="88">
        <f t="shared" si="66"/>
        <v>0</v>
      </c>
      <c r="DU30" s="88">
        <f t="shared" si="67"/>
        <v>0</v>
      </c>
      <c r="DW30" s="88">
        <f>IF(CY30&lt;&gt;"",MAX($DW$9:DW29)+1,0)</f>
        <v>0</v>
      </c>
      <c r="DX30" s="182" t="str">
        <f t="shared" si="68"/>
        <v/>
      </c>
    </row>
    <row r="31" spans="2:128" ht="30" customHeight="1" thickBot="1" x14ac:dyDescent="0.3">
      <c r="B31" s="875"/>
      <c r="C31" s="889" t="s">
        <v>56</v>
      </c>
      <c r="D31" s="890"/>
      <c r="E31" s="176"/>
      <c r="F31" s="55"/>
      <c r="G31" s="56"/>
      <c r="H31" s="56"/>
      <c r="I31" s="56"/>
      <c r="J31" s="56"/>
      <c r="K31" s="56"/>
      <c r="L31" s="30">
        <f t="shared" si="24"/>
        <v>0</v>
      </c>
      <c r="M31" s="174">
        <f t="shared" si="69"/>
        <v>0</v>
      </c>
      <c r="N31" s="25"/>
      <c r="O31" s="57"/>
      <c r="P31" s="58"/>
      <c r="Q31" s="58"/>
      <c r="R31" s="58"/>
      <c r="S31" s="58"/>
      <c r="T31" s="29">
        <f t="shared" si="25"/>
        <v>0</v>
      </c>
      <c r="U31" s="61"/>
      <c r="V31" s="27"/>
      <c r="W31" s="174">
        <f t="shared" si="70"/>
        <v>0</v>
      </c>
      <c r="X31" s="55"/>
      <c r="Y31" s="56"/>
      <c r="Z31" s="30">
        <f t="shared" si="26"/>
        <v>0</v>
      </c>
      <c r="AA31" s="175"/>
      <c r="AB31" s="173"/>
      <c r="AC31" s="72"/>
      <c r="AD31" s="73"/>
      <c r="AE31" s="74"/>
      <c r="AG31" s="6">
        <f>IF(AND(AA31&lt;&gt;"",OR(AA31&lt;EXPEDIENTE!$I$25,AA31&gt;EXPEDIENTE!$I$29)),1,0)</f>
        <v>0</v>
      </c>
      <c r="AH31" s="6">
        <f>IF(AND(AB31&lt;&gt;"",OR(AB31&lt;EXPEDIENTE!$I$25,AB31&gt;EXPEDIENTE!$I$29)),1,0)</f>
        <v>0</v>
      </c>
      <c r="AI31" s="6">
        <f>IF(DATE(YEAR(EXPEDIENTE!$I$25)+2,MONTH(DATEVALUE($C31&amp;"1")),1)&gt;=DATE(YEAR(EXPEDIENTE!$I$25),MONTH(EXPEDIENTE!$I$25),1),0,1)</f>
        <v>0</v>
      </c>
      <c r="AJ31" s="6" t="e">
        <f>IF(DATE(YEAR(EXPEDIENTE!$I$25)+2,MONTH(DATEVALUE($C31&amp;"1")),1)&lt;=DATE(YEAR(EXPEDIENTE!$I$27),MONTH(EXPEDIENTE!$I$27),1),0,1)</f>
        <v>#VALUE!</v>
      </c>
      <c r="AK31" s="6" t="e">
        <f t="shared" si="27"/>
        <v>#VALUE!</v>
      </c>
      <c r="AM31" s="728"/>
      <c r="AN31" s="781" t="s">
        <v>56</v>
      </c>
      <c r="AO31" s="782"/>
      <c r="AP31" s="721"/>
      <c r="AQ31" s="722"/>
      <c r="AR31" s="329">
        <f t="shared" si="6"/>
        <v>0</v>
      </c>
      <c r="AS31" s="531"/>
      <c r="AT31" s="330">
        <f t="shared" si="28"/>
        <v>0</v>
      </c>
      <c r="AU31" s="331">
        <f t="shared" si="7"/>
        <v>0</v>
      </c>
      <c r="AV31" s="532"/>
      <c r="AW31" s="332">
        <f t="shared" si="29"/>
        <v>0</v>
      </c>
      <c r="AX31" s="331">
        <f t="shared" si="8"/>
        <v>0</v>
      </c>
      <c r="AY31" s="533"/>
      <c r="AZ31" s="333">
        <f t="shared" si="30"/>
        <v>0</v>
      </c>
      <c r="BA31" s="333">
        <f t="shared" si="9"/>
        <v>0</v>
      </c>
      <c r="BB31" s="533"/>
      <c r="BC31" s="333">
        <f t="shared" si="31"/>
        <v>0</v>
      </c>
      <c r="BD31" s="333">
        <f t="shared" si="10"/>
        <v>0</v>
      </c>
      <c r="BE31" s="533"/>
      <c r="BF31" s="333">
        <f t="shared" si="32"/>
        <v>0</v>
      </c>
      <c r="BG31" s="333">
        <f t="shared" si="11"/>
        <v>0</v>
      </c>
      <c r="BH31" s="533"/>
      <c r="BI31" s="333">
        <f t="shared" si="33"/>
        <v>0</v>
      </c>
      <c r="BJ31" s="333">
        <f t="shared" si="12"/>
        <v>0</v>
      </c>
      <c r="BK31" s="533"/>
      <c r="BL31" s="333">
        <f t="shared" si="34"/>
        <v>0</v>
      </c>
      <c r="BM31" s="334">
        <f t="shared" si="35"/>
        <v>0</v>
      </c>
      <c r="BN31" s="335">
        <f t="shared" si="36"/>
        <v>0</v>
      </c>
      <c r="BO31" s="306"/>
      <c r="BP31" s="331">
        <f t="shared" si="13"/>
        <v>0</v>
      </c>
      <c r="BQ31" s="532"/>
      <c r="BR31" s="336">
        <f t="shared" si="37"/>
        <v>0</v>
      </c>
      <c r="BS31" s="333">
        <f t="shared" si="14"/>
        <v>0</v>
      </c>
      <c r="BT31" s="533"/>
      <c r="BU31" s="333">
        <f t="shared" si="38"/>
        <v>0</v>
      </c>
      <c r="BV31" s="333">
        <f t="shared" si="15"/>
        <v>0</v>
      </c>
      <c r="BW31" s="533"/>
      <c r="BX31" s="333">
        <f t="shared" si="39"/>
        <v>0</v>
      </c>
      <c r="BY31" s="333">
        <f t="shared" si="16"/>
        <v>0</v>
      </c>
      <c r="BZ31" s="533"/>
      <c r="CA31" s="333">
        <f t="shared" si="40"/>
        <v>0</v>
      </c>
      <c r="CB31" s="333">
        <f t="shared" si="17"/>
        <v>0</v>
      </c>
      <c r="CC31" s="533"/>
      <c r="CD31" s="333">
        <f t="shared" si="41"/>
        <v>0</v>
      </c>
      <c r="CE31" s="334">
        <f t="shared" si="42"/>
        <v>0</v>
      </c>
      <c r="CF31" s="331">
        <f t="shared" si="18"/>
        <v>0</v>
      </c>
      <c r="CG31" s="533"/>
      <c r="CH31" s="337">
        <f t="shared" si="43"/>
        <v>0</v>
      </c>
      <c r="CI31" s="310"/>
      <c r="CJ31" s="335">
        <f t="shared" si="44"/>
        <v>0</v>
      </c>
      <c r="CK31" s="331">
        <f t="shared" si="19"/>
        <v>0</v>
      </c>
      <c r="CL31" s="532"/>
      <c r="CM31" s="332">
        <f t="shared" si="45"/>
        <v>0</v>
      </c>
      <c r="CN31" s="331">
        <f t="shared" si="20"/>
        <v>0</v>
      </c>
      <c r="CO31" s="533"/>
      <c r="CP31" s="337">
        <f t="shared" si="46"/>
        <v>0</v>
      </c>
      <c r="CQ31" s="335">
        <f t="shared" si="47"/>
        <v>0</v>
      </c>
      <c r="CR31" s="338" t="str">
        <f t="shared" si="21"/>
        <v/>
      </c>
      <c r="CS31" s="534"/>
      <c r="CT31" s="339" t="str">
        <f t="shared" si="48"/>
        <v/>
      </c>
      <c r="CU31" s="340" t="str">
        <f t="shared" si="22"/>
        <v/>
      </c>
      <c r="CV31" s="248"/>
      <c r="CW31" s="341" t="str">
        <f t="shared" si="49"/>
        <v/>
      </c>
      <c r="CX31" s="342" t="str">
        <f t="shared" si="50"/>
        <v/>
      </c>
      <c r="CY31" s="535"/>
      <c r="DA31" s="6">
        <f>IF(AND(CT31&lt;&gt;"",OR(CT31&lt;EXPEDIENTE!$I$25,CT31&gt;EXPEDIENTE!$I$29)),1,0)</f>
        <v>0</v>
      </c>
      <c r="DB31" s="6">
        <f>IF(AND(CW31&lt;&gt;"",OR(CW31&lt;EXPEDIENTE!$I$25,CW31&gt;EXPEDIENTE!$I$29)),1,0)</f>
        <v>0</v>
      </c>
      <c r="DD31" s="88">
        <f t="shared" si="23"/>
        <v>0</v>
      </c>
      <c r="DE31" s="88">
        <f t="shared" si="51"/>
        <v>0</v>
      </c>
      <c r="DF31" s="88">
        <f t="shared" si="52"/>
        <v>0</v>
      </c>
      <c r="DG31" s="88">
        <f t="shared" si="53"/>
        <v>0</v>
      </c>
      <c r="DH31" s="88">
        <f t="shared" si="54"/>
        <v>0</v>
      </c>
      <c r="DI31" s="88">
        <f t="shared" si="55"/>
        <v>0</v>
      </c>
      <c r="DJ31" s="88">
        <f t="shared" si="56"/>
        <v>0</v>
      </c>
      <c r="DK31" s="88">
        <f t="shared" si="57"/>
        <v>0</v>
      </c>
      <c r="DL31" s="88">
        <f t="shared" si="58"/>
        <v>0</v>
      </c>
      <c r="DM31" s="88">
        <f t="shared" si="59"/>
        <v>0</v>
      </c>
      <c r="DN31" s="88">
        <f t="shared" si="60"/>
        <v>0</v>
      </c>
      <c r="DO31" s="88">
        <f t="shared" si="61"/>
        <v>0</v>
      </c>
      <c r="DP31" s="88">
        <f t="shared" si="62"/>
        <v>0</v>
      </c>
      <c r="DQ31" s="88">
        <f t="shared" si="63"/>
        <v>0</v>
      </c>
      <c r="DR31" s="88">
        <f t="shared" si="64"/>
        <v>0</v>
      </c>
      <c r="DS31" s="88">
        <f t="shared" si="65"/>
        <v>0</v>
      </c>
      <c r="DT31" s="88">
        <f t="shared" si="66"/>
        <v>0</v>
      </c>
      <c r="DU31" s="88">
        <f t="shared" si="67"/>
        <v>0</v>
      </c>
      <c r="DW31" s="88">
        <f>IF(CY31&lt;&gt;"",MAX($DW$9:DW30)+1,0)</f>
        <v>0</v>
      </c>
      <c r="DX31" s="182" t="str">
        <f t="shared" si="68"/>
        <v/>
      </c>
    </row>
    <row r="32" spans="2:128" ht="9.9499999999999993" customHeight="1" thickBot="1" x14ac:dyDescent="0.3">
      <c r="B32" s="875"/>
      <c r="C32" s="177"/>
      <c r="D32" s="161"/>
      <c r="E32" s="161"/>
      <c r="F32" s="161"/>
      <c r="G32" s="161"/>
      <c r="H32" s="161"/>
      <c r="I32" s="161"/>
      <c r="J32" s="161"/>
      <c r="K32" s="161"/>
      <c r="L32" s="161"/>
      <c r="M32" s="178"/>
      <c r="N32" s="32"/>
      <c r="O32" s="33"/>
      <c r="P32" s="33"/>
      <c r="Q32" s="33"/>
      <c r="R32" s="33"/>
      <c r="S32" s="33"/>
      <c r="T32" s="33"/>
      <c r="U32" s="33"/>
      <c r="V32" s="34"/>
      <c r="W32" s="159"/>
      <c r="X32" s="161"/>
      <c r="Y32" s="161"/>
      <c r="Z32" s="161"/>
      <c r="AA32" s="161"/>
      <c r="AB32" s="161"/>
      <c r="AC32" s="161"/>
      <c r="AD32" s="161"/>
      <c r="AE32" s="164"/>
      <c r="AM32" s="728"/>
      <c r="AN32" s="277"/>
      <c r="AO32" s="278"/>
      <c r="AP32" s="278"/>
      <c r="AQ32" s="278"/>
      <c r="AR32" s="278"/>
      <c r="AS32" s="278"/>
      <c r="AT32" s="278"/>
      <c r="AU32" s="278"/>
      <c r="AV32" s="278"/>
      <c r="AW32" s="278"/>
      <c r="AX32" s="278"/>
      <c r="AY32" s="278"/>
      <c r="AZ32" s="278"/>
      <c r="BA32" s="278"/>
      <c r="BB32" s="278"/>
      <c r="BC32" s="278"/>
      <c r="BD32" s="278"/>
      <c r="BE32" s="278"/>
      <c r="BF32" s="278"/>
      <c r="BG32" s="278"/>
      <c r="BH32" s="278"/>
      <c r="BI32" s="278"/>
      <c r="BJ32" s="278"/>
      <c r="BK32" s="278"/>
      <c r="BL32" s="278"/>
      <c r="BM32" s="278"/>
      <c r="BN32" s="343"/>
      <c r="BO32" s="344"/>
      <c r="BP32" s="345"/>
      <c r="BQ32" s="345"/>
      <c r="BR32" s="345"/>
      <c r="BS32" s="345"/>
      <c r="BT32" s="345"/>
      <c r="BU32" s="345"/>
      <c r="BV32" s="345"/>
      <c r="BW32" s="345"/>
      <c r="BX32" s="345"/>
      <c r="BY32" s="345"/>
      <c r="BZ32" s="345"/>
      <c r="CA32" s="345"/>
      <c r="CB32" s="345"/>
      <c r="CC32" s="345"/>
      <c r="CD32" s="345"/>
      <c r="CE32" s="345"/>
      <c r="CF32" s="345"/>
      <c r="CG32" s="345"/>
      <c r="CH32" s="345"/>
      <c r="CI32" s="346"/>
      <c r="CJ32" s="347"/>
      <c r="CK32" s="278"/>
      <c r="CL32" s="278"/>
      <c r="CM32" s="278"/>
      <c r="CN32" s="278"/>
      <c r="CO32" s="278"/>
      <c r="CP32" s="278"/>
      <c r="CQ32" s="278"/>
      <c r="CR32" s="278"/>
      <c r="CS32" s="278"/>
      <c r="CT32" s="278"/>
      <c r="CU32" s="278"/>
      <c r="CV32" s="278"/>
      <c r="CW32" s="278"/>
      <c r="CX32" s="348"/>
      <c r="CY32" s="349"/>
    </row>
    <row r="33" spans="2:128" s="35" customFormat="1" ht="54.95" customHeight="1" thickTop="1" thickBot="1" x14ac:dyDescent="0.3">
      <c r="B33" s="875"/>
      <c r="C33" s="887" t="s">
        <v>185</v>
      </c>
      <c r="D33" s="887"/>
      <c r="E33" s="887"/>
      <c r="F33" s="887"/>
      <c r="G33" s="887"/>
      <c r="H33" s="887"/>
      <c r="I33" s="887"/>
      <c r="J33" s="887"/>
      <c r="K33" s="887"/>
      <c r="L33" s="887"/>
      <c r="M33" s="887"/>
      <c r="N33" s="887"/>
      <c r="O33" s="887"/>
      <c r="P33" s="887"/>
      <c r="Q33" s="887"/>
      <c r="R33" s="887"/>
      <c r="S33" s="887"/>
      <c r="T33" s="887"/>
      <c r="U33" s="887"/>
      <c r="V33" s="887"/>
      <c r="W33" s="887"/>
      <c r="X33" s="887"/>
      <c r="Y33" s="887"/>
      <c r="Z33" s="887"/>
      <c r="AA33" s="887"/>
      <c r="AB33" s="887"/>
      <c r="AC33" s="887"/>
      <c r="AD33" s="887"/>
      <c r="AE33" s="888"/>
      <c r="AG33" s="6"/>
      <c r="AH33" s="6"/>
      <c r="AI33" s="109"/>
      <c r="AJ33" s="109"/>
      <c r="AK33" s="109"/>
      <c r="AM33" s="728"/>
      <c r="AN33" s="751" t="s">
        <v>185</v>
      </c>
      <c r="AO33" s="751"/>
      <c r="AP33" s="751"/>
      <c r="AQ33" s="751"/>
      <c r="AR33" s="751"/>
      <c r="AS33" s="751"/>
      <c r="AT33" s="751"/>
      <c r="AU33" s="751"/>
      <c r="AV33" s="751"/>
      <c r="AW33" s="751"/>
      <c r="AX33" s="751"/>
      <c r="AY33" s="751"/>
      <c r="AZ33" s="751"/>
      <c r="BA33" s="751"/>
      <c r="BB33" s="751"/>
      <c r="BC33" s="751"/>
      <c r="BD33" s="751"/>
      <c r="BE33" s="751"/>
      <c r="BF33" s="751"/>
      <c r="BG33" s="751"/>
      <c r="BH33" s="751"/>
      <c r="BI33" s="751"/>
      <c r="BJ33" s="751"/>
      <c r="BK33" s="751"/>
      <c r="BL33" s="751"/>
      <c r="BM33" s="751"/>
      <c r="BN33" s="751"/>
      <c r="BO33" s="751"/>
      <c r="BP33" s="751"/>
      <c r="BQ33" s="751"/>
      <c r="BR33" s="751"/>
      <c r="BS33" s="751"/>
      <c r="BT33" s="751"/>
      <c r="BU33" s="751"/>
      <c r="BV33" s="751"/>
      <c r="BW33" s="751"/>
      <c r="BX33" s="751"/>
      <c r="BY33" s="751"/>
      <c r="BZ33" s="751"/>
      <c r="CA33" s="751"/>
      <c r="CB33" s="751"/>
      <c r="CC33" s="751"/>
      <c r="CD33" s="751"/>
      <c r="CE33" s="751"/>
      <c r="CF33" s="751"/>
      <c r="CG33" s="751"/>
      <c r="CH33" s="751"/>
      <c r="CI33" s="751"/>
      <c r="CJ33" s="751"/>
      <c r="CK33" s="751"/>
      <c r="CL33" s="751"/>
      <c r="CM33" s="751"/>
      <c r="CN33" s="751"/>
      <c r="CO33" s="751"/>
      <c r="CP33" s="751"/>
      <c r="CQ33" s="751"/>
      <c r="CR33" s="751"/>
      <c r="CS33" s="751"/>
      <c r="CT33" s="751"/>
      <c r="CU33" s="751"/>
      <c r="CV33" s="751"/>
      <c r="CW33" s="751"/>
      <c r="CX33" s="751"/>
      <c r="CY33" s="752"/>
      <c r="DA33" s="6"/>
      <c r="DB33" s="6"/>
      <c r="DD33" s="109"/>
      <c r="DE33" s="109"/>
      <c r="DF33" s="109"/>
      <c r="DG33" s="109"/>
      <c r="DH33" s="109"/>
      <c r="DI33" s="109"/>
      <c r="DJ33" s="109"/>
      <c r="DK33" s="109"/>
      <c r="DL33" s="109"/>
      <c r="DM33" s="109"/>
      <c r="DN33" s="109"/>
      <c r="DO33" s="109"/>
      <c r="DP33" s="109"/>
      <c r="DQ33" s="109"/>
      <c r="DR33" s="109"/>
      <c r="DS33" s="109"/>
      <c r="DT33" s="109"/>
      <c r="DU33" s="109"/>
    </row>
    <row r="34" spans="2:128" ht="20.100000000000001" customHeight="1" thickTop="1" thickBot="1" x14ac:dyDescent="0.3">
      <c r="B34" s="875"/>
      <c r="C34" s="858" t="s">
        <v>87</v>
      </c>
      <c r="D34" s="859"/>
      <c r="E34" s="860"/>
      <c r="F34" s="861" t="s">
        <v>85</v>
      </c>
      <c r="G34" s="862"/>
      <c r="H34" s="862"/>
      <c r="I34" s="862"/>
      <c r="J34" s="862"/>
      <c r="K34" s="862"/>
      <c r="L34" s="862"/>
      <c r="M34" s="863"/>
      <c r="N34" s="740" t="s">
        <v>88</v>
      </c>
      <c r="O34" s="741"/>
      <c r="P34" s="741"/>
      <c r="Q34" s="741"/>
      <c r="R34" s="741"/>
      <c r="S34" s="741"/>
      <c r="T34" s="741"/>
      <c r="U34" s="741"/>
      <c r="V34" s="742"/>
      <c r="W34" s="864" t="s">
        <v>79</v>
      </c>
      <c r="X34" s="746" t="s">
        <v>66</v>
      </c>
      <c r="Y34" s="743" t="s">
        <v>59</v>
      </c>
      <c r="Z34" s="743" t="s">
        <v>60</v>
      </c>
      <c r="AA34" s="743" t="s">
        <v>64</v>
      </c>
      <c r="AB34" s="789" t="s">
        <v>84</v>
      </c>
      <c r="AC34" s="746" t="s">
        <v>91</v>
      </c>
      <c r="AD34" s="789" t="s">
        <v>90</v>
      </c>
      <c r="AE34" s="871" t="s">
        <v>67</v>
      </c>
      <c r="AM34" s="728"/>
      <c r="AN34" s="732" t="s">
        <v>87</v>
      </c>
      <c r="AO34" s="733"/>
      <c r="AP34" s="733"/>
      <c r="AQ34" s="733"/>
      <c r="AR34" s="733"/>
      <c r="AS34" s="733"/>
      <c r="AT34" s="734"/>
      <c r="AU34" s="910" t="s">
        <v>85</v>
      </c>
      <c r="AV34" s="911"/>
      <c r="AW34" s="911"/>
      <c r="AX34" s="911"/>
      <c r="AY34" s="911"/>
      <c r="AZ34" s="911"/>
      <c r="BA34" s="911"/>
      <c r="BB34" s="911"/>
      <c r="BC34" s="911"/>
      <c r="BD34" s="911"/>
      <c r="BE34" s="911"/>
      <c r="BF34" s="911"/>
      <c r="BG34" s="911"/>
      <c r="BH34" s="911"/>
      <c r="BI34" s="911"/>
      <c r="BJ34" s="911"/>
      <c r="BK34" s="911"/>
      <c r="BL34" s="911"/>
      <c r="BM34" s="911"/>
      <c r="BN34" s="912"/>
      <c r="BO34" s="767" t="s">
        <v>407</v>
      </c>
      <c r="BP34" s="921"/>
      <c r="BQ34" s="921"/>
      <c r="BR34" s="921"/>
      <c r="BS34" s="921"/>
      <c r="BT34" s="921"/>
      <c r="BU34" s="921"/>
      <c r="BV34" s="921"/>
      <c r="BW34" s="921"/>
      <c r="BX34" s="921"/>
      <c r="BY34" s="921"/>
      <c r="BZ34" s="921"/>
      <c r="CA34" s="921"/>
      <c r="CB34" s="921"/>
      <c r="CC34" s="921"/>
      <c r="CD34" s="921"/>
      <c r="CE34" s="921"/>
      <c r="CF34" s="921"/>
      <c r="CG34" s="922"/>
      <c r="CH34" s="922"/>
      <c r="CI34" s="923"/>
      <c r="CJ34" s="827" t="s">
        <v>79</v>
      </c>
      <c r="CK34" s="695" t="s">
        <v>316</v>
      </c>
      <c r="CL34" s="696"/>
      <c r="CM34" s="697"/>
      <c r="CN34" s="714" t="s">
        <v>317</v>
      </c>
      <c r="CO34" s="715"/>
      <c r="CP34" s="716"/>
      <c r="CQ34" s="828" t="s">
        <v>60</v>
      </c>
      <c r="CR34" s="706" t="s">
        <v>319</v>
      </c>
      <c r="CS34" s="707"/>
      <c r="CT34" s="708"/>
      <c r="CU34" s="709" t="s">
        <v>318</v>
      </c>
      <c r="CV34" s="710"/>
      <c r="CW34" s="711"/>
      <c r="CX34" s="280"/>
      <c r="CY34" s="712" t="s">
        <v>320</v>
      </c>
    </row>
    <row r="35" spans="2:128" ht="15" customHeight="1" x14ac:dyDescent="0.25">
      <c r="B35" s="875"/>
      <c r="C35" s="877" t="s">
        <v>70</v>
      </c>
      <c r="D35" s="753" t="s">
        <v>63</v>
      </c>
      <c r="E35" s="891"/>
      <c r="F35" s="854" t="s">
        <v>57</v>
      </c>
      <c r="G35" s="753" t="s">
        <v>72</v>
      </c>
      <c r="H35" s="753"/>
      <c r="I35" s="753"/>
      <c r="J35" s="753"/>
      <c r="K35" s="753"/>
      <c r="L35" s="754"/>
      <c r="M35" s="749" t="s">
        <v>96</v>
      </c>
      <c r="N35" s="16"/>
      <c r="O35" s="788" t="s">
        <v>73</v>
      </c>
      <c r="P35" s="753"/>
      <c r="Q35" s="753"/>
      <c r="R35" s="753"/>
      <c r="S35" s="753"/>
      <c r="T35" s="753"/>
      <c r="U35" s="749" t="s">
        <v>89</v>
      </c>
      <c r="V35" s="17"/>
      <c r="W35" s="865"/>
      <c r="X35" s="747"/>
      <c r="Y35" s="744"/>
      <c r="Z35" s="744"/>
      <c r="AA35" s="744"/>
      <c r="AB35" s="790"/>
      <c r="AC35" s="747"/>
      <c r="AD35" s="790"/>
      <c r="AE35" s="872"/>
      <c r="AM35" s="728"/>
      <c r="AN35" s="806" t="s">
        <v>70</v>
      </c>
      <c r="AO35" s="803" t="s">
        <v>63</v>
      </c>
      <c r="AP35" s="804"/>
      <c r="AQ35" s="805"/>
      <c r="AR35" s="803" t="s">
        <v>63</v>
      </c>
      <c r="AS35" s="804"/>
      <c r="AT35" s="805"/>
      <c r="AU35" s="778" t="s">
        <v>272</v>
      </c>
      <c r="AV35" s="779"/>
      <c r="AW35" s="780"/>
      <c r="AX35" s="820" t="s">
        <v>72</v>
      </c>
      <c r="AY35" s="821"/>
      <c r="AZ35" s="821"/>
      <c r="BA35" s="821"/>
      <c r="BB35" s="821"/>
      <c r="BC35" s="821"/>
      <c r="BD35" s="821"/>
      <c r="BE35" s="821"/>
      <c r="BF35" s="821"/>
      <c r="BG35" s="821"/>
      <c r="BH35" s="821"/>
      <c r="BI35" s="821"/>
      <c r="BJ35" s="821"/>
      <c r="BK35" s="821"/>
      <c r="BL35" s="821"/>
      <c r="BM35" s="822"/>
      <c r="BN35" s="823" t="s">
        <v>273</v>
      </c>
      <c r="BO35" s="281"/>
      <c r="BP35" s="799" t="s">
        <v>410</v>
      </c>
      <c r="BQ35" s="924"/>
      <c r="BR35" s="924"/>
      <c r="BS35" s="821"/>
      <c r="BT35" s="821"/>
      <c r="BU35" s="821"/>
      <c r="BV35" s="821"/>
      <c r="BW35" s="821"/>
      <c r="BX35" s="821"/>
      <c r="BY35" s="821"/>
      <c r="BZ35" s="821"/>
      <c r="CA35" s="821"/>
      <c r="CB35" s="821"/>
      <c r="CC35" s="821"/>
      <c r="CD35" s="821"/>
      <c r="CE35" s="822"/>
      <c r="CF35" s="692" t="s">
        <v>409</v>
      </c>
      <c r="CG35" s="925"/>
      <c r="CH35" s="926"/>
      <c r="CI35" s="282"/>
      <c r="CJ35" s="738"/>
      <c r="CK35" s="698" t="s">
        <v>270</v>
      </c>
      <c r="CL35" s="700" t="s">
        <v>245</v>
      </c>
      <c r="CM35" s="702" t="s">
        <v>271</v>
      </c>
      <c r="CN35" s="698" t="s">
        <v>270</v>
      </c>
      <c r="CO35" s="700" t="s">
        <v>245</v>
      </c>
      <c r="CP35" s="702" t="s">
        <v>271</v>
      </c>
      <c r="CQ35" s="829"/>
      <c r="CR35" s="698" t="s">
        <v>270</v>
      </c>
      <c r="CS35" s="700" t="s">
        <v>245</v>
      </c>
      <c r="CT35" s="702" t="s">
        <v>271</v>
      </c>
      <c r="CU35" s="698" t="s">
        <v>270</v>
      </c>
      <c r="CV35" s="700" t="s">
        <v>245</v>
      </c>
      <c r="CW35" s="702" t="s">
        <v>271</v>
      </c>
      <c r="CX35" s="283"/>
      <c r="CY35" s="713"/>
    </row>
    <row r="36" spans="2:128" ht="45" customHeight="1" thickBot="1" x14ac:dyDescent="0.3">
      <c r="B36" s="875"/>
      <c r="C36" s="878"/>
      <c r="D36" s="36" t="s">
        <v>68</v>
      </c>
      <c r="E36" s="37" t="s">
        <v>69</v>
      </c>
      <c r="F36" s="855"/>
      <c r="G36" s="18" t="s">
        <v>97</v>
      </c>
      <c r="H36" s="18" t="s">
        <v>98</v>
      </c>
      <c r="I36" s="18" t="s">
        <v>99</v>
      </c>
      <c r="J36" s="18" t="s">
        <v>100</v>
      </c>
      <c r="K36" s="18" t="s">
        <v>101</v>
      </c>
      <c r="L36" s="19" t="s">
        <v>108</v>
      </c>
      <c r="M36" s="750"/>
      <c r="N36" s="20"/>
      <c r="O36" s="21" t="s">
        <v>102</v>
      </c>
      <c r="P36" s="18" t="s">
        <v>103</v>
      </c>
      <c r="Q36" s="18" t="s">
        <v>104</v>
      </c>
      <c r="R36" s="18" t="s">
        <v>105</v>
      </c>
      <c r="S36" s="18" t="s">
        <v>106</v>
      </c>
      <c r="T36" s="18" t="s">
        <v>107</v>
      </c>
      <c r="U36" s="750"/>
      <c r="V36" s="22"/>
      <c r="W36" s="866"/>
      <c r="X36" s="748"/>
      <c r="Y36" s="745"/>
      <c r="Z36" s="745"/>
      <c r="AA36" s="745"/>
      <c r="AB36" s="791"/>
      <c r="AC36" s="748"/>
      <c r="AD36" s="791"/>
      <c r="AE36" s="873"/>
      <c r="AM36" s="728"/>
      <c r="AN36" s="807"/>
      <c r="AO36" s="284" t="s">
        <v>307</v>
      </c>
      <c r="AP36" s="351" t="s">
        <v>308</v>
      </c>
      <c r="AQ36" s="286" t="s">
        <v>271</v>
      </c>
      <c r="AR36" s="284" t="s">
        <v>310</v>
      </c>
      <c r="AS36" s="351" t="s">
        <v>311</v>
      </c>
      <c r="AT36" s="286" t="s">
        <v>271</v>
      </c>
      <c r="AU36" s="284" t="s">
        <v>270</v>
      </c>
      <c r="AV36" s="285" t="s">
        <v>245</v>
      </c>
      <c r="AW36" s="286" t="s">
        <v>271</v>
      </c>
      <c r="AX36" s="287" t="s">
        <v>274</v>
      </c>
      <c r="AY36" s="288" t="s">
        <v>275</v>
      </c>
      <c r="AZ36" s="289" t="s">
        <v>276</v>
      </c>
      <c r="BA36" s="289" t="s">
        <v>277</v>
      </c>
      <c r="BB36" s="288" t="s">
        <v>278</v>
      </c>
      <c r="BC36" s="289" t="s">
        <v>279</v>
      </c>
      <c r="BD36" s="289" t="s">
        <v>280</v>
      </c>
      <c r="BE36" s="288" t="s">
        <v>281</v>
      </c>
      <c r="BF36" s="289" t="s">
        <v>282</v>
      </c>
      <c r="BG36" s="289" t="s">
        <v>283</v>
      </c>
      <c r="BH36" s="288" t="s">
        <v>284</v>
      </c>
      <c r="BI36" s="289" t="s">
        <v>285</v>
      </c>
      <c r="BJ36" s="289" t="s">
        <v>286</v>
      </c>
      <c r="BK36" s="288" t="s">
        <v>287</v>
      </c>
      <c r="BL36" s="289" t="s">
        <v>288</v>
      </c>
      <c r="BM36" s="290" t="s">
        <v>289</v>
      </c>
      <c r="BN36" s="824"/>
      <c r="BO36" s="291"/>
      <c r="BP36" s="287" t="s">
        <v>291</v>
      </c>
      <c r="BQ36" s="288" t="s">
        <v>292</v>
      </c>
      <c r="BR36" s="289" t="s">
        <v>293</v>
      </c>
      <c r="BS36" s="289" t="s">
        <v>294</v>
      </c>
      <c r="BT36" s="288" t="s">
        <v>295</v>
      </c>
      <c r="BU36" s="289" t="s">
        <v>296</v>
      </c>
      <c r="BV36" s="289" t="s">
        <v>297</v>
      </c>
      <c r="BW36" s="288" t="s">
        <v>298</v>
      </c>
      <c r="BX36" s="289" t="s">
        <v>299</v>
      </c>
      <c r="BY36" s="289" t="s">
        <v>300</v>
      </c>
      <c r="BZ36" s="288" t="s">
        <v>301</v>
      </c>
      <c r="CA36" s="289" t="s">
        <v>302</v>
      </c>
      <c r="CB36" s="289" t="s">
        <v>303</v>
      </c>
      <c r="CC36" s="288" t="s">
        <v>304</v>
      </c>
      <c r="CD36" s="289" t="s">
        <v>305</v>
      </c>
      <c r="CE36" s="290" t="s">
        <v>306</v>
      </c>
      <c r="CF36" s="292" t="s">
        <v>270</v>
      </c>
      <c r="CG36" s="293" t="s">
        <v>245</v>
      </c>
      <c r="CH36" s="294" t="s">
        <v>271</v>
      </c>
      <c r="CI36" s="295"/>
      <c r="CJ36" s="739"/>
      <c r="CK36" s="699"/>
      <c r="CL36" s="701"/>
      <c r="CM36" s="703"/>
      <c r="CN36" s="699"/>
      <c r="CO36" s="701"/>
      <c r="CP36" s="703"/>
      <c r="CQ36" s="830"/>
      <c r="CR36" s="699"/>
      <c r="CS36" s="701"/>
      <c r="CT36" s="703"/>
      <c r="CU36" s="699"/>
      <c r="CV36" s="701"/>
      <c r="CW36" s="703"/>
      <c r="CX36" s="296" t="s">
        <v>321</v>
      </c>
      <c r="CY36" s="297" t="s">
        <v>245</v>
      </c>
      <c r="DD36" s="88" t="s">
        <v>322</v>
      </c>
      <c r="DE36" s="88" t="s">
        <v>323</v>
      </c>
      <c r="DF36" s="88" t="s">
        <v>324</v>
      </c>
      <c r="DG36" s="88" t="s">
        <v>325</v>
      </c>
      <c r="DH36" s="88" t="s">
        <v>326</v>
      </c>
      <c r="DI36" s="88" t="s">
        <v>327</v>
      </c>
      <c r="DJ36" s="88" t="s">
        <v>328</v>
      </c>
      <c r="DK36" s="88" t="s">
        <v>329</v>
      </c>
      <c r="DL36" s="88" t="s">
        <v>330</v>
      </c>
      <c r="DM36" s="88" t="s">
        <v>331</v>
      </c>
      <c r="DN36" s="88" t="s">
        <v>332</v>
      </c>
      <c r="DO36" s="88" t="s">
        <v>333</v>
      </c>
      <c r="DP36" s="88" t="s">
        <v>334</v>
      </c>
      <c r="DQ36" s="88" t="s">
        <v>335</v>
      </c>
      <c r="DR36" s="88" t="s">
        <v>336</v>
      </c>
      <c r="DS36" s="88" t="s">
        <v>337</v>
      </c>
      <c r="DT36" s="88" t="s">
        <v>338</v>
      </c>
      <c r="DU36" s="88" t="s">
        <v>339</v>
      </c>
    </row>
    <row r="37" spans="2:128" ht="30" customHeight="1" x14ac:dyDescent="0.25">
      <c r="B37" s="875"/>
      <c r="C37" s="75"/>
      <c r="D37" s="62"/>
      <c r="E37" s="63"/>
      <c r="F37" s="50"/>
      <c r="G37" s="51"/>
      <c r="H37" s="51"/>
      <c r="I37" s="51"/>
      <c r="J37" s="51"/>
      <c r="K37" s="51"/>
      <c r="L37" s="38">
        <f>SUM(G37:K37)</f>
        <v>0</v>
      </c>
      <c r="M37" s="39">
        <f>F37+L37</f>
        <v>0</v>
      </c>
      <c r="N37" s="40"/>
      <c r="O37" s="77"/>
      <c r="P37" s="78"/>
      <c r="Q37" s="78"/>
      <c r="R37" s="78"/>
      <c r="S37" s="78"/>
      <c r="T37" s="38">
        <f>SUM(O37:S37)</f>
        <v>0</v>
      </c>
      <c r="U37" s="79"/>
      <c r="V37" s="27"/>
      <c r="W37" s="41">
        <f>M37+T37+U37</f>
        <v>0</v>
      </c>
      <c r="X37" s="77"/>
      <c r="Y37" s="78"/>
      <c r="Z37" s="26">
        <f>F37+L37+T37+U37-X37-Y37</f>
        <v>0</v>
      </c>
      <c r="AA37" s="62"/>
      <c r="AB37" s="63"/>
      <c r="AC37" s="66"/>
      <c r="AD37" s="67"/>
      <c r="AE37" s="105"/>
      <c r="AG37" s="6">
        <f>IF(AND(AA37&lt;&gt;"",OR(AA37&lt;EXPEDIENTE!$I$25,AA37&gt;EXPEDIENTE!$I$29)),1,0)</f>
        <v>0</v>
      </c>
      <c r="AH37" s="6">
        <f>IF(AND(AB37&lt;&gt;"",OR(AB37&lt;EXPEDIENTE!$I$25,AB37&gt;EXPEDIENTE!$I$29)),1,0)</f>
        <v>0</v>
      </c>
      <c r="AM37" s="728"/>
      <c r="AN37" s="352" t="str">
        <f t="shared" ref="AN37:AO44" si="71">IF(C37="","",C37)</f>
        <v/>
      </c>
      <c r="AO37" s="353" t="str">
        <f>IF(D37="","",D37)</f>
        <v/>
      </c>
      <c r="AP37" s="536"/>
      <c r="AQ37" s="354" t="str">
        <f>IF(AP37="",AO37,AP37)</f>
        <v/>
      </c>
      <c r="AR37" s="353" t="str">
        <f t="shared" ref="AR37:AR44" si="72">IF(E37="","",E37)</f>
        <v/>
      </c>
      <c r="AS37" s="536"/>
      <c r="AT37" s="354" t="str">
        <f>IF(AS37="",AR37,AS37)</f>
        <v/>
      </c>
      <c r="AU37" s="301">
        <f t="shared" ref="AU37:AU44" si="73">IF(F37="",0,F37)</f>
        <v>0</v>
      </c>
      <c r="AV37" s="523"/>
      <c r="AW37" s="302">
        <f>IF(AV37="",AU37,AV37)</f>
        <v>0</v>
      </c>
      <c r="AX37" s="301">
        <f t="shared" ref="AX37:AX44" si="74">IF(G37="",0,G37)</f>
        <v>0</v>
      </c>
      <c r="AY37" s="524"/>
      <c r="AZ37" s="303">
        <f>IF(AY37="",AX37,AY37)</f>
        <v>0</v>
      </c>
      <c r="BA37" s="303">
        <f t="shared" ref="BA37:BA44" si="75">IF(H37="",0,H37)</f>
        <v>0</v>
      </c>
      <c r="BB37" s="524"/>
      <c r="BC37" s="303">
        <f>IF(BB37="",BA37,BB37)</f>
        <v>0</v>
      </c>
      <c r="BD37" s="303">
        <f t="shared" ref="BD37:BD44" si="76">IF(I37="",0,I37)</f>
        <v>0</v>
      </c>
      <c r="BE37" s="524"/>
      <c r="BF37" s="303">
        <f>IF(BE37="",BD37,BE37)</f>
        <v>0</v>
      </c>
      <c r="BG37" s="303">
        <f t="shared" ref="BG37:BG44" si="77">IF(J37="",0,J37)</f>
        <v>0</v>
      </c>
      <c r="BH37" s="524"/>
      <c r="BI37" s="303">
        <f>IF(BH37="",BG37,BH37)</f>
        <v>0</v>
      </c>
      <c r="BJ37" s="303">
        <f t="shared" ref="BJ37:BJ44" si="78">IF(K37="",0,K37)</f>
        <v>0</v>
      </c>
      <c r="BK37" s="524"/>
      <c r="BL37" s="303">
        <f>IF(BK37="",BJ37,BK37)</f>
        <v>0</v>
      </c>
      <c r="BM37" s="304">
        <f>AZ37+BC37+BF37+BI37+BL37</f>
        <v>0</v>
      </c>
      <c r="BN37" s="305">
        <f>AW37+BM37</f>
        <v>0</v>
      </c>
      <c r="BO37" s="355"/>
      <c r="BP37" s="301">
        <f t="shared" ref="BP37:BP44" si="79">IF(O37="",0,O37)</f>
        <v>0</v>
      </c>
      <c r="BQ37" s="537"/>
      <c r="BR37" s="307">
        <f>IF(BQ37="",BP37,BQ37)</f>
        <v>0</v>
      </c>
      <c r="BS37" s="303">
        <f t="shared" ref="BS37:BS44" si="80">IF(P37="",0,P37)</f>
        <v>0</v>
      </c>
      <c r="BT37" s="525"/>
      <c r="BU37" s="303">
        <f>IF(BT37="",BS37,BT37)</f>
        <v>0</v>
      </c>
      <c r="BV37" s="303">
        <f t="shared" ref="BV37:BV44" si="81">IF(Q37="",0,Q37)</f>
        <v>0</v>
      </c>
      <c r="BW37" s="525"/>
      <c r="BX37" s="303">
        <f>IF(BW37="",BV37,BW37)</f>
        <v>0</v>
      </c>
      <c r="BY37" s="303">
        <f t="shared" ref="BY37:BY44" si="82">IF(R37="",0,R37)</f>
        <v>0</v>
      </c>
      <c r="BZ37" s="525"/>
      <c r="CA37" s="303">
        <f>IF(BZ37="",BY37,BZ37)</f>
        <v>0</v>
      </c>
      <c r="CB37" s="303">
        <f t="shared" ref="CB37:CB44" si="83">IF(S37="",0,S37)</f>
        <v>0</v>
      </c>
      <c r="CC37" s="525"/>
      <c r="CD37" s="303">
        <f>IF(CC37="",CB37,CC37)</f>
        <v>0</v>
      </c>
      <c r="CE37" s="356">
        <f>BR37+BU37+BX37+CA37+CD37</f>
        <v>0</v>
      </c>
      <c r="CF37" s="308">
        <f t="shared" ref="CF37:CF44" si="84">IF(U37="",0,U37)</f>
        <v>0</v>
      </c>
      <c r="CG37" s="525"/>
      <c r="CH37" s="309">
        <f>IF(CG37="",CF37,CG37)</f>
        <v>0</v>
      </c>
      <c r="CI37" s="310"/>
      <c r="CJ37" s="311">
        <f>BN37+CE37+CH37</f>
        <v>0</v>
      </c>
      <c r="CK37" s="308">
        <f t="shared" ref="CK37:CK44" si="85">IF(X37="",0,X37)</f>
        <v>0</v>
      </c>
      <c r="CL37" s="537"/>
      <c r="CM37" s="357">
        <f>IF(CL37="",CK37,CL37)</f>
        <v>0</v>
      </c>
      <c r="CN37" s="308">
        <f t="shared" ref="CN37:CN44" si="86">IF(Y37="",0,Y37)</f>
        <v>0</v>
      </c>
      <c r="CO37" s="525"/>
      <c r="CP37" s="309">
        <f>IF(CO37="",CN37,CO37)</f>
        <v>0</v>
      </c>
      <c r="CQ37" s="311">
        <f>AW37+BM37+CE37+CH37-CM37-CP37</f>
        <v>0</v>
      </c>
      <c r="CR37" s="353" t="str">
        <f t="shared" ref="CR37:CR44" si="87">IF(AA37="","",AA37)</f>
        <v/>
      </c>
      <c r="CS37" s="227"/>
      <c r="CT37" s="354" t="str">
        <f>IF(CS37="",CR37,CS37)</f>
        <v/>
      </c>
      <c r="CU37" s="353" t="str">
        <f t="shared" ref="CU37:CU44" si="88">IF(AB37="","",AB37)</f>
        <v/>
      </c>
      <c r="CV37" s="227"/>
      <c r="CW37" s="354" t="str">
        <f>IF(CV37="",CU37,CV37)</f>
        <v/>
      </c>
      <c r="CX37" s="317" t="str">
        <f>IF(DD37=0,"",DD37)</f>
        <v/>
      </c>
      <c r="CY37" s="527"/>
      <c r="DA37" s="6">
        <f>IF(AND(CT37&lt;&gt;"",OR(CT37&lt;EXPEDIENTE!$I$25,CT37&gt;EXPEDIENTE!$I$29)),1,0)</f>
        <v>0</v>
      </c>
      <c r="DB37" s="6">
        <f>IF(AND(CW37&lt;&gt;"",OR(CW37&lt;EXPEDIENTE!$I$25,CW37&gt;EXPEDIENTE!$I$29)),1,0)</f>
        <v>0</v>
      </c>
      <c r="DD37" s="88">
        <f t="shared" ref="DD37:DD44" si="89">SUM(DE37:DU37)</f>
        <v>0</v>
      </c>
      <c r="DE37" s="88">
        <f>IF(AS37="",0,1)</f>
        <v>0</v>
      </c>
      <c r="DF37" s="88">
        <f>IF(AV37="",0,1)</f>
        <v>0</v>
      </c>
      <c r="DG37" s="88">
        <f>IF(AY37="",0,1)</f>
        <v>0</v>
      </c>
      <c r="DH37" s="88">
        <f>IF(BB37="",0,1)</f>
        <v>0</v>
      </c>
      <c r="DI37" s="88">
        <f>IF(BE37="",0,1)</f>
        <v>0</v>
      </c>
      <c r="DJ37" s="88">
        <f>IF(BH37="",0,1)</f>
        <v>0</v>
      </c>
      <c r="DK37" s="88">
        <f>IF(BK37="",0,1)</f>
        <v>0</v>
      </c>
      <c r="DL37" s="88">
        <f>IF(BQ37="",0,1)</f>
        <v>0</v>
      </c>
      <c r="DM37" s="88">
        <f>IF(BT37="",0,1)</f>
        <v>0</v>
      </c>
      <c r="DN37" s="88">
        <f>IF(BW37="",0,1)</f>
        <v>0</v>
      </c>
      <c r="DO37" s="88">
        <f>IF(BZ37="",0,1)</f>
        <v>0</v>
      </c>
      <c r="DP37" s="88">
        <f>IF(CC37="",0,1)</f>
        <v>0</v>
      </c>
      <c r="DQ37" s="88">
        <f>IF(CG37="",0,1)</f>
        <v>0</v>
      </c>
      <c r="DR37" s="88">
        <f>IF(CL37="",0,1)</f>
        <v>0</v>
      </c>
      <c r="DS37" s="88">
        <f>IF(CO37="",0,1)</f>
        <v>0</v>
      </c>
      <c r="DT37" s="88">
        <f>IF(CS37="",0,1)</f>
        <v>0</v>
      </c>
      <c r="DU37" s="88">
        <f>IF(CV37="",0,1)</f>
        <v>0</v>
      </c>
      <c r="DW37" s="88">
        <f>IF(CY37&lt;&gt;"",MAX($DW$9:DW36)+1,0)</f>
        <v>0</v>
      </c>
      <c r="DX37" s="182" t="str">
        <f t="shared" ref="DX37:DX44" si="90">IF(DW37=0,"",CY37)</f>
        <v/>
      </c>
    </row>
    <row r="38" spans="2:128" ht="30" customHeight="1" x14ac:dyDescent="0.25">
      <c r="B38" s="875"/>
      <c r="C38" s="76"/>
      <c r="D38" s="64"/>
      <c r="E38" s="65"/>
      <c r="F38" s="53"/>
      <c r="G38" s="54"/>
      <c r="H38" s="54"/>
      <c r="I38" s="54"/>
      <c r="J38" s="54"/>
      <c r="K38" s="54"/>
      <c r="L38" s="23">
        <f>SUM(G38:K38)</f>
        <v>0</v>
      </c>
      <c r="M38" s="42">
        <f t="shared" ref="M38:M44" si="91">F38+L38</f>
        <v>0</v>
      </c>
      <c r="N38" s="40"/>
      <c r="O38" s="53"/>
      <c r="P38" s="54"/>
      <c r="Q38" s="54"/>
      <c r="R38" s="54"/>
      <c r="S38" s="54"/>
      <c r="T38" s="23">
        <f t="shared" ref="T38:T44" si="92">SUM(O38:S38)</f>
        <v>0</v>
      </c>
      <c r="U38" s="80"/>
      <c r="V38" s="27"/>
      <c r="W38" s="43">
        <f t="shared" ref="W38:W44" si="93">M38+T38+U38</f>
        <v>0</v>
      </c>
      <c r="X38" s="53"/>
      <c r="Y38" s="54"/>
      <c r="Z38" s="26">
        <f t="shared" ref="Z38:Z44" si="94">F38+L38+T38+U38-X38-Y38</f>
        <v>0</v>
      </c>
      <c r="AA38" s="62"/>
      <c r="AB38" s="63"/>
      <c r="AC38" s="69"/>
      <c r="AD38" s="70"/>
      <c r="AE38" s="104"/>
      <c r="AG38" s="6">
        <f>IF(AND(AA38&lt;&gt;"",OR(AA38&lt;EXPEDIENTE!$I$25,AA38&gt;EXPEDIENTE!$I$29)),1,0)</f>
        <v>0</v>
      </c>
      <c r="AH38" s="6">
        <f>IF(AND(AB38&lt;&gt;"",OR(AB38&lt;EXPEDIENTE!$I$25,AB38&gt;EXPEDIENTE!$I$29)),1,0)</f>
        <v>0</v>
      </c>
      <c r="AM38" s="728"/>
      <c r="AN38" s="358" t="str">
        <f t="shared" si="71"/>
        <v/>
      </c>
      <c r="AO38" s="315" t="str">
        <f t="shared" si="71"/>
        <v/>
      </c>
      <c r="AP38" s="236"/>
      <c r="AQ38" s="316" t="str">
        <f t="shared" ref="AQ38:AQ44" si="95">IF(AP38="",AO38,AP38)</f>
        <v/>
      </c>
      <c r="AR38" s="315" t="str">
        <f t="shared" si="72"/>
        <v/>
      </c>
      <c r="AS38" s="236"/>
      <c r="AT38" s="316" t="str">
        <f t="shared" ref="AT38:AT44" si="96">IF(AS38="",AR38,AS38)</f>
        <v/>
      </c>
      <c r="AU38" s="301">
        <f t="shared" si="73"/>
        <v>0</v>
      </c>
      <c r="AV38" s="528"/>
      <c r="AW38" s="322">
        <f t="shared" ref="AW38:AW44" si="97">IF(AV38="",AU38,AV38)</f>
        <v>0</v>
      </c>
      <c r="AX38" s="321">
        <f t="shared" si="74"/>
        <v>0</v>
      </c>
      <c r="AY38" s="529"/>
      <c r="AZ38" s="323">
        <f t="shared" ref="AZ38:AZ44" si="98">IF(AY38="",AX38,AY38)</f>
        <v>0</v>
      </c>
      <c r="BA38" s="323">
        <f t="shared" si="75"/>
        <v>0</v>
      </c>
      <c r="BB38" s="529"/>
      <c r="BC38" s="323">
        <f t="shared" ref="BC38:BC44" si="99">IF(BB38="",BA38,BB38)</f>
        <v>0</v>
      </c>
      <c r="BD38" s="323">
        <f t="shared" si="76"/>
        <v>0</v>
      </c>
      <c r="BE38" s="529"/>
      <c r="BF38" s="323">
        <f t="shared" ref="BF38:BF44" si="100">IF(BE38="",BD38,BE38)</f>
        <v>0</v>
      </c>
      <c r="BG38" s="323">
        <f t="shared" si="77"/>
        <v>0</v>
      </c>
      <c r="BH38" s="529"/>
      <c r="BI38" s="323">
        <f t="shared" ref="BI38:BI44" si="101">IF(BH38="",BG38,BH38)</f>
        <v>0</v>
      </c>
      <c r="BJ38" s="323">
        <f t="shared" si="78"/>
        <v>0</v>
      </c>
      <c r="BK38" s="529"/>
      <c r="BL38" s="323">
        <f t="shared" ref="BL38:BL44" si="102">IF(BK38="",BJ38,BK38)</f>
        <v>0</v>
      </c>
      <c r="BM38" s="304">
        <f t="shared" ref="BM38:BM44" si="103">AZ38+BC38+BF38+BI38+BL38</f>
        <v>0</v>
      </c>
      <c r="BN38" s="324">
        <f t="shared" ref="BN38:BN44" si="104">AW38+BM38</f>
        <v>0</v>
      </c>
      <c r="BO38" s="355"/>
      <c r="BP38" s="321">
        <f t="shared" si="79"/>
        <v>0</v>
      </c>
      <c r="BQ38" s="528"/>
      <c r="BR38" s="325">
        <f t="shared" ref="BR38:BR44" si="105">IF(BQ38="",BP38,BQ38)</f>
        <v>0</v>
      </c>
      <c r="BS38" s="323">
        <f t="shared" si="80"/>
        <v>0</v>
      </c>
      <c r="BT38" s="529"/>
      <c r="BU38" s="323">
        <f t="shared" ref="BU38:BU44" si="106">IF(BT38="",BS38,BT38)</f>
        <v>0</v>
      </c>
      <c r="BV38" s="323">
        <f t="shared" si="81"/>
        <v>0</v>
      </c>
      <c r="BW38" s="529"/>
      <c r="BX38" s="323">
        <f t="shared" ref="BX38:BX44" si="107">IF(BW38="",BV38,BW38)</f>
        <v>0</v>
      </c>
      <c r="BY38" s="323">
        <f t="shared" si="82"/>
        <v>0</v>
      </c>
      <c r="BZ38" s="529"/>
      <c r="CA38" s="323">
        <f t="shared" ref="CA38:CA44" si="108">IF(BZ38="",BY38,BZ38)</f>
        <v>0</v>
      </c>
      <c r="CB38" s="323">
        <f t="shared" si="83"/>
        <v>0</v>
      </c>
      <c r="CC38" s="529"/>
      <c r="CD38" s="323">
        <f t="shared" ref="CD38:CD44" si="109">IF(CC38="",CB38,CC38)</f>
        <v>0</v>
      </c>
      <c r="CE38" s="304">
        <f t="shared" ref="CE38:CE44" si="110">BR38+BU38+BX38+CA38+CD38</f>
        <v>0</v>
      </c>
      <c r="CF38" s="321">
        <f t="shared" si="84"/>
        <v>0</v>
      </c>
      <c r="CG38" s="529"/>
      <c r="CH38" s="326">
        <f t="shared" ref="CH38:CH44" si="111">IF(CG38="",CF38,CG38)</f>
        <v>0</v>
      </c>
      <c r="CI38" s="310"/>
      <c r="CJ38" s="327">
        <f t="shared" ref="CJ38:CJ44" si="112">BN38+CE38+CH38</f>
        <v>0</v>
      </c>
      <c r="CK38" s="321">
        <f t="shared" si="85"/>
        <v>0</v>
      </c>
      <c r="CL38" s="528"/>
      <c r="CM38" s="322">
        <f t="shared" ref="CM38:CM44" si="113">IF(CL38="",CK38,CL38)</f>
        <v>0</v>
      </c>
      <c r="CN38" s="321">
        <f t="shared" si="86"/>
        <v>0</v>
      </c>
      <c r="CO38" s="524"/>
      <c r="CP38" s="359">
        <f t="shared" ref="CP38:CP44" si="114">IF(CO38="",CN38,CO38)</f>
        <v>0</v>
      </c>
      <c r="CQ38" s="312">
        <f t="shared" ref="CQ38:CQ44" si="115">AW38+BM38+CE38+CH38-CM38-CP38</f>
        <v>0</v>
      </c>
      <c r="CR38" s="315" t="str">
        <f t="shared" si="87"/>
        <v/>
      </c>
      <c r="CS38" s="236"/>
      <c r="CT38" s="316" t="str">
        <f t="shared" ref="CT38:CT44" si="116">IF(CS38="",CR38,CS38)</f>
        <v/>
      </c>
      <c r="CU38" s="315" t="str">
        <f t="shared" si="88"/>
        <v/>
      </c>
      <c r="CV38" s="236"/>
      <c r="CW38" s="316" t="str">
        <f t="shared" ref="CW38:CW44" si="117">IF(CV38="",CU38,CV38)</f>
        <v/>
      </c>
      <c r="CX38" s="328" t="str">
        <f t="shared" ref="CX38:CX44" si="118">IF(DD38=0,"",DD38)</f>
        <v/>
      </c>
      <c r="CY38" s="530"/>
      <c r="DA38" s="6">
        <f>IF(AND(CT38&lt;&gt;"",OR(CT38&lt;EXPEDIENTE!$I$25,CT38&gt;EXPEDIENTE!$I$29)),1,0)</f>
        <v>0</v>
      </c>
      <c r="DB38" s="6">
        <f>IF(AND(CW38&lt;&gt;"",OR(CW38&lt;EXPEDIENTE!$I$25,CW38&gt;EXPEDIENTE!$I$29)),1,0)</f>
        <v>0</v>
      </c>
      <c r="DD38" s="88">
        <f t="shared" si="89"/>
        <v>0</v>
      </c>
      <c r="DE38" s="88">
        <f t="shared" ref="DE38:DE44" si="119">IF(AS38="",0,1)</f>
        <v>0</v>
      </c>
      <c r="DF38" s="88">
        <f t="shared" ref="DF38:DF44" si="120">IF(AV38="",0,1)</f>
        <v>0</v>
      </c>
      <c r="DG38" s="88">
        <f t="shared" ref="DG38:DG44" si="121">IF(AY38="",0,1)</f>
        <v>0</v>
      </c>
      <c r="DH38" s="88">
        <f t="shared" ref="DH38:DH44" si="122">IF(BB38="",0,1)</f>
        <v>0</v>
      </c>
      <c r="DI38" s="88">
        <f t="shared" ref="DI38:DI44" si="123">IF(BE38="",0,1)</f>
        <v>0</v>
      </c>
      <c r="DJ38" s="88">
        <f t="shared" ref="DJ38:DJ44" si="124">IF(BH38="",0,1)</f>
        <v>0</v>
      </c>
      <c r="DK38" s="88">
        <f t="shared" ref="DK38:DK44" si="125">IF(BK38="",0,1)</f>
        <v>0</v>
      </c>
      <c r="DL38" s="88">
        <f t="shared" ref="DL38:DL44" si="126">IF(BQ38="",0,1)</f>
        <v>0</v>
      </c>
      <c r="DM38" s="88">
        <f t="shared" ref="DM38:DM44" si="127">IF(BT38="",0,1)</f>
        <v>0</v>
      </c>
      <c r="DN38" s="88">
        <f t="shared" ref="DN38:DN44" si="128">IF(BW38="",0,1)</f>
        <v>0</v>
      </c>
      <c r="DO38" s="88">
        <f t="shared" ref="DO38:DO44" si="129">IF(BZ38="",0,1)</f>
        <v>0</v>
      </c>
      <c r="DP38" s="88">
        <f t="shared" ref="DP38:DP44" si="130">IF(CC38="",0,1)</f>
        <v>0</v>
      </c>
      <c r="DQ38" s="88">
        <f t="shared" ref="DQ38:DQ44" si="131">IF(CG38="",0,1)</f>
        <v>0</v>
      </c>
      <c r="DR38" s="88">
        <f t="shared" ref="DR38:DR44" si="132">IF(CL38="",0,1)</f>
        <v>0</v>
      </c>
      <c r="DS38" s="88">
        <f t="shared" ref="DS38:DS44" si="133">IF(CO38="",0,1)</f>
        <v>0</v>
      </c>
      <c r="DT38" s="88">
        <f t="shared" ref="DT38:DT44" si="134">IF(CS38="",0,1)</f>
        <v>0</v>
      </c>
      <c r="DU38" s="88">
        <f t="shared" ref="DU38:DU44" si="135">IF(CV38="",0,1)</f>
        <v>0</v>
      </c>
      <c r="DW38" s="88">
        <f>IF(CY38&lt;&gt;"",MAX($DW$9:DW37)+1,0)</f>
        <v>0</v>
      </c>
      <c r="DX38" s="182" t="str">
        <f t="shared" si="90"/>
        <v/>
      </c>
    </row>
    <row r="39" spans="2:128" ht="30" customHeight="1" x14ac:dyDescent="0.25">
      <c r="B39" s="875"/>
      <c r="C39" s="76"/>
      <c r="D39" s="64"/>
      <c r="E39" s="65"/>
      <c r="F39" s="53"/>
      <c r="G39" s="54"/>
      <c r="H39" s="54"/>
      <c r="I39" s="54"/>
      <c r="J39" s="54"/>
      <c r="K39" s="54"/>
      <c r="L39" s="23">
        <f t="shared" ref="L39:L44" si="136">SUM(G39:K39)</f>
        <v>0</v>
      </c>
      <c r="M39" s="42">
        <f t="shared" si="91"/>
        <v>0</v>
      </c>
      <c r="N39" s="40"/>
      <c r="O39" s="53"/>
      <c r="P39" s="54"/>
      <c r="Q39" s="54"/>
      <c r="R39" s="54"/>
      <c r="S39" s="54"/>
      <c r="T39" s="23">
        <f t="shared" si="92"/>
        <v>0</v>
      </c>
      <c r="U39" s="80"/>
      <c r="V39" s="27"/>
      <c r="W39" s="43">
        <f t="shared" si="93"/>
        <v>0</v>
      </c>
      <c r="X39" s="53"/>
      <c r="Y39" s="54"/>
      <c r="Z39" s="26">
        <f t="shared" si="94"/>
        <v>0</v>
      </c>
      <c r="AA39" s="62"/>
      <c r="AB39" s="63"/>
      <c r="AC39" s="69"/>
      <c r="AD39" s="70"/>
      <c r="AE39" s="104"/>
      <c r="AG39" s="6">
        <f>IF(AND(AA39&lt;&gt;"",OR(AA39&lt;EXPEDIENTE!$I$25,AA39&gt;EXPEDIENTE!$I$29)),1,0)</f>
        <v>0</v>
      </c>
      <c r="AH39" s="6">
        <f>IF(AND(AB39&lt;&gt;"",OR(AB39&lt;EXPEDIENTE!$I$25,AB39&gt;EXPEDIENTE!$I$29)),1,0)</f>
        <v>0</v>
      </c>
      <c r="AM39" s="728"/>
      <c r="AN39" s="358" t="str">
        <f t="shared" si="71"/>
        <v/>
      </c>
      <c r="AO39" s="315" t="str">
        <f t="shared" si="71"/>
        <v/>
      </c>
      <c r="AP39" s="236"/>
      <c r="AQ39" s="316" t="str">
        <f t="shared" si="95"/>
        <v/>
      </c>
      <c r="AR39" s="315" t="str">
        <f t="shared" si="72"/>
        <v/>
      </c>
      <c r="AS39" s="236"/>
      <c r="AT39" s="316" t="str">
        <f t="shared" si="96"/>
        <v/>
      </c>
      <c r="AU39" s="301">
        <f t="shared" si="73"/>
        <v>0</v>
      </c>
      <c r="AV39" s="528"/>
      <c r="AW39" s="322">
        <f t="shared" si="97"/>
        <v>0</v>
      </c>
      <c r="AX39" s="321">
        <f t="shared" si="74"/>
        <v>0</v>
      </c>
      <c r="AY39" s="529"/>
      <c r="AZ39" s="323">
        <f t="shared" si="98"/>
        <v>0</v>
      </c>
      <c r="BA39" s="323">
        <f t="shared" si="75"/>
        <v>0</v>
      </c>
      <c r="BB39" s="529"/>
      <c r="BC39" s="323">
        <f t="shared" si="99"/>
        <v>0</v>
      </c>
      <c r="BD39" s="323">
        <f t="shared" si="76"/>
        <v>0</v>
      </c>
      <c r="BE39" s="529"/>
      <c r="BF39" s="323">
        <f t="shared" si="100"/>
        <v>0</v>
      </c>
      <c r="BG39" s="323">
        <f t="shared" si="77"/>
        <v>0</v>
      </c>
      <c r="BH39" s="529"/>
      <c r="BI39" s="323">
        <f t="shared" si="101"/>
        <v>0</v>
      </c>
      <c r="BJ39" s="323">
        <f t="shared" si="78"/>
        <v>0</v>
      </c>
      <c r="BK39" s="529"/>
      <c r="BL39" s="323">
        <f t="shared" si="102"/>
        <v>0</v>
      </c>
      <c r="BM39" s="304">
        <f t="shared" si="103"/>
        <v>0</v>
      </c>
      <c r="BN39" s="324">
        <f t="shared" si="104"/>
        <v>0</v>
      </c>
      <c r="BO39" s="355"/>
      <c r="BP39" s="321">
        <f t="shared" si="79"/>
        <v>0</v>
      </c>
      <c r="BQ39" s="528"/>
      <c r="BR39" s="325">
        <f t="shared" si="105"/>
        <v>0</v>
      </c>
      <c r="BS39" s="323">
        <f t="shared" si="80"/>
        <v>0</v>
      </c>
      <c r="BT39" s="529"/>
      <c r="BU39" s="323">
        <f t="shared" si="106"/>
        <v>0</v>
      </c>
      <c r="BV39" s="323">
        <f t="shared" si="81"/>
        <v>0</v>
      </c>
      <c r="BW39" s="529"/>
      <c r="BX39" s="323">
        <f t="shared" si="107"/>
        <v>0</v>
      </c>
      <c r="BY39" s="323">
        <f t="shared" si="82"/>
        <v>0</v>
      </c>
      <c r="BZ39" s="529"/>
      <c r="CA39" s="323">
        <f t="shared" si="108"/>
        <v>0</v>
      </c>
      <c r="CB39" s="323">
        <f t="shared" si="83"/>
        <v>0</v>
      </c>
      <c r="CC39" s="529"/>
      <c r="CD39" s="323">
        <f t="shared" si="109"/>
        <v>0</v>
      </c>
      <c r="CE39" s="304">
        <f t="shared" si="110"/>
        <v>0</v>
      </c>
      <c r="CF39" s="321">
        <f t="shared" si="84"/>
        <v>0</v>
      </c>
      <c r="CG39" s="529"/>
      <c r="CH39" s="326">
        <f t="shared" si="111"/>
        <v>0</v>
      </c>
      <c r="CI39" s="310"/>
      <c r="CJ39" s="327">
        <f t="shared" si="112"/>
        <v>0</v>
      </c>
      <c r="CK39" s="321">
        <f t="shared" si="85"/>
        <v>0</v>
      </c>
      <c r="CL39" s="528"/>
      <c r="CM39" s="322">
        <f t="shared" si="113"/>
        <v>0</v>
      </c>
      <c r="CN39" s="321">
        <f t="shared" si="86"/>
        <v>0</v>
      </c>
      <c r="CO39" s="524"/>
      <c r="CP39" s="359">
        <f t="shared" si="114"/>
        <v>0</v>
      </c>
      <c r="CQ39" s="312">
        <f t="shared" si="115"/>
        <v>0</v>
      </c>
      <c r="CR39" s="315" t="str">
        <f t="shared" si="87"/>
        <v/>
      </c>
      <c r="CS39" s="236"/>
      <c r="CT39" s="316" t="str">
        <f t="shared" si="116"/>
        <v/>
      </c>
      <c r="CU39" s="315" t="str">
        <f t="shared" si="88"/>
        <v/>
      </c>
      <c r="CV39" s="236"/>
      <c r="CW39" s="316" t="str">
        <f t="shared" si="117"/>
        <v/>
      </c>
      <c r="CX39" s="328" t="str">
        <f t="shared" si="118"/>
        <v/>
      </c>
      <c r="CY39" s="530"/>
      <c r="DA39" s="6">
        <f>IF(AND(CT39&lt;&gt;"",OR(CT39&lt;EXPEDIENTE!$I$25,CT39&gt;EXPEDIENTE!$I$29)),1,0)</f>
        <v>0</v>
      </c>
      <c r="DB39" s="6">
        <f>IF(AND(CW39&lt;&gt;"",OR(CW39&lt;EXPEDIENTE!$I$25,CW39&gt;EXPEDIENTE!$I$29)),1,0)</f>
        <v>0</v>
      </c>
      <c r="DD39" s="88">
        <f t="shared" si="89"/>
        <v>0</v>
      </c>
      <c r="DE39" s="88">
        <f t="shared" si="119"/>
        <v>0</v>
      </c>
      <c r="DF39" s="88">
        <f t="shared" si="120"/>
        <v>0</v>
      </c>
      <c r="DG39" s="88">
        <f t="shared" si="121"/>
        <v>0</v>
      </c>
      <c r="DH39" s="88">
        <f t="shared" si="122"/>
        <v>0</v>
      </c>
      <c r="DI39" s="88">
        <f t="shared" si="123"/>
        <v>0</v>
      </c>
      <c r="DJ39" s="88">
        <f t="shared" si="124"/>
        <v>0</v>
      </c>
      <c r="DK39" s="88">
        <f t="shared" si="125"/>
        <v>0</v>
      </c>
      <c r="DL39" s="88">
        <f t="shared" si="126"/>
        <v>0</v>
      </c>
      <c r="DM39" s="88">
        <f t="shared" si="127"/>
        <v>0</v>
      </c>
      <c r="DN39" s="88">
        <f t="shared" si="128"/>
        <v>0</v>
      </c>
      <c r="DO39" s="88">
        <f t="shared" si="129"/>
        <v>0</v>
      </c>
      <c r="DP39" s="88">
        <f t="shared" si="130"/>
        <v>0</v>
      </c>
      <c r="DQ39" s="88">
        <f t="shared" si="131"/>
        <v>0</v>
      </c>
      <c r="DR39" s="88">
        <f t="shared" si="132"/>
        <v>0</v>
      </c>
      <c r="DS39" s="88">
        <f t="shared" si="133"/>
        <v>0</v>
      </c>
      <c r="DT39" s="88">
        <f t="shared" si="134"/>
        <v>0</v>
      </c>
      <c r="DU39" s="88">
        <f t="shared" si="135"/>
        <v>0</v>
      </c>
      <c r="DW39" s="88">
        <f>IF(CY39&lt;&gt;"",MAX($DW$9:DW38)+1,0)</f>
        <v>0</v>
      </c>
      <c r="DX39" s="182" t="str">
        <f t="shared" si="90"/>
        <v/>
      </c>
    </row>
    <row r="40" spans="2:128" ht="30" customHeight="1" x14ac:dyDescent="0.25">
      <c r="B40" s="875"/>
      <c r="C40" s="76"/>
      <c r="D40" s="64"/>
      <c r="E40" s="65"/>
      <c r="F40" s="53"/>
      <c r="G40" s="54"/>
      <c r="H40" s="54"/>
      <c r="I40" s="54"/>
      <c r="J40" s="54"/>
      <c r="K40" s="54"/>
      <c r="L40" s="23">
        <f t="shared" ref="L40:L42" si="137">SUM(G40:K40)</f>
        <v>0</v>
      </c>
      <c r="M40" s="42">
        <f t="shared" ref="M40:M42" si="138">F40+L40</f>
        <v>0</v>
      </c>
      <c r="N40" s="40"/>
      <c r="O40" s="53"/>
      <c r="P40" s="54"/>
      <c r="Q40" s="54"/>
      <c r="R40" s="54"/>
      <c r="S40" s="54"/>
      <c r="T40" s="23">
        <f t="shared" si="92"/>
        <v>0</v>
      </c>
      <c r="U40" s="80"/>
      <c r="V40" s="27"/>
      <c r="W40" s="43">
        <f t="shared" si="93"/>
        <v>0</v>
      </c>
      <c r="X40" s="53"/>
      <c r="Y40" s="54"/>
      <c r="Z40" s="26">
        <f t="shared" si="94"/>
        <v>0</v>
      </c>
      <c r="AA40" s="62"/>
      <c r="AB40" s="63"/>
      <c r="AC40" s="69"/>
      <c r="AD40" s="70"/>
      <c r="AE40" s="104"/>
      <c r="AG40" s="6">
        <f>IF(AND(AA40&lt;&gt;"",OR(AA40&lt;EXPEDIENTE!$I$25,AA40&gt;EXPEDIENTE!$I$29)),1,0)</f>
        <v>0</v>
      </c>
      <c r="AH40" s="6">
        <f>IF(AND(AB40&lt;&gt;"",OR(AB40&lt;EXPEDIENTE!$I$25,AB40&gt;EXPEDIENTE!$I$29)),1,0)</f>
        <v>0</v>
      </c>
      <c r="AM40" s="728"/>
      <c r="AN40" s="358" t="str">
        <f t="shared" si="71"/>
        <v/>
      </c>
      <c r="AO40" s="315" t="str">
        <f t="shared" si="71"/>
        <v/>
      </c>
      <c r="AP40" s="236"/>
      <c r="AQ40" s="316" t="str">
        <f t="shared" si="95"/>
        <v/>
      </c>
      <c r="AR40" s="315" t="str">
        <f t="shared" si="72"/>
        <v/>
      </c>
      <c r="AS40" s="236"/>
      <c r="AT40" s="316" t="str">
        <f t="shared" si="96"/>
        <v/>
      </c>
      <c r="AU40" s="301">
        <f t="shared" si="73"/>
        <v>0</v>
      </c>
      <c r="AV40" s="528"/>
      <c r="AW40" s="322">
        <f t="shared" si="97"/>
        <v>0</v>
      </c>
      <c r="AX40" s="321">
        <f t="shared" si="74"/>
        <v>0</v>
      </c>
      <c r="AY40" s="529"/>
      <c r="AZ40" s="323">
        <f t="shared" si="98"/>
        <v>0</v>
      </c>
      <c r="BA40" s="323">
        <f t="shared" si="75"/>
        <v>0</v>
      </c>
      <c r="BB40" s="529"/>
      <c r="BC40" s="323">
        <f t="shared" si="99"/>
        <v>0</v>
      </c>
      <c r="BD40" s="323">
        <f t="shared" si="76"/>
        <v>0</v>
      </c>
      <c r="BE40" s="529"/>
      <c r="BF40" s="323">
        <f t="shared" si="100"/>
        <v>0</v>
      </c>
      <c r="BG40" s="323">
        <f t="shared" si="77"/>
        <v>0</v>
      </c>
      <c r="BH40" s="529"/>
      <c r="BI40" s="323">
        <f t="shared" si="101"/>
        <v>0</v>
      </c>
      <c r="BJ40" s="323">
        <f t="shared" si="78"/>
        <v>0</v>
      </c>
      <c r="BK40" s="529"/>
      <c r="BL40" s="323">
        <f t="shared" si="102"/>
        <v>0</v>
      </c>
      <c r="BM40" s="304">
        <f t="shared" si="103"/>
        <v>0</v>
      </c>
      <c r="BN40" s="324">
        <f t="shared" si="104"/>
        <v>0</v>
      </c>
      <c r="BO40" s="355"/>
      <c r="BP40" s="321">
        <f t="shared" si="79"/>
        <v>0</v>
      </c>
      <c r="BQ40" s="528"/>
      <c r="BR40" s="325">
        <f t="shared" si="105"/>
        <v>0</v>
      </c>
      <c r="BS40" s="323">
        <f t="shared" si="80"/>
        <v>0</v>
      </c>
      <c r="BT40" s="529"/>
      <c r="BU40" s="323">
        <f t="shared" si="106"/>
        <v>0</v>
      </c>
      <c r="BV40" s="323">
        <f t="shared" si="81"/>
        <v>0</v>
      </c>
      <c r="BW40" s="529"/>
      <c r="BX40" s="323">
        <f t="shared" si="107"/>
        <v>0</v>
      </c>
      <c r="BY40" s="323">
        <f t="shared" si="82"/>
        <v>0</v>
      </c>
      <c r="BZ40" s="529"/>
      <c r="CA40" s="323">
        <f t="shared" si="108"/>
        <v>0</v>
      </c>
      <c r="CB40" s="323">
        <f t="shared" si="83"/>
        <v>0</v>
      </c>
      <c r="CC40" s="529"/>
      <c r="CD40" s="323">
        <f t="shared" si="109"/>
        <v>0</v>
      </c>
      <c r="CE40" s="304">
        <f t="shared" si="110"/>
        <v>0</v>
      </c>
      <c r="CF40" s="321">
        <f t="shared" si="84"/>
        <v>0</v>
      </c>
      <c r="CG40" s="529"/>
      <c r="CH40" s="326">
        <f t="shared" si="111"/>
        <v>0</v>
      </c>
      <c r="CI40" s="310"/>
      <c r="CJ40" s="327">
        <f t="shared" si="112"/>
        <v>0</v>
      </c>
      <c r="CK40" s="321">
        <f t="shared" si="85"/>
        <v>0</v>
      </c>
      <c r="CL40" s="528"/>
      <c r="CM40" s="322">
        <f t="shared" si="113"/>
        <v>0</v>
      </c>
      <c r="CN40" s="321">
        <f t="shared" si="86"/>
        <v>0</v>
      </c>
      <c r="CO40" s="524"/>
      <c r="CP40" s="359">
        <f t="shared" si="114"/>
        <v>0</v>
      </c>
      <c r="CQ40" s="312">
        <f t="shared" si="115"/>
        <v>0</v>
      </c>
      <c r="CR40" s="315" t="str">
        <f t="shared" si="87"/>
        <v/>
      </c>
      <c r="CS40" s="236"/>
      <c r="CT40" s="316" t="str">
        <f t="shared" si="116"/>
        <v/>
      </c>
      <c r="CU40" s="315" t="str">
        <f t="shared" si="88"/>
        <v/>
      </c>
      <c r="CV40" s="236"/>
      <c r="CW40" s="316" t="str">
        <f t="shared" si="117"/>
        <v/>
      </c>
      <c r="CX40" s="328" t="str">
        <f t="shared" si="118"/>
        <v/>
      </c>
      <c r="CY40" s="530"/>
      <c r="DA40" s="6">
        <f>IF(AND(CT40&lt;&gt;"",OR(CT40&lt;EXPEDIENTE!$I$25,CT40&gt;EXPEDIENTE!$I$29)),1,0)</f>
        <v>0</v>
      </c>
      <c r="DB40" s="6">
        <f>IF(AND(CW40&lt;&gt;"",OR(CW40&lt;EXPEDIENTE!$I$25,CW40&gt;EXPEDIENTE!$I$29)),1,0)</f>
        <v>0</v>
      </c>
      <c r="DD40" s="88">
        <f t="shared" si="89"/>
        <v>0</v>
      </c>
      <c r="DE40" s="88">
        <f t="shared" si="119"/>
        <v>0</v>
      </c>
      <c r="DF40" s="88">
        <f t="shared" si="120"/>
        <v>0</v>
      </c>
      <c r="DG40" s="88">
        <f t="shared" si="121"/>
        <v>0</v>
      </c>
      <c r="DH40" s="88">
        <f t="shared" si="122"/>
        <v>0</v>
      </c>
      <c r="DI40" s="88">
        <f t="shared" si="123"/>
        <v>0</v>
      </c>
      <c r="DJ40" s="88">
        <f t="shared" si="124"/>
        <v>0</v>
      </c>
      <c r="DK40" s="88">
        <f t="shared" si="125"/>
        <v>0</v>
      </c>
      <c r="DL40" s="88">
        <f t="shared" si="126"/>
        <v>0</v>
      </c>
      <c r="DM40" s="88">
        <f t="shared" si="127"/>
        <v>0</v>
      </c>
      <c r="DN40" s="88">
        <f t="shared" si="128"/>
        <v>0</v>
      </c>
      <c r="DO40" s="88">
        <f t="shared" si="129"/>
        <v>0</v>
      </c>
      <c r="DP40" s="88">
        <f t="shared" si="130"/>
        <v>0</v>
      </c>
      <c r="DQ40" s="88">
        <f t="shared" si="131"/>
        <v>0</v>
      </c>
      <c r="DR40" s="88">
        <f t="shared" si="132"/>
        <v>0</v>
      </c>
      <c r="DS40" s="88">
        <f t="shared" si="133"/>
        <v>0</v>
      </c>
      <c r="DT40" s="88">
        <f t="shared" si="134"/>
        <v>0</v>
      </c>
      <c r="DU40" s="88">
        <f t="shared" si="135"/>
        <v>0</v>
      </c>
      <c r="DW40" s="88">
        <f>IF(CY40&lt;&gt;"",MAX($DW$9:DW39)+1,0)</f>
        <v>0</v>
      </c>
      <c r="DX40" s="182" t="str">
        <f t="shared" si="90"/>
        <v/>
      </c>
    </row>
    <row r="41" spans="2:128" ht="30" customHeight="1" x14ac:dyDescent="0.25">
      <c r="B41" s="875"/>
      <c r="C41" s="76"/>
      <c r="D41" s="64"/>
      <c r="E41" s="65"/>
      <c r="F41" s="53"/>
      <c r="G41" s="54"/>
      <c r="H41" s="54"/>
      <c r="I41" s="54"/>
      <c r="J41" s="54"/>
      <c r="K41" s="54"/>
      <c r="L41" s="23">
        <f t="shared" si="137"/>
        <v>0</v>
      </c>
      <c r="M41" s="42">
        <f t="shared" si="138"/>
        <v>0</v>
      </c>
      <c r="N41" s="40"/>
      <c r="O41" s="53"/>
      <c r="P41" s="54"/>
      <c r="Q41" s="54"/>
      <c r="R41" s="54"/>
      <c r="S41" s="54"/>
      <c r="T41" s="23">
        <f t="shared" si="92"/>
        <v>0</v>
      </c>
      <c r="U41" s="80"/>
      <c r="V41" s="27"/>
      <c r="W41" s="43">
        <f t="shared" si="93"/>
        <v>0</v>
      </c>
      <c r="X41" s="53"/>
      <c r="Y41" s="54"/>
      <c r="Z41" s="26">
        <f t="shared" si="94"/>
        <v>0</v>
      </c>
      <c r="AA41" s="62"/>
      <c r="AB41" s="63"/>
      <c r="AC41" s="69"/>
      <c r="AD41" s="70"/>
      <c r="AE41" s="104"/>
      <c r="AG41" s="6">
        <f>IF(AND(AA41&lt;&gt;"",OR(AA41&lt;EXPEDIENTE!$I$25,AA41&gt;EXPEDIENTE!$I$29)),1,0)</f>
        <v>0</v>
      </c>
      <c r="AH41" s="6">
        <f>IF(AND(AB41&lt;&gt;"",OR(AB41&lt;EXPEDIENTE!$I$25,AB41&gt;EXPEDIENTE!$I$29)),1,0)</f>
        <v>0</v>
      </c>
      <c r="AM41" s="728"/>
      <c r="AN41" s="358" t="str">
        <f t="shared" si="71"/>
        <v/>
      </c>
      <c r="AO41" s="315" t="str">
        <f t="shared" si="71"/>
        <v/>
      </c>
      <c r="AP41" s="236"/>
      <c r="AQ41" s="316" t="str">
        <f t="shared" si="95"/>
        <v/>
      </c>
      <c r="AR41" s="315" t="str">
        <f t="shared" si="72"/>
        <v/>
      </c>
      <c r="AS41" s="236"/>
      <c r="AT41" s="316" t="str">
        <f t="shared" si="96"/>
        <v/>
      </c>
      <c r="AU41" s="301">
        <f t="shared" si="73"/>
        <v>0</v>
      </c>
      <c r="AV41" s="528"/>
      <c r="AW41" s="322">
        <f t="shared" si="97"/>
        <v>0</v>
      </c>
      <c r="AX41" s="321">
        <f t="shared" si="74"/>
        <v>0</v>
      </c>
      <c r="AY41" s="529"/>
      <c r="AZ41" s="323">
        <f t="shared" si="98"/>
        <v>0</v>
      </c>
      <c r="BA41" s="323">
        <f t="shared" si="75"/>
        <v>0</v>
      </c>
      <c r="BB41" s="529"/>
      <c r="BC41" s="323">
        <f t="shared" si="99"/>
        <v>0</v>
      </c>
      <c r="BD41" s="323">
        <f t="shared" si="76"/>
        <v>0</v>
      </c>
      <c r="BE41" s="529"/>
      <c r="BF41" s="323">
        <f t="shared" si="100"/>
        <v>0</v>
      </c>
      <c r="BG41" s="323">
        <f t="shared" si="77"/>
        <v>0</v>
      </c>
      <c r="BH41" s="529"/>
      <c r="BI41" s="323">
        <f t="shared" si="101"/>
        <v>0</v>
      </c>
      <c r="BJ41" s="323">
        <f t="shared" si="78"/>
        <v>0</v>
      </c>
      <c r="BK41" s="529"/>
      <c r="BL41" s="323">
        <f t="shared" si="102"/>
        <v>0</v>
      </c>
      <c r="BM41" s="304">
        <f t="shared" si="103"/>
        <v>0</v>
      </c>
      <c r="BN41" s="324">
        <f t="shared" si="104"/>
        <v>0</v>
      </c>
      <c r="BO41" s="355"/>
      <c r="BP41" s="360">
        <f t="shared" si="79"/>
        <v>0</v>
      </c>
      <c r="BQ41" s="538"/>
      <c r="BR41" s="361">
        <f t="shared" si="105"/>
        <v>0</v>
      </c>
      <c r="BS41" s="362">
        <f t="shared" si="80"/>
        <v>0</v>
      </c>
      <c r="BT41" s="539"/>
      <c r="BU41" s="362">
        <f t="shared" si="106"/>
        <v>0</v>
      </c>
      <c r="BV41" s="362">
        <f t="shared" si="81"/>
        <v>0</v>
      </c>
      <c r="BW41" s="539"/>
      <c r="BX41" s="362">
        <f t="shared" si="107"/>
        <v>0</v>
      </c>
      <c r="BY41" s="362">
        <f t="shared" si="82"/>
        <v>0</v>
      </c>
      <c r="BZ41" s="539"/>
      <c r="CA41" s="362">
        <f t="shared" si="108"/>
        <v>0</v>
      </c>
      <c r="CB41" s="362">
        <f t="shared" si="83"/>
        <v>0</v>
      </c>
      <c r="CC41" s="539"/>
      <c r="CD41" s="362">
        <f t="shared" si="109"/>
        <v>0</v>
      </c>
      <c r="CE41" s="304">
        <f t="shared" si="110"/>
        <v>0</v>
      </c>
      <c r="CF41" s="321">
        <f t="shared" si="84"/>
        <v>0</v>
      </c>
      <c r="CG41" s="529"/>
      <c r="CH41" s="326">
        <f t="shared" si="111"/>
        <v>0</v>
      </c>
      <c r="CI41" s="310"/>
      <c r="CJ41" s="327">
        <f t="shared" si="112"/>
        <v>0</v>
      </c>
      <c r="CK41" s="321">
        <f t="shared" si="85"/>
        <v>0</v>
      </c>
      <c r="CL41" s="528"/>
      <c r="CM41" s="322">
        <f t="shared" si="113"/>
        <v>0</v>
      </c>
      <c r="CN41" s="321">
        <f t="shared" si="86"/>
        <v>0</v>
      </c>
      <c r="CO41" s="524"/>
      <c r="CP41" s="359">
        <f t="shared" si="114"/>
        <v>0</v>
      </c>
      <c r="CQ41" s="312">
        <f t="shared" si="115"/>
        <v>0</v>
      </c>
      <c r="CR41" s="315" t="str">
        <f t="shared" si="87"/>
        <v/>
      </c>
      <c r="CS41" s="236"/>
      <c r="CT41" s="316" t="str">
        <f t="shared" si="116"/>
        <v/>
      </c>
      <c r="CU41" s="315" t="str">
        <f t="shared" si="88"/>
        <v/>
      </c>
      <c r="CV41" s="236"/>
      <c r="CW41" s="316" t="str">
        <f t="shared" si="117"/>
        <v/>
      </c>
      <c r="CX41" s="328" t="str">
        <f t="shared" si="118"/>
        <v/>
      </c>
      <c r="CY41" s="530"/>
      <c r="DA41" s="6">
        <f>IF(AND(CT41&lt;&gt;"",OR(CT41&lt;EXPEDIENTE!$I$25,CT41&gt;EXPEDIENTE!$I$29)),1,0)</f>
        <v>0</v>
      </c>
      <c r="DB41" s="6">
        <f>IF(AND(CW41&lt;&gt;"",OR(CW41&lt;EXPEDIENTE!$I$25,CW41&gt;EXPEDIENTE!$I$29)),1,0)</f>
        <v>0</v>
      </c>
      <c r="DD41" s="88">
        <f t="shared" si="89"/>
        <v>0</v>
      </c>
      <c r="DE41" s="88">
        <f t="shared" si="119"/>
        <v>0</v>
      </c>
      <c r="DF41" s="88">
        <f t="shared" si="120"/>
        <v>0</v>
      </c>
      <c r="DG41" s="88">
        <f t="shared" si="121"/>
        <v>0</v>
      </c>
      <c r="DH41" s="88">
        <f t="shared" si="122"/>
        <v>0</v>
      </c>
      <c r="DI41" s="88">
        <f t="shared" si="123"/>
        <v>0</v>
      </c>
      <c r="DJ41" s="88">
        <f t="shared" si="124"/>
        <v>0</v>
      </c>
      <c r="DK41" s="88">
        <f t="shared" si="125"/>
        <v>0</v>
      </c>
      <c r="DL41" s="88">
        <f t="shared" si="126"/>
        <v>0</v>
      </c>
      <c r="DM41" s="88">
        <f t="shared" si="127"/>
        <v>0</v>
      </c>
      <c r="DN41" s="88">
        <f t="shared" si="128"/>
        <v>0</v>
      </c>
      <c r="DO41" s="88">
        <f t="shared" si="129"/>
        <v>0</v>
      </c>
      <c r="DP41" s="88">
        <f t="shared" si="130"/>
        <v>0</v>
      </c>
      <c r="DQ41" s="88">
        <f t="shared" si="131"/>
        <v>0</v>
      </c>
      <c r="DR41" s="88">
        <f t="shared" si="132"/>
        <v>0</v>
      </c>
      <c r="DS41" s="88">
        <f t="shared" si="133"/>
        <v>0</v>
      </c>
      <c r="DT41" s="88">
        <f t="shared" si="134"/>
        <v>0</v>
      </c>
      <c r="DU41" s="88">
        <f t="shared" si="135"/>
        <v>0</v>
      </c>
      <c r="DW41" s="88">
        <f>IF(CY41&lt;&gt;"",MAX($DW$9:DW40)+1,0)</f>
        <v>0</v>
      </c>
      <c r="DX41" s="182" t="str">
        <f t="shared" si="90"/>
        <v/>
      </c>
    </row>
    <row r="42" spans="2:128" ht="30" customHeight="1" x14ac:dyDescent="0.25">
      <c r="B42" s="875"/>
      <c r="C42" s="76"/>
      <c r="D42" s="64"/>
      <c r="E42" s="65"/>
      <c r="F42" s="53"/>
      <c r="G42" s="54"/>
      <c r="H42" s="54"/>
      <c r="I42" s="54"/>
      <c r="J42" s="54"/>
      <c r="K42" s="54"/>
      <c r="L42" s="23">
        <f t="shared" si="137"/>
        <v>0</v>
      </c>
      <c r="M42" s="42">
        <f t="shared" si="138"/>
        <v>0</v>
      </c>
      <c r="N42" s="40"/>
      <c r="O42" s="53"/>
      <c r="P42" s="54"/>
      <c r="Q42" s="54"/>
      <c r="R42" s="54"/>
      <c r="S42" s="54"/>
      <c r="T42" s="23">
        <f t="shared" si="92"/>
        <v>0</v>
      </c>
      <c r="U42" s="80"/>
      <c r="V42" s="27"/>
      <c r="W42" s="43">
        <f t="shared" si="93"/>
        <v>0</v>
      </c>
      <c r="X42" s="53"/>
      <c r="Y42" s="54"/>
      <c r="Z42" s="26">
        <f t="shared" si="94"/>
        <v>0</v>
      </c>
      <c r="AA42" s="62"/>
      <c r="AB42" s="63"/>
      <c r="AC42" s="69"/>
      <c r="AD42" s="70"/>
      <c r="AE42" s="104"/>
      <c r="AG42" s="6">
        <f>IF(AND(AA42&lt;&gt;"",OR(AA42&lt;EXPEDIENTE!$I$25,AA42&gt;EXPEDIENTE!$I$29)),1,0)</f>
        <v>0</v>
      </c>
      <c r="AH42" s="6">
        <f>IF(AND(AB42&lt;&gt;"",OR(AB42&lt;EXPEDIENTE!$I$25,AB42&gt;EXPEDIENTE!$I$29)),1,0)</f>
        <v>0</v>
      </c>
      <c r="AM42" s="728"/>
      <c r="AN42" s="358" t="str">
        <f t="shared" si="71"/>
        <v/>
      </c>
      <c r="AO42" s="315" t="str">
        <f t="shared" si="71"/>
        <v/>
      </c>
      <c r="AP42" s="236"/>
      <c r="AQ42" s="316" t="str">
        <f t="shared" si="95"/>
        <v/>
      </c>
      <c r="AR42" s="315" t="str">
        <f t="shared" si="72"/>
        <v/>
      </c>
      <c r="AS42" s="236"/>
      <c r="AT42" s="316" t="str">
        <f t="shared" si="96"/>
        <v/>
      </c>
      <c r="AU42" s="301">
        <f t="shared" si="73"/>
        <v>0</v>
      </c>
      <c r="AV42" s="528"/>
      <c r="AW42" s="322">
        <f t="shared" si="97"/>
        <v>0</v>
      </c>
      <c r="AX42" s="321">
        <f t="shared" si="74"/>
        <v>0</v>
      </c>
      <c r="AY42" s="529"/>
      <c r="AZ42" s="323">
        <f t="shared" si="98"/>
        <v>0</v>
      </c>
      <c r="BA42" s="323">
        <f t="shared" si="75"/>
        <v>0</v>
      </c>
      <c r="BB42" s="529"/>
      <c r="BC42" s="323">
        <f t="shared" si="99"/>
        <v>0</v>
      </c>
      <c r="BD42" s="323">
        <f t="shared" si="76"/>
        <v>0</v>
      </c>
      <c r="BE42" s="529"/>
      <c r="BF42" s="323">
        <f t="shared" si="100"/>
        <v>0</v>
      </c>
      <c r="BG42" s="323">
        <f t="shared" si="77"/>
        <v>0</v>
      </c>
      <c r="BH42" s="529"/>
      <c r="BI42" s="323">
        <f t="shared" si="101"/>
        <v>0</v>
      </c>
      <c r="BJ42" s="323">
        <f t="shared" si="78"/>
        <v>0</v>
      </c>
      <c r="BK42" s="529"/>
      <c r="BL42" s="323">
        <f t="shared" si="102"/>
        <v>0</v>
      </c>
      <c r="BM42" s="304">
        <f t="shared" si="103"/>
        <v>0</v>
      </c>
      <c r="BN42" s="324">
        <f t="shared" si="104"/>
        <v>0</v>
      </c>
      <c r="BO42" s="355"/>
      <c r="BP42" s="360">
        <f t="shared" si="79"/>
        <v>0</v>
      </c>
      <c r="BQ42" s="538"/>
      <c r="BR42" s="361">
        <f t="shared" si="105"/>
        <v>0</v>
      </c>
      <c r="BS42" s="362">
        <f t="shared" si="80"/>
        <v>0</v>
      </c>
      <c r="BT42" s="539"/>
      <c r="BU42" s="362">
        <f t="shared" si="106"/>
        <v>0</v>
      </c>
      <c r="BV42" s="362">
        <f t="shared" si="81"/>
        <v>0</v>
      </c>
      <c r="BW42" s="539"/>
      <c r="BX42" s="362">
        <f t="shared" si="107"/>
        <v>0</v>
      </c>
      <c r="BY42" s="362">
        <f t="shared" si="82"/>
        <v>0</v>
      </c>
      <c r="BZ42" s="539"/>
      <c r="CA42" s="362">
        <f t="shared" si="108"/>
        <v>0</v>
      </c>
      <c r="CB42" s="362">
        <f t="shared" si="83"/>
        <v>0</v>
      </c>
      <c r="CC42" s="539"/>
      <c r="CD42" s="362">
        <f t="shared" si="109"/>
        <v>0</v>
      </c>
      <c r="CE42" s="304">
        <f t="shared" si="110"/>
        <v>0</v>
      </c>
      <c r="CF42" s="321">
        <f t="shared" si="84"/>
        <v>0</v>
      </c>
      <c r="CG42" s="529"/>
      <c r="CH42" s="326">
        <f t="shared" si="111"/>
        <v>0</v>
      </c>
      <c r="CI42" s="310"/>
      <c r="CJ42" s="327">
        <f t="shared" si="112"/>
        <v>0</v>
      </c>
      <c r="CK42" s="321">
        <f t="shared" si="85"/>
        <v>0</v>
      </c>
      <c r="CL42" s="528"/>
      <c r="CM42" s="322">
        <f t="shared" si="113"/>
        <v>0</v>
      </c>
      <c r="CN42" s="321">
        <f t="shared" si="86"/>
        <v>0</v>
      </c>
      <c r="CO42" s="524"/>
      <c r="CP42" s="359">
        <f t="shared" si="114"/>
        <v>0</v>
      </c>
      <c r="CQ42" s="312">
        <f t="shared" si="115"/>
        <v>0</v>
      </c>
      <c r="CR42" s="315" t="str">
        <f t="shared" si="87"/>
        <v/>
      </c>
      <c r="CS42" s="236"/>
      <c r="CT42" s="316" t="str">
        <f t="shared" si="116"/>
        <v/>
      </c>
      <c r="CU42" s="315" t="str">
        <f t="shared" si="88"/>
        <v/>
      </c>
      <c r="CV42" s="236"/>
      <c r="CW42" s="316" t="str">
        <f t="shared" si="117"/>
        <v/>
      </c>
      <c r="CX42" s="328" t="str">
        <f t="shared" si="118"/>
        <v/>
      </c>
      <c r="CY42" s="530"/>
      <c r="DA42" s="6">
        <f>IF(AND(CT42&lt;&gt;"",OR(CT42&lt;EXPEDIENTE!$I$25,CT42&gt;EXPEDIENTE!$I$29)),1,0)</f>
        <v>0</v>
      </c>
      <c r="DB42" s="6">
        <f>IF(AND(CW42&lt;&gt;"",OR(CW42&lt;EXPEDIENTE!$I$25,CW42&gt;EXPEDIENTE!$I$29)),1,0)</f>
        <v>0</v>
      </c>
      <c r="DD42" s="88">
        <f t="shared" si="89"/>
        <v>0</v>
      </c>
      <c r="DE42" s="88">
        <f t="shared" si="119"/>
        <v>0</v>
      </c>
      <c r="DF42" s="88">
        <f t="shared" si="120"/>
        <v>0</v>
      </c>
      <c r="DG42" s="88">
        <f t="shared" si="121"/>
        <v>0</v>
      </c>
      <c r="DH42" s="88">
        <f t="shared" si="122"/>
        <v>0</v>
      </c>
      <c r="DI42" s="88">
        <f t="shared" si="123"/>
        <v>0</v>
      </c>
      <c r="DJ42" s="88">
        <f t="shared" si="124"/>
        <v>0</v>
      </c>
      <c r="DK42" s="88">
        <f t="shared" si="125"/>
        <v>0</v>
      </c>
      <c r="DL42" s="88">
        <f t="shared" si="126"/>
        <v>0</v>
      </c>
      <c r="DM42" s="88">
        <f t="shared" si="127"/>
        <v>0</v>
      </c>
      <c r="DN42" s="88">
        <f t="shared" si="128"/>
        <v>0</v>
      </c>
      <c r="DO42" s="88">
        <f t="shared" si="129"/>
        <v>0</v>
      </c>
      <c r="DP42" s="88">
        <f t="shared" si="130"/>
        <v>0</v>
      </c>
      <c r="DQ42" s="88">
        <f t="shared" si="131"/>
        <v>0</v>
      </c>
      <c r="DR42" s="88">
        <f t="shared" si="132"/>
        <v>0</v>
      </c>
      <c r="DS42" s="88">
        <f t="shared" si="133"/>
        <v>0</v>
      </c>
      <c r="DT42" s="88">
        <f t="shared" si="134"/>
        <v>0</v>
      </c>
      <c r="DU42" s="88">
        <f t="shared" si="135"/>
        <v>0</v>
      </c>
      <c r="DW42" s="88">
        <f>IF(CY42&lt;&gt;"",MAX($DW$9:DW41)+1,0)</f>
        <v>0</v>
      </c>
      <c r="DX42" s="182" t="str">
        <f t="shared" si="90"/>
        <v/>
      </c>
    </row>
    <row r="43" spans="2:128" ht="30" customHeight="1" x14ac:dyDescent="0.25">
      <c r="B43" s="875"/>
      <c r="C43" s="76"/>
      <c r="D43" s="64"/>
      <c r="E43" s="65"/>
      <c r="F43" s="53"/>
      <c r="G43" s="54"/>
      <c r="H43" s="54"/>
      <c r="I43" s="54"/>
      <c r="J43" s="54"/>
      <c r="K43" s="54"/>
      <c r="L43" s="23">
        <f t="shared" si="136"/>
        <v>0</v>
      </c>
      <c r="M43" s="42">
        <f t="shared" si="91"/>
        <v>0</v>
      </c>
      <c r="N43" s="40"/>
      <c r="O43" s="53"/>
      <c r="P43" s="54"/>
      <c r="Q43" s="54"/>
      <c r="R43" s="54"/>
      <c r="S43" s="54"/>
      <c r="T43" s="23">
        <f t="shared" si="92"/>
        <v>0</v>
      </c>
      <c r="U43" s="80"/>
      <c r="V43" s="27"/>
      <c r="W43" s="43">
        <f t="shared" si="93"/>
        <v>0</v>
      </c>
      <c r="X43" s="53"/>
      <c r="Y43" s="54"/>
      <c r="Z43" s="26">
        <f t="shared" si="94"/>
        <v>0</v>
      </c>
      <c r="AA43" s="62"/>
      <c r="AB43" s="63"/>
      <c r="AC43" s="69"/>
      <c r="AD43" s="70"/>
      <c r="AE43" s="104"/>
      <c r="AG43" s="6">
        <f>IF(AND(AA43&lt;&gt;"",OR(AA43&lt;EXPEDIENTE!$I$25,AA43&gt;EXPEDIENTE!$I$29)),1,0)</f>
        <v>0</v>
      </c>
      <c r="AH43" s="6">
        <f>IF(AND(AB43&lt;&gt;"",OR(AB43&lt;EXPEDIENTE!$I$25,AB43&gt;EXPEDIENTE!$I$29)),1,0)</f>
        <v>0</v>
      </c>
      <c r="AM43" s="728"/>
      <c r="AN43" s="358" t="str">
        <f t="shared" si="71"/>
        <v/>
      </c>
      <c r="AO43" s="315" t="str">
        <f t="shared" si="71"/>
        <v/>
      </c>
      <c r="AP43" s="236"/>
      <c r="AQ43" s="316" t="str">
        <f t="shared" si="95"/>
        <v/>
      </c>
      <c r="AR43" s="315" t="str">
        <f t="shared" si="72"/>
        <v/>
      </c>
      <c r="AS43" s="236"/>
      <c r="AT43" s="316" t="str">
        <f t="shared" si="96"/>
        <v/>
      </c>
      <c r="AU43" s="301">
        <f t="shared" si="73"/>
        <v>0</v>
      </c>
      <c r="AV43" s="528"/>
      <c r="AW43" s="322">
        <f t="shared" si="97"/>
        <v>0</v>
      </c>
      <c r="AX43" s="321">
        <f t="shared" si="74"/>
        <v>0</v>
      </c>
      <c r="AY43" s="529"/>
      <c r="AZ43" s="323">
        <f t="shared" si="98"/>
        <v>0</v>
      </c>
      <c r="BA43" s="323">
        <f t="shared" si="75"/>
        <v>0</v>
      </c>
      <c r="BB43" s="529"/>
      <c r="BC43" s="323">
        <f t="shared" si="99"/>
        <v>0</v>
      </c>
      <c r="BD43" s="323">
        <f t="shared" si="76"/>
        <v>0</v>
      </c>
      <c r="BE43" s="529"/>
      <c r="BF43" s="323">
        <f t="shared" si="100"/>
        <v>0</v>
      </c>
      <c r="BG43" s="323">
        <f t="shared" si="77"/>
        <v>0</v>
      </c>
      <c r="BH43" s="529"/>
      <c r="BI43" s="323">
        <f t="shared" si="101"/>
        <v>0</v>
      </c>
      <c r="BJ43" s="323">
        <f t="shared" si="78"/>
        <v>0</v>
      </c>
      <c r="BK43" s="529"/>
      <c r="BL43" s="323">
        <f t="shared" si="102"/>
        <v>0</v>
      </c>
      <c r="BM43" s="304">
        <f t="shared" si="103"/>
        <v>0</v>
      </c>
      <c r="BN43" s="324">
        <f t="shared" si="104"/>
        <v>0</v>
      </c>
      <c r="BO43" s="355"/>
      <c r="BP43" s="360">
        <f t="shared" si="79"/>
        <v>0</v>
      </c>
      <c r="BQ43" s="538"/>
      <c r="BR43" s="361">
        <f t="shared" si="105"/>
        <v>0</v>
      </c>
      <c r="BS43" s="362">
        <f t="shared" si="80"/>
        <v>0</v>
      </c>
      <c r="BT43" s="539"/>
      <c r="BU43" s="362">
        <f t="shared" si="106"/>
        <v>0</v>
      </c>
      <c r="BV43" s="362">
        <f t="shared" si="81"/>
        <v>0</v>
      </c>
      <c r="BW43" s="539"/>
      <c r="BX43" s="362">
        <f t="shared" si="107"/>
        <v>0</v>
      </c>
      <c r="BY43" s="362">
        <f t="shared" si="82"/>
        <v>0</v>
      </c>
      <c r="BZ43" s="539"/>
      <c r="CA43" s="362">
        <f t="shared" si="108"/>
        <v>0</v>
      </c>
      <c r="CB43" s="362">
        <f t="shared" si="83"/>
        <v>0</v>
      </c>
      <c r="CC43" s="539"/>
      <c r="CD43" s="362">
        <f t="shared" si="109"/>
        <v>0</v>
      </c>
      <c r="CE43" s="304">
        <f t="shared" si="110"/>
        <v>0</v>
      </c>
      <c r="CF43" s="321">
        <f t="shared" si="84"/>
        <v>0</v>
      </c>
      <c r="CG43" s="529"/>
      <c r="CH43" s="326">
        <f t="shared" si="111"/>
        <v>0</v>
      </c>
      <c r="CI43" s="310"/>
      <c r="CJ43" s="327">
        <f t="shared" si="112"/>
        <v>0</v>
      </c>
      <c r="CK43" s="321">
        <f t="shared" si="85"/>
        <v>0</v>
      </c>
      <c r="CL43" s="528"/>
      <c r="CM43" s="322">
        <f t="shared" si="113"/>
        <v>0</v>
      </c>
      <c r="CN43" s="321">
        <f t="shared" si="86"/>
        <v>0</v>
      </c>
      <c r="CO43" s="524"/>
      <c r="CP43" s="359">
        <f t="shared" si="114"/>
        <v>0</v>
      </c>
      <c r="CQ43" s="312">
        <f t="shared" si="115"/>
        <v>0</v>
      </c>
      <c r="CR43" s="315" t="str">
        <f t="shared" si="87"/>
        <v/>
      </c>
      <c r="CS43" s="236"/>
      <c r="CT43" s="316" t="str">
        <f t="shared" si="116"/>
        <v/>
      </c>
      <c r="CU43" s="315" t="str">
        <f t="shared" si="88"/>
        <v/>
      </c>
      <c r="CV43" s="236"/>
      <c r="CW43" s="316" t="str">
        <f t="shared" si="117"/>
        <v/>
      </c>
      <c r="CX43" s="328" t="str">
        <f t="shared" si="118"/>
        <v/>
      </c>
      <c r="CY43" s="530"/>
      <c r="DA43" s="6">
        <f>IF(AND(CT43&lt;&gt;"",OR(CT43&lt;EXPEDIENTE!$I$25,CT43&gt;EXPEDIENTE!$I$29)),1,0)</f>
        <v>0</v>
      </c>
      <c r="DB43" s="6">
        <f>IF(AND(CW43&lt;&gt;"",OR(CW43&lt;EXPEDIENTE!$I$25,CW43&gt;EXPEDIENTE!$I$29)),1,0)</f>
        <v>0</v>
      </c>
      <c r="DD43" s="88">
        <f t="shared" si="89"/>
        <v>0</v>
      </c>
      <c r="DE43" s="88">
        <f t="shared" si="119"/>
        <v>0</v>
      </c>
      <c r="DF43" s="88">
        <f t="shared" si="120"/>
        <v>0</v>
      </c>
      <c r="DG43" s="88">
        <f t="shared" si="121"/>
        <v>0</v>
      </c>
      <c r="DH43" s="88">
        <f t="shared" si="122"/>
        <v>0</v>
      </c>
      <c r="DI43" s="88">
        <f t="shared" si="123"/>
        <v>0</v>
      </c>
      <c r="DJ43" s="88">
        <f t="shared" si="124"/>
        <v>0</v>
      </c>
      <c r="DK43" s="88">
        <f t="shared" si="125"/>
        <v>0</v>
      </c>
      <c r="DL43" s="88">
        <f t="shared" si="126"/>
        <v>0</v>
      </c>
      <c r="DM43" s="88">
        <f t="shared" si="127"/>
        <v>0</v>
      </c>
      <c r="DN43" s="88">
        <f t="shared" si="128"/>
        <v>0</v>
      </c>
      <c r="DO43" s="88">
        <f t="shared" si="129"/>
        <v>0</v>
      </c>
      <c r="DP43" s="88">
        <f t="shared" si="130"/>
        <v>0</v>
      </c>
      <c r="DQ43" s="88">
        <f t="shared" si="131"/>
        <v>0</v>
      </c>
      <c r="DR43" s="88">
        <f t="shared" si="132"/>
        <v>0</v>
      </c>
      <c r="DS43" s="88">
        <f t="shared" si="133"/>
        <v>0</v>
      </c>
      <c r="DT43" s="88">
        <f t="shared" si="134"/>
        <v>0</v>
      </c>
      <c r="DU43" s="88">
        <f t="shared" si="135"/>
        <v>0</v>
      </c>
      <c r="DW43" s="88">
        <f>IF(CY43&lt;&gt;"",MAX($DW$9:DW42)+1,0)</f>
        <v>0</v>
      </c>
      <c r="DX43" s="182" t="str">
        <f t="shared" si="90"/>
        <v/>
      </c>
    </row>
    <row r="44" spans="2:128" ht="30" customHeight="1" thickBot="1" x14ac:dyDescent="0.3">
      <c r="B44" s="875"/>
      <c r="C44" s="76"/>
      <c r="D44" s="64"/>
      <c r="E44" s="65"/>
      <c r="F44" s="53"/>
      <c r="G44" s="54"/>
      <c r="H44" s="54"/>
      <c r="I44" s="54"/>
      <c r="J44" s="54"/>
      <c r="K44" s="54"/>
      <c r="L44" s="23">
        <f t="shared" si="136"/>
        <v>0</v>
      </c>
      <c r="M44" s="42">
        <f t="shared" si="91"/>
        <v>0</v>
      </c>
      <c r="N44" s="40"/>
      <c r="O44" s="57"/>
      <c r="P44" s="58"/>
      <c r="Q44" s="58"/>
      <c r="R44" s="58"/>
      <c r="S44" s="58"/>
      <c r="T44" s="29">
        <f t="shared" si="92"/>
        <v>0</v>
      </c>
      <c r="U44" s="81"/>
      <c r="V44" s="27"/>
      <c r="W44" s="43">
        <f t="shared" si="93"/>
        <v>0</v>
      </c>
      <c r="X44" s="55"/>
      <c r="Y44" s="54"/>
      <c r="Z44" s="26">
        <f t="shared" si="94"/>
        <v>0</v>
      </c>
      <c r="AA44" s="62"/>
      <c r="AB44" s="63"/>
      <c r="AC44" s="69"/>
      <c r="AD44" s="70"/>
      <c r="AE44" s="104"/>
      <c r="AG44" s="6">
        <f>IF(AND(AA44&lt;&gt;"",OR(AA44&lt;EXPEDIENTE!$I$25,AA44&gt;EXPEDIENTE!$I$29)),1,0)</f>
        <v>0</v>
      </c>
      <c r="AH44" s="6">
        <f>IF(AND(AB44&lt;&gt;"",OR(AB44&lt;EXPEDIENTE!$I$25,AB44&gt;EXPEDIENTE!$I$29)),1,0)</f>
        <v>0</v>
      </c>
      <c r="AM44" s="728"/>
      <c r="AN44" s="363" t="str">
        <f t="shared" si="71"/>
        <v/>
      </c>
      <c r="AO44" s="340" t="str">
        <f t="shared" si="71"/>
        <v/>
      </c>
      <c r="AP44" s="248"/>
      <c r="AQ44" s="341" t="str">
        <f t="shared" si="95"/>
        <v/>
      </c>
      <c r="AR44" s="340" t="str">
        <f t="shared" si="72"/>
        <v/>
      </c>
      <c r="AS44" s="248"/>
      <c r="AT44" s="341" t="str">
        <f t="shared" si="96"/>
        <v/>
      </c>
      <c r="AU44" s="364">
        <f t="shared" si="73"/>
        <v>0</v>
      </c>
      <c r="AV44" s="532"/>
      <c r="AW44" s="332">
        <f t="shared" si="97"/>
        <v>0</v>
      </c>
      <c r="AX44" s="331">
        <f t="shared" si="74"/>
        <v>0</v>
      </c>
      <c r="AY44" s="533"/>
      <c r="AZ44" s="333">
        <f t="shared" si="98"/>
        <v>0</v>
      </c>
      <c r="BA44" s="333">
        <f t="shared" si="75"/>
        <v>0</v>
      </c>
      <c r="BB44" s="533"/>
      <c r="BC44" s="333">
        <f t="shared" si="99"/>
        <v>0</v>
      </c>
      <c r="BD44" s="333">
        <f t="shared" si="76"/>
        <v>0</v>
      </c>
      <c r="BE44" s="533"/>
      <c r="BF44" s="333">
        <f t="shared" si="100"/>
        <v>0</v>
      </c>
      <c r="BG44" s="333">
        <f t="shared" si="77"/>
        <v>0</v>
      </c>
      <c r="BH44" s="533"/>
      <c r="BI44" s="333">
        <f t="shared" si="101"/>
        <v>0</v>
      </c>
      <c r="BJ44" s="333">
        <f t="shared" si="78"/>
        <v>0</v>
      </c>
      <c r="BK44" s="533"/>
      <c r="BL44" s="333">
        <f t="shared" si="102"/>
        <v>0</v>
      </c>
      <c r="BM44" s="334">
        <f t="shared" si="103"/>
        <v>0</v>
      </c>
      <c r="BN44" s="324">
        <f t="shared" si="104"/>
        <v>0</v>
      </c>
      <c r="BO44" s="355"/>
      <c r="BP44" s="331">
        <f t="shared" si="79"/>
        <v>0</v>
      </c>
      <c r="BQ44" s="532"/>
      <c r="BR44" s="336">
        <f t="shared" si="105"/>
        <v>0</v>
      </c>
      <c r="BS44" s="333">
        <f t="shared" si="80"/>
        <v>0</v>
      </c>
      <c r="BT44" s="533"/>
      <c r="BU44" s="333">
        <f t="shared" si="106"/>
        <v>0</v>
      </c>
      <c r="BV44" s="333">
        <f t="shared" si="81"/>
        <v>0</v>
      </c>
      <c r="BW44" s="533"/>
      <c r="BX44" s="333">
        <f t="shared" si="107"/>
        <v>0</v>
      </c>
      <c r="BY44" s="333">
        <f t="shared" si="82"/>
        <v>0</v>
      </c>
      <c r="BZ44" s="533"/>
      <c r="CA44" s="333">
        <f t="shared" si="108"/>
        <v>0</v>
      </c>
      <c r="CB44" s="333">
        <f t="shared" si="83"/>
        <v>0</v>
      </c>
      <c r="CC44" s="533"/>
      <c r="CD44" s="333">
        <f t="shared" si="109"/>
        <v>0</v>
      </c>
      <c r="CE44" s="334">
        <f t="shared" si="110"/>
        <v>0</v>
      </c>
      <c r="CF44" s="331">
        <f t="shared" si="84"/>
        <v>0</v>
      </c>
      <c r="CG44" s="533"/>
      <c r="CH44" s="337">
        <f t="shared" si="111"/>
        <v>0</v>
      </c>
      <c r="CI44" s="310"/>
      <c r="CJ44" s="335">
        <f t="shared" si="112"/>
        <v>0</v>
      </c>
      <c r="CK44" s="331">
        <f t="shared" si="85"/>
        <v>0</v>
      </c>
      <c r="CL44" s="532"/>
      <c r="CM44" s="332">
        <f t="shared" si="113"/>
        <v>0</v>
      </c>
      <c r="CN44" s="331">
        <f t="shared" si="86"/>
        <v>0</v>
      </c>
      <c r="CO44" s="540"/>
      <c r="CP44" s="365">
        <f t="shared" si="114"/>
        <v>0</v>
      </c>
      <c r="CQ44" s="366">
        <f t="shared" si="115"/>
        <v>0</v>
      </c>
      <c r="CR44" s="340" t="str">
        <f t="shared" si="87"/>
        <v/>
      </c>
      <c r="CS44" s="248"/>
      <c r="CT44" s="341" t="str">
        <f t="shared" si="116"/>
        <v/>
      </c>
      <c r="CU44" s="340" t="str">
        <f t="shared" si="88"/>
        <v/>
      </c>
      <c r="CV44" s="248"/>
      <c r="CW44" s="341" t="str">
        <f t="shared" si="117"/>
        <v/>
      </c>
      <c r="CX44" s="342" t="str">
        <f t="shared" si="118"/>
        <v/>
      </c>
      <c r="CY44" s="535"/>
      <c r="DA44" s="6">
        <f>IF(AND(CT44&lt;&gt;"",OR(CT44&lt;EXPEDIENTE!$I$25,CT44&gt;EXPEDIENTE!$I$29)),1,0)</f>
        <v>0</v>
      </c>
      <c r="DB44" s="6">
        <f>IF(AND(CW44&lt;&gt;"",OR(CW44&lt;EXPEDIENTE!$I$25,CW44&gt;EXPEDIENTE!$I$29)),1,0)</f>
        <v>0</v>
      </c>
      <c r="DD44" s="88">
        <f t="shared" si="89"/>
        <v>0</v>
      </c>
      <c r="DE44" s="88">
        <f t="shared" si="119"/>
        <v>0</v>
      </c>
      <c r="DF44" s="88">
        <f t="shared" si="120"/>
        <v>0</v>
      </c>
      <c r="DG44" s="88">
        <f t="shared" si="121"/>
        <v>0</v>
      </c>
      <c r="DH44" s="88">
        <f t="shared" si="122"/>
        <v>0</v>
      </c>
      <c r="DI44" s="88">
        <f t="shared" si="123"/>
        <v>0</v>
      </c>
      <c r="DJ44" s="88">
        <f t="shared" si="124"/>
        <v>0</v>
      </c>
      <c r="DK44" s="88">
        <f t="shared" si="125"/>
        <v>0</v>
      </c>
      <c r="DL44" s="88">
        <f t="shared" si="126"/>
        <v>0</v>
      </c>
      <c r="DM44" s="88">
        <f t="shared" si="127"/>
        <v>0</v>
      </c>
      <c r="DN44" s="88">
        <f t="shared" si="128"/>
        <v>0</v>
      </c>
      <c r="DO44" s="88">
        <f t="shared" si="129"/>
        <v>0</v>
      </c>
      <c r="DP44" s="88">
        <f t="shared" si="130"/>
        <v>0</v>
      </c>
      <c r="DQ44" s="88">
        <f t="shared" si="131"/>
        <v>0</v>
      </c>
      <c r="DR44" s="88">
        <f t="shared" si="132"/>
        <v>0</v>
      </c>
      <c r="DS44" s="88">
        <f t="shared" si="133"/>
        <v>0</v>
      </c>
      <c r="DT44" s="88">
        <f t="shared" si="134"/>
        <v>0</v>
      </c>
      <c r="DU44" s="88">
        <f t="shared" si="135"/>
        <v>0</v>
      </c>
      <c r="DW44" s="88">
        <f>IF(CY44&lt;&gt;"",MAX($DW$9:DW43)+1,0)</f>
        <v>0</v>
      </c>
      <c r="DX44" s="182" t="str">
        <f t="shared" si="90"/>
        <v/>
      </c>
    </row>
    <row r="45" spans="2:128" ht="9.9499999999999993" customHeight="1" thickBot="1" x14ac:dyDescent="0.3">
      <c r="B45" s="875"/>
      <c r="C45" s="177"/>
      <c r="D45" s="161"/>
      <c r="E45" s="161"/>
      <c r="F45" s="161"/>
      <c r="G45" s="161"/>
      <c r="H45" s="161"/>
      <c r="I45" s="161"/>
      <c r="J45" s="161"/>
      <c r="K45" s="161"/>
      <c r="L45" s="161"/>
      <c r="M45" s="178"/>
      <c r="N45" s="32"/>
      <c r="O45" s="44"/>
      <c r="P45" s="44"/>
      <c r="Q45" s="44"/>
      <c r="R45" s="44"/>
      <c r="S45" s="44"/>
      <c r="T45" s="44"/>
      <c r="U45" s="44"/>
      <c r="V45" s="34"/>
      <c r="W45" s="159"/>
      <c r="X45" s="161"/>
      <c r="Y45" s="161"/>
      <c r="Z45" s="161"/>
      <c r="AA45" s="161"/>
      <c r="AB45" s="161"/>
      <c r="AC45" s="161"/>
      <c r="AD45" s="161"/>
      <c r="AE45" s="164"/>
      <c r="AM45" s="728"/>
      <c r="AN45" s="277"/>
      <c r="AO45" s="278"/>
      <c r="AP45" s="278"/>
      <c r="AQ45" s="278"/>
      <c r="AR45" s="278"/>
      <c r="AS45" s="278"/>
      <c r="AT45" s="278"/>
      <c r="AU45" s="278"/>
      <c r="AV45" s="278"/>
      <c r="AW45" s="278"/>
      <c r="AX45" s="278"/>
      <c r="AY45" s="278"/>
      <c r="AZ45" s="278"/>
      <c r="BA45" s="278"/>
      <c r="BB45" s="278"/>
      <c r="BC45" s="278"/>
      <c r="BD45" s="278"/>
      <c r="BE45" s="278"/>
      <c r="BF45" s="278"/>
      <c r="BG45" s="278"/>
      <c r="BH45" s="278"/>
      <c r="BI45" s="278"/>
      <c r="BJ45" s="278"/>
      <c r="BK45" s="278"/>
      <c r="BL45" s="278"/>
      <c r="BM45" s="278"/>
      <c r="BN45" s="367"/>
      <c r="BO45" s="344"/>
      <c r="BP45" s="368"/>
      <c r="BQ45" s="368"/>
      <c r="BR45" s="368"/>
      <c r="BS45" s="368"/>
      <c r="BT45" s="368"/>
      <c r="BU45" s="368"/>
      <c r="BV45" s="368"/>
      <c r="BW45" s="368"/>
      <c r="BX45" s="368"/>
      <c r="BY45" s="368"/>
      <c r="BZ45" s="368"/>
      <c r="CA45" s="368"/>
      <c r="CB45" s="368"/>
      <c r="CC45" s="368"/>
      <c r="CD45" s="368"/>
      <c r="CE45" s="368"/>
      <c r="CF45" s="345"/>
      <c r="CG45" s="345"/>
      <c r="CH45" s="345"/>
      <c r="CI45" s="346"/>
      <c r="CJ45" s="369"/>
      <c r="CK45" s="278"/>
      <c r="CL45" s="278"/>
      <c r="CM45" s="278"/>
      <c r="CN45" s="278"/>
      <c r="CO45" s="278"/>
      <c r="CP45" s="278"/>
      <c r="CQ45" s="278"/>
      <c r="CR45" s="278"/>
      <c r="CS45" s="278"/>
      <c r="CT45" s="278"/>
      <c r="CU45" s="278"/>
      <c r="CV45" s="278"/>
      <c r="CW45" s="278"/>
      <c r="CX45" s="278"/>
      <c r="CY45" s="279"/>
    </row>
    <row r="46" spans="2:128" ht="30" customHeight="1" thickTop="1" thickBot="1" x14ac:dyDescent="0.3">
      <c r="B46" s="875"/>
      <c r="C46" s="833" t="str">
        <f>CONCATENATE("SEGURIDAD SOCIAL EMPRESA EJERCICIO ",YEAR(EXPEDIENTE!F25)+2)</f>
        <v>SEGURIDAD SOCIAL EMPRESA EJERCICIO 2025</v>
      </c>
      <c r="D46" s="833"/>
      <c r="E46" s="833"/>
      <c r="F46" s="833"/>
      <c r="G46" s="833"/>
      <c r="H46" s="833"/>
      <c r="I46" s="833"/>
      <c r="J46" s="833"/>
      <c r="K46" s="833"/>
      <c r="L46" s="833"/>
      <c r="M46" s="834"/>
      <c r="AM46" s="728"/>
      <c r="AN46" s="808" t="str">
        <f>CONCATENATE("SEGURIDAD SOCIAL EMPRESA EJERCICIO ",YEAR(EXPEDIENTE!$F$25)+2)</f>
        <v>SEGURIDAD SOCIAL EMPRESA EJERCICIO 2025</v>
      </c>
      <c r="AO46" s="808"/>
      <c r="AP46" s="808"/>
      <c r="AQ46" s="808"/>
      <c r="AR46" s="808"/>
      <c r="AS46" s="808"/>
      <c r="AT46" s="808"/>
      <c r="AU46" s="808"/>
      <c r="AV46" s="808"/>
      <c r="AW46" s="808"/>
      <c r="AX46" s="808"/>
      <c r="AY46" s="808"/>
      <c r="AZ46" s="808"/>
      <c r="BA46" s="808"/>
      <c r="BB46" s="808"/>
      <c r="BC46" s="808"/>
      <c r="BD46" s="808"/>
      <c r="BE46" s="808"/>
      <c r="BF46" s="808"/>
      <c r="BG46" s="808"/>
      <c r="BH46" s="808"/>
      <c r="BI46" s="808"/>
      <c r="BJ46" s="808"/>
      <c r="BK46" s="808"/>
      <c r="BL46" s="808"/>
      <c r="BM46" s="808"/>
      <c r="BN46" s="808"/>
      <c r="BO46" s="808"/>
      <c r="BP46" s="808"/>
      <c r="BQ46" s="808"/>
      <c r="BR46" s="808"/>
      <c r="BS46" s="896"/>
      <c r="CY46" s="123"/>
      <c r="CZ46" s="6"/>
      <c r="DB46" s="4"/>
    </row>
    <row r="47" spans="2:128" ht="20.100000000000001" customHeight="1" thickTop="1" thickBot="1" x14ac:dyDescent="0.3">
      <c r="B47" s="875"/>
      <c r="C47" s="839" t="s">
        <v>76</v>
      </c>
      <c r="D47" s="743" t="str">
        <f>IF(OR(SUM(T20:T31)&gt;0,SUM(T37:T44)&gt;0),"BASE
COTIZACIÓN
SUBVENCIO.","BASE
COTIZACIÓN")</f>
        <v>BASE
COTIZACIÓN</v>
      </c>
      <c r="E47" s="743" t="s">
        <v>186</v>
      </c>
      <c r="F47" s="743" t="s">
        <v>187</v>
      </c>
      <c r="G47" s="743" t="s">
        <v>74</v>
      </c>
      <c r="H47" s="743" t="s">
        <v>188</v>
      </c>
      <c r="I47" s="841" t="s">
        <v>75</v>
      </c>
      <c r="J47" s="844" t="s">
        <v>67</v>
      </c>
      <c r="K47" s="844"/>
      <c r="L47" s="844"/>
      <c r="M47" s="845"/>
      <c r="AM47" s="728"/>
      <c r="AN47" s="717" t="s">
        <v>76</v>
      </c>
      <c r="AO47" s="735" t="s">
        <v>309</v>
      </c>
      <c r="AP47" s="736"/>
      <c r="AQ47" s="737"/>
      <c r="AR47" s="738" t="s">
        <v>186</v>
      </c>
      <c r="AS47" s="719"/>
      <c r="AT47" s="720"/>
      <c r="AU47" s="897" t="s">
        <v>313</v>
      </c>
      <c r="AV47" s="898"/>
      <c r="AW47" s="899"/>
      <c r="AX47" s="900" t="s">
        <v>314</v>
      </c>
      <c r="AY47" s="901"/>
      <c r="AZ47" s="902"/>
      <c r="BA47" s="738" t="s">
        <v>188</v>
      </c>
      <c r="BB47" s="719"/>
      <c r="BC47" s="720"/>
      <c r="BD47" s="913" t="s">
        <v>315</v>
      </c>
      <c r="BE47" s="914"/>
      <c r="BF47" s="915"/>
      <c r="BG47" s="370"/>
      <c r="BH47" s="765"/>
      <c r="BI47" s="765"/>
      <c r="BJ47" s="765"/>
      <c r="BK47" s="765"/>
      <c r="BL47" s="765"/>
      <c r="BM47" s="765"/>
      <c r="BN47" s="765"/>
      <c r="BO47" s="765"/>
      <c r="BP47" s="765"/>
      <c r="BQ47" s="765"/>
      <c r="BR47" s="765"/>
      <c r="BS47" s="903"/>
      <c r="DA47" s="4"/>
      <c r="DB47" s="4"/>
      <c r="DC47" s="6"/>
    </row>
    <row r="48" spans="2:128" ht="50.1" customHeight="1" thickBot="1" x14ac:dyDescent="0.3">
      <c r="B48" s="875"/>
      <c r="C48" s="840"/>
      <c r="D48" s="745"/>
      <c r="E48" s="745"/>
      <c r="F48" s="745"/>
      <c r="G48" s="745"/>
      <c r="H48" s="745"/>
      <c r="I48" s="842"/>
      <c r="J48" s="847"/>
      <c r="K48" s="847"/>
      <c r="L48" s="847"/>
      <c r="M48" s="848"/>
      <c r="AM48" s="728"/>
      <c r="AN48" s="718"/>
      <c r="AO48" s="284" t="s">
        <v>270</v>
      </c>
      <c r="AP48" s="351" t="s">
        <v>245</v>
      </c>
      <c r="AQ48" s="286" t="s">
        <v>271</v>
      </c>
      <c r="AR48" s="739"/>
      <c r="AS48" s="719"/>
      <c r="AT48" s="720"/>
      <c r="AU48" s="371" t="s">
        <v>270</v>
      </c>
      <c r="AV48" s="372" t="s">
        <v>245</v>
      </c>
      <c r="AW48" s="373" t="s">
        <v>271</v>
      </c>
      <c r="AX48" s="371" t="s">
        <v>270</v>
      </c>
      <c r="AY48" s="374" t="s">
        <v>245</v>
      </c>
      <c r="AZ48" s="373" t="s">
        <v>271</v>
      </c>
      <c r="BA48" s="739"/>
      <c r="BB48" s="719"/>
      <c r="BC48" s="720"/>
      <c r="BD48" s="371" t="s">
        <v>270</v>
      </c>
      <c r="BE48" s="374" t="s">
        <v>245</v>
      </c>
      <c r="BF48" s="373" t="s">
        <v>271</v>
      </c>
      <c r="BG48" s="296" t="s">
        <v>321</v>
      </c>
      <c r="BH48" s="904" t="s">
        <v>343</v>
      </c>
      <c r="BI48" s="905"/>
      <c r="BJ48" s="905"/>
      <c r="BK48" s="905"/>
      <c r="BL48" s="905"/>
      <c r="BM48" s="905"/>
      <c r="BN48" s="905"/>
      <c r="BO48" s="905"/>
      <c r="BP48" s="905"/>
      <c r="BQ48" s="905"/>
      <c r="BR48" s="905"/>
      <c r="BS48" s="906"/>
      <c r="DA48" s="4"/>
      <c r="DB48" s="4"/>
      <c r="DD48" s="88" t="s">
        <v>322</v>
      </c>
      <c r="DE48" s="88" t="s">
        <v>340</v>
      </c>
      <c r="DF48" s="88" t="s">
        <v>324</v>
      </c>
      <c r="DG48" s="88" t="s">
        <v>325</v>
      </c>
      <c r="DH48" s="88" t="s">
        <v>327</v>
      </c>
      <c r="DU48" s="4"/>
    </row>
    <row r="49" spans="2:128" ht="30" customHeight="1" x14ac:dyDescent="0.25">
      <c r="B49" s="875"/>
      <c r="C49" s="195" t="s">
        <v>45</v>
      </c>
      <c r="D49" s="51"/>
      <c r="E49" s="23">
        <f>ROUND(D49*$F$14,2)</f>
        <v>0</v>
      </c>
      <c r="F49" s="51"/>
      <c r="G49" s="51"/>
      <c r="H49" s="200">
        <f>E49+F49-G49</f>
        <v>0</v>
      </c>
      <c r="I49" s="108"/>
      <c r="J49" s="920"/>
      <c r="K49" s="836"/>
      <c r="L49" s="836"/>
      <c r="M49" s="837"/>
      <c r="N49" s="730" t="str">
        <f>IF(OR(SUM(T20:T31)&gt;0,SUM(T37:T44)&gt;0),"NOTA:
Se ha minorado el importe subvencionable de alguna de las nóminas del ejercicio.
En consecuencia, en la columna:
''BASE
COTIZACIÓN
SUBVENCIO.''
se deberá reflejar la base de cotización mensual restándole dicha minoración.","")</f>
        <v/>
      </c>
      <c r="O49" s="731"/>
      <c r="P49" s="731"/>
      <c r="AG49" s="6">
        <f>IF(AND(I49&lt;&gt;"",OR(I49&lt;EXPEDIENTE!$I$25,I49&gt;EXPEDIENTE!$I$29)),1,0)</f>
        <v>0</v>
      </c>
      <c r="AI49" s="6">
        <f>IF(DATE(YEAR(EXPEDIENTE!$I$25)+2,MONTH(DATEVALUE($C49&amp;"1")),1)&gt;=DATE(YEAR(EXPEDIENTE!$I$25),MONTH(EXPEDIENTE!$I$25),1),0,1)</f>
        <v>0</v>
      </c>
      <c r="AJ49" s="6" t="e">
        <f>IF(DATE(YEAR(EXPEDIENTE!$I$25)+2,MONTH(DATEVALUE($C49&amp;"1")),1)&lt;=DATE(YEAR(EXPEDIENTE!$I$27),MONTH(EXPEDIENTE!$I$27),1),0,1)</f>
        <v>#VALUE!</v>
      </c>
      <c r="AK49" s="6" t="e">
        <f>SUM(AI49:AJ49)</f>
        <v>#VALUE!</v>
      </c>
      <c r="AM49" s="728"/>
      <c r="AN49" s="298" t="s">
        <v>45</v>
      </c>
      <c r="AO49" s="308">
        <f>IF(D49="",0,D49)</f>
        <v>0</v>
      </c>
      <c r="AP49" s="525"/>
      <c r="AQ49" s="309">
        <f>IF(AP49="",AO49,AP49)</f>
        <v>0</v>
      </c>
      <c r="AR49" s="311">
        <f t="shared" ref="AR49:AR60" si="139">IFERROR(ROUND(AQ49*$AT$14,2),0)</f>
        <v>0</v>
      </c>
      <c r="AS49" s="719"/>
      <c r="AT49" s="720"/>
      <c r="AU49" s="308">
        <f>IF(F49="",0,F49)</f>
        <v>0</v>
      </c>
      <c r="AV49" s="525"/>
      <c r="AW49" s="309">
        <f>IF(AV49="",AU49,AV49)</f>
        <v>0</v>
      </c>
      <c r="AX49" s="301">
        <f>IF(G49="",0,G49)</f>
        <v>0</v>
      </c>
      <c r="AY49" s="524"/>
      <c r="AZ49" s="359">
        <f>IF(AY49="",AX49,AY49)</f>
        <v>0</v>
      </c>
      <c r="BA49" s="375">
        <f t="shared" ref="BA49:BA60" si="140">IFERROR(AR49+AW49-AZ49,0)</f>
        <v>0</v>
      </c>
      <c r="BB49" s="719"/>
      <c r="BC49" s="720"/>
      <c r="BD49" s="353" t="str">
        <f t="shared" ref="BD49:BD60" si="141">IF(I49="","",I49)</f>
        <v/>
      </c>
      <c r="BE49" s="227"/>
      <c r="BF49" s="354" t="str">
        <f>IF(BE49="",BD49,BE49)</f>
        <v/>
      </c>
      <c r="BG49" s="317" t="str">
        <f>IF(DD49=0,"",DD49)</f>
        <v/>
      </c>
      <c r="BH49" s="907"/>
      <c r="BI49" s="908"/>
      <c r="BJ49" s="908"/>
      <c r="BK49" s="908"/>
      <c r="BL49" s="908"/>
      <c r="BM49" s="908"/>
      <c r="BN49" s="908"/>
      <c r="BO49" s="908"/>
      <c r="BP49" s="908"/>
      <c r="BQ49" s="908"/>
      <c r="BR49" s="908"/>
      <c r="BS49" s="909"/>
      <c r="DA49" s="6">
        <f>IF(AND(BE49&lt;&gt;"",OR(BE49&lt;EXPEDIENTE!$I$25,BE49&gt;EXPEDIENTE!$I$29)),1,0)</f>
        <v>0</v>
      </c>
      <c r="DB49" s="4"/>
      <c r="DD49" s="88">
        <f t="shared" ref="DD49:DD60" si="142">SUM(DE49:DT49)</f>
        <v>0</v>
      </c>
      <c r="DE49" s="88">
        <f>IF(AP49="",0,1)</f>
        <v>0</v>
      </c>
      <c r="DF49" s="88">
        <f>IF(AV49="",0,1)</f>
        <v>0</v>
      </c>
      <c r="DG49" s="88">
        <f>IF(AY49="",0,1)</f>
        <v>0</v>
      </c>
      <c r="DH49" s="88">
        <f t="shared" ref="DH49:DH60" si="143">IF(BE49="",0,1)</f>
        <v>0</v>
      </c>
      <c r="DU49" s="4"/>
      <c r="DW49" s="88">
        <f>IF(BH49&lt;&gt;"",MAX($DW$9:DW48)+1,0)</f>
        <v>0</v>
      </c>
      <c r="DX49" s="182" t="str">
        <f>IF(DW49=0,"",BH49)</f>
        <v/>
      </c>
    </row>
    <row r="50" spans="2:128" ht="30" customHeight="1" x14ac:dyDescent="0.25">
      <c r="B50" s="875"/>
      <c r="C50" s="154" t="s">
        <v>46</v>
      </c>
      <c r="D50" s="54"/>
      <c r="E50" s="23">
        <f t="shared" ref="E50:E60" si="144">ROUND(D50*$F$14,2)</f>
        <v>0</v>
      </c>
      <c r="F50" s="54"/>
      <c r="G50" s="54"/>
      <c r="H50" s="198">
        <f t="shared" ref="H50:H60" si="145">E50+F50-G50</f>
        <v>0</v>
      </c>
      <c r="I50" s="82"/>
      <c r="J50" s="916"/>
      <c r="K50" s="725"/>
      <c r="L50" s="725"/>
      <c r="M50" s="726"/>
      <c r="N50" s="730"/>
      <c r="O50" s="731"/>
      <c r="P50" s="731"/>
      <c r="AG50" s="6">
        <f>IF(AND(I50&lt;&gt;"",OR(I50&lt;EXPEDIENTE!$I$25,I50&gt;EXPEDIENTE!$I$29)),1,0)</f>
        <v>0</v>
      </c>
      <c r="AI50" s="6">
        <f>IF(DATE(YEAR(EXPEDIENTE!$I$25)+2,MONTH(DATEVALUE($C50&amp;"1")),1)&gt;=DATE(YEAR(EXPEDIENTE!$I$25),MONTH(EXPEDIENTE!$I$25),1),0,1)</f>
        <v>0</v>
      </c>
      <c r="AJ50" s="6" t="e">
        <f>IF(DATE(YEAR(EXPEDIENTE!$I$25)+2,MONTH(DATEVALUE($C50&amp;"1")),1)&lt;=DATE(YEAR(EXPEDIENTE!$I$27),MONTH(EXPEDIENTE!$I$27),1),0,1)</f>
        <v>#VALUE!</v>
      </c>
      <c r="AK50" s="6" t="e">
        <f t="shared" ref="AK50:AK60" si="146">SUM(AI50:AJ50)</f>
        <v>#VALUE!</v>
      </c>
      <c r="AM50" s="728"/>
      <c r="AN50" s="318" t="s">
        <v>46</v>
      </c>
      <c r="AO50" s="321">
        <f t="shared" ref="AO50:AO60" si="147">IF(D50="",0,D50)</f>
        <v>0</v>
      </c>
      <c r="AP50" s="529"/>
      <c r="AQ50" s="326">
        <f t="shared" ref="AQ50:AQ60" si="148">IF(AP50="",AO50,AP50)</f>
        <v>0</v>
      </c>
      <c r="AR50" s="327">
        <f t="shared" si="139"/>
        <v>0</v>
      </c>
      <c r="AS50" s="719"/>
      <c r="AT50" s="720"/>
      <c r="AU50" s="321">
        <f t="shared" ref="AU50:AU60" si="149">IF(F50="",0,F50)</f>
        <v>0</v>
      </c>
      <c r="AV50" s="529"/>
      <c r="AW50" s="326">
        <f t="shared" ref="AW50:AW60" si="150">IF(AV50="",AU50,AV50)</f>
        <v>0</v>
      </c>
      <c r="AX50" s="321">
        <f t="shared" ref="AX50:AX60" si="151">IF(G50="",0,G50)</f>
        <v>0</v>
      </c>
      <c r="AY50" s="529"/>
      <c r="AZ50" s="326">
        <f t="shared" ref="AZ50:AZ60" si="152">IF(AY50="",AX50,AY50)</f>
        <v>0</v>
      </c>
      <c r="BA50" s="376">
        <f t="shared" si="140"/>
        <v>0</v>
      </c>
      <c r="BB50" s="719"/>
      <c r="BC50" s="720"/>
      <c r="BD50" s="313" t="str">
        <f t="shared" si="141"/>
        <v/>
      </c>
      <c r="BE50" s="536"/>
      <c r="BF50" s="314" t="str">
        <f t="shared" ref="BF50:BF60" si="153">IF(BE50="",BD50,BE50)</f>
        <v/>
      </c>
      <c r="BG50" s="377" t="str">
        <f t="shared" ref="BG50:BG60" si="154">IF(DD50=0,"",DD50)</f>
        <v/>
      </c>
      <c r="BH50" s="892"/>
      <c r="BI50" s="786"/>
      <c r="BJ50" s="786"/>
      <c r="BK50" s="786"/>
      <c r="BL50" s="786"/>
      <c r="BM50" s="786"/>
      <c r="BN50" s="786"/>
      <c r="BO50" s="786"/>
      <c r="BP50" s="786"/>
      <c r="BQ50" s="786"/>
      <c r="BR50" s="786"/>
      <c r="BS50" s="787"/>
      <c r="DA50" s="6">
        <f>IF(AND(BE50&lt;&gt;"",OR(BE50&lt;EXPEDIENTE!$I$25,BE50&gt;EXPEDIENTE!$I$29)),1,0)</f>
        <v>0</v>
      </c>
      <c r="DB50" s="4"/>
      <c r="DD50" s="88">
        <f t="shared" si="142"/>
        <v>0</v>
      </c>
      <c r="DE50" s="88">
        <f t="shared" ref="DE50:DE60" si="155">IF(AP50="",0,1)</f>
        <v>0</v>
      </c>
      <c r="DF50" s="88">
        <f t="shared" ref="DF50:DF60" si="156">IF(AV50="",0,1)</f>
        <v>0</v>
      </c>
      <c r="DG50" s="88">
        <f t="shared" ref="DG50:DG60" si="157">IF(AY50="",0,1)</f>
        <v>0</v>
      </c>
      <c r="DH50" s="88">
        <f t="shared" si="143"/>
        <v>0</v>
      </c>
      <c r="DU50" s="4"/>
      <c r="DW50" s="88">
        <f>IF(BH50&lt;&gt;"",MAX($DW$9:DW49)+1,0)</f>
        <v>0</v>
      </c>
      <c r="DX50" s="182" t="str">
        <f t="shared" ref="DX50:DX60" si="158">IF(DW50=0,"",BH50)</f>
        <v/>
      </c>
    </row>
    <row r="51" spans="2:128" ht="30" customHeight="1" x14ac:dyDescent="0.25">
      <c r="B51" s="875"/>
      <c r="C51" s="154" t="s">
        <v>47</v>
      </c>
      <c r="D51" s="54"/>
      <c r="E51" s="23">
        <f t="shared" si="144"/>
        <v>0</v>
      </c>
      <c r="F51" s="54"/>
      <c r="G51" s="54"/>
      <c r="H51" s="198">
        <f t="shared" si="145"/>
        <v>0</v>
      </c>
      <c r="I51" s="82"/>
      <c r="J51" s="916"/>
      <c r="K51" s="725"/>
      <c r="L51" s="725"/>
      <c r="M51" s="726"/>
      <c r="N51" s="730"/>
      <c r="O51" s="731"/>
      <c r="P51" s="731"/>
      <c r="AG51" s="6">
        <f>IF(AND(I51&lt;&gt;"",OR(I51&lt;EXPEDIENTE!$I$25,I51&gt;EXPEDIENTE!$I$29)),1,0)</f>
        <v>0</v>
      </c>
      <c r="AI51" s="6">
        <f>IF(DATE(YEAR(EXPEDIENTE!$I$25)+2,MONTH(DATEVALUE($C51&amp;"1")),1)&gt;=DATE(YEAR(EXPEDIENTE!$I$25),MONTH(EXPEDIENTE!$I$25),1),0,1)</f>
        <v>0</v>
      </c>
      <c r="AJ51" s="6" t="e">
        <f>IF(DATE(YEAR(EXPEDIENTE!$I$25)+2,MONTH(DATEVALUE($C51&amp;"1")),1)&lt;=DATE(YEAR(EXPEDIENTE!$I$27),MONTH(EXPEDIENTE!$I$27),1),0,1)</f>
        <v>#VALUE!</v>
      </c>
      <c r="AK51" s="6" t="e">
        <f t="shared" si="146"/>
        <v>#VALUE!</v>
      </c>
      <c r="AM51" s="728"/>
      <c r="AN51" s="318" t="s">
        <v>47</v>
      </c>
      <c r="AO51" s="321">
        <f t="shared" si="147"/>
        <v>0</v>
      </c>
      <c r="AP51" s="529"/>
      <c r="AQ51" s="326">
        <f t="shared" si="148"/>
        <v>0</v>
      </c>
      <c r="AR51" s="327">
        <f t="shared" si="139"/>
        <v>0</v>
      </c>
      <c r="AS51" s="719"/>
      <c r="AT51" s="720"/>
      <c r="AU51" s="321">
        <f t="shared" si="149"/>
        <v>0</v>
      </c>
      <c r="AV51" s="529"/>
      <c r="AW51" s="326">
        <f t="shared" si="150"/>
        <v>0</v>
      </c>
      <c r="AX51" s="321">
        <f t="shared" si="151"/>
        <v>0</v>
      </c>
      <c r="AY51" s="529"/>
      <c r="AZ51" s="326">
        <f t="shared" si="152"/>
        <v>0</v>
      </c>
      <c r="BA51" s="376">
        <f t="shared" si="140"/>
        <v>0</v>
      </c>
      <c r="BB51" s="719"/>
      <c r="BC51" s="720"/>
      <c r="BD51" s="313" t="str">
        <f t="shared" si="141"/>
        <v/>
      </c>
      <c r="BE51" s="536"/>
      <c r="BF51" s="314" t="str">
        <f t="shared" si="153"/>
        <v/>
      </c>
      <c r="BG51" s="377" t="str">
        <f t="shared" si="154"/>
        <v/>
      </c>
      <c r="BH51" s="892"/>
      <c r="BI51" s="786"/>
      <c r="BJ51" s="786"/>
      <c r="BK51" s="786"/>
      <c r="BL51" s="786"/>
      <c r="BM51" s="786"/>
      <c r="BN51" s="786"/>
      <c r="BO51" s="786"/>
      <c r="BP51" s="786"/>
      <c r="BQ51" s="786"/>
      <c r="BR51" s="786"/>
      <c r="BS51" s="787"/>
      <c r="DA51" s="6">
        <f>IF(AND(BE51&lt;&gt;"",OR(BE51&lt;EXPEDIENTE!$I$25,BE51&gt;EXPEDIENTE!$I$29)),1,0)</f>
        <v>0</v>
      </c>
      <c r="DB51" s="4"/>
      <c r="DD51" s="88">
        <f t="shared" si="142"/>
        <v>0</v>
      </c>
      <c r="DE51" s="88">
        <f t="shared" si="155"/>
        <v>0</v>
      </c>
      <c r="DF51" s="88">
        <f t="shared" si="156"/>
        <v>0</v>
      </c>
      <c r="DG51" s="88">
        <f t="shared" si="157"/>
        <v>0</v>
      </c>
      <c r="DH51" s="88">
        <f t="shared" si="143"/>
        <v>0</v>
      </c>
      <c r="DU51" s="4"/>
      <c r="DW51" s="88">
        <f>IF(BH51&lt;&gt;"",MAX($DW$9:DW50)+1,0)</f>
        <v>0</v>
      </c>
      <c r="DX51" s="182" t="str">
        <f t="shared" si="158"/>
        <v/>
      </c>
    </row>
    <row r="52" spans="2:128" ht="30" customHeight="1" x14ac:dyDescent="0.25">
      <c r="B52" s="875"/>
      <c r="C52" s="154" t="s">
        <v>48</v>
      </c>
      <c r="D52" s="54"/>
      <c r="E52" s="23">
        <f t="shared" si="144"/>
        <v>0</v>
      </c>
      <c r="F52" s="54"/>
      <c r="G52" s="54"/>
      <c r="H52" s="198">
        <f t="shared" si="145"/>
        <v>0</v>
      </c>
      <c r="I52" s="82"/>
      <c r="J52" s="916"/>
      <c r="K52" s="725"/>
      <c r="L52" s="725"/>
      <c r="M52" s="726"/>
      <c r="N52" s="730"/>
      <c r="O52" s="731"/>
      <c r="P52" s="731"/>
      <c r="AG52" s="6">
        <f>IF(AND(I52&lt;&gt;"",OR(I52&lt;EXPEDIENTE!$I$25,I52&gt;EXPEDIENTE!$I$29)),1,0)</f>
        <v>0</v>
      </c>
      <c r="AI52" s="6">
        <f>IF(DATE(YEAR(EXPEDIENTE!$I$25)+2,MONTH(DATEVALUE($C52&amp;"1")),1)&gt;=DATE(YEAR(EXPEDIENTE!$I$25),MONTH(EXPEDIENTE!$I$25),1),0,1)</f>
        <v>0</v>
      </c>
      <c r="AJ52" s="6" t="e">
        <f>IF(DATE(YEAR(EXPEDIENTE!$I$25)+2,MONTH(DATEVALUE($C52&amp;"1")),1)&lt;=DATE(YEAR(EXPEDIENTE!$I$27),MONTH(EXPEDIENTE!$I$27),1),0,1)</f>
        <v>#VALUE!</v>
      </c>
      <c r="AK52" s="6" t="e">
        <f t="shared" si="146"/>
        <v>#VALUE!</v>
      </c>
      <c r="AM52" s="728"/>
      <c r="AN52" s="318" t="s">
        <v>48</v>
      </c>
      <c r="AO52" s="321">
        <f t="shared" si="147"/>
        <v>0</v>
      </c>
      <c r="AP52" s="529"/>
      <c r="AQ52" s="326">
        <f t="shared" si="148"/>
        <v>0</v>
      </c>
      <c r="AR52" s="327">
        <f t="shared" si="139"/>
        <v>0</v>
      </c>
      <c r="AS52" s="719"/>
      <c r="AT52" s="720"/>
      <c r="AU52" s="321">
        <f t="shared" si="149"/>
        <v>0</v>
      </c>
      <c r="AV52" s="529"/>
      <c r="AW52" s="326">
        <f t="shared" si="150"/>
        <v>0</v>
      </c>
      <c r="AX52" s="321">
        <f t="shared" si="151"/>
        <v>0</v>
      </c>
      <c r="AY52" s="529"/>
      <c r="AZ52" s="326">
        <f t="shared" si="152"/>
        <v>0</v>
      </c>
      <c r="BA52" s="376">
        <f t="shared" si="140"/>
        <v>0</v>
      </c>
      <c r="BB52" s="719"/>
      <c r="BC52" s="720"/>
      <c r="BD52" s="313" t="str">
        <f t="shared" si="141"/>
        <v/>
      </c>
      <c r="BE52" s="536"/>
      <c r="BF52" s="314" t="str">
        <f t="shared" si="153"/>
        <v/>
      </c>
      <c r="BG52" s="377" t="str">
        <f t="shared" si="154"/>
        <v/>
      </c>
      <c r="BH52" s="892"/>
      <c r="BI52" s="786"/>
      <c r="BJ52" s="786"/>
      <c r="BK52" s="786"/>
      <c r="BL52" s="786"/>
      <c r="BM52" s="786"/>
      <c r="BN52" s="786"/>
      <c r="BO52" s="786"/>
      <c r="BP52" s="786"/>
      <c r="BQ52" s="786"/>
      <c r="BR52" s="786"/>
      <c r="BS52" s="787"/>
      <c r="DA52" s="6">
        <f>IF(AND(BE52&lt;&gt;"",OR(BE52&lt;EXPEDIENTE!$I$25,BE52&gt;EXPEDIENTE!$I$29)),1,0)</f>
        <v>0</v>
      </c>
      <c r="DB52" s="4"/>
      <c r="DD52" s="88">
        <f t="shared" si="142"/>
        <v>0</v>
      </c>
      <c r="DE52" s="88">
        <f t="shared" si="155"/>
        <v>0</v>
      </c>
      <c r="DF52" s="88">
        <f t="shared" si="156"/>
        <v>0</v>
      </c>
      <c r="DG52" s="88">
        <f t="shared" si="157"/>
        <v>0</v>
      </c>
      <c r="DH52" s="88">
        <f t="shared" si="143"/>
        <v>0</v>
      </c>
      <c r="DU52" s="4"/>
      <c r="DW52" s="88">
        <f>IF(BH52&lt;&gt;"",MAX($DW$9:DW51)+1,0)</f>
        <v>0</v>
      </c>
      <c r="DX52" s="182" t="str">
        <f t="shared" si="158"/>
        <v/>
      </c>
    </row>
    <row r="53" spans="2:128" ht="30" customHeight="1" x14ac:dyDescent="0.25">
      <c r="B53" s="875"/>
      <c r="C53" s="154" t="s">
        <v>49</v>
      </c>
      <c r="D53" s="54"/>
      <c r="E53" s="23">
        <f t="shared" si="144"/>
        <v>0</v>
      </c>
      <c r="F53" s="54"/>
      <c r="G53" s="54"/>
      <c r="H53" s="198">
        <f t="shared" si="145"/>
        <v>0</v>
      </c>
      <c r="I53" s="82"/>
      <c r="J53" s="916"/>
      <c r="K53" s="725"/>
      <c r="L53" s="725"/>
      <c r="M53" s="726"/>
      <c r="N53" s="730"/>
      <c r="O53" s="731"/>
      <c r="P53" s="731"/>
      <c r="AG53" s="6">
        <f>IF(AND(I53&lt;&gt;"",OR(I53&lt;EXPEDIENTE!$I$25,I53&gt;EXPEDIENTE!$I$29)),1,0)</f>
        <v>0</v>
      </c>
      <c r="AI53" s="6">
        <f>IF(DATE(YEAR(EXPEDIENTE!$I$25)+2,MONTH(DATEVALUE($C53&amp;"1")),1)&gt;=DATE(YEAR(EXPEDIENTE!$I$25),MONTH(EXPEDIENTE!$I$25),1),0,1)</f>
        <v>0</v>
      </c>
      <c r="AJ53" s="6" t="e">
        <f>IF(DATE(YEAR(EXPEDIENTE!$I$25)+2,MONTH(DATEVALUE($C53&amp;"1")),1)&lt;=DATE(YEAR(EXPEDIENTE!$I$27),MONTH(EXPEDIENTE!$I$27),1),0,1)</f>
        <v>#VALUE!</v>
      </c>
      <c r="AK53" s="6" t="e">
        <f t="shared" si="146"/>
        <v>#VALUE!</v>
      </c>
      <c r="AM53" s="728"/>
      <c r="AN53" s="318" t="s">
        <v>49</v>
      </c>
      <c r="AO53" s="321">
        <f t="shared" si="147"/>
        <v>0</v>
      </c>
      <c r="AP53" s="529"/>
      <c r="AQ53" s="326">
        <f t="shared" si="148"/>
        <v>0</v>
      </c>
      <c r="AR53" s="327">
        <f t="shared" si="139"/>
        <v>0</v>
      </c>
      <c r="AS53" s="719"/>
      <c r="AT53" s="720"/>
      <c r="AU53" s="321">
        <f t="shared" si="149"/>
        <v>0</v>
      </c>
      <c r="AV53" s="529"/>
      <c r="AW53" s="326">
        <f t="shared" si="150"/>
        <v>0</v>
      </c>
      <c r="AX53" s="321">
        <f t="shared" si="151"/>
        <v>0</v>
      </c>
      <c r="AY53" s="529"/>
      <c r="AZ53" s="326">
        <f t="shared" si="152"/>
        <v>0</v>
      </c>
      <c r="BA53" s="376">
        <f t="shared" si="140"/>
        <v>0</v>
      </c>
      <c r="BB53" s="719"/>
      <c r="BC53" s="720"/>
      <c r="BD53" s="313" t="str">
        <f t="shared" si="141"/>
        <v/>
      </c>
      <c r="BE53" s="536"/>
      <c r="BF53" s="314" t="str">
        <f t="shared" si="153"/>
        <v/>
      </c>
      <c r="BG53" s="377" t="str">
        <f t="shared" si="154"/>
        <v/>
      </c>
      <c r="BH53" s="892"/>
      <c r="BI53" s="786"/>
      <c r="BJ53" s="786"/>
      <c r="BK53" s="786"/>
      <c r="BL53" s="786"/>
      <c r="BM53" s="786"/>
      <c r="BN53" s="786"/>
      <c r="BO53" s="786"/>
      <c r="BP53" s="786"/>
      <c r="BQ53" s="786"/>
      <c r="BR53" s="786"/>
      <c r="BS53" s="787"/>
      <c r="DA53" s="6">
        <f>IF(AND(BE53&lt;&gt;"",OR(BE53&lt;EXPEDIENTE!$I$25,BE53&gt;EXPEDIENTE!$I$29)),1,0)</f>
        <v>0</v>
      </c>
      <c r="DB53" s="4"/>
      <c r="DD53" s="88">
        <f t="shared" si="142"/>
        <v>0</v>
      </c>
      <c r="DE53" s="88">
        <f t="shared" si="155"/>
        <v>0</v>
      </c>
      <c r="DF53" s="88">
        <f t="shared" si="156"/>
        <v>0</v>
      </c>
      <c r="DG53" s="88">
        <f t="shared" si="157"/>
        <v>0</v>
      </c>
      <c r="DH53" s="88">
        <f t="shared" si="143"/>
        <v>0</v>
      </c>
      <c r="DU53" s="4"/>
      <c r="DW53" s="88">
        <f>IF(BH53&lt;&gt;"",MAX($DW$9:DW52)+1,0)</f>
        <v>0</v>
      </c>
      <c r="DX53" s="182" t="str">
        <f t="shared" si="158"/>
        <v/>
      </c>
    </row>
    <row r="54" spans="2:128" ht="30" customHeight="1" x14ac:dyDescent="0.25">
      <c r="B54" s="875"/>
      <c r="C54" s="154" t="s">
        <v>50</v>
      </c>
      <c r="D54" s="54"/>
      <c r="E54" s="23">
        <f t="shared" si="144"/>
        <v>0</v>
      </c>
      <c r="F54" s="54"/>
      <c r="G54" s="54"/>
      <c r="H54" s="198">
        <f t="shared" si="145"/>
        <v>0</v>
      </c>
      <c r="I54" s="82"/>
      <c r="J54" s="916"/>
      <c r="K54" s="725"/>
      <c r="L54" s="725"/>
      <c r="M54" s="726"/>
      <c r="N54" s="730"/>
      <c r="O54" s="731"/>
      <c r="P54" s="731"/>
      <c r="AG54" s="6">
        <f>IF(AND(I54&lt;&gt;"",OR(I54&lt;EXPEDIENTE!$I$25,I54&gt;EXPEDIENTE!$I$29)),1,0)</f>
        <v>0</v>
      </c>
      <c r="AI54" s="6">
        <f>IF(DATE(YEAR(EXPEDIENTE!$I$25)+2,MONTH(DATEVALUE($C54&amp;"1")),1)&gt;=DATE(YEAR(EXPEDIENTE!$I$25),MONTH(EXPEDIENTE!$I$25),1),0,1)</f>
        <v>0</v>
      </c>
      <c r="AJ54" s="6" t="e">
        <f>IF(DATE(YEAR(EXPEDIENTE!$I$25)+2,MONTH(DATEVALUE($C54&amp;"1")),1)&lt;=DATE(YEAR(EXPEDIENTE!$I$27),MONTH(EXPEDIENTE!$I$27),1),0,1)</f>
        <v>#VALUE!</v>
      </c>
      <c r="AK54" s="6" t="e">
        <f t="shared" si="146"/>
        <v>#VALUE!</v>
      </c>
      <c r="AM54" s="728"/>
      <c r="AN54" s="318" t="s">
        <v>50</v>
      </c>
      <c r="AO54" s="321">
        <f t="shared" si="147"/>
        <v>0</v>
      </c>
      <c r="AP54" s="529"/>
      <c r="AQ54" s="326">
        <f t="shared" si="148"/>
        <v>0</v>
      </c>
      <c r="AR54" s="327">
        <f t="shared" si="139"/>
        <v>0</v>
      </c>
      <c r="AS54" s="719"/>
      <c r="AT54" s="720"/>
      <c r="AU54" s="321">
        <f t="shared" si="149"/>
        <v>0</v>
      </c>
      <c r="AV54" s="529"/>
      <c r="AW54" s="326">
        <f t="shared" si="150"/>
        <v>0</v>
      </c>
      <c r="AX54" s="321">
        <f t="shared" si="151"/>
        <v>0</v>
      </c>
      <c r="AY54" s="529"/>
      <c r="AZ54" s="326">
        <f t="shared" si="152"/>
        <v>0</v>
      </c>
      <c r="BA54" s="376">
        <f t="shared" si="140"/>
        <v>0</v>
      </c>
      <c r="BB54" s="719"/>
      <c r="BC54" s="720"/>
      <c r="BD54" s="313" t="str">
        <f t="shared" si="141"/>
        <v/>
      </c>
      <c r="BE54" s="536"/>
      <c r="BF54" s="314" t="str">
        <f t="shared" si="153"/>
        <v/>
      </c>
      <c r="BG54" s="377" t="str">
        <f t="shared" si="154"/>
        <v/>
      </c>
      <c r="BH54" s="892"/>
      <c r="BI54" s="786"/>
      <c r="BJ54" s="786"/>
      <c r="BK54" s="786"/>
      <c r="BL54" s="786"/>
      <c r="BM54" s="786"/>
      <c r="BN54" s="786"/>
      <c r="BO54" s="786"/>
      <c r="BP54" s="786"/>
      <c r="BQ54" s="786"/>
      <c r="BR54" s="786"/>
      <c r="BS54" s="787"/>
      <c r="DA54" s="6">
        <f>IF(AND(BE54&lt;&gt;"",OR(BE54&lt;EXPEDIENTE!$I$25,BE54&gt;EXPEDIENTE!$I$29)),1,0)</f>
        <v>0</v>
      </c>
      <c r="DB54" s="4"/>
      <c r="DD54" s="88">
        <f t="shared" si="142"/>
        <v>0</v>
      </c>
      <c r="DE54" s="88">
        <f t="shared" si="155"/>
        <v>0</v>
      </c>
      <c r="DF54" s="88">
        <f t="shared" si="156"/>
        <v>0</v>
      </c>
      <c r="DG54" s="88">
        <f t="shared" si="157"/>
        <v>0</v>
      </c>
      <c r="DH54" s="88">
        <f t="shared" si="143"/>
        <v>0</v>
      </c>
      <c r="DU54" s="4"/>
      <c r="DW54" s="88">
        <f>IF(BH54&lt;&gt;"",MAX($DW$9:DW53)+1,0)</f>
        <v>0</v>
      </c>
      <c r="DX54" s="182" t="str">
        <f t="shared" si="158"/>
        <v/>
      </c>
    </row>
    <row r="55" spans="2:128" ht="30" customHeight="1" x14ac:dyDescent="0.25">
      <c r="B55" s="875"/>
      <c r="C55" s="154" t="s">
        <v>51</v>
      </c>
      <c r="D55" s="54"/>
      <c r="E55" s="23">
        <f t="shared" si="144"/>
        <v>0</v>
      </c>
      <c r="F55" s="54"/>
      <c r="G55" s="54"/>
      <c r="H55" s="198">
        <f t="shared" si="145"/>
        <v>0</v>
      </c>
      <c r="I55" s="82"/>
      <c r="J55" s="916"/>
      <c r="K55" s="725"/>
      <c r="L55" s="725"/>
      <c r="M55" s="726"/>
      <c r="N55" s="730"/>
      <c r="O55" s="731"/>
      <c r="P55" s="731"/>
      <c r="AG55" s="6">
        <f>IF(AND(I55&lt;&gt;"",OR(I55&lt;EXPEDIENTE!$I$25,I55&gt;EXPEDIENTE!$I$29)),1,0)</f>
        <v>0</v>
      </c>
      <c r="AI55" s="6">
        <f>IF(DATE(YEAR(EXPEDIENTE!$I$25)+2,MONTH(DATEVALUE($C55&amp;"1")),1)&gt;=DATE(YEAR(EXPEDIENTE!$I$25),MONTH(EXPEDIENTE!$I$25),1),0,1)</f>
        <v>0</v>
      </c>
      <c r="AJ55" s="6" t="e">
        <f>IF(DATE(YEAR(EXPEDIENTE!$I$25)+2,MONTH(DATEVALUE($C55&amp;"1")),1)&lt;=DATE(YEAR(EXPEDIENTE!$I$27),MONTH(EXPEDIENTE!$I$27),1),0,1)</f>
        <v>#VALUE!</v>
      </c>
      <c r="AK55" s="6" t="e">
        <f t="shared" si="146"/>
        <v>#VALUE!</v>
      </c>
      <c r="AM55" s="728"/>
      <c r="AN55" s="318" t="s">
        <v>51</v>
      </c>
      <c r="AO55" s="321">
        <f t="shared" si="147"/>
        <v>0</v>
      </c>
      <c r="AP55" s="529"/>
      <c r="AQ55" s="326">
        <f t="shared" si="148"/>
        <v>0</v>
      </c>
      <c r="AR55" s="327">
        <f t="shared" si="139"/>
        <v>0</v>
      </c>
      <c r="AS55" s="719"/>
      <c r="AT55" s="720"/>
      <c r="AU55" s="321">
        <f t="shared" si="149"/>
        <v>0</v>
      </c>
      <c r="AV55" s="529"/>
      <c r="AW55" s="326">
        <f t="shared" si="150"/>
        <v>0</v>
      </c>
      <c r="AX55" s="321">
        <f t="shared" si="151"/>
        <v>0</v>
      </c>
      <c r="AY55" s="529"/>
      <c r="AZ55" s="326">
        <f t="shared" si="152"/>
        <v>0</v>
      </c>
      <c r="BA55" s="376">
        <f t="shared" si="140"/>
        <v>0</v>
      </c>
      <c r="BB55" s="719"/>
      <c r="BC55" s="720"/>
      <c r="BD55" s="313" t="str">
        <f t="shared" si="141"/>
        <v/>
      </c>
      <c r="BE55" s="536"/>
      <c r="BF55" s="314" t="str">
        <f t="shared" si="153"/>
        <v/>
      </c>
      <c r="BG55" s="377" t="str">
        <f t="shared" si="154"/>
        <v/>
      </c>
      <c r="BH55" s="892"/>
      <c r="BI55" s="786"/>
      <c r="BJ55" s="786"/>
      <c r="BK55" s="786"/>
      <c r="BL55" s="786"/>
      <c r="BM55" s="786"/>
      <c r="BN55" s="786"/>
      <c r="BO55" s="786"/>
      <c r="BP55" s="786"/>
      <c r="BQ55" s="786"/>
      <c r="BR55" s="786"/>
      <c r="BS55" s="787"/>
      <c r="DA55" s="6">
        <f>IF(AND(BE55&lt;&gt;"",OR(BE55&lt;EXPEDIENTE!$I$25,BE55&gt;EXPEDIENTE!$I$29)),1,0)</f>
        <v>0</v>
      </c>
      <c r="DB55" s="4"/>
      <c r="DD55" s="88">
        <f t="shared" si="142"/>
        <v>0</v>
      </c>
      <c r="DE55" s="88">
        <f t="shared" si="155"/>
        <v>0</v>
      </c>
      <c r="DF55" s="88">
        <f t="shared" si="156"/>
        <v>0</v>
      </c>
      <c r="DG55" s="88">
        <f t="shared" si="157"/>
        <v>0</v>
      </c>
      <c r="DH55" s="88">
        <f t="shared" si="143"/>
        <v>0</v>
      </c>
      <c r="DU55" s="4"/>
      <c r="DW55" s="88">
        <f>IF(BH55&lt;&gt;"",MAX($DW$9:DW54)+1,0)</f>
        <v>0</v>
      </c>
      <c r="DX55" s="182" t="str">
        <f t="shared" si="158"/>
        <v/>
      </c>
    </row>
    <row r="56" spans="2:128" ht="30" customHeight="1" x14ac:dyDescent="0.25">
      <c r="B56" s="875"/>
      <c r="C56" s="154" t="s">
        <v>52</v>
      </c>
      <c r="D56" s="54"/>
      <c r="E56" s="23">
        <f t="shared" si="144"/>
        <v>0</v>
      </c>
      <c r="F56" s="54"/>
      <c r="G56" s="54"/>
      <c r="H56" s="198">
        <f t="shared" si="145"/>
        <v>0</v>
      </c>
      <c r="I56" s="82"/>
      <c r="J56" s="916"/>
      <c r="K56" s="725"/>
      <c r="L56" s="725"/>
      <c r="M56" s="726"/>
      <c r="N56" s="730"/>
      <c r="O56" s="731"/>
      <c r="P56" s="731"/>
      <c r="AG56" s="6">
        <f>IF(AND(I56&lt;&gt;"",OR(I56&lt;EXPEDIENTE!$I$25,I56&gt;EXPEDIENTE!$I$29)),1,0)</f>
        <v>0</v>
      </c>
      <c r="AI56" s="6">
        <f>IF(DATE(YEAR(EXPEDIENTE!$I$25)+2,MONTH(DATEVALUE($C56&amp;"1")),1)&gt;=DATE(YEAR(EXPEDIENTE!$I$25),MONTH(EXPEDIENTE!$I$25),1),0,1)</f>
        <v>0</v>
      </c>
      <c r="AJ56" s="6" t="e">
        <f>IF(DATE(YEAR(EXPEDIENTE!$I$25)+2,MONTH(DATEVALUE($C56&amp;"1")),1)&lt;=DATE(YEAR(EXPEDIENTE!$I$27),MONTH(EXPEDIENTE!$I$27),1),0,1)</f>
        <v>#VALUE!</v>
      </c>
      <c r="AK56" s="6" t="e">
        <f t="shared" si="146"/>
        <v>#VALUE!</v>
      </c>
      <c r="AM56" s="728"/>
      <c r="AN56" s="318" t="s">
        <v>52</v>
      </c>
      <c r="AO56" s="321">
        <f t="shared" si="147"/>
        <v>0</v>
      </c>
      <c r="AP56" s="529"/>
      <c r="AQ56" s="326">
        <f t="shared" si="148"/>
        <v>0</v>
      </c>
      <c r="AR56" s="327">
        <f t="shared" si="139"/>
        <v>0</v>
      </c>
      <c r="AS56" s="719"/>
      <c r="AT56" s="720"/>
      <c r="AU56" s="321">
        <f t="shared" si="149"/>
        <v>0</v>
      </c>
      <c r="AV56" s="529"/>
      <c r="AW56" s="326">
        <f t="shared" si="150"/>
        <v>0</v>
      </c>
      <c r="AX56" s="321">
        <f t="shared" si="151"/>
        <v>0</v>
      </c>
      <c r="AY56" s="529"/>
      <c r="AZ56" s="326">
        <f t="shared" si="152"/>
        <v>0</v>
      </c>
      <c r="BA56" s="376">
        <f t="shared" si="140"/>
        <v>0</v>
      </c>
      <c r="BB56" s="719"/>
      <c r="BC56" s="720"/>
      <c r="BD56" s="313" t="str">
        <f t="shared" si="141"/>
        <v/>
      </c>
      <c r="BE56" s="536"/>
      <c r="BF56" s="314" t="str">
        <f t="shared" si="153"/>
        <v/>
      </c>
      <c r="BG56" s="377" t="str">
        <f t="shared" si="154"/>
        <v/>
      </c>
      <c r="BH56" s="892"/>
      <c r="BI56" s="786"/>
      <c r="BJ56" s="786"/>
      <c r="BK56" s="786"/>
      <c r="BL56" s="786"/>
      <c r="BM56" s="786"/>
      <c r="BN56" s="786"/>
      <c r="BO56" s="786"/>
      <c r="BP56" s="786"/>
      <c r="BQ56" s="786"/>
      <c r="BR56" s="786"/>
      <c r="BS56" s="787"/>
      <c r="DA56" s="6">
        <f>IF(AND(BE56&lt;&gt;"",OR(BE56&lt;EXPEDIENTE!$I$25,BE56&gt;EXPEDIENTE!$I$29)),1,0)</f>
        <v>0</v>
      </c>
      <c r="DB56" s="4"/>
      <c r="DD56" s="88">
        <f t="shared" si="142"/>
        <v>0</v>
      </c>
      <c r="DE56" s="88">
        <f t="shared" si="155"/>
        <v>0</v>
      </c>
      <c r="DF56" s="88">
        <f t="shared" si="156"/>
        <v>0</v>
      </c>
      <c r="DG56" s="88">
        <f t="shared" si="157"/>
        <v>0</v>
      </c>
      <c r="DH56" s="88">
        <f t="shared" si="143"/>
        <v>0</v>
      </c>
      <c r="DU56" s="4"/>
      <c r="DW56" s="88">
        <f>IF(BH56&lt;&gt;"",MAX($DW$9:DW55)+1,0)</f>
        <v>0</v>
      </c>
      <c r="DX56" s="182" t="str">
        <f t="shared" si="158"/>
        <v/>
      </c>
    </row>
    <row r="57" spans="2:128" ht="30" customHeight="1" x14ac:dyDescent="0.25">
      <c r="B57" s="875"/>
      <c r="C57" s="154" t="s">
        <v>53</v>
      </c>
      <c r="D57" s="54"/>
      <c r="E57" s="23">
        <f t="shared" si="144"/>
        <v>0</v>
      </c>
      <c r="F57" s="54"/>
      <c r="G57" s="54"/>
      <c r="H57" s="198">
        <f t="shared" si="145"/>
        <v>0</v>
      </c>
      <c r="I57" s="82"/>
      <c r="J57" s="916"/>
      <c r="K57" s="725"/>
      <c r="L57" s="725"/>
      <c r="M57" s="726"/>
      <c r="N57" s="730"/>
      <c r="O57" s="731"/>
      <c r="P57" s="731"/>
      <c r="AG57" s="6">
        <f>IF(AND(I57&lt;&gt;"",OR(I57&lt;EXPEDIENTE!$I$25,I57&gt;EXPEDIENTE!$I$29)),1,0)</f>
        <v>0</v>
      </c>
      <c r="AI57" s="6">
        <f>IF(DATE(YEAR(EXPEDIENTE!$I$25)+2,MONTH(DATEVALUE($C57&amp;"1")),1)&gt;=DATE(YEAR(EXPEDIENTE!$I$25),MONTH(EXPEDIENTE!$I$25),1),0,1)</f>
        <v>0</v>
      </c>
      <c r="AJ57" s="6" t="e">
        <f>IF(DATE(YEAR(EXPEDIENTE!$I$25)+2,MONTH(DATEVALUE($C57&amp;"1")),1)&lt;=DATE(YEAR(EXPEDIENTE!$I$27),MONTH(EXPEDIENTE!$I$27),1),0,1)</f>
        <v>#VALUE!</v>
      </c>
      <c r="AK57" s="6" t="e">
        <f t="shared" si="146"/>
        <v>#VALUE!</v>
      </c>
      <c r="AM57" s="728"/>
      <c r="AN57" s="318" t="s">
        <v>53</v>
      </c>
      <c r="AO57" s="321">
        <f t="shared" si="147"/>
        <v>0</v>
      </c>
      <c r="AP57" s="529"/>
      <c r="AQ57" s="326">
        <f t="shared" si="148"/>
        <v>0</v>
      </c>
      <c r="AR57" s="327">
        <f t="shared" si="139"/>
        <v>0</v>
      </c>
      <c r="AS57" s="719"/>
      <c r="AT57" s="720"/>
      <c r="AU57" s="321">
        <f t="shared" si="149"/>
        <v>0</v>
      </c>
      <c r="AV57" s="529"/>
      <c r="AW57" s="326">
        <f t="shared" si="150"/>
        <v>0</v>
      </c>
      <c r="AX57" s="321">
        <f t="shared" si="151"/>
        <v>0</v>
      </c>
      <c r="AY57" s="529"/>
      <c r="AZ57" s="326">
        <f t="shared" si="152"/>
        <v>0</v>
      </c>
      <c r="BA57" s="376">
        <f t="shared" si="140"/>
        <v>0</v>
      </c>
      <c r="BB57" s="719"/>
      <c r="BC57" s="720"/>
      <c r="BD57" s="313" t="str">
        <f t="shared" si="141"/>
        <v/>
      </c>
      <c r="BE57" s="536"/>
      <c r="BF57" s="314" t="str">
        <f t="shared" si="153"/>
        <v/>
      </c>
      <c r="BG57" s="377" t="str">
        <f t="shared" si="154"/>
        <v/>
      </c>
      <c r="BH57" s="892"/>
      <c r="BI57" s="786"/>
      <c r="BJ57" s="786"/>
      <c r="BK57" s="786"/>
      <c r="BL57" s="786"/>
      <c r="BM57" s="786"/>
      <c r="BN57" s="786"/>
      <c r="BO57" s="786"/>
      <c r="BP57" s="786"/>
      <c r="BQ57" s="786"/>
      <c r="BR57" s="786"/>
      <c r="BS57" s="787"/>
      <c r="DA57" s="6">
        <f>IF(AND(BE57&lt;&gt;"",OR(BE57&lt;EXPEDIENTE!$I$25,BE57&gt;EXPEDIENTE!$I$29)),1,0)</f>
        <v>0</v>
      </c>
      <c r="DB57" s="4"/>
      <c r="DD57" s="88">
        <f t="shared" si="142"/>
        <v>0</v>
      </c>
      <c r="DE57" s="88">
        <f t="shared" si="155"/>
        <v>0</v>
      </c>
      <c r="DF57" s="88">
        <f t="shared" si="156"/>
        <v>0</v>
      </c>
      <c r="DG57" s="88">
        <f t="shared" si="157"/>
        <v>0</v>
      </c>
      <c r="DH57" s="88">
        <f t="shared" si="143"/>
        <v>0</v>
      </c>
      <c r="DU57" s="4"/>
      <c r="DW57" s="88">
        <f>IF(BH57&lt;&gt;"",MAX($DW$9:DW56)+1,0)</f>
        <v>0</v>
      </c>
      <c r="DX57" s="182" t="str">
        <f t="shared" si="158"/>
        <v/>
      </c>
    </row>
    <row r="58" spans="2:128" ht="30" customHeight="1" x14ac:dyDescent="0.25">
      <c r="B58" s="875"/>
      <c r="C58" s="154" t="s">
        <v>54</v>
      </c>
      <c r="D58" s="54"/>
      <c r="E58" s="23">
        <f t="shared" si="144"/>
        <v>0</v>
      </c>
      <c r="F58" s="54"/>
      <c r="G58" s="54"/>
      <c r="H58" s="198">
        <f t="shared" si="145"/>
        <v>0</v>
      </c>
      <c r="I58" s="82"/>
      <c r="J58" s="916"/>
      <c r="K58" s="725"/>
      <c r="L58" s="725"/>
      <c r="M58" s="726"/>
      <c r="N58" s="730"/>
      <c r="O58" s="731"/>
      <c r="P58" s="731"/>
      <c r="AG58" s="6">
        <f>IF(AND(I58&lt;&gt;"",OR(I58&lt;EXPEDIENTE!$I$25,I58&gt;EXPEDIENTE!$I$29)),1,0)</f>
        <v>0</v>
      </c>
      <c r="AI58" s="6">
        <f>IF(DATE(YEAR(EXPEDIENTE!$I$25)+2,MONTH(DATEVALUE($C58&amp;"1")),1)&gt;=DATE(YEAR(EXPEDIENTE!$I$25),MONTH(EXPEDIENTE!$I$25),1),0,1)</f>
        <v>0</v>
      </c>
      <c r="AJ58" s="6" t="e">
        <f>IF(DATE(YEAR(EXPEDIENTE!$I$25)+2,MONTH(DATEVALUE($C58&amp;"1")),1)&lt;=DATE(YEAR(EXPEDIENTE!$I$27),MONTH(EXPEDIENTE!$I$27),1),0,1)</f>
        <v>#VALUE!</v>
      </c>
      <c r="AK58" s="6" t="e">
        <f t="shared" si="146"/>
        <v>#VALUE!</v>
      </c>
      <c r="AM58" s="728"/>
      <c r="AN58" s="318" t="s">
        <v>54</v>
      </c>
      <c r="AO58" s="321">
        <f t="shared" si="147"/>
        <v>0</v>
      </c>
      <c r="AP58" s="529"/>
      <c r="AQ58" s="326">
        <f t="shared" si="148"/>
        <v>0</v>
      </c>
      <c r="AR58" s="327">
        <f t="shared" si="139"/>
        <v>0</v>
      </c>
      <c r="AS58" s="719"/>
      <c r="AT58" s="720"/>
      <c r="AU58" s="321">
        <f t="shared" si="149"/>
        <v>0</v>
      </c>
      <c r="AV58" s="529"/>
      <c r="AW58" s="326">
        <f t="shared" si="150"/>
        <v>0</v>
      </c>
      <c r="AX58" s="321">
        <f t="shared" si="151"/>
        <v>0</v>
      </c>
      <c r="AY58" s="529"/>
      <c r="AZ58" s="326">
        <f t="shared" si="152"/>
        <v>0</v>
      </c>
      <c r="BA58" s="376">
        <f t="shared" si="140"/>
        <v>0</v>
      </c>
      <c r="BB58" s="719"/>
      <c r="BC58" s="720"/>
      <c r="BD58" s="313" t="str">
        <f t="shared" si="141"/>
        <v/>
      </c>
      <c r="BE58" s="536"/>
      <c r="BF58" s="314" t="str">
        <f t="shared" si="153"/>
        <v/>
      </c>
      <c r="BG58" s="377" t="str">
        <f t="shared" si="154"/>
        <v/>
      </c>
      <c r="BH58" s="892"/>
      <c r="BI58" s="786"/>
      <c r="BJ58" s="786"/>
      <c r="BK58" s="786"/>
      <c r="BL58" s="786"/>
      <c r="BM58" s="786"/>
      <c r="BN58" s="786"/>
      <c r="BO58" s="786"/>
      <c r="BP58" s="786"/>
      <c r="BQ58" s="786"/>
      <c r="BR58" s="786"/>
      <c r="BS58" s="787"/>
      <c r="DA58" s="6">
        <f>IF(AND(BE58&lt;&gt;"",OR(BE58&lt;EXPEDIENTE!$I$25,BE58&gt;EXPEDIENTE!$I$29)),1,0)</f>
        <v>0</v>
      </c>
      <c r="DB58" s="4"/>
      <c r="DD58" s="88">
        <f t="shared" si="142"/>
        <v>0</v>
      </c>
      <c r="DE58" s="88">
        <f t="shared" si="155"/>
        <v>0</v>
      </c>
      <c r="DF58" s="88">
        <f t="shared" si="156"/>
        <v>0</v>
      </c>
      <c r="DG58" s="88">
        <f t="shared" si="157"/>
        <v>0</v>
      </c>
      <c r="DH58" s="88">
        <f t="shared" si="143"/>
        <v>0</v>
      </c>
      <c r="DU58" s="4"/>
      <c r="DW58" s="88">
        <f>IF(BH58&lt;&gt;"",MAX($DW$9:DW57)+1,0)</f>
        <v>0</v>
      </c>
      <c r="DX58" s="182" t="str">
        <f t="shared" si="158"/>
        <v/>
      </c>
    </row>
    <row r="59" spans="2:128" ht="30" customHeight="1" x14ac:dyDescent="0.25">
      <c r="B59" s="875"/>
      <c r="C59" s="154" t="s">
        <v>55</v>
      </c>
      <c r="D59" s="54"/>
      <c r="E59" s="23">
        <f t="shared" si="144"/>
        <v>0</v>
      </c>
      <c r="F59" s="54"/>
      <c r="G59" s="54"/>
      <c r="H59" s="198">
        <f t="shared" si="145"/>
        <v>0</v>
      </c>
      <c r="I59" s="82"/>
      <c r="J59" s="916"/>
      <c r="K59" s="725"/>
      <c r="L59" s="725"/>
      <c r="M59" s="726"/>
      <c r="N59" s="730"/>
      <c r="O59" s="731"/>
      <c r="P59" s="731"/>
      <c r="AG59" s="6">
        <f>IF(AND(I59&lt;&gt;"",OR(I59&lt;EXPEDIENTE!$I$25,I59&gt;EXPEDIENTE!$I$29)),1,0)</f>
        <v>0</v>
      </c>
      <c r="AI59" s="6">
        <f>IF(DATE(YEAR(EXPEDIENTE!$I$25)+2,MONTH(DATEVALUE($C59&amp;"1")),1)&gt;=DATE(YEAR(EXPEDIENTE!$I$25),MONTH(EXPEDIENTE!$I$25),1),0,1)</f>
        <v>0</v>
      </c>
      <c r="AJ59" s="6" t="e">
        <f>IF(DATE(YEAR(EXPEDIENTE!$I$25)+2,MONTH(DATEVALUE($C59&amp;"1")),1)&lt;=DATE(YEAR(EXPEDIENTE!$I$27),MONTH(EXPEDIENTE!$I$27),1),0,1)</f>
        <v>#VALUE!</v>
      </c>
      <c r="AK59" s="6" t="e">
        <f t="shared" si="146"/>
        <v>#VALUE!</v>
      </c>
      <c r="AM59" s="728"/>
      <c r="AN59" s="318" t="s">
        <v>55</v>
      </c>
      <c r="AO59" s="321">
        <f t="shared" si="147"/>
        <v>0</v>
      </c>
      <c r="AP59" s="529"/>
      <c r="AQ59" s="326">
        <f t="shared" si="148"/>
        <v>0</v>
      </c>
      <c r="AR59" s="327">
        <f t="shared" si="139"/>
        <v>0</v>
      </c>
      <c r="AS59" s="719"/>
      <c r="AT59" s="720"/>
      <c r="AU59" s="321">
        <f t="shared" si="149"/>
        <v>0</v>
      </c>
      <c r="AV59" s="529"/>
      <c r="AW59" s="326">
        <f t="shared" si="150"/>
        <v>0</v>
      </c>
      <c r="AX59" s="321">
        <f t="shared" si="151"/>
        <v>0</v>
      </c>
      <c r="AY59" s="529"/>
      <c r="AZ59" s="326">
        <f t="shared" si="152"/>
        <v>0</v>
      </c>
      <c r="BA59" s="376">
        <f t="shared" si="140"/>
        <v>0</v>
      </c>
      <c r="BB59" s="719"/>
      <c r="BC59" s="720"/>
      <c r="BD59" s="313" t="str">
        <f t="shared" si="141"/>
        <v/>
      </c>
      <c r="BE59" s="536"/>
      <c r="BF59" s="314" t="str">
        <f t="shared" si="153"/>
        <v/>
      </c>
      <c r="BG59" s="377" t="str">
        <f t="shared" si="154"/>
        <v/>
      </c>
      <c r="BH59" s="892"/>
      <c r="BI59" s="786"/>
      <c r="BJ59" s="786"/>
      <c r="BK59" s="786"/>
      <c r="BL59" s="786"/>
      <c r="BM59" s="786"/>
      <c r="BN59" s="786"/>
      <c r="BO59" s="786"/>
      <c r="BP59" s="786"/>
      <c r="BQ59" s="786"/>
      <c r="BR59" s="786"/>
      <c r="BS59" s="787"/>
      <c r="DA59" s="6">
        <f>IF(AND(BE59&lt;&gt;"",OR(BE59&lt;EXPEDIENTE!$I$25,BE59&gt;EXPEDIENTE!$I$29)),1,0)</f>
        <v>0</v>
      </c>
      <c r="DB59" s="4"/>
      <c r="DD59" s="88">
        <f t="shared" si="142"/>
        <v>0</v>
      </c>
      <c r="DE59" s="88">
        <f t="shared" si="155"/>
        <v>0</v>
      </c>
      <c r="DF59" s="88">
        <f t="shared" si="156"/>
        <v>0</v>
      </c>
      <c r="DG59" s="88">
        <f t="shared" si="157"/>
        <v>0</v>
      </c>
      <c r="DH59" s="88">
        <f t="shared" si="143"/>
        <v>0</v>
      </c>
      <c r="DU59" s="4"/>
      <c r="DW59" s="88">
        <f>IF(BH59&lt;&gt;"",MAX($DW$9:DW58)+1,0)</f>
        <v>0</v>
      </c>
      <c r="DX59" s="182" t="str">
        <f t="shared" si="158"/>
        <v/>
      </c>
    </row>
    <row r="60" spans="2:128" ht="30" customHeight="1" thickBot="1" x14ac:dyDescent="0.3">
      <c r="B60" s="875"/>
      <c r="C60" s="196" t="s">
        <v>56</v>
      </c>
      <c r="D60" s="192"/>
      <c r="E60" s="30">
        <f t="shared" si="144"/>
        <v>0</v>
      </c>
      <c r="F60" s="56"/>
      <c r="G60" s="56"/>
      <c r="H60" s="201">
        <f t="shared" si="145"/>
        <v>0</v>
      </c>
      <c r="I60" s="194"/>
      <c r="J60" s="917"/>
      <c r="K60" s="918"/>
      <c r="L60" s="918"/>
      <c r="M60" s="919"/>
      <c r="N60" s="730"/>
      <c r="O60" s="731"/>
      <c r="P60" s="731"/>
      <c r="AG60" s="6">
        <f>IF(AND(I60&lt;&gt;"",OR(I60&lt;EXPEDIENTE!$I$25,I60&gt;EXPEDIENTE!$I$29)),1,0)</f>
        <v>0</v>
      </c>
      <c r="AI60" s="6">
        <f>IF(DATE(YEAR(EXPEDIENTE!$I$25)+2,MONTH(DATEVALUE($C60&amp;"1")),1)&gt;=DATE(YEAR(EXPEDIENTE!$I$25),MONTH(EXPEDIENTE!$I$25),1),0,1)</f>
        <v>0</v>
      </c>
      <c r="AJ60" s="6" t="e">
        <f>IF(DATE(YEAR(EXPEDIENTE!$I$25)+2,MONTH(DATEVALUE($C60&amp;"1")),1)&lt;=DATE(YEAR(EXPEDIENTE!$I$27),MONTH(EXPEDIENTE!$I$27),1),0,1)</f>
        <v>#VALUE!</v>
      </c>
      <c r="AK60" s="6" t="e">
        <f t="shared" si="146"/>
        <v>#VALUE!</v>
      </c>
      <c r="AM60" s="728"/>
      <c r="AN60" s="378" t="s">
        <v>56</v>
      </c>
      <c r="AO60" s="379">
        <f t="shared" si="147"/>
        <v>0</v>
      </c>
      <c r="AP60" s="541"/>
      <c r="AQ60" s="380">
        <f t="shared" si="148"/>
        <v>0</v>
      </c>
      <c r="AR60" s="335">
        <f t="shared" si="139"/>
        <v>0</v>
      </c>
      <c r="AS60" s="721"/>
      <c r="AT60" s="722"/>
      <c r="AU60" s="331">
        <f t="shared" si="149"/>
        <v>0</v>
      </c>
      <c r="AV60" s="533"/>
      <c r="AW60" s="337">
        <f t="shared" si="150"/>
        <v>0</v>
      </c>
      <c r="AX60" s="331">
        <f t="shared" si="151"/>
        <v>0</v>
      </c>
      <c r="AY60" s="533"/>
      <c r="AZ60" s="337">
        <f t="shared" si="152"/>
        <v>0</v>
      </c>
      <c r="BA60" s="381">
        <f t="shared" si="140"/>
        <v>0</v>
      </c>
      <c r="BB60" s="721"/>
      <c r="BC60" s="722"/>
      <c r="BD60" s="338" t="str">
        <f t="shared" si="141"/>
        <v/>
      </c>
      <c r="BE60" s="542"/>
      <c r="BF60" s="339" t="str">
        <f t="shared" si="153"/>
        <v/>
      </c>
      <c r="BG60" s="382" t="str">
        <f t="shared" si="154"/>
        <v/>
      </c>
      <c r="BH60" s="893"/>
      <c r="BI60" s="894"/>
      <c r="BJ60" s="894"/>
      <c r="BK60" s="894"/>
      <c r="BL60" s="894"/>
      <c r="BM60" s="894"/>
      <c r="BN60" s="894"/>
      <c r="BO60" s="894"/>
      <c r="BP60" s="894"/>
      <c r="BQ60" s="894"/>
      <c r="BR60" s="894"/>
      <c r="BS60" s="895"/>
      <c r="DA60" s="6">
        <f>IF(AND(BE60&lt;&gt;"",OR(BE60&lt;EXPEDIENTE!$I$25,BE60&gt;EXPEDIENTE!$I$29)),1,0)</f>
        <v>0</v>
      </c>
      <c r="DB60" s="4"/>
      <c r="DD60" s="88">
        <f t="shared" si="142"/>
        <v>0</v>
      </c>
      <c r="DE60" s="88">
        <f t="shared" si="155"/>
        <v>0</v>
      </c>
      <c r="DF60" s="88">
        <f t="shared" si="156"/>
        <v>0</v>
      </c>
      <c r="DG60" s="88">
        <f t="shared" si="157"/>
        <v>0</v>
      </c>
      <c r="DH60" s="88">
        <f t="shared" si="143"/>
        <v>0</v>
      </c>
      <c r="DU60" s="4"/>
      <c r="DW60" s="88">
        <f>IF(BH60&lt;&gt;"",MAX($DW$9:DW59)+1,0)</f>
        <v>0</v>
      </c>
      <c r="DX60" s="182" t="str">
        <f t="shared" si="158"/>
        <v/>
      </c>
    </row>
    <row r="61" spans="2:128" ht="9.9499999999999993" customHeight="1" thickBot="1" x14ac:dyDescent="0.3">
      <c r="B61" s="876"/>
      <c r="C61" s="181"/>
      <c r="D61" s="181"/>
      <c r="E61" s="181"/>
      <c r="F61" s="181"/>
      <c r="G61" s="181"/>
      <c r="H61" s="181"/>
      <c r="I61" s="181"/>
      <c r="J61" s="181"/>
      <c r="K61" s="181"/>
      <c r="L61" s="181"/>
      <c r="M61" s="190"/>
      <c r="AM61" s="729"/>
      <c r="AN61" s="383"/>
      <c r="AO61" s="384"/>
      <c r="AP61" s="384"/>
      <c r="AQ61" s="384"/>
      <c r="AR61" s="384"/>
      <c r="AS61" s="384"/>
      <c r="AT61" s="384"/>
      <c r="AU61" s="384"/>
      <c r="AV61" s="384"/>
      <c r="AW61" s="384"/>
      <c r="AX61" s="384"/>
      <c r="AY61" s="384"/>
      <c r="AZ61" s="384"/>
      <c r="BA61" s="384"/>
      <c r="BB61" s="384"/>
      <c r="BC61" s="384"/>
      <c r="BD61" s="384"/>
      <c r="BE61" s="384"/>
      <c r="BF61" s="384"/>
      <c r="BG61" s="384"/>
      <c r="BH61" s="384"/>
      <c r="BI61" s="384"/>
      <c r="BJ61" s="384"/>
      <c r="BK61" s="384"/>
      <c r="BL61" s="384"/>
      <c r="BM61" s="384"/>
      <c r="BN61" s="384"/>
      <c r="BO61" s="384"/>
      <c r="BP61" s="384"/>
      <c r="BQ61" s="384"/>
      <c r="BR61" s="384"/>
      <c r="BS61" s="385"/>
      <c r="DA61" s="4"/>
    </row>
    <row r="62" spans="2:128" ht="14.25" thickTop="1" x14ac:dyDescent="0.25"/>
  </sheetData>
  <sheetProtection algorithmName="SHA-512" hashValue="rZM8UfTeNuR5/Pg9lmKpIiKfXc7VKl4SoX0dTRtsge8TJ0sa13Zvgsg7WyDIjokjoHu8C38zVjpP7n0BIuGWTw==" saltValue="5n+e+yuD209SKjiZrE37JQ==" spinCount="100000" sheet="1" formatColumns="0"/>
  <protectedRanges>
    <protectedRange algorithmName="SHA-512" hashValue="6fbby51gioYo6LMpdlxVRtAqp7x7EPGcASAWCK+QIAMNsgh5JJ6zr2smVkkV9NPBAb6H5w1Ael4Xgf7+bj2xPA==" saltValue="/XYyrpIwhkXCL97xOE+6uQ==" spinCount="100000" sqref="AP49:AP60 AV49:AV60 AY49:AY60 BE49:BE60 BH49:BS60" name="Rango5"/>
    <protectedRange algorithmName="SHA-512" hashValue="RLYE7iIcK1k3C8Rux1J8KsFY4+NzQEiM1irO/V4aIolpAI3UR5ejzUPsNbV7uAV6us3aM2P1dLNxms1Ej8YgHQ==" saltValue="4vX4wpkJyZ2asFm3HwZxCw==" spinCount="100000" sqref="AP37:AP44 AS37:AS44 AV37:AV44 AY37:AY44 BB37:BB44 BE37:BE44 BH37:BH44 BK37:BK44 BQ37:BQ44 BT37:BT44 BW37:BW44 BZ37:BZ44 CC37:CC44 CG37:CG44 CL37:CL44 CO37:CO44 CS37:CS44 CV37:CV44" name="Rango3"/>
    <protectedRange algorithmName="SHA-512" hashValue="HD2Ms2jYjXgiXd+C/bpfmdecFnnrhCfqGhGNa8k9jdH3DbngOvAE1+2+OxEZXepCMYxO/voS8avXU3BoHyUw6g==" saltValue="q40lS0UBOLImxquE5il54w==" spinCount="100000" sqref="AS9:AS13 AU9:BG14" name="Rango1"/>
    <protectedRange algorithmName="SHA-512" hashValue="MWCi4p9+wF1VGQY4bNQkFfnG5Tv4LVHtmqvdwH3lqe4bPbAz78O7cVVl0C0eJAfIb7k6C1YCpUcvVK44MqpaPw==" saltValue="FcalM/WewOCkFfBFtx6Y1g==" spinCount="100000" sqref="AS20:AS31 AV20:AV31 AY20:AY31 BB20:BB31 BE20:BE31 BH20:BH31 BK20:BK31 BQ20:BQ31 BT20:BT31 BW20:BW31 BZ20:BZ31 CC20:CC31 CG20:CG31 CL20:CL31 CO20:CO31 CS20:CS31 CV20:CV31 CY20:CY31" name="Rango2"/>
    <protectedRange algorithmName="SHA-512" hashValue="mo/GuH9IENdnu6RH5JFMVItxWrT/ppBWDf+gQ1G9zyuiO98w3TxEIunH95wvu0RZ5mXVBRFqtA4L708FUl0N1w==" saltValue="cQNYa+E7z8MmfY/FCB39Uw==" spinCount="100000" sqref="CY37:CY44" name="Rango4"/>
  </protectedRanges>
  <mergeCells count="210">
    <mergeCell ref="CN35:CN36"/>
    <mergeCell ref="CO35:CO36"/>
    <mergeCell ref="CP35:CP36"/>
    <mergeCell ref="AX35:BM35"/>
    <mergeCell ref="BH58:BS58"/>
    <mergeCell ref="CK35:CK36"/>
    <mergeCell ref="CL35:CL36"/>
    <mergeCell ref="BH47:BS47"/>
    <mergeCell ref="BH48:BS48"/>
    <mergeCell ref="BH49:BS49"/>
    <mergeCell ref="BH50:BS50"/>
    <mergeCell ref="BH51:BS51"/>
    <mergeCell ref="BH52:BS52"/>
    <mergeCell ref="CS35:CS36"/>
    <mergeCell ref="CT35:CT36"/>
    <mergeCell ref="CU35:CU36"/>
    <mergeCell ref="CV35:CV36"/>
    <mergeCell ref="CW35:CW36"/>
    <mergeCell ref="CM35:CM36"/>
    <mergeCell ref="BH59:BS59"/>
    <mergeCell ref="BH60:BS60"/>
    <mergeCell ref="BH53:BS53"/>
    <mergeCell ref="BH54:BS54"/>
    <mergeCell ref="BH55:BS55"/>
    <mergeCell ref="BH56:BS56"/>
    <mergeCell ref="BH57:BS57"/>
    <mergeCell ref="AN46:BS46"/>
    <mergeCell ref="AN47:AN48"/>
    <mergeCell ref="AO47:AQ47"/>
    <mergeCell ref="AR47:AR48"/>
    <mergeCell ref="AS47:AT60"/>
    <mergeCell ref="AU47:AW47"/>
    <mergeCell ref="AX47:AZ47"/>
    <mergeCell ref="BA47:BA48"/>
    <mergeCell ref="BB47:BC60"/>
    <mergeCell ref="BD47:BF47"/>
    <mergeCell ref="CR35:CR36"/>
    <mergeCell ref="BP18:CE18"/>
    <mergeCell ref="CF18:CH18"/>
    <mergeCell ref="AN18:AO19"/>
    <mergeCell ref="AP18:AQ31"/>
    <mergeCell ref="AR18:AR19"/>
    <mergeCell ref="AS18:AS19"/>
    <mergeCell ref="BN35:BN36"/>
    <mergeCell ref="BP35:CE35"/>
    <mergeCell ref="CF35:CH35"/>
    <mergeCell ref="AN33:CY33"/>
    <mergeCell ref="AN34:AT34"/>
    <mergeCell ref="AU34:BN34"/>
    <mergeCell ref="BO34:CI34"/>
    <mergeCell ref="CJ34:CJ36"/>
    <mergeCell ref="CK34:CM34"/>
    <mergeCell ref="CN34:CP34"/>
    <mergeCell ref="CQ34:CQ36"/>
    <mergeCell ref="CR34:CT34"/>
    <mergeCell ref="CU34:CW34"/>
    <mergeCell ref="CY34:CY35"/>
    <mergeCell ref="AN35:AN36"/>
    <mergeCell ref="AO35:AQ35"/>
    <mergeCell ref="AR35:AT35"/>
    <mergeCell ref="AU35:AW35"/>
    <mergeCell ref="CK17:CM17"/>
    <mergeCell ref="CN17:CP17"/>
    <mergeCell ref="CQ17:CQ19"/>
    <mergeCell ref="CR17:CT17"/>
    <mergeCell ref="CU17:CW17"/>
    <mergeCell ref="CY17:CY18"/>
    <mergeCell ref="DA17:DA18"/>
    <mergeCell ref="DB17:DB18"/>
    <mergeCell ref="AT18:AT19"/>
    <mergeCell ref="CV18:CV19"/>
    <mergeCell ref="CW18:CW19"/>
    <mergeCell ref="CP18:CP19"/>
    <mergeCell ref="CR18:CR19"/>
    <mergeCell ref="CS18:CS19"/>
    <mergeCell ref="CT18:CT19"/>
    <mergeCell ref="CU18:CU19"/>
    <mergeCell ref="CK18:CK19"/>
    <mergeCell ref="CL18:CL19"/>
    <mergeCell ref="CM18:CM19"/>
    <mergeCell ref="CN18:CN19"/>
    <mergeCell ref="CO18:CO19"/>
    <mergeCell ref="AU18:AW18"/>
    <mergeCell ref="AX18:BM18"/>
    <mergeCell ref="BN18:BN19"/>
    <mergeCell ref="DD7:DU7"/>
    <mergeCell ref="DW7:DX7"/>
    <mergeCell ref="AM8:AM61"/>
    <mergeCell ref="AN8:AP8"/>
    <mergeCell ref="AU8:BG8"/>
    <mergeCell ref="AN9:AP9"/>
    <mergeCell ref="AU9:BG9"/>
    <mergeCell ref="AN10:AP10"/>
    <mergeCell ref="AU10:BG10"/>
    <mergeCell ref="AN11:AP11"/>
    <mergeCell ref="AU11:BG11"/>
    <mergeCell ref="AN12:AP12"/>
    <mergeCell ref="AU12:BG12"/>
    <mergeCell ref="AN13:AP13"/>
    <mergeCell ref="AU13:BG13"/>
    <mergeCell ref="AN31:AO31"/>
    <mergeCell ref="AN14:AP14"/>
    <mergeCell ref="DA15:DB16"/>
    <mergeCell ref="AN16:CY16"/>
    <mergeCell ref="AN17:AQ17"/>
    <mergeCell ref="AR17:AT17"/>
    <mergeCell ref="AU17:BN17"/>
    <mergeCell ref="BO17:CI17"/>
    <mergeCell ref="CJ17:CJ19"/>
    <mergeCell ref="C33:AE33"/>
    <mergeCell ref="C34:E34"/>
    <mergeCell ref="F34:M34"/>
    <mergeCell ref="N34:V34"/>
    <mergeCell ref="W34:W36"/>
    <mergeCell ref="X34:X36"/>
    <mergeCell ref="Y34:Y36"/>
    <mergeCell ref="Z34:Z36"/>
    <mergeCell ref="AR4:AU4"/>
    <mergeCell ref="AN23:AO23"/>
    <mergeCell ref="AN24:AO24"/>
    <mergeCell ref="AN25:AO25"/>
    <mergeCell ref="AN26:AO26"/>
    <mergeCell ref="AN27:AO27"/>
    <mergeCell ref="AN28:AO28"/>
    <mergeCell ref="AN29:AO29"/>
    <mergeCell ref="AN30:AO30"/>
    <mergeCell ref="AN20:AO20"/>
    <mergeCell ref="AN21:AO21"/>
    <mergeCell ref="AN22:AO22"/>
    <mergeCell ref="AI15:AI16"/>
    <mergeCell ref="AJ15:AJ16"/>
    <mergeCell ref="AK15:AK16"/>
    <mergeCell ref="H12:H13"/>
    <mergeCell ref="I12:T13"/>
    <mergeCell ref="AG15:AH16"/>
    <mergeCell ref="AG17:AG18"/>
    <mergeCell ref="AH17:AH18"/>
    <mergeCell ref="N17:V17"/>
    <mergeCell ref="W17:W19"/>
    <mergeCell ref="X17:X19"/>
    <mergeCell ref="E4:F4"/>
    <mergeCell ref="B8:B61"/>
    <mergeCell ref="C8:F8"/>
    <mergeCell ref="I8:T8"/>
    <mergeCell ref="I9:T9"/>
    <mergeCell ref="I10:T10"/>
    <mergeCell ref="I11:T11"/>
    <mergeCell ref="C16:AE16"/>
    <mergeCell ref="C17:E17"/>
    <mergeCell ref="F17:M17"/>
    <mergeCell ref="AB17:AB19"/>
    <mergeCell ref="AC17:AC19"/>
    <mergeCell ref="AD17:AD19"/>
    <mergeCell ref="AE17:AE19"/>
    <mergeCell ref="C18:D19"/>
    <mergeCell ref="Y17:Y19"/>
    <mergeCell ref="Z17:Z19"/>
    <mergeCell ref="E18:E19"/>
    <mergeCell ref="F18:F19"/>
    <mergeCell ref="G18:L18"/>
    <mergeCell ref="M18:M19"/>
    <mergeCell ref="O18:T18"/>
    <mergeCell ref="U18:U19"/>
    <mergeCell ref="AA17:AA19"/>
    <mergeCell ref="C31:D31"/>
    <mergeCell ref="C20:D20"/>
    <mergeCell ref="C21:D21"/>
    <mergeCell ref="C22:D22"/>
    <mergeCell ref="C23:D23"/>
    <mergeCell ref="C24:D24"/>
    <mergeCell ref="C25:D25"/>
    <mergeCell ref="C26:D26"/>
    <mergeCell ref="C27:D27"/>
    <mergeCell ref="C28:D28"/>
    <mergeCell ref="C29:D29"/>
    <mergeCell ref="C30:D30"/>
    <mergeCell ref="AA34:AA36"/>
    <mergeCell ref="AB34:AB36"/>
    <mergeCell ref="AD34:AD36"/>
    <mergeCell ref="AE34:AE36"/>
    <mergeCell ref="AC34:AC36"/>
    <mergeCell ref="C35:C36"/>
    <mergeCell ref="D35:E35"/>
    <mergeCell ref="F35:F36"/>
    <mergeCell ref="G35:L35"/>
    <mergeCell ref="M35:M36"/>
    <mergeCell ref="O35:T35"/>
    <mergeCell ref="U35:U36"/>
    <mergeCell ref="N49:P60"/>
    <mergeCell ref="J58:M58"/>
    <mergeCell ref="J59:M59"/>
    <mergeCell ref="J60:M60"/>
    <mergeCell ref="C46:M46"/>
    <mergeCell ref="J53:M53"/>
    <mergeCell ref="J54:M54"/>
    <mergeCell ref="J55:M55"/>
    <mergeCell ref="J56:M56"/>
    <mergeCell ref="J57:M57"/>
    <mergeCell ref="J49:M49"/>
    <mergeCell ref="J50:M50"/>
    <mergeCell ref="J51:M51"/>
    <mergeCell ref="J52:M52"/>
    <mergeCell ref="C47:C48"/>
    <mergeCell ref="D47:D48"/>
    <mergeCell ref="E47:E48"/>
    <mergeCell ref="F47:F48"/>
    <mergeCell ref="G47:G48"/>
    <mergeCell ref="H47:H48"/>
    <mergeCell ref="I47:I48"/>
    <mergeCell ref="J47:M48"/>
  </mergeCells>
  <conditionalFormatting sqref="C49:I60">
    <cfRule type="expression" dxfId="272" priority="3">
      <formula>$AK20=1</formula>
    </cfRule>
  </conditionalFormatting>
  <conditionalFormatting sqref="D47:D48">
    <cfRule type="expression" dxfId="271" priority="147">
      <formula>OR(SUM(T20:T31)&gt;0,SUM(T37:T44)&gt;0)</formula>
    </cfRule>
  </conditionalFormatting>
  <conditionalFormatting sqref="H12:T13">
    <cfRule type="expression" dxfId="258" priority="16">
      <formula>OR($AG$19&gt;0,$AH$19&gt;0)</formula>
    </cfRule>
  </conditionalFormatting>
  <conditionalFormatting sqref="I49:I60 AA20:AA31 AA37:AA44">
    <cfRule type="expression" dxfId="257" priority="17" stopIfTrue="1">
      <formula>$AG20&lt;&gt;0</formula>
    </cfRule>
  </conditionalFormatting>
  <conditionalFormatting sqref="N49:P60">
    <cfRule type="cellIs" dxfId="256" priority="146" operator="notEqual">
      <formula>""</formula>
    </cfRule>
  </conditionalFormatting>
  <conditionalFormatting sqref="W20:AD31 C20:M31 O20:U31">
    <cfRule type="expression" dxfId="254" priority="81">
      <formula>$AK20=1</formula>
    </cfRule>
  </conditionalFormatting>
  <conditionalFormatting sqref="AB20:AB31 AB37:AB44">
    <cfRule type="expression" dxfId="242" priority="18" stopIfTrue="1">
      <formula>$AH20&lt;&gt;0</formula>
    </cfRule>
  </conditionalFormatting>
  <conditionalFormatting sqref="AP37:AP44">
    <cfRule type="expression" dxfId="240" priority="44">
      <formula>AND($AP37&lt;&gt;"",$AO37&lt;&gt;$AP37)</formula>
    </cfRule>
  </conditionalFormatting>
  <conditionalFormatting sqref="AP49:AP60">
    <cfRule type="expression" dxfId="239" priority="66">
      <formula>AND($AP49&lt;&gt;"",$AO49&lt;&gt;$AP49)</formula>
    </cfRule>
  </conditionalFormatting>
  <conditionalFormatting sqref="AS9:AS13">
    <cfRule type="expression" dxfId="238" priority="19">
      <formula>AND($AS9&lt;&gt;"",$AR9&lt;&gt;$AS9)</formula>
    </cfRule>
  </conditionalFormatting>
  <conditionalFormatting sqref="AS20:AS31">
    <cfRule type="expression" dxfId="237" priority="24">
      <formula>AND($AS20&lt;&gt;"",$AR20&lt;&gt;$AS20)</formula>
    </cfRule>
  </conditionalFormatting>
  <conditionalFormatting sqref="AS37:AS44">
    <cfRule type="expression" dxfId="236" priority="45">
      <formula>AND($AS37&lt;&gt;"",$AR37&lt;&gt;$AS37)</formula>
    </cfRule>
  </conditionalFormatting>
  <conditionalFormatting sqref="AT14">
    <cfRule type="cellIs" dxfId="235" priority="23" operator="notEqual">
      <formula>$AR$14</formula>
    </cfRule>
  </conditionalFormatting>
  <conditionalFormatting sqref="AU9:AU13">
    <cfRule type="expression" dxfId="234" priority="20" stopIfTrue="1">
      <formula>AND($AR9&lt;&gt;$AT9,$AU9="")</formula>
    </cfRule>
    <cfRule type="expression" dxfId="233" priority="21">
      <formula>AND($AR9=$AT9,$AU9&lt;&gt;"")</formula>
    </cfRule>
    <cfRule type="expression" dxfId="232" priority="22">
      <formula>AND($AR9&lt;&gt;$AS9,$AU9&lt;&gt;"")</formula>
    </cfRule>
  </conditionalFormatting>
  <conditionalFormatting sqref="AV20:AV31">
    <cfRule type="expression" dxfId="231" priority="25">
      <formula>AND($AV20&lt;&gt;"",$AU20&lt;&gt;$AV20)</formula>
    </cfRule>
  </conditionalFormatting>
  <conditionalFormatting sqref="AV37:AV44">
    <cfRule type="expression" dxfId="230" priority="46">
      <formula>AND($AV37&lt;&gt;"",$AU37&lt;&gt;$AV37)</formula>
    </cfRule>
  </conditionalFormatting>
  <conditionalFormatting sqref="AV49:AV60">
    <cfRule type="expression" dxfId="229" priority="67">
      <formula>AND($AV49&lt;&gt;"",$AU49&lt;&gt;$AV49)</formula>
    </cfRule>
  </conditionalFormatting>
  <conditionalFormatting sqref="AY20:AY31">
    <cfRule type="expression" dxfId="228" priority="26">
      <formula>AND($AY20&lt;&gt;"",$AX20&lt;&gt;$AY20)</formula>
    </cfRule>
  </conditionalFormatting>
  <conditionalFormatting sqref="AY37:AY44">
    <cfRule type="expression" dxfId="227" priority="47">
      <formula>AND($AY37&lt;&gt;"",$AX37&lt;&gt;$AY37)</formula>
    </cfRule>
  </conditionalFormatting>
  <conditionalFormatting sqref="AY49:AY60">
    <cfRule type="expression" dxfId="226" priority="68">
      <formula>AND($AY49&lt;&gt;"",$AX49&lt;&gt;$AY49)</formula>
    </cfRule>
  </conditionalFormatting>
  <conditionalFormatting sqref="BB20:BB31">
    <cfRule type="expression" dxfId="225" priority="27">
      <formula>AND($BB20&lt;&gt;"",$BA20&lt;&gt;$BB20)</formula>
    </cfRule>
  </conditionalFormatting>
  <conditionalFormatting sqref="BB37:BB44">
    <cfRule type="expression" dxfId="224" priority="48">
      <formula>AND($BB37&lt;&gt;"",$BA37&lt;&gt;$BB37)</formula>
    </cfRule>
  </conditionalFormatting>
  <conditionalFormatting sqref="BD49:BF60 AU49:BA60 AN49:AR60">
    <cfRule type="expression" dxfId="222" priority="95">
      <formula>$AK49=1</formula>
    </cfRule>
  </conditionalFormatting>
  <conditionalFormatting sqref="BE20:BE31">
    <cfRule type="expression" dxfId="210" priority="28">
      <formula>AND($BE20&lt;&gt;"",$BD20&lt;&gt;$BE20)</formula>
    </cfRule>
  </conditionalFormatting>
  <conditionalFormatting sqref="BE37:BE44">
    <cfRule type="expression" dxfId="209" priority="49">
      <formula>AND($BE37&lt;&gt;"",$BD37&lt;&gt;$BE37)</formula>
    </cfRule>
  </conditionalFormatting>
  <conditionalFormatting sqref="BE49:BE60">
    <cfRule type="expression" dxfId="208" priority="76" stopIfTrue="1">
      <formula>AND($DA49&lt;&gt;0,$BE49&lt;&gt;"")</formula>
    </cfRule>
    <cfRule type="expression" dxfId="207" priority="69">
      <formula>AND($BE49&lt;&gt;"",$BD49&lt;&gt;$BE49)</formula>
    </cfRule>
  </conditionalFormatting>
  <conditionalFormatting sqref="BF49:BF60">
    <cfRule type="expression" dxfId="206" priority="77" stopIfTrue="1">
      <formula>AND($DA49&lt;&gt;0,$BF49&lt;&gt;"")</formula>
    </cfRule>
  </conditionalFormatting>
  <conditionalFormatting sqref="BH20:BH31">
    <cfRule type="expression" dxfId="205" priority="29">
      <formula>AND($BH20&lt;&gt;"",$BG20&lt;&gt;$BH20)</formula>
    </cfRule>
  </conditionalFormatting>
  <conditionalFormatting sqref="BH37:BH44">
    <cfRule type="expression" dxfId="204" priority="50">
      <formula>AND($BH37&lt;&gt;"",$BG37&lt;&gt;$BH37)</formula>
    </cfRule>
  </conditionalFormatting>
  <conditionalFormatting sqref="BH49:BS60">
    <cfRule type="expression" dxfId="203" priority="70" stopIfTrue="1">
      <formula>IF($BG49&lt;&gt;"",$BH49="")</formula>
    </cfRule>
    <cfRule type="expression" dxfId="202" priority="71">
      <formula>IF($BG49="",$BH49&lt;&gt;"")</formula>
    </cfRule>
    <cfRule type="expression" dxfId="201" priority="72">
      <formula>IF($BG49&lt;&gt;"",$BH49&lt;&gt;"")</formula>
    </cfRule>
  </conditionalFormatting>
  <conditionalFormatting sqref="BK20:BK31">
    <cfRule type="expression" dxfId="200" priority="30">
      <formula>AND($BK20&lt;&gt;"",$BJ20&lt;&gt;$BK20)</formula>
    </cfRule>
  </conditionalFormatting>
  <conditionalFormatting sqref="BK37:BK44">
    <cfRule type="expression" dxfId="199" priority="52">
      <formula>IF($BK37&lt;&gt;"",$BJ37&lt;&gt;$BK37)</formula>
    </cfRule>
  </conditionalFormatting>
  <conditionalFormatting sqref="BQ20:BQ31">
    <cfRule type="expression" dxfId="198" priority="31">
      <formula>AND($BQ20&lt;&gt;"",$BP20&lt;&gt;$BQ20)</formula>
    </cfRule>
  </conditionalFormatting>
  <conditionalFormatting sqref="BQ37:BQ44">
    <cfRule type="expression" dxfId="197" priority="53">
      <formula>AND($BQ37&lt;&gt;"",$BP37&lt;&gt;$BQ37)</formula>
    </cfRule>
  </conditionalFormatting>
  <conditionalFormatting sqref="BT20:BT31">
    <cfRule type="expression" dxfId="196" priority="32">
      <formula>AND($BT20&lt;&gt;"",$BS20&lt;&gt;$BT20)</formula>
    </cfRule>
  </conditionalFormatting>
  <conditionalFormatting sqref="BT37:BT44">
    <cfRule type="expression" dxfId="195" priority="54">
      <formula>AND($BT37&lt;&gt;"",$BS37&lt;&gt;$BT37)</formula>
    </cfRule>
  </conditionalFormatting>
  <conditionalFormatting sqref="BW20:BW31">
    <cfRule type="expression" dxfId="194" priority="33">
      <formula>AND($BW20&lt;&gt;"",$BV20&lt;&gt;$BW20)</formula>
    </cfRule>
  </conditionalFormatting>
  <conditionalFormatting sqref="BW37:BW44">
    <cfRule type="expression" dxfId="193" priority="55">
      <formula>AND($BW37&lt;&gt;"",$BV37&lt;&gt;$BW$37)</formula>
    </cfRule>
  </conditionalFormatting>
  <conditionalFormatting sqref="BZ20:BZ31">
    <cfRule type="expression" dxfId="192" priority="34">
      <formula>AND($BZ20&lt;&gt;"",$BY20&lt;&gt;$BZ20)</formula>
    </cfRule>
  </conditionalFormatting>
  <conditionalFormatting sqref="BZ37:BZ44">
    <cfRule type="expression" dxfId="191" priority="56">
      <formula>AND($BZ37&lt;&gt;"",$BY37&lt;&gt;$BZ37)</formula>
    </cfRule>
  </conditionalFormatting>
  <conditionalFormatting sqref="CC20:CC31">
    <cfRule type="expression" dxfId="190" priority="35">
      <formula>AND($CC20&lt;&gt;"",$CB20&lt;&gt;$CC20)</formula>
    </cfRule>
  </conditionalFormatting>
  <conditionalFormatting sqref="CC37:CC44">
    <cfRule type="expression" dxfId="189" priority="57">
      <formula>AND($CC37&lt;&gt;"",$CB37&lt;&gt;$CC37)</formula>
    </cfRule>
  </conditionalFormatting>
  <conditionalFormatting sqref="CG20:CG31">
    <cfRule type="expression" dxfId="188" priority="36">
      <formula>AND($CG20&lt;&gt;"",$CF20&lt;&gt;$CG20)</formula>
    </cfRule>
  </conditionalFormatting>
  <conditionalFormatting sqref="CG37:CG44">
    <cfRule type="expression" dxfId="187" priority="58">
      <formula>AND($CG37&lt;&gt;"",$CF37&lt;&gt;$CG37)</formula>
    </cfRule>
  </conditionalFormatting>
  <conditionalFormatting sqref="CJ20:CW31 BP20:CH31 AR20:BN31 AN20:AO31">
    <cfRule type="expression" dxfId="186" priority="94">
      <formula>$AK20=1</formula>
    </cfRule>
  </conditionalFormatting>
  <conditionalFormatting sqref="CL20:CL31">
    <cfRule type="expression" dxfId="173" priority="37">
      <formula>AND($CL20&lt;&gt;"",$CK20&lt;&gt;$CL20)</formula>
    </cfRule>
  </conditionalFormatting>
  <conditionalFormatting sqref="CL37:CL44">
    <cfRule type="expression" dxfId="172" priority="59">
      <formula>AND($CL37&lt;&gt;"",$CK37&lt;&gt;$CL37)</formula>
    </cfRule>
  </conditionalFormatting>
  <conditionalFormatting sqref="CO20:CO31">
    <cfRule type="expression" dxfId="171" priority="38">
      <formula>AND($CO20&lt;&gt;"",$CN20&lt;&gt;$CO20)</formula>
    </cfRule>
  </conditionalFormatting>
  <conditionalFormatting sqref="CO37:CO44">
    <cfRule type="expression" dxfId="170" priority="60">
      <formula>AND($CO37&lt;&gt;"",$CN37&lt;&gt;$CO37)</formula>
    </cfRule>
  </conditionalFormatting>
  <conditionalFormatting sqref="CR20:CR31 CR37:CR44 BD49:BD60">
    <cfRule type="expression" dxfId="169" priority="73" stopIfTrue="1">
      <formula>$AG20&lt;&gt;0</formula>
    </cfRule>
  </conditionalFormatting>
  <conditionalFormatting sqref="CS20:CS31">
    <cfRule type="expression" dxfId="168" priority="39">
      <formula>AND($CS20&lt;&gt;"",$CR20&lt;&gt;$CS20)</formula>
    </cfRule>
  </conditionalFormatting>
  <conditionalFormatting sqref="CS37:CS44 CS20:CS31">
    <cfRule type="expression" dxfId="167" priority="74" stopIfTrue="1">
      <formula>AND($DA20&lt;&gt;0,$CS20&lt;&gt;"")</formula>
    </cfRule>
  </conditionalFormatting>
  <conditionalFormatting sqref="CS37:CS44">
    <cfRule type="expression" dxfId="166" priority="61">
      <formula>AND($CS37&lt;&gt;"",$CR37&lt;&gt;$CT37)</formula>
    </cfRule>
  </conditionalFormatting>
  <conditionalFormatting sqref="CT20:CT31 CT37:CT44">
    <cfRule type="expression" dxfId="165" priority="75" stopIfTrue="1">
      <formula>AND($DA20&lt;&gt;0,$CT20&lt;&gt;"")</formula>
    </cfRule>
  </conditionalFormatting>
  <conditionalFormatting sqref="CU20:CU31 CU37:CU44">
    <cfRule type="expression" dxfId="164" priority="78" stopIfTrue="1">
      <formula>$AG20&lt;&gt;0</formula>
    </cfRule>
  </conditionalFormatting>
  <conditionalFormatting sqref="CV20:CV31">
    <cfRule type="expression" dxfId="163" priority="40">
      <formula>AND($CV20&lt;&gt;"",$CU20&lt;&gt;$CV20)</formula>
    </cfRule>
  </conditionalFormatting>
  <conditionalFormatting sqref="CV37:CV44 CV20:CV31">
    <cfRule type="expression" dxfId="162" priority="79" stopIfTrue="1">
      <formula>AND($DB20&lt;&gt;0,$CV20&lt;&gt;"")</formula>
    </cfRule>
  </conditionalFormatting>
  <conditionalFormatting sqref="CV37:CV44">
    <cfRule type="expression" dxfId="161" priority="62">
      <formula>AND($CV37&lt;&gt;"",$CU37&lt;&gt;$CW37)</formula>
    </cfRule>
  </conditionalFormatting>
  <conditionalFormatting sqref="CW20:CW31 CW37:CW44">
    <cfRule type="expression" dxfId="160" priority="80" stopIfTrue="1">
      <formula>AND($DB20&lt;&gt;0,$CW20&lt;&gt;"")</formula>
    </cfRule>
  </conditionalFormatting>
  <conditionalFormatting sqref="CY20:CY31">
    <cfRule type="expression" dxfId="159" priority="41">
      <formula>IF($CX20&lt;&gt;"",$CY20="")</formula>
    </cfRule>
    <cfRule type="expression" dxfId="158" priority="42">
      <formula>IF($CX20="",$CY20&lt;&gt;"")</formula>
    </cfRule>
    <cfRule type="expression" dxfId="157" priority="43">
      <formula>IF($CX20&lt;&gt;"",$CY20&lt;&gt;"")</formula>
    </cfRule>
  </conditionalFormatting>
  <conditionalFormatting sqref="CY37:CY44">
    <cfRule type="expression" dxfId="156" priority="65">
      <formula>IF($CX37&lt;&gt;"",$CY37&lt;&gt;"")</formula>
    </cfRule>
    <cfRule type="expression" dxfId="155" priority="63" stopIfTrue="1">
      <formula>IF($CX37&lt;&gt;"",$CY37="")</formula>
    </cfRule>
    <cfRule type="expression" dxfId="154" priority="64">
      <formula>IF($CX37="",$CY37&lt;&gt;"")</formula>
    </cfRule>
  </conditionalFormatting>
  <printOptions horizontalCentered="1" verticalCentered="1"/>
  <pageMargins left="0.39370078740157483" right="0.39370078740157483" top="0.59055118110236227" bottom="0.39370078740157483" header="0.19685039370078741" footer="0.19685039370078741"/>
  <pageSetup paperSize="8" scale="29" orientation="landscape" r:id="rId1"/>
  <colBreaks count="1" manualBreakCount="1">
    <brk id="37" max="1048575" man="1"/>
  </colBreaks>
  <ignoredErrors>
    <ignoredError sqref="L37:L43"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1" stopIfTrue="1" id="{8639E9FF-79E0-4E95-9E69-942B692B10ED}">
            <xm:f>OR(EXPEDIENTE!$I$25="",EXPEDIENTE!$I$27="",AND(EXPEDIENTE!$I$25&lt;&gt;"",EXPEDIENTE!$I$27&lt;&gt;"",YEAR(EXPEDIENTE!$I$27)&lt;YEAR(EXPEDIENTE!$I$25)+2))</xm:f>
            <x14:dxf>
              <font>
                <color theme="0"/>
              </font>
              <fill>
                <patternFill>
                  <bgColor theme="0"/>
                </patternFill>
              </fill>
              <border>
                <left/>
                <right/>
                <top/>
                <bottom/>
              </border>
            </x14:dxf>
          </x14:cfRule>
          <xm:sqref>A1:CZ61</xm:sqref>
        </x14:conditionalFormatting>
        <x14:conditionalFormatting xmlns:xm="http://schemas.microsoft.com/office/excel/2006/main">
          <x14:cfRule type="expression" priority="4" id="{F4E81BD4-500F-4F93-8A8D-7FD10347189F}">
            <xm:f>'% DEDICACIÓN TRABAJADOR'!$G$46=0</xm:f>
            <x14:dxf>
              <font>
                <color theme="9" tint="0.79998168889431442"/>
              </font>
              <fill>
                <patternFill>
                  <bgColor theme="9" tint="0.79998168889431442"/>
                </patternFill>
              </fill>
            </x14:dxf>
          </x14:cfRule>
          <xm:sqref>D49:I49</xm:sqref>
        </x14:conditionalFormatting>
        <x14:conditionalFormatting xmlns:xm="http://schemas.microsoft.com/office/excel/2006/main">
          <x14:cfRule type="expression" priority="5" id="{B0C6268C-419B-4E27-9168-453A732D2DE9}">
            <xm:f>'% DEDICACIÓN TRABAJADOR'!$H$46=0</xm:f>
            <x14:dxf>
              <font>
                <color theme="9" tint="0.79998168889431442"/>
              </font>
              <fill>
                <patternFill>
                  <bgColor theme="9" tint="0.79998168889431442"/>
                </patternFill>
              </fill>
            </x14:dxf>
          </x14:cfRule>
          <xm:sqref>D50:I50</xm:sqref>
        </x14:conditionalFormatting>
        <x14:conditionalFormatting xmlns:xm="http://schemas.microsoft.com/office/excel/2006/main">
          <x14:cfRule type="expression" priority="6" id="{E78DA74F-6431-4DDD-AFBB-8C65E30EA3D5}">
            <xm:f>'% DEDICACIÓN TRABAJADOR'!$I$46=0</xm:f>
            <x14:dxf>
              <font>
                <color theme="9" tint="0.79998168889431442"/>
              </font>
              <fill>
                <patternFill>
                  <bgColor theme="9" tint="0.79998168889431442"/>
                </patternFill>
              </fill>
            </x14:dxf>
          </x14:cfRule>
          <xm:sqref>D51:I51</xm:sqref>
        </x14:conditionalFormatting>
        <x14:conditionalFormatting xmlns:xm="http://schemas.microsoft.com/office/excel/2006/main">
          <x14:cfRule type="expression" priority="7" id="{0EB6DFB9-33D6-4DFD-BBAA-80553B9E2B53}">
            <xm:f>'% DEDICACIÓN TRABAJADOR'!$J$46=0</xm:f>
            <x14:dxf>
              <font>
                <color theme="9" tint="0.79998168889431442"/>
              </font>
              <fill>
                <patternFill>
                  <bgColor theme="9" tint="0.79998168889431442"/>
                </patternFill>
              </fill>
            </x14:dxf>
          </x14:cfRule>
          <xm:sqref>D52:I52</xm:sqref>
        </x14:conditionalFormatting>
        <x14:conditionalFormatting xmlns:xm="http://schemas.microsoft.com/office/excel/2006/main">
          <x14:cfRule type="expression" priority="8" id="{8643405B-E16A-4394-8324-A6349A8294A2}">
            <xm:f>'% DEDICACIÓN TRABAJADOR'!$K$46=0</xm:f>
            <x14:dxf>
              <font>
                <color theme="9" tint="0.79998168889431442"/>
              </font>
              <fill>
                <patternFill>
                  <bgColor theme="9" tint="0.79998168889431442"/>
                </patternFill>
              </fill>
            </x14:dxf>
          </x14:cfRule>
          <xm:sqref>D53:I53</xm:sqref>
        </x14:conditionalFormatting>
        <x14:conditionalFormatting xmlns:xm="http://schemas.microsoft.com/office/excel/2006/main">
          <x14:cfRule type="expression" priority="9" id="{9485E27F-2EFA-484C-BB5F-E175674A3ED5}">
            <xm:f>'% DEDICACIÓN TRABAJADOR'!$L$46=0</xm:f>
            <x14:dxf>
              <font>
                <color theme="9" tint="0.79998168889431442"/>
              </font>
              <fill>
                <patternFill>
                  <bgColor theme="9" tint="0.79998168889431442"/>
                </patternFill>
              </fill>
            </x14:dxf>
          </x14:cfRule>
          <xm:sqref>D54:I54</xm:sqref>
        </x14:conditionalFormatting>
        <x14:conditionalFormatting xmlns:xm="http://schemas.microsoft.com/office/excel/2006/main">
          <x14:cfRule type="expression" priority="10" id="{4D1BDFD3-C259-4FA8-9CA1-8480EF898F6E}">
            <xm:f>'% DEDICACIÓN TRABAJADOR'!$M$46=0</xm:f>
            <x14:dxf>
              <font>
                <color theme="9" tint="0.79998168889431442"/>
              </font>
              <fill>
                <patternFill>
                  <bgColor theme="9" tint="0.79998168889431442"/>
                </patternFill>
              </fill>
            </x14:dxf>
          </x14:cfRule>
          <xm:sqref>D55:I55</xm:sqref>
        </x14:conditionalFormatting>
        <x14:conditionalFormatting xmlns:xm="http://schemas.microsoft.com/office/excel/2006/main">
          <x14:cfRule type="expression" priority="11" id="{7663DEA4-6375-4B41-9F9D-56E0BA4FC658}">
            <xm:f>'% DEDICACIÓN TRABAJADOR'!$N$46=0</xm:f>
            <x14:dxf>
              <font>
                <color theme="9" tint="0.79998168889431442"/>
              </font>
              <fill>
                <patternFill>
                  <bgColor theme="9" tint="0.79998168889431442"/>
                </patternFill>
              </fill>
            </x14:dxf>
          </x14:cfRule>
          <xm:sqref>D56:I56</xm:sqref>
        </x14:conditionalFormatting>
        <x14:conditionalFormatting xmlns:xm="http://schemas.microsoft.com/office/excel/2006/main">
          <x14:cfRule type="expression" priority="12" id="{F5432DF8-6466-4FAC-97DF-3677B8FA1554}">
            <xm:f>'% DEDICACIÓN TRABAJADOR'!$O$46=0</xm:f>
            <x14:dxf>
              <font>
                <color theme="9" tint="0.79998168889431442"/>
              </font>
              <fill>
                <patternFill>
                  <bgColor theme="9" tint="0.79998168889431442"/>
                </patternFill>
              </fill>
            </x14:dxf>
          </x14:cfRule>
          <xm:sqref>D57:I57</xm:sqref>
        </x14:conditionalFormatting>
        <x14:conditionalFormatting xmlns:xm="http://schemas.microsoft.com/office/excel/2006/main">
          <x14:cfRule type="expression" priority="13" id="{A7507280-E167-4546-9B1E-2D1586F9DC9D}">
            <xm:f>'% DEDICACIÓN TRABAJADOR'!$P$46=0</xm:f>
            <x14:dxf>
              <font>
                <color theme="9" tint="0.79998168889431442"/>
              </font>
              <fill>
                <patternFill>
                  <bgColor theme="9" tint="0.79998168889431442"/>
                </patternFill>
              </fill>
            </x14:dxf>
          </x14:cfRule>
          <xm:sqref>D58:I58</xm:sqref>
        </x14:conditionalFormatting>
        <x14:conditionalFormatting xmlns:xm="http://schemas.microsoft.com/office/excel/2006/main">
          <x14:cfRule type="expression" priority="14" id="{0253A3BE-03A1-4D65-BEEF-C8757DF9CE4D}">
            <xm:f>'% DEDICACIÓN TRABAJADOR'!$Q$46=0</xm:f>
            <x14:dxf>
              <font>
                <color theme="9" tint="0.79998168889431442"/>
              </font>
              <fill>
                <patternFill>
                  <bgColor theme="9" tint="0.79998168889431442"/>
                </patternFill>
              </fill>
            </x14:dxf>
          </x14:cfRule>
          <xm:sqref>D59:I59</xm:sqref>
        </x14:conditionalFormatting>
        <x14:conditionalFormatting xmlns:xm="http://schemas.microsoft.com/office/excel/2006/main">
          <x14:cfRule type="expression" priority="15" id="{DDF94671-6821-4294-ACEA-BE691218B0AD}">
            <xm:f>'% DEDICACIÓN TRABAJADOR'!$R$46=0</xm:f>
            <x14:dxf>
              <font>
                <color theme="9" tint="0.79998168889431442"/>
              </font>
              <fill>
                <patternFill>
                  <bgColor theme="9" tint="0.79998168889431442"/>
                </patternFill>
              </fill>
            </x14:dxf>
          </x14:cfRule>
          <xm:sqref>D60:I60</xm:sqref>
        </x14:conditionalFormatting>
        <x14:conditionalFormatting xmlns:xm="http://schemas.microsoft.com/office/excel/2006/main">
          <x14:cfRule type="expression" priority="82" id="{DA0F8A5C-93D9-4F1E-AAD7-CBF998299047}">
            <xm:f>'% DEDICACIÓN TRABAJADOR'!$G$46=0</xm:f>
            <x14:dxf>
              <font>
                <color theme="9" tint="0.79998168889431442"/>
              </font>
              <fill>
                <patternFill>
                  <bgColor theme="9" tint="0.79998168889431442"/>
                </patternFill>
              </fill>
            </x14:dxf>
          </x14:cfRule>
          <xm:sqref>W20:AD20 E20:M20 O20:U20</xm:sqref>
        </x14:conditionalFormatting>
        <x14:conditionalFormatting xmlns:xm="http://schemas.microsoft.com/office/excel/2006/main">
          <x14:cfRule type="expression" priority="83" id="{75380877-522B-4901-91DB-E1CB9F85832B}">
            <xm:f>'% DEDICACIÓN TRABAJADOR'!$H$46=0</xm:f>
            <x14:dxf>
              <font>
                <color theme="9" tint="0.79998168889431442"/>
              </font>
              <fill>
                <patternFill>
                  <bgColor theme="9" tint="0.79998168889431442"/>
                </patternFill>
              </fill>
            </x14:dxf>
          </x14:cfRule>
          <xm:sqref>W21:AD21 E21:M21 O21:U21</xm:sqref>
        </x14:conditionalFormatting>
        <x14:conditionalFormatting xmlns:xm="http://schemas.microsoft.com/office/excel/2006/main">
          <x14:cfRule type="expression" priority="84" id="{569D9EC1-308D-42D9-A180-9272F5E413D7}">
            <xm:f>'% DEDICACIÓN TRABAJADOR'!$I$46=0</xm:f>
            <x14:dxf>
              <font>
                <color theme="9" tint="0.79998168889431442"/>
              </font>
              <fill>
                <patternFill>
                  <bgColor theme="9" tint="0.79998168889431442"/>
                </patternFill>
              </fill>
            </x14:dxf>
          </x14:cfRule>
          <xm:sqref>W22:AD22 E22:M22 O22:U22</xm:sqref>
        </x14:conditionalFormatting>
        <x14:conditionalFormatting xmlns:xm="http://schemas.microsoft.com/office/excel/2006/main">
          <x14:cfRule type="expression" priority="85" id="{9BDF406D-10E6-4A7B-BAF4-F967DBAAF8BB}">
            <xm:f>'% DEDICACIÓN TRABAJADOR'!$J$46=0</xm:f>
            <x14:dxf>
              <font>
                <color theme="9" tint="0.79998168889431442"/>
              </font>
              <fill>
                <patternFill>
                  <bgColor theme="9" tint="0.79998168889431442"/>
                </patternFill>
              </fill>
            </x14:dxf>
          </x14:cfRule>
          <xm:sqref>W23:AD23 E23:M23 O23:U23</xm:sqref>
        </x14:conditionalFormatting>
        <x14:conditionalFormatting xmlns:xm="http://schemas.microsoft.com/office/excel/2006/main">
          <x14:cfRule type="expression" priority="86" id="{A3626D40-ECC7-414A-AE9C-37C668A7A6FC}">
            <xm:f>'% DEDICACIÓN TRABAJADOR'!$K$46=0</xm:f>
            <x14:dxf>
              <font>
                <color theme="9" tint="0.79998168889431442"/>
              </font>
              <fill>
                <patternFill>
                  <bgColor theme="9" tint="0.79998168889431442"/>
                </patternFill>
              </fill>
            </x14:dxf>
          </x14:cfRule>
          <xm:sqref>W24:AD24 E24:M24 O24:U24</xm:sqref>
        </x14:conditionalFormatting>
        <x14:conditionalFormatting xmlns:xm="http://schemas.microsoft.com/office/excel/2006/main">
          <x14:cfRule type="expression" priority="87" id="{1B9174DB-71DA-4471-B1E0-DFA99DA6ADA6}">
            <xm:f>'% DEDICACIÓN TRABAJADOR'!$L$46=0</xm:f>
            <x14:dxf>
              <font>
                <color theme="9" tint="0.79998168889431442"/>
              </font>
              <fill>
                <patternFill>
                  <bgColor theme="9" tint="0.79998168889431442"/>
                </patternFill>
              </fill>
            </x14:dxf>
          </x14:cfRule>
          <xm:sqref>W25:AD25 E25:M25 O25:U25</xm:sqref>
        </x14:conditionalFormatting>
        <x14:conditionalFormatting xmlns:xm="http://schemas.microsoft.com/office/excel/2006/main">
          <x14:cfRule type="expression" priority="88" id="{31D6CB0C-879B-4344-A760-75F340404C1E}">
            <xm:f>'% DEDICACIÓN TRABAJADOR'!$M$46=0</xm:f>
            <x14:dxf>
              <font>
                <color theme="9" tint="0.79998168889431442"/>
              </font>
              <fill>
                <patternFill>
                  <bgColor theme="9" tint="0.79998168889431442"/>
                </patternFill>
              </fill>
            </x14:dxf>
          </x14:cfRule>
          <xm:sqref>W26:AD26 E26:M26 O26:U26</xm:sqref>
        </x14:conditionalFormatting>
        <x14:conditionalFormatting xmlns:xm="http://schemas.microsoft.com/office/excel/2006/main">
          <x14:cfRule type="expression" priority="89" id="{686D348A-AAB1-4ED7-AFCC-6994B359B01E}">
            <xm:f>'% DEDICACIÓN TRABAJADOR'!$N$46=0</xm:f>
            <x14:dxf>
              <font>
                <color theme="9" tint="0.79998168889431442"/>
              </font>
              <fill>
                <patternFill>
                  <bgColor theme="9" tint="0.79998168889431442"/>
                </patternFill>
              </fill>
            </x14:dxf>
          </x14:cfRule>
          <xm:sqref>W27:AD27 E27:M27 O27:U27</xm:sqref>
        </x14:conditionalFormatting>
        <x14:conditionalFormatting xmlns:xm="http://schemas.microsoft.com/office/excel/2006/main">
          <x14:cfRule type="expression" priority="90" id="{4584B63C-71C2-41E9-9BA4-AD18EA757967}">
            <xm:f>'% DEDICACIÓN TRABAJADOR'!$O$46=0</xm:f>
            <x14:dxf>
              <font>
                <color theme="9" tint="0.79998168889431442"/>
              </font>
              <fill>
                <patternFill>
                  <bgColor theme="9" tint="0.79998168889431442"/>
                </patternFill>
              </fill>
            </x14:dxf>
          </x14:cfRule>
          <xm:sqref>W28:AD28 E28:M28 O28:U28</xm:sqref>
        </x14:conditionalFormatting>
        <x14:conditionalFormatting xmlns:xm="http://schemas.microsoft.com/office/excel/2006/main">
          <x14:cfRule type="expression" priority="91" id="{05BC582F-3A7E-4E44-B567-8120A81EA3F7}">
            <xm:f>'% DEDICACIÓN TRABAJADOR'!$P$46=0</xm:f>
            <x14:dxf>
              <font>
                <color theme="9" tint="0.79998168889431442"/>
              </font>
              <fill>
                <patternFill>
                  <bgColor theme="9" tint="0.79998168889431442"/>
                </patternFill>
              </fill>
            </x14:dxf>
          </x14:cfRule>
          <xm:sqref>W29:AD29 E29:M29 O29:U29</xm:sqref>
        </x14:conditionalFormatting>
        <x14:conditionalFormatting xmlns:xm="http://schemas.microsoft.com/office/excel/2006/main">
          <x14:cfRule type="expression" priority="92" id="{B29E9265-9A33-4DDE-BBBC-49A743DA922F}">
            <xm:f>'% DEDICACIÓN TRABAJADOR'!$Q$46=0</xm:f>
            <x14:dxf>
              <font>
                <color theme="9" tint="0.79998168889431442"/>
              </font>
              <fill>
                <patternFill>
                  <bgColor theme="9" tint="0.79998168889431442"/>
                </patternFill>
              </fill>
            </x14:dxf>
          </x14:cfRule>
          <xm:sqref>W30:AD30 E30:M30 O30:U30</xm:sqref>
        </x14:conditionalFormatting>
        <x14:conditionalFormatting xmlns:xm="http://schemas.microsoft.com/office/excel/2006/main">
          <x14:cfRule type="expression" priority="93" id="{A1C558F2-216F-4538-9244-6BAC1ACD900B}">
            <xm:f>'% DEDICACIÓN TRABAJADOR'!$R$46=0</xm:f>
            <x14:dxf>
              <font>
                <color theme="9" tint="0.79998168889431442"/>
              </font>
              <fill>
                <patternFill>
                  <bgColor theme="9" tint="0.79998168889431442"/>
                </patternFill>
              </fill>
            </x14:dxf>
          </x14:cfRule>
          <xm:sqref>W31:AD31 E31:M31 O31:U31</xm:sqref>
        </x14:conditionalFormatting>
        <x14:conditionalFormatting xmlns:xm="http://schemas.microsoft.com/office/excel/2006/main">
          <x14:cfRule type="expression" priority="2" stopIfTrue="1" id="{61929098-716A-4602-8A69-254C60F41784}">
            <xm:f>OR(USUARIO!$C$2="",AUXILIAR!$W$6&lt;&gt;USUARIO!$C$2)</xm:f>
            <x14:dxf>
              <font>
                <color theme="0"/>
              </font>
              <fill>
                <patternFill>
                  <bgColor theme="0"/>
                </patternFill>
              </fill>
              <border>
                <left/>
                <right/>
                <top/>
                <bottom/>
              </border>
            </x14:dxf>
          </x14:cfRule>
          <xm:sqref>AL1:CZ1048576</xm:sqref>
        </x14:conditionalFormatting>
        <x14:conditionalFormatting xmlns:xm="http://schemas.microsoft.com/office/excel/2006/main">
          <x14:cfRule type="expression" priority="108" id="{2B280642-734A-43D9-A176-D8CDA81870EB}">
            <xm:f>'% DEDICACIÓN TRABAJADOR'!$G$46=0</xm:f>
            <x14:dxf>
              <font>
                <color theme="9" tint="0.79998168889431442"/>
              </font>
              <fill>
                <patternFill>
                  <bgColor theme="9" tint="0.79998168889431442"/>
                </patternFill>
              </fill>
            </x14:dxf>
          </x14:cfRule>
          <xm:sqref>BD49:BF49 AU49:BA49 AO49:AR49</xm:sqref>
        </x14:conditionalFormatting>
        <x14:conditionalFormatting xmlns:xm="http://schemas.microsoft.com/office/excel/2006/main">
          <x14:cfRule type="expression" priority="109" id="{C8563947-EC53-4135-B418-64C750796276}">
            <xm:f>'% DEDICACIÓN TRABAJADOR'!$H$46=0</xm:f>
            <x14:dxf>
              <font>
                <color theme="9" tint="0.79998168889431442"/>
              </font>
              <fill>
                <patternFill>
                  <bgColor theme="9" tint="0.79998168889431442"/>
                </patternFill>
              </fill>
            </x14:dxf>
          </x14:cfRule>
          <xm:sqref>BD50:BF50 AU50:BA50 AO50:AR50</xm:sqref>
        </x14:conditionalFormatting>
        <x14:conditionalFormatting xmlns:xm="http://schemas.microsoft.com/office/excel/2006/main">
          <x14:cfRule type="expression" priority="110" id="{DF4F57A7-A732-4BFA-A93D-DDDA3D6AE421}">
            <xm:f>'% DEDICACIÓN TRABAJADOR'!$I$46=0</xm:f>
            <x14:dxf>
              <font>
                <color theme="9" tint="0.79998168889431442"/>
              </font>
              <fill>
                <patternFill>
                  <bgColor theme="9" tint="0.79998168889431442"/>
                </patternFill>
              </fill>
            </x14:dxf>
          </x14:cfRule>
          <xm:sqref>BD51:BF51 AU51:BA51 AO51:AR51</xm:sqref>
        </x14:conditionalFormatting>
        <x14:conditionalFormatting xmlns:xm="http://schemas.microsoft.com/office/excel/2006/main">
          <x14:cfRule type="expression" priority="111" id="{36CA2DAA-93EE-4238-ADFA-B9AD09D2E82C}">
            <xm:f>'% DEDICACIÓN TRABAJADOR'!$J$46=0</xm:f>
            <x14:dxf>
              <font>
                <color theme="9" tint="0.79998168889431442"/>
              </font>
              <fill>
                <patternFill>
                  <bgColor theme="9" tint="0.79998168889431442"/>
                </patternFill>
              </fill>
            </x14:dxf>
          </x14:cfRule>
          <xm:sqref>BD52:BF52 AU52:BA52 AO52:AR52</xm:sqref>
        </x14:conditionalFormatting>
        <x14:conditionalFormatting xmlns:xm="http://schemas.microsoft.com/office/excel/2006/main">
          <x14:cfRule type="expression" priority="118" id="{7C5B6CBF-D11B-432F-A570-42F1FAFA61DD}">
            <xm:f>'% DEDICACIÓN TRABAJADOR'!$K$46=0</xm:f>
            <x14:dxf>
              <font>
                <color theme="9" tint="0.79998168889431442"/>
              </font>
              <fill>
                <patternFill>
                  <bgColor theme="9" tint="0.79998168889431442"/>
                </patternFill>
              </fill>
            </x14:dxf>
          </x14:cfRule>
          <xm:sqref>BD53:BF53 AU53:BA53 AO53:AR53</xm:sqref>
        </x14:conditionalFormatting>
        <x14:conditionalFormatting xmlns:xm="http://schemas.microsoft.com/office/excel/2006/main">
          <x14:cfRule type="expression" priority="119" id="{17CA61C4-2BE3-42C0-9C7C-846F7C415297}">
            <xm:f>'% DEDICACIÓN TRABAJADOR'!$L$46=0</xm:f>
            <x14:dxf>
              <font>
                <color theme="9" tint="0.79998168889431442"/>
              </font>
              <fill>
                <patternFill>
                  <bgColor theme="9" tint="0.79998168889431442"/>
                </patternFill>
              </fill>
            </x14:dxf>
          </x14:cfRule>
          <xm:sqref>BD54:BF54 AU54:BA54 AO54:AR54</xm:sqref>
        </x14:conditionalFormatting>
        <x14:conditionalFormatting xmlns:xm="http://schemas.microsoft.com/office/excel/2006/main">
          <x14:cfRule type="expression" priority="120" id="{8808CC8F-B3E3-4103-AF68-7E11B0244009}">
            <xm:f>'% DEDICACIÓN TRABAJADOR'!$M$46=0</xm:f>
            <x14:dxf>
              <font>
                <color theme="9" tint="0.79998168889431442"/>
              </font>
              <fill>
                <patternFill>
                  <bgColor theme="9" tint="0.79998168889431442"/>
                </patternFill>
              </fill>
            </x14:dxf>
          </x14:cfRule>
          <xm:sqref>BD55:BF55 AU55:BA55 AO55:AR55</xm:sqref>
        </x14:conditionalFormatting>
        <x14:conditionalFormatting xmlns:xm="http://schemas.microsoft.com/office/excel/2006/main">
          <x14:cfRule type="expression" priority="123" id="{B5AC73B4-95B5-42D7-BC35-755901B693A6}">
            <xm:f>'% DEDICACIÓN TRABAJADOR'!$N$46=0</xm:f>
            <x14:dxf>
              <font>
                <color theme="9" tint="0.79998168889431442"/>
              </font>
              <fill>
                <patternFill>
                  <bgColor theme="9" tint="0.79998168889431442"/>
                </patternFill>
              </fill>
            </x14:dxf>
          </x14:cfRule>
          <xm:sqref>BD56:BF56 AU56:BA56 AO56:AR56</xm:sqref>
        </x14:conditionalFormatting>
        <x14:conditionalFormatting xmlns:xm="http://schemas.microsoft.com/office/excel/2006/main">
          <x14:cfRule type="expression" priority="141" id="{99C788CE-8DC1-4513-BBDC-92DBB1D02D9E}">
            <xm:f>'% DEDICACIÓN TRABAJADOR'!$O$46=0</xm:f>
            <x14:dxf>
              <font>
                <color theme="9" tint="0.79998168889431442"/>
              </font>
              <fill>
                <patternFill>
                  <bgColor theme="9" tint="0.79998168889431442"/>
                </patternFill>
              </fill>
            </x14:dxf>
          </x14:cfRule>
          <xm:sqref>BD57:BF57 AU57:BA57 AO57:AR57</xm:sqref>
        </x14:conditionalFormatting>
        <x14:conditionalFormatting xmlns:xm="http://schemas.microsoft.com/office/excel/2006/main">
          <x14:cfRule type="expression" priority="142" id="{156FEB5B-8732-4BBB-9533-FE7171FB04C7}">
            <xm:f>'% DEDICACIÓN TRABAJADOR'!$P$46=0</xm:f>
            <x14:dxf>
              <font>
                <color theme="9" tint="0.79998168889431442"/>
              </font>
              <fill>
                <patternFill>
                  <bgColor theme="9" tint="0.79998168889431442"/>
                </patternFill>
              </fill>
            </x14:dxf>
          </x14:cfRule>
          <xm:sqref>BD58:BF58 AU58:BA58 AO58:AR58</xm:sqref>
        </x14:conditionalFormatting>
        <x14:conditionalFormatting xmlns:xm="http://schemas.microsoft.com/office/excel/2006/main">
          <x14:cfRule type="expression" priority="143" id="{3EAA4C28-27BA-430D-B6AE-3DC3B10C4BA2}">
            <xm:f>'% DEDICACIÓN TRABAJADOR'!$Q$46=0</xm:f>
            <x14:dxf>
              <font>
                <color theme="9" tint="0.79998168889431442"/>
              </font>
              <fill>
                <patternFill>
                  <bgColor theme="9" tint="0.79998168889431442"/>
                </patternFill>
              </fill>
            </x14:dxf>
          </x14:cfRule>
          <xm:sqref>BD59:BF59 AU59:BA59 AO59:AR59</xm:sqref>
        </x14:conditionalFormatting>
        <x14:conditionalFormatting xmlns:xm="http://schemas.microsoft.com/office/excel/2006/main">
          <x14:cfRule type="expression" priority="144" id="{6C7619E9-0437-414F-9769-6564DF882E83}">
            <xm:f>'% DEDICACIÓN TRABAJADOR'!$R$46=0</xm:f>
            <x14:dxf>
              <font>
                <color theme="9" tint="0.79998168889431442"/>
              </font>
              <fill>
                <patternFill>
                  <bgColor theme="9" tint="0.79998168889431442"/>
                </patternFill>
              </fill>
            </x14:dxf>
          </x14:cfRule>
          <xm:sqref>BD60:BF60 AU60:BA60 AO60:AR60</xm:sqref>
        </x14:conditionalFormatting>
        <x14:conditionalFormatting xmlns:xm="http://schemas.microsoft.com/office/excel/2006/main">
          <x14:cfRule type="expression" priority="96" id="{F3B305EC-D9A8-4362-BA46-1F136E8A7AB8}">
            <xm:f>'% DEDICACIÓN TRABAJADOR'!$G$46=0</xm:f>
            <x14:dxf>
              <font>
                <color theme="9" tint="0.79998168889431442"/>
              </font>
              <fill>
                <patternFill>
                  <bgColor theme="9" tint="0.79998168889431442"/>
                </patternFill>
              </fill>
            </x14:dxf>
          </x14:cfRule>
          <xm:sqref>CJ20:CX20 BP20:CH20 AR20:BN20</xm:sqref>
        </x14:conditionalFormatting>
        <x14:conditionalFormatting xmlns:xm="http://schemas.microsoft.com/office/excel/2006/main">
          <x14:cfRule type="expression" priority="97" id="{6EC1F1CF-B0FC-442E-B897-0A28B156C878}">
            <xm:f>'% DEDICACIÓN TRABAJADOR'!$H$46=0</xm:f>
            <x14:dxf>
              <font>
                <color theme="9" tint="0.79998168889431442"/>
              </font>
              <fill>
                <patternFill>
                  <bgColor theme="9" tint="0.79998168889431442"/>
                </patternFill>
              </fill>
            </x14:dxf>
          </x14:cfRule>
          <xm:sqref>CJ21:CX21 BP21:CH21 AR21:BN21</xm:sqref>
        </x14:conditionalFormatting>
        <x14:conditionalFormatting xmlns:xm="http://schemas.microsoft.com/office/excel/2006/main">
          <x14:cfRule type="expression" priority="98" id="{03D4FAE3-8191-428C-89F5-0DFFD9885435}">
            <xm:f>'% DEDICACIÓN TRABAJADOR'!$I$46=0</xm:f>
            <x14:dxf>
              <font>
                <color theme="9" tint="0.79998168889431442"/>
              </font>
              <fill>
                <patternFill>
                  <bgColor theme="9" tint="0.79998168889431442"/>
                </patternFill>
              </fill>
            </x14:dxf>
          </x14:cfRule>
          <xm:sqref>CJ22:CX22 BP22:CH22 AR22:BN22</xm:sqref>
        </x14:conditionalFormatting>
        <x14:conditionalFormatting xmlns:xm="http://schemas.microsoft.com/office/excel/2006/main">
          <x14:cfRule type="expression" priority="99" id="{1887A075-4BC4-4167-9C12-A5C905B3E4AF}">
            <xm:f>'% DEDICACIÓN TRABAJADOR'!$J$46=0</xm:f>
            <x14:dxf>
              <font>
                <color theme="9" tint="0.79998168889431442"/>
              </font>
              <fill>
                <patternFill>
                  <bgColor theme="9" tint="0.79998168889431442"/>
                </patternFill>
              </fill>
            </x14:dxf>
          </x14:cfRule>
          <xm:sqref>CJ23:CX23 BP23:CH23 AR23:BN23</xm:sqref>
        </x14:conditionalFormatting>
        <x14:conditionalFormatting xmlns:xm="http://schemas.microsoft.com/office/excel/2006/main">
          <x14:cfRule type="expression" priority="100" id="{5CCCA58E-4D09-4175-A12C-4FC8E094761E}">
            <xm:f>'% DEDICACIÓN TRABAJADOR'!$K$46=0</xm:f>
            <x14:dxf>
              <font>
                <color theme="9" tint="0.79998168889431442"/>
              </font>
              <fill>
                <patternFill>
                  <bgColor theme="9" tint="0.79998168889431442"/>
                </patternFill>
              </fill>
            </x14:dxf>
          </x14:cfRule>
          <xm:sqref>CJ24:CX24 BP24:CH24 AR24:BN24</xm:sqref>
        </x14:conditionalFormatting>
        <x14:conditionalFormatting xmlns:xm="http://schemas.microsoft.com/office/excel/2006/main">
          <x14:cfRule type="expression" priority="101" id="{6670B8EB-0469-429A-A673-C7004E7C3AE0}">
            <xm:f>'% DEDICACIÓN TRABAJADOR'!$L$46=0</xm:f>
            <x14:dxf>
              <font>
                <color theme="9" tint="0.79998168889431442"/>
              </font>
              <fill>
                <patternFill>
                  <bgColor theme="9" tint="0.79998168889431442"/>
                </patternFill>
              </fill>
            </x14:dxf>
          </x14:cfRule>
          <xm:sqref>CJ25:CX25 BP25:CH25 AR25:BN25</xm:sqref>
        </x14:conditionalFormatting>
        <x14:conditionalFormatting xmlns:xm="http://schemas.microsoft.com/office/excel/2006/main">
          <x14:cfRule type="expression" priority="102" id="{377EA138-AB87-4018-A329-A334158CEAD8}">
            <xm:f>'% DEDICACIÓN TRABAJADOR'!$M$46=0</xm:f>
            <x14:dxf>
              <font>
                <color theme="9" tint="0.79998168889431442"/>
              </font>
              <fill>
                <patternFill>
                  <bgColor theme="9" tint="0.79998168889431442"/>
                </patternFill>
              </fill>
            </x14:dxf>
          </x14:cfRule>
          <xm:sqref>CJ26:CX26 BP26:CH26 AR26:BN26</xm:sqref>
        </x14:conditionalFormatting>
        <x14:conditionalFormatting xmlns:xm="http://schemas.microsoft.com/office/excel/2006/main">
          <x14:cfRule type="expression" priority="103" id="{FB779BE7-04BA-4013-8294-E04ECFF05E81}">
            <xm:f>'% DEDICACIÓN TRABAJADOR'!$N$46=0</xm:f>
            <x14:dxf>
              <font>
                <color theme="9" tint="0.79998168889431442"/>
              </font>
              <fill>
                <patternFill>
                  <bgColor theme="9" tint="0.79998168889431442"/>
                </patternFill>
              </fill>
            </x14:dxf>
          </x14:cfRule>
          <xm:sqref>CJ27:CX27 BP27:CH27 AR27:BN27</xm:sqref>
        </x14:conditionalFormatting>
        <x14:conditionalFormatting xmlns:xm="http://schemas.microsoft.com/office/excel/2006/main">
          <x14:cfRule type="expression" priority="104" id="{3909C486-7BED-423A-8BC8-D4E49C0EF81A}">
            <xm:f>'% DEDICACIÓN TRABAJADOR'!$O$46=0</xm:f>
            <x14:dxf>
              <font>
                <color theme="9" tint="0.79998168889431442"/>
              </font>
              <fill>
                <patternFill>
                  <bgColor theme="9" tint="0.79998168889431442"/>
                </patternFill>
              </fill>
            </x14:dxf>
          </x14:cfRule>
          <xm:sqref>CJ28:CX28 BP28:CH28 AR28:BN28</xm:sqref>
        </x14:conditionalFormatting>
        <x14:conditionalFormatting xmlns:xm="http://schemas.microsoft.com/office/excel/2006/main">
          <x14:cfRule type="expression" priority="105" id="{F50587B8-57F7-45CE-B0A0-95B616B04627}">
            <xm:f>'% DEDICACIÓN TRABAJADOR'!$P$46=0</xm:f>
            <x14:dxf>
              <font>
                <color theme="9" tint="0.79998168889431442"/>
              </font>
              <fill>
                <patternFill>
                  <bgColor theme="9" tint="0.79998168889431442"/>
                </patternFill>
              </fill>
            </x14:dxf>
          </x14:cfRule>
          <xm:sqref>CJ29:CX29 BP29:CH29 AR29:BN29</xm:sqref>
        </x14:conditionalFormatting>
        <x14:conditionalFormatting xmlns:xm="http://schemas.microsoft.com/office/excel/2006/main">
          <x14:cfRule type="expression" priority="106" id="{18162CD7-8AF9-43AB-960B-593D82CEF573}">
            <xm:f>'% DEDICACIÓN TRABAJADOR'!$Q$46=0</xm:f>
            <x14:dxf>
              <font>
                <color theme="9" tint="0.79998168889431442"/>
              </font>
              <fill>
                <patternFill>
                  <bgColor theme="9" tint="0.79998168889431442"/>
                </patternFill>
              </fill>
            </x14:dxf>
          </x14:cfRule>
          <xm:sqref>CJ30:CX30 BP30:CH30 AR30:BN30</xm:sqref>
        </x14:conditionalFormatting>
        <x14:conditionalFormatting xmlns:xm="http://schemas.microsoft.com/office/excel/2006/main">
          <x14:cfRule type="expression" priority="107" id="{07E960B2-75A1-40E2-83B8-A4C9A727AF1A}">
            <xm:f>'% DEDICACIÓN TRABAJADOR'!$R$46=0</xm:f>
            <x14:dxf>
              <font>
                <color theme="9" tint="0.79998168889431442"/>
              </font>
              <fill>
                <patternFill>
                  <bgColor theme="9" tint="0.79998168889431442"/>
                </patternFill>
              </fill>
            </x14:dxf>
          </x14:cfRule>
          <xm:sqref>CJ31:CX31 BP31:CH31 AR31:BN31</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AAA16-F95E-44D1-AE97-97EC88F8F55C}">
  <dimension ref="A1:DX62"/>
  <sheetViews>
    <sheetView showGridLines="0" zoomScaleNormal="100" workbookViewId="0">
      <selection activeCell="BD50" sqref="BD50"/>
    </sheetView>
  </sheetViews>
  <sheetFormatPr baseColWidth="10" defaultColWidth="11.42578125" defaultRowHeight="13.5" outlineLevelCol="1" x14ac:dyDescent="0.25"/>
  <cols>
    <col min="1" max="2" width="5.5703125" style="4" customWidth="1"/>
    <col min="3" max="3" width="13.7109375" style="4" customWidth="1"/>
    <col min="4" max="5" width="10.5703125" style="4" customWidth="1"/>
    <col min="6" max="6" width="9.5703125" style="4" customWidth="1"/>
    <col min="7" max="12" width="11.5703125" style="4" customWidth="1"/>
    <col min="13" max="13" width="15.5703125" style="4" customWidth="1"/>
    <col min="14" max="14" width="1.5703125" style="4" customWidth="1"/>
    <col min="15" max="20" width="11.5703125" style="4" customWidth="1"/>
    <col min="21" max="21" width="12.5703125" style="4" customWidth="1"/>
    <col min="22" max="22" width="1.5703125" style="4" customWidth="1"/>
    <col min="23" max="27" width="12.5703125" style="4" customWidth="1"/>
    <col min="28" max="30" width="13.5703125" style="4" customWidth="1"/>
    <col min="31" max="31" width="40.7109375" style="4" customWidth="1"/>
    <col min="32" max="32" width="5.5703125" style="4" customWidth="1"/>
    <col min="33" max="34" width="5.7109375" style="6" hidden="1" customWidth="1"/>
    <col min="35" max="37" width="8.7109375" style="6" hidden="1" customWidth="1"/>
    <col min="38" max="38" width="5.7109375" style="126" hidden="1" customWidth="1" outlineLevel="1"/>
    <col min="39" max="39" width="5.5703125" style="126" hidden="1" customWidth="1" outlineLevel="1"/>
    <col min="40" max="40" width="13.7109375" style="126" hidden="1" customWidth="1" outlineLevel="1"/>
    <col min="41" max="46" width="9.7109375" style="126" hidden="1" customWidth="1" outlineLevel="1"/>
    <col min="47" max="49" width="9.5703125" style="126" hidden="1" customWidth="1" outlineLevel="1"/>
    <col min="50" max="66" width="9.7109375" style="126" hidden="1" customWidth="1" outlineLevel="1"/>
    <col min="67" max="67" width="1.5703125" style="126" hidden="1" customWidth="1" outlineLevel="1"/>
    <col min="68" max="86" width="9.7109375" style="126" hidden="1" customWidth="1" outlineLevel="1"/>
    <col min="87" max="87" width="1.5703125" style="126" hidden="1" customWidth="1" outlineLevel="1"/>
    <col min="88" max="88" width="11.28515625" style="126" hidden="1" customWidth="1" outlineLevel="1"/>
    <col min="89" max="101" width="9.7109375" style="126" hidden="1" customWidth="1" outlineLevel="1"/>
    <col min="102" max="102" width="5.7109375" style="126" hidden="1" customWidth="1" outlineLevel="1"/>
    <col min="103" max="103" width="90.7109375" style="126" hidden="1" customWidth="1" outlineLevel="1"/>
    <col min="104" max="104" width="5.5703125" style="4" customWidth="1" collapsed="1"/>
    <col min="105" max="106" width="5.7109375" style="6" hidden="1" customWidth="1"/>
    <col min="107" max="107" width="5.7109375" style="4" hidden="1" customWidth="1"/>
    <col min="108" max="125" width="5.7109375" style="6" hidden="1" customWidth="1"/>
    <col min="126" max="126" width="5.7109375" style="4" hidden="1" customWidth="1"/>
    <col min="127" max="128" width="11.42578125" style="4" hidden="1" customWidth="1"/>
    <col min="129" max="16384" width="11.42578125" style="4"/>
  </cols>
  <sheetData>
    <row r="1" spans="1:128" ht="20.100000000000001" customHeight="1" x14ac:dyDescent="0.25">
      <c r="A1" s="97"/>
    </row>
    <row r="2" spans="1:128" ht="20.100000000000001" customHeight="1" x14ac:dyDescent="0.25">
      <c r="F2" s="86"/>
      <c r="G2" s="90"/>
      <c r="I2" s="85"/>
      <c r="AU2" s="127"/>
      <c r="AV2" s="127"/>
      <c r="AW2" s="127"/>
      <c r="AX2" s="214"/>
      <c r="AY2" s="214"/>
      <c r="AZ2" s="214"/>
      <c r="BD2" s="258"/>
      <c r="BE2" s="258"/>
      <c r="BF2" s="258"/>
    </row>
    <row r="3" spans="1:128" ht="20.100000000000001" customHeight="1" x14ac:dyDescent="0.25">
      <c r="E3" s="90" t="str">
        <f>'IDENTIFICACIÓN TRABAJADOR'!F4</f>
        <v>Nº DE EXPEDIENTE: 2024.08.EPTE.0000</v>
      </c>
      <c r="AR3" s="214" t="str">
        <f>'IDENTIFICACIÓN TRABAJADOR'!$F$4</f>
        <v>Nº DE EXPEDIENTE: 2024.08.EPTE.0000</v>
      </c>
      <c r="AS3" s="214"/>
      <c r="AT3" s="214"/>
    </row>
    <row r="4" spans="1:128" ht="20.100000000000001" customHeight="1" x14ac:dyDescent="0.25">
      <c r="E4" s="849"/>
      <c r="F4" s="849"/>
      <c r="G4" s="87"/>
      <c r="AR4" s="763"/>
      <c r="AS4" s="763"/>
      <c r="AT4" s="763"/>
      <c r="AU4" s="763"/>
      <c r="AV4" s="131"/>
      <c r="AW4" s="131"/>
      <c r="AX4" s="208"/>
      <c r="AY4" s="208"/>
      <c r="AZ4" s="208"/>
    </row>
    <row r="5" spans="1:128" ht="20.100000000000001" customHeight="1" x14ac:dyDescent="0.25">
      <c r="E5" s="91" t="str">
        <f>'% DEDICACIÓN TRABAJADOR'!F6</f>
        <v>TRABAJADOR:</v>
      </c>
      <c r="F5" s="7"/>
      <c r="G5" s="7"/>
      <c r="H5" s="7"/>
      <c r="I5" s="7"/>
      <c r="J5" s="7"/>
      <c r="K5" s="7"/>
      <c r="L5" s="7"/>
      <c r="M5" s="7"/>
      <c r="N5" s="7"/>
      <c r="O5" s="7"/>
      <c r="P5" s="7"/>
      <c r="Q5" s="7"/>
      <c r="R5" s="7"/>
      <c r="S5" s="7"/>
      <c r="T5" s="7"/>
      <c r="AR5" s="215" t="str">
        <f>'% DEDICACIÓN TRABAJADOR'!$F$6</f>
        <v>TRABAJADOR:</v>
      </c>
      <c r="AS5" s="215"/>
      <c r="AT5" s="215"/>
      <c r="AU5" s="216"/>
      <c r="AV5" s="216"/>
      <c r="AW5" s="216"/>
      <c r="AX5" s="216"/>
      <c r="AY5" s="216"/>
      <c r="AZ5" s="216"/>
      <c r="BA5" s="216"/>
      <c r="BB5" s="216"/>
      <c r="BC5" s="216"/>
      <c r="BD5" s="216"/>
      <c r="BE5" s="216"/>
      <c r="BF5" s="216"/>
      <c r="BG5" s="216"/>
      <c r="BH5" s="216"/>
      <c r="BI5" s="216"/>
      <c r="BM5" s="216"/>
      <c r="BN5" s="216"/>
      <c r="BO5" s="216"/>
      <c r="BP5" s="216"/>
      <c r="BQ5" s="216"/>
      <c r="BR5" s="216"/>
      <c r="BS5" s="216"/>
      <c r="BT5" s="216"/>
      <c r="BU5" s="216"/>
      <c r="BV5" s="216"/>
      <c r="BW5" s="216"/>
      <c r="BX5" s="216"/>
      <c r="BY5" s="216"/>
      <c r="BZ5" s="216"/>
      <c r="CA5" s="216"/>
      <c r="CB5" s="216"/>
      <c r="CC5" s="216"/>
      <c r="CD5" s="216"/>
      <c r="CE5" s="216"/>
    </row>
    <row r="6" spans="1:128" ht="20.100000000000001" customHeight="1" x14ac:dyDescent="0.25">
      <c r="E6" s="91" t="str">
        <f>'% DEDICACIÓN TRABAJADOR'!F7</f>
        <v>ACRÓNIMO:</v>
      </c>
      <c r="F6" s="7"/>
      <c r="G6" s="7"/>
      <c r="H6" s="7"/>
      <c r="I6" s="7"/>
      <c r="J6" s="7"/>
      <c r="K6" s="7"/>
      <c r="L6" s="7"/>
      <c r="M6" s="7"/>
      <c r="N6" s="7"/>
      <c r="O6" s="7"/>
      <c r="P6" s="7"/>
      <c r="Q6" s="7"/>
      <c r="R6" s="7"/>
      <c r="S6" s="7"/>
      <c r="T6" s="7"/>
      <c r="AR6" s="215" t="str">
        <f>'% DEDICACIÓN TRABAJADOR'!$F$7</f>
        <v>ACRÓNIMO:</v>
      </c>
      <c r="AS6" s="215"/>
      <c r="AT6" s="215"/>
      <c r="AU6" s="216"/>
      <c r="AV6" s="216"/>
      <c r="AW6" s="216"/>
      <c r="AX6" s="216"/>
      <c r="AY6" s="216"/>
      <c r="AZ6" s="216"/>
      <c r="BA6" s="216"/>
      <c r="BB6" s="216"/>
      <c r="BC6" s="216"/>
      <c r="BD6" s="216"/>
      <c r="BE6" s="216"/>
      <c r="BF6" s="216"/>
      <c r="BG6" s="216"/>
      <c r="BH6" s="216"/>
      <c r="BI6" s="216"/>
      <c r="BJ6" s="216"/>
      <c r="BM6" s="216"/>
      <c r="BN6" s="216"/>
      <c r="BO6" s="216"/>
      <c r="BP6" s="216"/>
      <c r="BQ6" s="216"/>
      <c r="BR6" s="216"/>
      <c r="BS6" s="216"/>
      <c r="BT6" s="216"/>
      <c r="BU6" s="216"/>
      <c r="BV6" s="216"/>
      <c r="BW6" s="216"/>
      <c r="BX6" s="216"/>
      <c r="BY6" s="216"/>
      <c r="BZ6" s="216"/>
      <c r="CA6" s="216"/>
      <c r="CB6" s="216"/>
      <c r="CC6" s="216"/>
      <c r="CD6" s="216"/>
      <c r="CE6" s="216"/>
    </row>
    <row r="7" spans="1:128" ht="20.100000000000001" customHeight="1" thickBot="1" x14ac:dyDescent="0.3">
      <c r="BA7" s="216"/>
      <c r="BB7" s="216"/>
      <c r="BC7" s="216"/>
      <c r="BD7" s="216"/>
      <c r="BE7" s="216"/>
      <c r="BF7" s="216"/>
      <c r="BG7" s="216"/>
      <c r="BH7" s="216"/>
      <c r="BI7" s="216"/>
      <c r="BJ7" s="216"/>
      <c r="BM7" s="216"/>
      <c r="BN7" s="216"/>
      <c r="BO7" s="216"/>
      <c r="BP7" s="216"/>
      <c r="BQ7" s="216"/>
      <c r="BR7" s="216"/>
      <c r="BS7" s="216"/>
      <c r="BT7" s="216"/>
      <c r="BU7" s="216"/>
      <c r="BV7" s="216"/>
      <c r="BW7" s="216"/>
      <c r="BX7" s="216"/>
      <c r="BY7" s="216"/>
      <c r="BZ7" s="216"/>
      <c r="CA7" s="216"/>
      <c r="CB7" s="216"/>
      <c r="CC7" s="216"/>
      <c r="CD7" s="216"/>
      <c r="CE7" s="216"/>
      <c r="DD7" s="691" t="s">
        <v>342</v>
      </c>
      <c r="DE7" s="691"/>
      <c r="DF7" s="691"/>
      <c r="DG7" s="691"/>
      <c r="DH7" s="691"/>
      <c r="DI7" s="691"/>
      <c r="DJ7" s="691"/>
      <c r="DK7" s="691"/>
      <c r="DL7" s="691"/>
      <c r="DM7" s="691"/>
      <c r="DN7" s="691"/>
      <c r="DO7" s="691"/>
      <c r="DP7" s="691"/>
      <c r="DQ7" s="691"/>
      <c r="DR7" s="691"/>
      <c r="DS7" s="691"/>
      <c r="DT7" s="691"/>
      <c r="DU7" s="691"/>
      <c r="DW7" s="690" t="s">
        <v>341</v>
      </c>
      <c r="DX7" s="690"/>
    </row>
    <row r="8" spans="1:128" ht="30" customHeight="1" thickTop="1" thickBot="1" x14ac:dyDescent="0.3">
      <c r="B8" s="874" t="str">
        <f>CONCATENATE("GASTO DEL TRABAJADOR ",'IDENTIFICACIÓN TRABAJADOR'!D14," EJERCICIO ",YEAR(EXPEDIENTE!F25)+3)</f>
        <v>GASTO DEL TRABAJADOR  EJERCICIO 2026</v>
      </c>
      <c r="C8" s="850" t="str">
        <f>CONCATENATE("TABLA DE COTIZACIONES ",YEAR(EXPEDIENTE!F25)+3)</f>
        <v>TABLA DE COTIZACIONES 2026</v>
      </c>
      <c r="D8" s="850"/>
      <c r="E8" s="850"/>
      <c r="F8" s="851"/>
      <c r="H8" s="89" t="s">
        <v>112</v>
      </c>
      <c r="I8" s="869" t="s">
        <v>115</v>
      </c>
      <c r="J8" s="869"/>
      <c r="K8" s="869"/>
      <c r="L8" s="869"/>
      <c r="M8" s="869"/>
      <c r="N8" s="869"/>
      <c r="O8" s="869"/>
      <c r="P8" s="869"/>
      <c r="Q8" s="869"/>
      <c r="R8" s="869"/>
      <c r="S8" s="869"/>
      <c r="T8" s="870"/>
      <c r="AM8" s="727" t="str">
        <f>CONCATENATE("GASTO DEL TRABAJADOR ",'IDENTIFICACIÓN TRABAJADOR'!$D$14," EJERCICIO ",YEAR(EXPEDIENTE!$F$25)+3)</f>
        <v>GASTO DEL TRABAJADOR  EJERCICIO 2026</v>
      </c>
      <c r="AN8" s="808" t="str">
        <f>CONCATENATE("COTIZACIONES ",YEAR(EXPEDIENTE!$F$25)+3)</f>
        <v>COTIZACIONES 2026</v>
      </c>
      <c r="AO8" s="808"/>
      <c r="AP8" s="808"/>
      <c r="AQ8" s="259"/>
      <c r="AR8" s="260" t="s">
        <v>270</v>
      </c>
      <c r="AS8" s="261" t="s">
        <v>245</v>
      </c>
      <c r="AT8" s="262" t="s">
        <v>271</v>
      </c>
      <c r="AU8" s="774" t="s">
        <v>269</v>
      </c>
      <c r="AV8" s="774"/>
      <c r="AW8" s="774"/>
      <c r="AX8" s="774"/>
      <c r="AY8" s="774"/>
      <c r="AZ8" s="774"/>
      <c r="BA8" s="774"/>
      <c r="BB8" s="774"/>
      <c r="BC8" s="774"/>
      <c r="BD8" s="774"/>
      <c r="BE8" s="774"/>
      <c r="BF8" s="774"/>
      <c r="BG8" s="775"/>
      <c r="BJ8" s="216"/>
      <c r="BK8" s="216"/>
      <c r="BL8" s="216"/>
      <c r="BM8" s="216"/>
      <c r="BN8" s="216"/>
      <c r="BO8" s="216"/>
      <c r="BP8" s="216"/>
      <c r="BQ8" s="216"/>
      <c r="BR8" s="216"/>
      <c r="BS8" s="216"/>
      <c r="BT8" s="216"/>
      <c r="BU8" s="216"/>
      <c r="BV8" s="216"/>
      <c r="BW8" s="216"/>
      <c r="BX8" s="216"/>
      <c r="BY8" s="216"/>
      <c r="BZ8" s="216"/>
      <c r="CA8" s="216"/>
      <c r="CB8" s="216"/>
      <c r="CY8" s="123"/>
      <c r="CZ8" s="6"/>
      <c r="DD8" s="88" t="s">
        <v>322</v>
      </c>
      <c r="DE8" s="88" t="s">
        <v>323</v>
      </c>
      <c r="DF8" s="88" t="s">
        <v>324</v>
      </c>
      <c r="DG8" s="88" t="s">
        <v>325</v>
      </c>
      <c r="DH8" s="88" t="s">
        <v>326</v>
      </c>
      <c r="DI8" s="88" t="s">
        <v>327</v>
      </c>
      <c r="DJ8" s="88" t="s">
        <v>328</v>
      </c>
      <c r="DK8" s="88" t="s">
        <v>329</v>
      </c>
      <c r="DL8" s="88" t="s">
        <v>330</v>
      </c>
      <c r="DM8" s="88" t="s">
        <v>331</v>
      </c>
      <c r="DN8" s="88" t="s">
        <v>332</v>
      </c>
      <c r="DO8" s="88" t="s">
        <v>333</v>
      </c>
      <c r="DP8" s="88" t="s">
        <v>334</v>
      </c>
      <c r="DQ8" s="88" t="s">
        <v>335</v>
      </c>
      <c r="DR8" s="88" t="s">
        <v>336</v>
      </c>
      <c r="DS8" s="88" t="s">
        <v>337</v>
      </c>
      <c r="DT8" s="88" t="s">
        <v>338</v>
      </c>
      <c r="DU8" s="88" t="s">
        <v>339</v>
      </c>
    </row>
    <row r="9" spans="1:128" ht="15" customHeight="1" thickTop="1" x14ac:dyDescent="0.25">
      <c r="B9" s="875"/>
      <c r="C9" s="92" t="s">
        <v>40</v>
      </c>
      <c r="D9" s="8"/>
      <c r="E9" s="8"/>
      <c r="F9" s="47"/>
      <c r="H9" s="94" t="s">
        <v>130</v>
      </c>
      <c r="I9" s="757" t="s">
        <v>114</v>
      </c>
      <c r="J9" s="757"/>
      <c r="K9" s="757"/>
      <c r="L9" s="757"/>
      <c r="M9" s="757"/>
      <c r="N9" s="757"/>
      <c r="O9" s="757"/>
      <c r="P9" s="757"/>
      <c r="Q9" s="757"/>
      <c r="R9" s="757"/>
      <c r="S9" s="757"/>
      <c r="T9" s="758"/>
      <c r="AM9" s="728"/>
      <c r="AN9" s="809" t="s">
        <v>40</v>
      </c>
      <c r="AO9" s="810"/>
      <c r="AP9" s="811"/>
      <c r="AQ9" s="263"/>
      <c r="AR9" s="264">
        <f>IF(F9="",0,F9)</f>
        <v>0</v>
      </c>
      <c r="AS9" s="265"/>
      <c r="AT9" s="266">
        <f>IF(AS9="",AR9,AS9)</f>
        <v>0</v>
      </c>
      <c r="AU9" s="813"/>
      <c r="AV9" s="813"/>
      <c r="AW9" s="813"/>
      <c r="AX9" s="813"/>
      <c r="AY9" s="813"/>
      <c r="AZ9" s="813"/>
      <c r="BA9" s="813"/>
      <c r="BB9" s="813"/>
      <c r="BC9" s="813"/>
      <c r="BD9" s="813"/>
      <c r="BE9" s="813"/>
      <c r="BF9" s="813"/>
      <c r="BG9" s="814"/>
      <c r="BJ9" s="216"/>
      <c r="BK9" s="216"/>
      <c r="BL9" s="216"/>
      <c r="BM9" s="216"/>
      <c r="BN9" s="216"/>
      <c r="BO9" s="216"/>
      <c r="BP9" s="216"/>
      <c r="BQ9" s="216"/>
      <c r="BR9" s="216"/>
      <c r="BS9" s="216"/>
      <c r="BT9" s="216"/>
      <c r="BU9" s="216"/>
      <c r="BV9" s="216"/>
      <c r="BW9" s="216"/>
      <c r="BX9" s="216"/>
      <c r="BY9" s="216"/>
      <c r="BZ9" s="216"/>
      <c r="CA9" s="216"/>
      <c r="CB9" s="216"/>
      <c r="CY9" s="123"/>
      <c r="CZ9" s="6"/>
      <c r="DD9" s="160">
        <f>SUM(DE9:DU9)</f>
        <v>0</v>
      </c>
      <c r="DE9" s="160">
        <f>IF(AS9="",0,1)</f>
        <v>0</v>
      </c>
      <c r="DW9" s="88">
        <f>IF(AU9&lt;&gt;"",1,0)</f>
        <v>0</v>
      </c>
      <c r="DX9" s="182" t="str">
        <f>IF(DW9=0,"",AU9)</f>
        <v/>
      </c>
    </row>
    <row r="10" spans="1:128" ht="15" customHeight="1" x14ac:dyDescent="0.25">
      <c r="B10" s="875"/>
      <c r="C10" s="93" t="s">
        <v>61</v>
      </c>
      <c r="D10" s="9"/>
      <c r="E10" s="10"/>
      <c r="F10" s="48"/>
      <c r="H10" s="95"/>
      <c r="I10" s="867" t="s">
        <v>113</v>
      </c>
      <c r="J10" s="867"/>
      <c r="K10" s="867"/>
      <c r="L10" s="867"/>
      <c r="M10" s="867"/>
      <c r="N10" s="867"/>
      <c r="O10" s="867"/>
      <c r="P10" s="867"/>
      <c r="Q10" s="867"/>
      <c r="R10" s="867"/>
      <c r="S10" s="867"/>
      <c r="T10" s="868"/>
      <c r="AM10" s="728"/>
      <c r="AN10" s="783" t="s">
        <v>61</v>
      </c>
      <c r="AO10" s="784"/>
      <c r="AP10" s="785"/>
      <c r="AQ10" s="267"/>
      <c r="AR10" s="268">
        <f>IF(F10="",0,F10)</f>
        <v>0</v>
      </c>
      <c r="AS10" s="269"/>
      <c r="AT10" s="270">
        <f t="shared" ref="AT10:AT13" si="0">IF(AS10="",AR10,AS10)</f>
        <v>0</v>
      </c>
      <c r="AU10" s="786"/>
      <c r="AV10" s="786"/>
      <c r="AW10" s="786"/>
      <c r="AX10" s="786"/>
      <c r="AY10" s="786"/>
      <c r="AZ10" s="786"/>
      <c r="BA10" s="786"/>
      <c r="BB10" s="786"/>
      <c r="BC10" s="786"/>
      <c r="BD10" s="786"/>
      <c r="BE10" s="786"/>
      <c r="BF10" s="786"/>
      <c r="BG10" s="787"/>
      <c r="BJ10" s="216"/>
      <c r="BK10" s="216"/>
      <c r="BL10" s="216"/>
      <c r="BM10" s="216"/>
      <c r="BN10" s="216"/>
      <c r="BO10" s="216"/>
      <c r="BP10" s="216"/>
      <c r="BQ10" s="216"/>
      <c r="BR10" s="216"/>
      <c r="BS10" s="216"/>
      <c r="BT10" s="216"/>
      <c r="BU10" s="216"/>
      <c r="BV10" s="216"/>
      <c r="BW10" s="216"/>
      <c r="BX10" s="216"/>
      <c r="BY10" s="216"/>
      <c r="BZ10" s="216"/>
      <c r="CA10" s="216"/>
      <c r="CB10" s="216"/>
      <c r="CY10" s="123"/>
      <c r="CZ10" s="6"/>
      <c r="DD10" s="88">
        <f t="shared" ref="DD10:DD13" si="1">SUM(DE10:DU10)</f>
        <v>0</v>
      </c>
      <c r="DE10" s="88">
        <f t="shared" ref="DE10:DE13" si="2">IF(AS10="",0,1)</f>
        <v>0</v>
      </c>
      <c r="DW10" s="88">
        <f>IF(AU10&lt;&gt;"",MAX($DW$9:DW9)+1,0)</f>
        <v>0</v>
      </c>
      <c r="DX10" s="182" t="str">
        <f t="shared" ref="DX10:DX14" si="3">IF(DW10=0,"",AU10)</f>
        <v/>
      </c>
    </row>
    <row r="11" spans="1:128" ht="15" customHeight="1" thickBot="1" x14ac:dyDescent="0.3">
      <c r="B11" s="875"/>
      <c r="C11" s="93" t="s">
        <v>41</v>
      </c>
      <c r="D11" s="9"/>
      <c r="E11" s="10"/>
      <c r="F11" s="48"/>
      <c r="H11" s="96"/>
      <c r="I11" s="856" t="str">
        <f>CONCATENATE("b) La fecha valor de abono de la nómina y/o de su IRPF sea anterior a la finalización del plazo de justificación (",TEXT(EXPEDIENTE!F29,"dd/mm/aa"),").")</f>
        <v>b) La fecha valor de abono de la nómina y/o de su IRPF sea anterior a la finalización del plazo de justificación ().</v>
      </c>
      <c r="J11" s="856"/>
      <c r="K11" s="856"/>
      <c r="L11" s="856"/>
      <c r="M11" s="856"/>
      <c r="N11" s="856"/>
      <c r="O11" s="856"/>
      <c r="P11" s="856"/>
      <c r="Q11" s="856"/>
      <c r="R11" s="856"/>
      <c r="S11" s="856"/>
      <c r="T11" s="857"/>
      <c r="AM11" s="728"/>
      <c r="AN11" s="783" t="s">
        <v>41</v>
      </c>
      <c r="AO11" s="784"/>
      <c r="AP11" s="785"/>
      <c r="AQ11" s="267"/>
      <c r="AR11" s="268">
        <f>IF(F11="",0,F11)</f>
        <v>0</v>
      </c>
      <c r="AS11" s="269"/>
      <c r="AT11" s="270">
        <f t="shared" si="0"/>
        <v>0</v>
      </c>
      <c r="AU11" s="786"/>
      <c r="AV11" s="786"/>
      <c r="AW11" s="786"/>
      <c r="AX11" s="786"/>
      <c r="AY11" s="786"/>
      <c r="AZ11" s="786"/>
      <c r="BA11" s="786"/>
      <c r="BB11" s="786"/>
      <c r="BC11" s="786"/>
      <c r="BD11" s="786"/>
      <c r="BE11" s="786"/>
      <c r="BF11" s="786"/>
      <c r="BG11" s="787"/>
      <c r="BJ11" s="216"/>
      <c r="BK11" s="216"/>
      <c r="BL11" s="216"/>
      <c r="BM11" s="216"/>
      <c r="BN11" s="216"/>
      <c r="BO11" s="216"/>
      <c r="BP11" s="216"/>
      <c r="BQ11" s="216"/>
      <c r="BR11" s="216"/>
      <c r="BS11" s="216"/>
      <c r="BT11" s="216"/>
      <c r="BU11" s="216"/>
      <c r="BV11" s="216"/>
      <c r="BW11" s="216"/>
      <c r="BX11" s="216"/>
      <c r="BY11" s="216"/>
      <c r="BZ11" s="216"/>
      <c r="CA11" s="216"/>
      <c r="CB11" s="216"/>
      <c r="CY11" s="123"/>
      <c r="CZ11" s="6"/>
      <c r="DD11" s="88">
        <f t="shared" si="1"/>
        <v>0</v>
      </c>
      <c r="DE11" s="88">
        <f t="shared" si="2"/>
        <v>0</v>
      </c>
      <c r="DW11" s="88">
        <f>IF(AU11&lt;&gt;"",MAX($DW$9:DW10)+1,0)</f>
        <v>0</v>
      </c>
      <c r="DX11" s="182" t="str">
        <f t="shared" si="3"/>
        <v/>
      </c>
    </row>
    <row r="12" spans="1:128" ht="15" customHeight="1" x14ac:dyDescent="0.25">
      <c r="B12" s="875"/>
      <c r="C12" s="93" t="s">
        <v>42</v>
      </c>
      <c r="D12" s="9"/>
      <c r="E12" s="10"/>
      <c r="F12" s="48"/>
      <c r="H12" s="755" t="s">
        <v>210</v>
      </c>
      <c r="I12" s="757" t="s">
        <v>290</v>
      </c>
      <c r="J12" s="757"/>
      <c r="K12" s="757"/>
      <c r="L12" s="757"/>
      <c r="M12" s="757"/>
      <c r="N12" s="757"/>
      <c r="O12" s="757"/>
      <c r="P12" s="757"/>
      <c r="Q12" s="757"/>
      <c r="R12" s="757"/>
      <c r="S12" s="757"/>
      <c r="T12" s="758"/>
      <c r="AM12" s="728"/>
      <c r="AN12" s="783" t="s">
        <v>42</v>
      </c>
      <c r="AO12" s="784"/>
      <c r="AP12" s="785"/>
      <c r="AQ12" s="267"/>
      <c r="AR12" s="268">
        <f>IF(F12="",0,F12)</f>
        <v>0</v>
      </c>
      <c r="AS12" s="269"/>
      <c r="AT12" s="270">
        <f t="shared" si="0"/>
        <v>0</v>
      </c>
      <c r="AU12" s="786"/>
      <c r="AV12" s="786"/>
      <c r="AW12" s="786"/>
      <c r="AX12" s="786"/>
      <c r="AY12" s="786"/>
      <c r="AZ12" s="786"/>
      <c r="BA12" s="786"/>
      <c r="BB12" s="786"/>
      <c r="BC12" s="786"/>
      <c r="BD12" s="786"/>
      <c r="BE12" s="786"/>
      <c r="BF12" s="786"/>
      <c r="BG12" s="787"/>
      <c r="BJ12" s="216"/>
      <c r="BK12" s="216"/>
      <c r="BL12" s="216"/>
      <c r="BM12" s="216"/>
      <c r="BN12" s="216"/>
      <c r="BO12" s="216"/>
      <c r="BP12" s="216"/>
      <c r="BQ12" s="216"/>
      <c r="BR12" s="216"/>
      <c r="BS12" s="216"/>
      <c r="BT12" s="216"/>
      <c r="BU12" s="216"/>
      <c r="BV12" s="216"/>
      <c r="BW12" s="216"/>
      <c r="BX12" s="216"/>
      <c r="BY12" s="216"/>
      <c r="BZ12" s="216"/>
      <c r="CA12" s="216"/>
      <c r="CB12" s="216"/>
      <c r="CY12" s="123"/>
      <c r="CZ12" s="6"/>
      <c r="DD12" s="88">
        <f t="shared" si="1"/>
        <v>0</v>
      </c>
      <c r="DE12" s="88">
        <f t="shared" si="2"/>
        <v>0</v>
      </c>
      <c r="DW12" s="88">
        <f>IF(AU12&lt;&gt;"",MAX($DW$9:DW11)+1,0)</f>
        <v>0</v>
      </c>
      <c r="DX12" s="182" t="str">
        <f t="shared" si="3"/>
        <v/>
      </c>
    </row>
    <row r="13" spans="1:128" ht="15" customHeight="1" thickBot="1" x14ac:dyDescent="0.3">
      <c r="B13" s="875"/>
      <c r="C13" s="93" t="s">
        <v>62</v>
      </c>
      <c r="D13" s="9"/>
      <c r="E13" s="10"/>
      <c r="F13" s="48"/>
      <c r="H13" s="756"/>
      <c r="I13" s="759"/>
      <c r="J13" s="759"/>
      <c r="K13" s="759"/>
      <c r="L13" s="759"/>
      <c r="M13" s="759"/>
      <c r="N13" s="759"/>
      <c r="O13" s="759"/>
      <c r="P13" s="759"/>
      <c r="Q13" s="759"/>
      <c r="R13" s="759"/>
      <c r="S13" s="759"/>
      <c r="T13" s="760"/>
      <c r="AM13" s="728"/>
      <c r="AN13" s="783" t="s">
        <v>62</v>
      </c>
      <c r="AO13" s="784"/>
      <c r="AP13" s="785"/>
      <c r="AQ13" s="267"/>
      <c r="AR13" s="268">
        <f>IF(F13="",0,F13)</f>
        <v>0</v>
      </c>
      <c r="AS13" s="269"/>
      <c r="AT13" s="270">
        <f t="shared" si="0"/>
        <v>0</v>
      </c>
      <c r="AU13" s="792"/>
      <c r="AV13" s="792"/>
      <c r="AW13" s="792"/>
      <c r="AX13" s="792"/>
      <c r="AY13" s="792"/>
      <c r="AZ13" s="792"/>
      <c r="BA13" s="792"/>
      <c r="BB13" s="792"/>
      <c r="BC13" s="792"/>
      <c r="BD13" s="792"/>
      <c r="BE13" s="792"/>
      <c r="BF13" s="792"/>
      <c r="BG13" s="793"/>
      <c r="BJ13" s="216"/>
      <c r="BK13" s="216"/>
      <c r="BL13" s="216"/>
      <c r="BM13" s="216"/>
      <c r="BN13" s="216"/>
      <c r="BO13" s="216"/>
      <c r="BP13" s="216"/>
      <c r="BQ13" s="216"/>
      <c r="BR13" s="216"/>
      <c r="BS13" s="216"/>
      <c r="BT13" s="216"/>
      <c r="BU13" s="216"/>
      <c r="BV13" s="216"/>
      <c r="BW13" s="216"/>
      <c r="BX13" s="216"/>
      <c r="BY13" s="216"/>
      <c r="BZ13" s="216"/>
      <c r="CA13" s="216"/>
      <c r="CB13" s="216"/>
      <c r="CY13" s="123"/>
      <c r="CZ13" s="6"/>
      <c r="DD13" s="88">
        <f t="shared" si="1"/>
        <v>0</v>
      </c>
      <c r="DE13" s="88">
        <f t="shared" si="2"/>
        <v>0</v>
      </c>
      <c r="DW13" s="88">
        <f>IF(AU13&lt;&gt;"",MAX($DW$9:DW12)+1,0)</f>
        <v>0</v>
      </c>
      <c r="DX13" s="182" t="str">
        <f t="shared" si="3"/>
        <v/>
      </c>
    </row>
    <row r="14" spans="1:128" ht="15" customHeight="1" thickBot="1" x14ac:dyDescent="0.3">
      <c r="B14" s="875"/>
      <c r="C14" s="93" t="s">
        <v>43</v>
      </c>
      <c r="D14" s="9"/>
      <c r="E14" s="10"/>
      <c r="F14" s="11">
        <f>SUM(F9:F13)</f>
        <v>0</v>
      </c>
      <c r="AM14" s="728"/>
      <c r="AN14" s="796" t="s">
        <v>43</v>
      </c>
      <c r="AO14" s="797"/>
      <c r="AP14" s="798"/>
      <c r="AQ14" s="271"/>
      <c r="AR14" s="272">
        <f>SUM(AR9:AR13)</f>
        <v>0</v>
      </c>
      <c r="AS14" s="273"/>
      <c r="AT14" s="274">
        <f>SUM(AT9:AT13)</f>
        <v>0</v>
      </c>
      <c r="AU14" s="275"/>
      <c r="AV14" s="275"/>
      <c r="AW14" s="275"/>
      <c r="AX14" s="275"/>
      <c r="AY14" s="275"/>
      <c r="AZ14" s="275"/>
      <c r="BA14" s="275"/>
      <c r="BB14" s="275"/>
      <c r="BC14" s="275"/>
      <c r="BD14" s="275"/>
      <c r="BE14" s="275"/>
      <c r="BF14" s="275"/>
      <c r="BG14" s="276"/>
      <c r="BJ14" s="216"/>
      <c r="BK14" s="216"/>
      <c r="CY14" s="123"/>
      <c r="CZ14" s="6"/>
      <c r="DW14" s="88">
        <f>IF(AU14&lt;&gt;"",MAX($DW$9:DW13)+1,0)</f>
        <v>0</v>
      </c>
      <c r="DX14" s="182" t="str">
        <f t="shared" si="3"/>
        <v/>
      </c>
    </row>
    <row r="15" spans="1:128" ht="9.9499999999999993" customHeight="1" thickBot="1" x14ac:dyDescent="0.3">
      <c r="B15" s="875"/>
      <c r="C15" s="12"/>
      <c r="D15" s="13"/>
      <c r="E15" s="14"/>
      <c r="F15" s="15"/>
      <c r="G15" s="6"/>
      <c r="H15" s="6"/>
      <c r="I15" s="6"/>
      <c r="J15" s="6"/>
      <c r="K15" s="6"/>
      <c r="L15" s="6"/>
      <c r="M15" s="6"/>
      <c r="N15" s="6"/>
      <c r="O15" s="6"/>
      <c r="P15" s="6"/>
      <c r="Q15" s="6"/>
      <c r="R15" s="6"/>
      <c r="S15" s="6"/>
      <c r="T15" s="6"/>
      <c r="U15" s="6"/>
      <c r="V15" s="6"/>
      <c r="W15" s="6"/>
      <c r="X15" s="6"/>
      <c r="Y15" s="6"/>
      <c r="Z15" s="6"/>
      <c r="AA15" s="6"/>
      <c r="AB15" s="6"/>
      <c r="AC15" s="6"/>
      <c r="AD15" s="6"/>
      <c r="AE15" s="6"/>
      <c r="AF15" s="6"/>
      <c r="AG15" s="761" t="s">
        <v>209</v>
      </c>
      <c r="AH15" s="761"/>
      <c r="AI15" s="761" t="s">
        <v>212</v>
      </c>
      <c r="AJ15" s="761" t="s">
        <v>213</v>
      </c>
      <c r="AK15" s="761" t="s">
        <v>213</v>
      </c>
      <c r="AL15" s="123"/>
      <c r="AM15" s="728"/>
      <c r="AN15" s="277"/>
      <c r="AO15" s="278"/>
      <c r="AP15" s="278"/>
      <c r="AQ15" s="278"/>
      <c r="AR15" s="278"/>
      <c r="AS15" s="278"/>
      <c r="AT15" s="278"/>
      <c r="AU15" s="278"/>
      <c r="AV15" s="278"/>
      <c r="AW15" s="278"/>
      <c r="AX15" s="278"/>
      <c r="AY15" s="278"/>
      <c r="AZ15" s="278"/>
      <c r="BA15" s="278"/>
      <c r="BB15" s="278"/>
      <c r="BC15" s="278"/>
      <c r="BD15" s="278"/>
      <c r="BE15" s="278"/>
      <c r="BF15" s="278"/>
      <c r="BG15" s="279"/>
      <c r="BH15" s="123"/>
      <c r="BI15" s="123"/>
      <c r="BJ15" s="123"/>
      <c r="BK15" s="123"/>
      <c r="BL15" s="123"/>
      <c r="BM15" s="123"/>
      <c r="BN15" s="123"/>
      <c r="BO15" s="123"/>
      <c r="BP15" s="123"/>
      <c r="BQ15" s="123"/>
      <c r="BR15" s="123"/>
      <c r="BS15" s="123"/>
      <c r="BT15" s="123"/>
      <c r="BU15" s="123"/>
      <c r="BV15" s="123"/>
      <c r="BW15" s="123"/>
      <c r="BX15" s="123"/>
      <c r="BY15" s="123"/>
      <c r="BZ15" s="123"/>
      <c r="CA15" s="123"/>
      <c r="CB15" s="123"/>
      <c r="CC15" s="123"/>
      <c r="CD15" s="123"/>
      <c r="CE15" s="123"/>
      <c r="CF15" s="123"/>
      <c r="CG15" s="123"/>
      <c r="CH15" s="123"/>
      <c r="CI15" s="123"/>
      <c r="CJ15" s="123"/>
      <c r="CK15" s="123"/>
      <c r="CL15" s="123"/>
      <c r="CM15" s="123"/>
      <c r="CN15" s="123"/>
      <c r="CO15" s="123"/>
      <c r="CP15" s="123"/>
      <c r="CQ15" s="123"/>
      <c r="CR15" s="123"/>
      <c r="CS15" s="123"/>
      <c r="CT15" s="123"/>
      <c r="CU15" s="123"/>
      <c r="CV15" s="123"/>
      <c r="CW15" s="123"/>
      <c r="CX15" s="123"/>
      <c r="DA15" s="761" t="s">
        <v>211</v>
      </c>
      <c r="DB15" s="761"/>
    </row>
    <row r="16" spans="1:128" ht="30" customHeight="1" thickTop="1" thickBot="1" x14ac:dyDescent="0.3">
      <c r="B16" s="875"/>
      <c r="C16" s="850" t="str">
        <f>CONCATENATE("NÓMINAS MENSUALES EJERCICIO ",YEAR(EXPEDIENTE!F25)+3)</f>
        <v>NÓMINAS MENSUALES EJERCICIO 2026</v>
      </c>
      <c r="D16" s="850"/>
      <c r="E16" s="850"/>
      <c r="F16" s="850"/>
      <c r="G16" s="850"/>
      <c r="H16" s="850"/>
      <c r="I16" s="850"/>
      <c r="J16" s="850"/>
      <c r="K16" s="850"/>
      <c r="L16" s="850"/>
      <c r="M16" s="850"/>
      <c r="N16" s="850"/>
      <c r="O16" s="850"/>
      <c r="P16" s="850"/>
      <c r="Q16" s="850"/>
      <c r="R16" s="850"/>
      <c r="S16" s="850"/>
      <c r="T16" s="850"/>
      <c r="U16" s="850"/>
      <c r="V16" s="850"/>
      <c r="W16" s="850"/>
      <c r="X16" s="850"/>
      <c r="Y16" s="850"/>
      <c r="Z16" s="850"/>
      <c r="AA16" s="850"/>
      <c r="AB16" s="850"/>
      <c r="AC16" s="850"/>
      <c r="AD16" s="850"/>
      <c r="AE16" s="851"/>
      <c r="AG16" s="761"/>
      <c r="AH16" s="761"/>
      <c r="AI16" s="690"/>
      <c r="AJ16" s="690"/>
      <c r="AK16" s="690"/>
      <c r="AM16" s="728"/>
      <c r="AN16" s="794" t="str">
        <f>CONCATENATE("NÓMINAS MENSUALES EJERCICIO ",YEAR(EXPEDIENTE!$F$25)+3)</f>
        <v>NÓMINAS MENSUALES EJERCICIO 2026</v>
      </c>
      <c r="AO16" s="794"/>
      <c r="AP16" s="794"/>
      <c r="AQ16" s="794"/>
      <c r="AR16" s="794"/>
      <c r="AS16" s="794"/>
      <c r="AT16" s="794"/>
      <c r="AU16" s="794"/>
      <c r="AV16" s="794"/>
      <c r="AW16" s="794"/>
      <c r="AX16" s="794"/>
      <c r="AY16" s="794"/>
      <c r="AZ16" s="794"/>
      <c r="BA16" s="794"/>
      <c r="BB16" s="794"/>
      <c r="BC16" s="794"/>
      <c r="BD16" s="794"/>
      <c r="BE16" s="794"/>
      <c r="BF16" s="794"/>
      <c r="BG16" s="794"/>
      <c r="BH16" s="794"/>
      <c r="BI16" s="794"/>
      <c r="BJ16" s="794"/>
      <c r="BK16" s="794"/>
      <c r="BL16" s="794"/>
      <c r="BM16" s="794"/>
      <c r="BN16" s="794"/>
      <c r="BO16" s="794"/>
      <c r="BP16" s="794"/>
      <c r="BQ16" s="794"/>
      <c r="BR16" s="794"/>
      <c r="BS16" s="794"/>
      <c r="BT16" s="794"/>
      <c r="BU16" s="794"/>
      <c r="BV16" s="794"/>
      <c r="BW16" s="794"/>
      <c r="BX16" s="794"/>
      <c r="BY16" s="794"/>
      <c r="BZ16" s="794"/>
      <c r="CA16" s="794"/>
      <c r="CB16" s="794"/>
      <c r="CC16" s="794"/>
      <c r="CD16" s="794"/>
      <c r="CE16" s="794"/>
      <c r="CF16" s="794"/>
      <c r="CG16" s="794"/>
      <c r="CH16" s="794"/>
      <c r="CI16" s="794"/>
      <c r="CJ16" s="794"/>
      <c r="CK16" s="794"/>
      <c r="CL16" s="794"/>
      <c r="CM16" s="794"/>
      <c r="CN16" s="794"/>
      <c r="CO16" s="794"/>
      <c r="CP16" s="794"/>
      <c r="CQ16" s="794"/>
      <c r="CR16" s="794"/>
      <c r="CS16" s="794"/>
      <c r="CT16" s="794"/>
      <c r="CU16" s="794"/>
      <c r="CV16" s="794"/>
      <c r="CW16" s="794"/>
      <c r="CX16" s="794"/>
      <c r="CY16" s="795"/>
      <c r="DA16" s="812"/>
      <c r="DB16" s="812"/>
    </row>
    <row r="17" spans="2:128" ht="20.100000000000001" customHeight="1" thickTop="1" thickBot="1" x14ac:dyDescent="0.3">
      <c r="B17" s="875"/>
      <c r="C17" s="858" t="s">
        <v>87</v>
      </c>
      <c r="D17" s="859"/>
      <c r="E17" s="860"/>
      <c r="F17" s="861" t="s">
        <v>85</v>
      </c>
      <c r="G17" s="862"/>
      <c r="H17" s="862"/>
      <c r="I17" s="862"/>
      <c r="J17" s="862"/>
      <c r="K17" s="862"/>
      <c r="L17" s="862"/>
      <c r="M17" s="863"/>
      <c r="N17" s="740" t="s">
        <v>88</v>
      </c>
      <c r="O17" s="741"/>
      <c r="P17" s="741"/>
      <c r="Q17" s="741"/>
      <c r="R17" s="741"/>
      <c r="S17" s="741"/>
      <c r="T17" s="741"/>
      <c r="U17" s="741"/>
      <c r="V17" s="742"/>
      <c r="W17" s="864" t="s">
        <v>79</v>
      </c>
      <c r="X17" s="746" t="s">
        <v>66</v>
      </c>
      <c r="Y17" s="743" t="s">
        <v>59</v>
      </c>
      <c r="Z17" s="743" t="s">
        <v>60</v>
      </c>
      <c r="AA17" s="743" t="s">
        <v>64</v>
      </c>
      <c r="AB17" s="789" t="s">
        <v>84</v>
      </c>
      <c r="AC17" s="746" t="s">
        <v>91</v>
      </c>
      <c r="AD17" s="789" t="s">
        <v>90</v>
      </c>
      <c r="AE17" s="871" t="s">
        <v>67</v>
      </c>
      <c r="AG17" s="762" t="s">
        <v>406</v>
      </c>
      <c r="AH17" s="704" t="s">
        <v>71</v>
      </c>
      <c r="AM17" s="728"/>
      <c r="AN17" s="732" t="s">
        <v>87</v>
      </c>
      <c r="AO17" s="733"/>
      <c r="AP17" s="733"/>
      <c r="AQ17" s="733"/>
      <c r="AR17" s="825" t="s">
        <v>312</v>
      </c>
      <c r="AS17" s="733"/>
      <c r="AT17" s="734"/>
      <c r="AU17" s="764" t="s">
        <v>85</v>
      </c>
      <c r="AV17" s="765"/>
      <c r="AW17" s="765"/>
      <c r="AX17" s="765"/>
      <c r="AY17" s="765"/>
      <c r="AZ17" s="765"/>
      <c r="BA17" s="765"/>
      <c r="BB17" s="765"/>
      <c r="BC17" s="765"/>
      <c r="BD17" s="765"/>
      <c r="BE17" s="765"/>
      <c r="BF17" s="765"/>
      <c r="BG17" s="765"/>
      <c r="BH17" s="765"/>
      <c r="BI17" s="765"/>
      <c r="BJ17" s="765"/>
      <c r="BK17" s="765"/>
      <c r="BL17" s="765"/>
      <c r="BM17" s="765"/>
      <c r="BN17" s="766"/>
      <c r="BO17" s="927" t="s">
        <v>407</v>
      </c>
      <c r="BP17" s="921"/>
      <c r="BQ17" s="921"/>
      <c r="BR17" s="921"/>
      <c r="BS17" s="921"/>
      <c r="BT17" s="921"/>
      <c r="BU17" s="921"/>
      <c r="BV17" s="921"/>
      <c r="BW17" s="921"/>
      <c r="BX17" s="921"/>
      <c r="BY17" s="921"/>
      <c r="BZ17" s="921"/>
      <c r="CA17" s="921"/>
      <c r="CB17" s="921"/>
      <c r="CC17" s="921"/>
      <c r="CD17" s="921"/>
      <c r="CE17" s="921"/>
      <c r="CF17" s="922"/>
      <c r="CG17" s="922"/>
      <c r="CH17" s="922"/>
      <c r="CI17" s="923"/>
      <c r="CJ17" s="827" t="s">
        <v>79</v>
      </c>
      <c r="CK17" s="695" t="s">
        <v>316</v>
      </c>
      <c r="CL17" s="696"/>
      <c r="CM17" s="697"/>
      <c r="CN17" s="714" t="s">
        <v>317</v>
      </c>
      <c r="CO17" s="715"/>
      <c r="CP17" s="716"/>
      <c r="CQ17" s="828" t="s">
        <v>60</v>
      </c>
      <c r="CR17" s="706" t="s">
        <v>319</v>
      </c>
      <c r="CS17" s="707"/>
      <c r="CT17" s="708"/>
      <c r="CU17" s="709" t="s">
        <v>318</v>
      </c>
      <c r="CV17" s="710"/>
      <c r="CW17" s="711"/>
      <c r="CX17" s="280"/>
      <c r="CY17" s="712" t="s">
        <v>320</v>
      </c>
      <c r="DA17" s="762" t="s">
        <v>406</v>
      </c>
      <c r="DB17" s="704" t="s">
        <v>71</v>
      </c>
    </row>
    <row r="18" spans="2:128" ht="15" customHeight="1" x14ac:dyDescent="0.25">
      <c r="B18" s="875"/>
      <c r="C18" s="879" t="s">
        <v>44</v>
      </c>
      <c r="D18" s="880"/>
      <c r="E18" s="852" t="s">
        <v>86</v>
      </c>
      <c r="F18" s="854" t="s">
        <v>57</v>
      </c>
      <c r="G18" s="753" t="s">
        <v>72</v>
      </c>
      <c r="H18" s="753"/>
      <c r="I18" s="753"/>
      <c r="J18" s="753"/>
      <c r="K18" s="753"/>
      <c r="L18" s="753"/>
      <c r="M18" s="749" t="s">
        <v>96</v>
      </c>
      <c r="N18" s="16"/>
      <c r="O18" s="788" t="s">
        <v>73</v>
      </c>
      <c r="P18" s="753"/>
      <c r="Q18" s="753"/>
      <c r="R18" s="753"/>
      <c r="S18" s="753"/>
      <c r="T18" s="753"/>
      <c r="U18" s="749" t="s">
        <v>89</v>
      </c>
      <c r="V18" s="17"/>
      <c r="W18" s="865"/>
      <c r="X18" s="747"/>
      <c r="Y18" s="744"/>
      <c r="Z18" s="744"/>
      <c r="AA18" s="744"/>
      <c r="AB18" s="790"/>
      <c r="AC18" s="747"/>
      <c r="AD18" s="790"/>
      <c r="AE18" s="872"/>
      <c r="AG18" s="705"/>
      <c r="AH18" s="705"/>
      <c r="AM18" s="728"/>
      <c r="AN18" s="815" t="s">
        <v>44</v>
      </c>
      <c r="AO18" s="816"/>
      <c r="AP18" s="776"/>
      <c r="AQ18" s="777"/>
      <c r="AR18" s="819" t="s">
        <v>270</v>
      </c>
      <c r="AS18" s="826" t="s">
        <v>245</v>
      </c>
      <c r="AT18" s="773" t="s">
        <v>271</v>
      </c>
      <c r="AU18" s="778" t="s">
        <v>272</v>
      </c>
      <c r="AV18" s="779"/>
      <c r="AW18" s="780"/>
      <c r="AX18" s="820" t="s">
        <v>72</v>
      </c>
      <c r="AY18" s="821"/>
      <c r="AZ18" s="821"/>
      <c r="BA18" s="821"/>
      <c r="BB18" s="821"/>
      <c r="BC18" s="821"/>
      <c r="BD18" s="821"/>
      <c r="BE18" s="821"/>
      <c r="BF18" s="821"/>
      <c r="BG18" s="821"/>
      <c r="BH18" s="821"/>
      <c r="BI18" s="821"/>
      <c r="BJ18" s="821"/>
      <c r="BK18" s="821"/>
      <c r="BL18" s="821"/>
      <c r="BM18" s="822"/>
      <c r="BN18" s="823" t="s">
        <v>273</v>
      </c>
      <c r="BO18" s="281"/>
      <c r="BP18" s="820" t="s">
        <v>408</v>
      </c>
      <c r="BQ18" s="924"/>
      <c r="BR18" s="924"/>
      <c r="BS18" s="821"/>
      <c r="BT18" s="821"/>
      <c r="BU18" s="821"/>
      <c r="BV18" s="821"/>
      <c r="BW18" s="821"/>
      <c r="BX18" s="821"/>
      <c r="BY18" s="821"/>
      <c r="BZ18" s="821"/>
      <c r="CA18" s="821"/>
      <c r="CB18" s="821"/>
      <c r="CC18" s="821"/>
      <c r="CD18" s="821"/>
      <c r="CE18" s="822"/>
      <c r="CF18" s="928" t="s">
        <v>409</v>
      </c>
      <c r="CG18" s="925"/>
      <c r="CH18" s="926"/>
      <c r="CI18" s="282"/>
      <c r="CJ18" s="738"/>
      <c r="CK18" s="698" t="s">
        <v>270</v>
      </c>
      <c r="CL18" s="700" t="s">
        <v>245</v>
      </c>
      <c r="CM18" s="702" t="s">
        <v>271</v>
      </c>
      <c r="CN18" s="698" t="s">
        <v>270</v>
      </c>
      <c r="CO18" s="700" t="s">
        <v>245</v>
      </c>
      <c r="CP18" s="702" t="s">
        <v>271</v>
      </c>
      <c r="CQ18" s="829"/>
      <c r="CR18" s="698" t="s">
        <v>270</v>
      </c>
      <c r="CS18" s="700" t="s">
        <v>245</v>
      </c>
      <c r="CT18" s="702" t="s">
        <v>271</v>
      </c>
      <c r="CU18" s="698" t="s">
        <v>270</v>
      </c>
      <c r="CV18" s="700" t="s">
        <v>245</v>
      </c>
      <c r="CW18" s="702" t="s">
        <v>271</v>
      </c>
      <c r="CX18" s="283"/>
      <c r="CY18" s="713"/>
      <c r="DA18" s="705"/>
      <c r="DB18" s="705"/>
    </row>
    <row r="19" spans="2:128" ht="45" customHeight="1" thickBot="1" x14ac:dyDescent="0.3">
      <c r="B19" s="875"/>
      <c r="C19" s="881"/>
      <c r="D19" s="882"/>
      <c r="E19" s="853"/>
      <c r="F19" s="855"/>
      <c r="G19" s="18" t="s">
        <v>97</v>
      </c>
      <c r="H19" s="18" t="s">
        <v>98</v>
      </c>
      <c r="I19" s="18" t="s">
        <v>99</v>
      </c>
      <c r="J19" s="18" t="s">
        <v>100</v>
      </c>
      <c r="K19" s="18" t="s">
        <v>101</v>
      </c>
      <c r="L19" s="19" t="s">
        <v>108</v>
      </c>
      <c r="M19" s="750"/>
      <c r="N19" s="20"/>
      <c r="O19" s="21" t="s">
        <v>102</v>
      </c>
      <c r="P19" s="18" t="s">
        <v>103</v>
      </c>
      <c r="Q19" s="18" t="s">
        <v>104</v>
      </c>
      <c r="R19" s="18" t="s">
        <v>105</v>
      </c>
      <c r="S19" s="18" t="s">
        <v>106</v>
      </c>
      <c r="T19" s="18" t="s">
        <v>107</v>
      </c>
      <c r="U19" s="750"/>
      <c r="V19" s="22"/>
      <c r="W19" s="866"/>
      <c r="X19" s="748"/>
      <c r="Y19" s="745"/>
      <c r="Z19" s="745"/>
      <c r="AA19" s="745"/>
      <c r="AB19" s="791"/>
      <c r="AC19" s="748"/>
      <c r="AD19" s="791"/>
      <c r="AE19" s="873"/>
      <c r="AG19" s="88">
        <f>SUM(AG20:AG31,AG37:AG44,AG49:AG60)</f>
        <v>0</v>
      </c>
      <c r="AH19" s="88">
        <f>SUM(AH20:AH31,AH37:AH44)</f>
        <v>0</v>
      </c>
      <c r="AM19" s="728"/>
      <c r="AN19" s="817"/>
      <c r="AO19" s="818"/>
      <c r="AP19" s="719"/>
      <c r="AQ19" s="720"/>
      <c r="AR19" s="699"/>
      <c r="AS19" s="701"/>
      <c r="AT19" s="703"/>
      <c r="AU19" s="284" t="s">
        <v>270</v>
      </c>
      <c r="AV19" s="285" t="s">
        <v>245</v>
      </c>
      <c r="AW19" s="286" t="s">
        <v>271</v>
      </c>
      <c r="AX19" s="287" t="s">
        <v>274</v>
      </c>
      <c r="AY19" s="288" t="s">
        <v>275</v>
      </c>
      <c r="AZ19" s="289" t="s">
        <v>276</v>
      </c>
      <c r="BA19" s="289" t="s">
        <v>277</v>
      </c>
      <c r="BB19" s="288" t="s">
        <v>278</v>
      </c>
      <c r="BC19" s="289" t="s">
        <v>279</v>
      </c>
      <c r="BD19" s="289" t="s">
        <v>280</v>
      </c>
      <c r="BE19" s="288" t="s">
        <v>281</v>
      </c>
      <c r="BF19" s="289" t="s">
        <v>282</v>
      </c>
      <c r="BG19" s="289" t="s">
        <v>283</v>
      </c>
      <c r="BH19" s="288" t="s">
        <v>284</v>
      </c>
      <c r="BI19" s="289" t="s">
        <v>285</v>
      </c>
      <c r="BJ19" s="289" t="s">
        <v>286</v>
      </c>
      <c r="BK19" s="288" t="s">
        <v>287</v>
      </c>
      <c r="BL19" s="289" t="s">
        <v>288</v>
      </c>
      <c r="BM19" s="290" t="s">
        <v>289</v>
      </c>
      <c r="BN19" s="824"/>
      <c r="BO19" s="291"/>
      <c r="BP19" s="287" t="s">
        <v>291</v>
      </c>
      <c r="BQ19" s="288" t="s">
        <v>292</v>
      </c>
      <c r="BR19" s="289" t="s">
        <v>293</v>
      </c>
      <c r="BS19" s="289" t="s">
        <v>294</v>
      </c>
      <c r="BT19" s="288" t="s">
        <v>295</v>
      </c>
      <c r="BU19" s="289" t="s">
        <v>296</v>
      </c>
      <c r="BV19" s="289" t="s">
        <v>297</v>
      </c>
      <c r="BW19" s="288" t="s">
        <v>298</v>
      </c>
      <c r="BX19" s="289" t="s">
        <v>299</v>
      </c>
      <c r="BY19" s="289" t="s">
        <v>300</v>
      </c>
      <c r="BZ19" s="288" t="s">
        <v>301</v>
      </c>
      <c r="CA19" s="289" t="s">
        <v>302</v>
      </c>
      <c r="CB19" s="289" t="s">
        <v>303</v>
      </c>
      <c r="CC19" s="288" t="s">
        <v>304</v>
      </c>
      <c r="CD19" s="289" t="s">
        <v>305</v>
      </c>
      <c r="CE19" s="290" t="s">
        <v>306</v>
      </c>
      <c r="CF19" s="292" t="s">
        <v>270</v>
      </c>
      <c r="CG19" s="293" t="s">
        <v>245</v>
      </c>
      <c r="CH19" s="294" t="s">
        <v>271</v>
      </c>
      <c r="CI19" s="295"/>
      <c r="CJ19" s="739"/>
      <c r="CK19" s="699"/>
      <c r="CL19" s="701"/>
      <c r="CM19" s="703"/>
      <c r="CN19" s="699"/>
      <c r="CO19" s="701"/>
      <c r="CP19" s="703"/>
      <c r="CQ19" s="830"/>
      <c r="CR19" s="699"/>
      <c r="CS19" s="701"/>
      <c r="CT19" s="703"/>
      <c r="CU19" s="699"/>
      <c r="CV19" s="701"/>
      <c r="CW19" s="703"/>
      <c r="CX19" s="296" t="s">
        <v>321</v>
      </c>
      <c r="CY19" s="297" t="s">
        <v>245</v>
      </c>
      <c r="DA19" s="88">
        <f>SUM(DA20:DA31,DA37:DA44,DA49:DA60)</f>
        <v>0</v>
      </c>
      <c r="DB19" s="88">
        <f>SUM(DB20:DB31,DB37:DB44)</f>
        <v>0</v>
      </c>
      <c r="DD19" s="88" t="s">
        <v>322</v>
      </c>
      <c r="DE19" s="88" t="s">
        <v>323</v>
      </c>
      <c r="DF19" s="88" t="s">
        <v>324</v>
      </c>
      <c r="DG19" s="88" t="s">
        <v>325</v>
      </c>
      <c r="DH19" s="88" t="s">
        <v>326</v>
      </c>
      <c r="DI19" s="88" t="s">
        <v>327</v>
      </c>
      <c r="DJ19" s="88" t="s">
        <v>328</v>
      </c>
      <c r="DK19" s="88" t="s">
        <v>329</v>
      </c>
      <c r="DL19" s="88" t="s">
        <v>330</v>
      </c>
      <c r="DM19" s="88" t="s">
        <v>331</v>
      </c>
      <c r="DN19" s="88" t="s">
        <v>332</v>
      </c>
      <c r="DO19" s="88" t="s">
        <v>333</v>
      </c>
      <c r="DP19" s="88" t="s">
        <v>334</v>
      </c>
      <c r="DQ19" s="88" t="s">
        <v>335</v>
      </c>
      <c r="DR19" s="88" t="s">
        <v>336</v>
      </c>
      <c r="DS19" s="88" t="s">
        <v>337</v>
      </c>
      <c r="DT19" s="88" t="s">
        <v>338</v>
      </c>
      <c r="DU19" s="88" t="s">
        <v>339</v>
      </c>
    </row>
    <row r="20" spans="2:128" ht="30" customHeight="1" x14ac:dyDescent="0.25">
      <c r="B20" s="875"/>
      <c r="C20" s="883" t="s">
        <v>45</v>
      </c>
      <c r="D20" s="884"/>
      <c r="E20" s="49"/>
      <c r="F20" s="50"/>
      <c r="G20" s="51"/>
      <c r="H20" s="51"/>
      <c r="I20" s="51"/>
      <c r="J20" s="51"/>
      <c r="K20" s="51"/>
      <c r="L20" s="23">
        <f>SUM(G20:K20)</f>
        <v>0</v>
      </c>
      <c r="M20" s="24">
        <f t="shared" ref="M20" si="4">F20+L20</f>
        <v>0</v>
      </c>
      <c r="N20" s="25"/>
      <c r="O20" s="50"/>
      <c r="P20" s="51"/>
      <c r="Q20" s="51"/>
      <c r="R20" s="51"/>
      <c r="S20" s="51"/>
      <c r="T20" s="26">
        <f>SUM(O20:S20)</f>
        <v>0</v>
      </c>
      <c r="U20" s="59"/>
      <c r="V20" s="27"/>
      <c r="W20" s="24">
        <f t="shared" ref="W20" si="5">M20+T20+U20</f>
        <v>0</v>
      </c>
      <c r="X20" s="50"/>
      <c r="Y20" s="51"/>
      <c r="Z20" s="26">
        <f>F20+L20+T20+U20-X20-Y20</f>
        <v>0</v>
      </c>
      <c r="AA20" s="62"/>
      <c r="AB20" s="63"/>
      <c r="AC20" s="66"/>
      <c r="AD20" s="67"/>
      <c r="AE20" s="68"/>
      <c r="AG20" s="6">
        <f>IF(AND(AA20&lt;&gt;"",OR(AA20&lt;EXPEDIENTE!$I$25,AA20&gt;EXPEDIENTE!$I$29)),1,0)</f>
        <v>0</v>
      </c>
      <c r="AH20" s="6">
        <f>IF(AND(AB20&lt;&gt;"",OR(AB20&lt;EXPEDIENTE!$I$25,AB20&gt;EXPEDIENTE!$I$29)),1,0)</f>
        <v>0</v>
      </c>
      <c r="AI20" s="6">
        <f>IF(DATE(YEAR(EXPEDIENTE!$I$25)+3,MONTH(DATEVALUE($C20&amp;"1")),1)&gt;=DATE(YEAR(EXPEDIENTE!$I$25),MONTH(EXPEDIENTE!$I$25),1),0,1)</f>
        <v>0</v>
      </c>
      <c r="AJ20" s="6" t="e">
        <f>IF(DATE(YEAR(EXPEDIENTE!$I$25)+3,MONTH(DATEVALUE($C20&amp;"1")),1)&lt;=DATE(YEAR(EXPEDIENTE!$I$27),MONTH(EXPEDIENTE!$I$27),1),0,1)</f>
        <v>#VALUE!</v>
      </c>
      <c r="AK20" s="6" t="e">
        <f>SUM(AI20:AJ20)</f>
        <v>#VALUE!</v>
      </c>
      <c r="AM20" s="728"/>
      <c r="AN20" s="771" t="s">
        <v>45</v>
      </c>
      <c r="AO20" s="772"/>
      <c r="AP20" s="719"/>
      <c r="AQ20" s="720"/>
      <c r="AR20" s="299">
        <f t="shared" ref="AR20:AR31" si="6">IF(E20="",0,E20)</f>
        <v>0</v>
      </c>
      <c r="AS20" s="522"/>
      <c r="AT20" s="300">
        <f>IF(AS20="",AR20,AS20)</f>
        <v>0</v>
      </c>
      <c r="AU20" s="301">
        <f t="shared" ref="AU20:AU31" si="7">IF(F20="",0,F20)</f>
        <v>0</v>
      </c>
      <c r="AV20" s="523"/>
      <c r="AW20" s="302">
        <f>IF(AV20="",AU20,AV20)</f>
        <v>0</v>
      </c>
      <c r="AX20" s="301">
        <f t="shared" ref="AX20:AX31" si="8">IF(G20="",0,G20)</f>
        <v>0</v>
      </c>
      <c r="AY20" s="524"/>
      <c r="AZ20" s="303">
        <f>IF(AY20="",AX20,AY20)</f>
        <v>0</v>
      </c>
      <c r="BA20" s="303">
        <f t="shared" ref="BA20:BA31" si="9">IF(H20="",0,H20)</f>
        <v>0</v>
      </c>
      <c r="BB20" s="524"/>
      <c r="BC20" s="303">
        <f>IF(BB20="",BA20,BB20)</f>
        <v>0</v>
      </c>
      <c r="BD20" s="303">
        <f t="shared" ref="BD20:BD31" si="10">IF(I20="",0,I20)</f>
        <v>0</v>
      </c>
      <c r="BE20" s="524"/>
      <c r="BF20" s="303">
        <f>IF(BE20="",BD20,BE20)</f>
        <v>0</v>
      </c>
      <c r="BG20" s="303">
        <f t="shared" ref="BG20:BG31" si="11">IF(J20="",0,J20)</f>
        <v>0</v>
      </c>
      <c r="BH20" s="524"/>
      <c r="BI20" s="303">
        <f>IF(BH20="",BG20,BH20)</f>
        <v>0</v>
      </c>
      <c r="BJ20" s="303">
        <f t="shared" ref="BJ20:BJ31" si="12">IF(K20="",0,K20)</f>
        <v>0</v>
      </c>
      <c r="BK20" s="524"/>
      <c r="BL20" s="303">
        <f>IF(BK20="",BJ20,BK20)</f>
        <v>0</v>
      </c>
      <c r="BM20" s="304">
        <f>AZ20+BC20+BF20+BI20+BL20</f>
        <v>0</v>
      </c>
      <c r="BN20" s="305">
        <f>AW20+BM20</f>
        <v>0</v>
      </c>
      <c r="BO20" s="306"/>
      <c r="BP20" s="301">
        <f t="shared" ref="BP20:BP31" si="13">IF(O20="",0,O20)</f>
        <v>0</v>
      </c>
      <c r="BQ20" s="523"/>
      <c r="BR20" s="307">
        <f>IF(BQ20="",BP20,BQ20)</f>
        <v>0</v>
      </c>
      <c r="BS20" s="303">
        <f t="shared" ref="BS20:BS31" si="14">IF(P20="",0,P20)</f>
        <v>0</v>
      </c>
      <c r="BT20" s="524"/>
      <c r="BU20" s="303">
        <f>IF(BT20="",BS20,BT20)</f>
        <v>0</v>
      </c>
      <c r="BV20" s="303">
        <f t="shared" ref="BV20:BV31" si="15">IF(Q20="",0,Q20)</f>
        <v>0</v>
      </c>
      <c r="BW20" s="524"/>
      <c r="BX20" s="303">
        <f>IF(BW20="",BV20,BW20)</f>
        <v>0</v>
      </c>
      <c r="BY20" s="303">
        <f t="shared" ref="BY20:BY31" si="16">IF(R20="",0,R20)</f>
        <v>0</v>
      </c>
      <c r="BZ20" s="524"/>
      <c r="CA20" s="303">
        <f>IF(BZ20="",BY20,BZ20)</f>
        <v>0</v>
      </c>
      <c r="CB20" s="303">
        <f t="shared" ref="CB20:CB31" si="17">IF(S20="",0,S20)</f>
        <v>0</v>
      </c>
      <c r="CC20" s="524"/>
      <c r="CD20" s="303">
        <f>IF(CC20="",CB20,CC20)</f>
        <v>0</v>
      </c>
      <c r="CE20" s="304">
        <f>BR20+BU20+BX20+CA20+CD20</f>
        <v>0</v>
      </c>
      <c r="CF20" s="308">
        <f t="shared" ref="CF20:CF31" si="18">IF(U20="",0,U20)</f>
        <v>0</v>
      </c>
      <c r="CG20" s="525"/>
      <c r="CH20" s="309">
        <f>IF(CG20="",CF20,CG20)</f>
        <v>0</v>
      </c>
      <c r="CI20" s="310"/>
      <c r="CJ20" s="311">
        <f>BN20+CE20+CH20</f>
        <v>0</v>
      </c>
      <c r="CK20" s="301">
        <f t="shared" ref="CK20:CK31" si="19">IF(X20="",0,X20)</f>
        <v>0</v>
      </c>
      <c r="CL20" s="523"/>
      <c r="CM20" s="302">
        <f>IF(CL20="",CK20,CL20)</f>
        <v>0</v>
      </c>
      <c r="CN20" s="308">
        <f t="shared" ref="CN20:CN31" si="20">IF(Y20="",0,Y20)</f>
        <v>0</v>
      </c>
      <c r="CO20" s="525"/>
      <c r="CP20" s="309">
        <f>IF(CO20="",CN20,CO20)</f>
        <v>0</v>
      </c>
      <c r="CQ20" s="312">
        <f>AW20+BM20+CE20+CH20-CM20-CP20</f>
        <v>0</v>
      </c>
      <c r="CR20" s="313" t="str">
        <f t="shared" ref="CR20:CR31" si="21">IF(AA20="","",AA20)</f>
        <v/>
      </c>
      <c r="CS20" s="526"/>
      <c r="CT20" s="314" t="str">
        <f>IF(CS20="",CR20,CS20)</f>
        <v/>
      </c>
      <c r="CU20" s="315" t="str">
        <f t="shared" ref="CU20:CU31" si="22">IF(AB20="","",AB20)</f>
        <v/>
      </c>
      <c r="CV20" s="236"/>
      <c r="CW20" s="316" t="str">
        <f>IF(CV20="",CU20,CV20)</f>
        <v/>
      </c>
      <c r="CX20" s="317" t="str">
        <f>IF(DD20=0,"",DD20)</f>
        <v/>
      </c>
      <c r="CY20" s="527"/>
      <c r="DA20" s="6">
        <f>IF(AND(CT20&lt;&gt;"",OR(CT20&lt;EXPEDIENTE!$I$25,CT20&gt;EXPEDIENTE!$I$29)),1,0)</f>
        <v>0</v>
      </c>
      <c r="DB20" s="6">
        <f>IF(AND(CW20&lt;&gt;"",OR(CW20&lt;EXPEDIENTE!$I$25,CW20&gt;EXPEDIENTE!$I$29)),1,0)</f>
        <v>0</v>
      </c>
      <c r="DD20" s="88">
        <f t="shared" ref="DD20:DD31" si="23">SUM(DE20:DU20)</f>
        <v>0</v>
      </c>
      <c r="DE20" s="88">
        <f>IF(AS20="",0,1)</f>
        <v>0</v>
      </c>
      <c r="DF20" s="88">
        <f>IF(AV20="",0,1)</f>
        <v>0</v>
      </c>
      <c r="DG20" s="88">
        <f>IF(AY20="",0,1)</f>
        <v>0</v>
      </c>
      <c r="DH20" s="88">
        <f>IF(BB20="",0,1)</f>
        <v>0</v>
      </c>
      <c r="DI20" s="88">
        <f>IF(BE20="",0,1)</f>
        <v>0</v>
      </c>
      <c r="DJ20" s="88">
        <f>IF(BH20="",0,1)</f>
        <v>0</v>
      </c>
      <c r="DK20" s="88">
        <f>IF(BK20="",0,1)</f>
        <v>0</v>
      </c>
      <c r="DL20" s="88">
        <f>IF(BQ20="",0,1)</f>
        <v>0</v>
      </c>
      <c r="DM20" s="88">
        <f>IF(BT20="",0,1)</f>
        <v>0</v>
      </c>
      <c r="DN20" s="88">
        <f>IF(BW20="",0,1)</f>
        <v>0</v>
      </c>
      <c r="DO20" s="88">
        <f>IF(BZ20="",0,1)</f>
        <v>0</v>
      </c>
      <c r="DP20" s="88">
        <f>IF(CC20="",0,1)</f>
        <v>0</v>
      </c>
      <c r="DQ20" s="88">
        <f>IF(CG20="",0,1)</f>
        <v>0</v>
      </c>
      <c r="DR20" s="88">
        <f>IF(CL20="",0,1)</f>
        <v>0</v>
      </c>
      <c r="DS20" s="88">
        <f>IF(CO20="",0,1)</f>
        <v>0</v>
      </c>
      <c r="DT20" s="88">
        <f>IF(CS20="",0,1)</f>
        <v>0</v>
      </c>
      <c r="DU20" s="88">
        <f>IF(CV20="",0,1)</f>
        <v>0</v>
      </c>
      <c r="DW20" s="88">
        <f>IF(CY20&lt;&gt;"",MAX($DW$9:DW19)+1,0)</f>
        <v>0</v>
      </c>
      <c r="DX20" s="182" t="str">
        <f>IF(DW20=0,"",CY20)</f>
        <v/>
      </c>
    </row>
    <row r="21" spans="2:128" ht="30" customHeight="1" x14ac:dyDescent="0.25">
      <c r="B21" s="875"/>
      <c r="C21" s="885" t="s">
        <v>46</v>
      </c>
      <c r="D21" s="886"/>
      <c r="E21" s="52"/>
      <c r="F21" s="53"/>
      <c r="G21" s="54"/>
      <c r="H21" s="54"/>
      <c r="I21" s="54"/>
      <c r="J21" s="54"/>
      <c r="K21" s="54"/>
      <c r="L21" s="23">
        <f t="shared" ref="L21:L31" si="24">SUM(G21:K21)</f>
        <v>0</v>
      </c>
      <c r="M21" s="28">
        <f>F21+L21</f>
        <v>0</v>
      </c>
      <c r="N21" s="25"/>
      <c r="O21" s="53"/>
      <c r="P21" s="54"/>
      <c r="Q21" s="54"/>
      <c r="R21" s="54"/>
      <c r="S21" s="54"/>
      <c r="T21" s="23">
        <f t="shared" ref="T21:T31" si="25">SUM(O21:S21)</f>
        <v>0</v>
      </c>
      <c r="U21" s="60"/>
      <c r="V21" s="27"/>
      <c r="W21" s="28">
        <f>M21+T21+U21</f>
        <v>0</v>
      </c>
      <c r="X21" s="53"/>
      <c r="Y21" s="54"/>
      <c r="Z21" s="23">
        <f t="shared" ref="Z21:Z31" si="26">F21+L21+T21+U21-X21-Y21</f>
        <v>0</v>
      </c>
      <c r="AA21" s="62"/>
      <c r="AB21" s="63"/>
      <c r="AC21" s="69"/>
      <c r="AD21" s="70"/>
      <c r="AE21" s="71"/>
      <c r="AG21" s="6">
        <f>IF(AND(AA21&lt;&gt;"",OR(AA21&lt;EXPEDIENTE!$I$25,AA21&gt;EXPEDIENTE!$I$29)),1,0)</f>
        <v>0</v>
      </c>
      <c r="AH21" s="6">
        <f>IF(AND(AB21&lt;&gt;"",OR(AB21&lt;EXPEDIENTE!$I$25,AB21&gt;EXPEDIENTE!$I$29)),1,0)</f>
        <v>0</v>
      </c>
      <c r="AI21" s="6">
        <f>IF(DATE(YEAR(EXPEDIENTE!$I$25)+3,MONTH(DATEVALUE($C21&amp;"1")),1)&gt;=DATE(YEAR(EXPEDIENTE!$I$25),MONTH(EXPEDIENTE!$I$25),1),0,1)</f>
        <v>0</v>
      </c>
      <c r="AJ21" s="6" t="e">
        <f>IF(DATE(YEAR(EXPEDIENTE!$I$25)+3,MONTH(DATEVALUE($C21&amp;"1")),1)&lt;=DATE(YEAR(EXPEDIENTE!$I$27),MONTH(EXPEDIENTE!$I$27),1),0,1)</f>
        <v>#VALUE!</v>
      </c>
      <c r="AK21" s="6" t="e">
        <f t="shared" ref="AK21:AK31" si="27">SUM(AI21:AJ21)</f>
        <v>#VALUE!</v>
      </c>
      <c r="AM21" s="728"/>
      <c r="AN21" s="723" t="s">
        <v>46</v>
      </c>
      <c r="AO21" s="724"/>
      <c r="AP21" s="719"/>
      <c r="AQ21" s="720"/>
      <c r="AR21" s="319">
        <f t="shared" si="6"/>
        <v>0</v>
      </c>
      <c r="AS21" s="120"/>
      <c r="AT21" s="320">
        <f t="shared" ref="AT21:AT31" si="28">IF(AS21="",AR21,AS21)</f>
        <v>0</v>
      </c>
      <c r="AU21" s="321">
        <f t="shared" si="7"/>
        <v>0</v>
      </c>
      <c r="AV21" s="528"/>
      <c r="AW21" s="322">
        <f t="shared" ref="AW21:AW31" si="29">IF(AV21="",AU21,AV21)</f>
        <v>0</v>
      </c>
      <c r="AX21" s="321">
        <f t="shared" si="8"/>
        <v>0</v>
      </c>
      <c r="AY21" s="529"/>
      <c r="AZ21" s="323">
        <f t="shared" ref="AZ21:AZ31" si="30">IF(AY21="",AX21,AY21)</f>
        <v>0</v>
      </c>
      <c r="BA21" s="323">
        <f t="shared" si="9"/>
        <v>0</v>
      </c>
      <c r="BB21" s="529"/>
      <c r="BC21" s="323">
        <f t="shared" ref="BC21:BC31" si="31">IF(BB21="",BA21,BB21)</f>
        <v>0</v>
      </c>
      <c r="BD21" s="323">
        <f t="shared" si="10"/>
        <v>0</v>
      </c>
      <c r="BE21" s="529"/>
      <c r="BF21" s="323">
        <f t="shared" ref="BF21:BF31" si="32">IF(BE21="",BD21,BE21)</f>
        <v>0</v>
      </c>
      <c r="BG21" s="323">
        <f t="shared" si="11"/>
        <v>0</v>
      </c>
      <c r="BH21" s="529"/>
      <c r="BI21" s="323">
        <f t="shared" ref="BI21:BI31" si="33">IF(BH21="",BG21,BH21)</f>
        <v>0</v>
      </c>
      <c r="BJ21" s="323">
        <f t="shared" si="12"/>
        <v>0</v>
      </c>
      <c r="BK21" s="529"/>
      <c r="BL21" s="323">
        <f t="shared" ref="BL21:BL31" si="34">IF(BK21="",BJ21,BK21)</f>
        <v>0</v>
      </c>
      <c r="BM21" s="304">
        <f t="shared" ref="BM21:BM31" si="35">AZ21+BC21+BF21+BI21+BL21</f>
        <v>0</v>
      </c>
      <c r="BN21" s="324">
        <f t="shared" ref="BN21:BN31" si="36">AW21+BM21</f>
        <v>0</v>
      </c>
      <c r="BO21" s="306"/>
      <c r="BP21" s="321">
        <f t="shared" si="13"/>
        <v>0</v>
      </c>
      <c r="BQ21" s="528"/>
      <c r="BR21" s="325">
        <f t="shared" ref="BR21:BR31" si="37">IF(BQ21="",BP21,BQ21)</f>
        <v>0</v>
      </c>
      <c r="BS21" s="323">
        <f t="shared" si="14"/>
        <v>0</v>
      </c>
      <c r="BT21" s="529"/>
      <c r="BU21" s="323">
        <f t="shared" ref="BU21:BU31" si="38">IF(BT21="",BS21,BT21)</f>
        <v>0</v>
      </c>
      <c r="BV21" s="323">
        <f t="shared" si="15"/>
        <v>0</v>
      </c>
      <c r="BW21" s="529"/>
      <c r="BX21" s="323">
        <f t="shared" ref="BX21:BX31" si="39">IF(BW21="",BV21,BW21)</f>
        <v>0</v>
      </c>
      <c r="BY21" s="323">
        <f t="shared" si="16"/>
        <v>0</v>
      </c>
      <c r="BZ21" s="529"/>
      <c r="CA21" s="323">
        <f t="shared" ref="CA21:CA31" si="40">IF(BZ21="",BY21,BZ21)</f>
        <v>0</v>
      </c>
      <c r="CB21" s="323">
        <f t="shared" si="17"/>
        <v>0</v>
      </c>
      <c r="CC21" s="529"/>
      <c r="CD21" s="323">
        <f t="shared" ref="CD21:CD31" si="41">IF(CC21="",CB21,CC21)</f>
        <v>0</v>
      </c>
      <c r="CE21" s="304">
        <f t="shared" ref="CE21:CE31" si="42">BR21+BU21+BX21+CA21+CD21</f>
        <v>0</v>
      </c>
      <c r="CF21" s="321">
        <f t="shared" si="18"/>
        <v>0</v>
      </c>
      <c r="CG21" s="529"/>
      <c r="CH21" s="326">
        <f t="shared" ref="CH21:CH31" si="43">IF(CG21="",CF21,CG21)</f>
        <v>0</v>
      </c>
      <c r="CI21" s="310"/>
      <c r="CJ21" s="327">
        <f t="shared" ref="CJ21:CJ31" si="44">BN21+CE21+CH21</f>
        <v>0</v>
      </c>
      <c r="CK21" s="321">
        <f t="shared" si="19"/>
        <v>0</v>
      </c>
      <c r="CL21" s="528"/>
      <c r="CM21" s="322">
        <f t="shared" ref="CM21:CM31" si="45">IF(CL21="",CK21,CL21)</f>
        <v>0</v>
      </c>
      <c r="CN21" s="321">
        <f t="shared" si="20"/>
        <v>0</v>
      </c>
      <c r="CO21" s="529"/>
      <c r="CP21" s="326">
        <f t="shared" ref="CP21:CP31" si="46">IF(CO21="",CN21,CO21)</f>
        <v>0</v>
      </c>
      <c r="CQ21" s="327">
        <f t="shared" ref="CQ21:CQ31" si="47">AW21+BM21+CE21+CH21-CM21-CP21</f>
        <v>0</v>
      </c>
      <c r="CR21" s="313" t="str">
        <f t="shared" si="21"/>
        <v/>
      </c>
      <c r="CS21" s="526"/>
      <c r="CT21" s="314" t="str">
        <f t="shared" ref="CT21:CT31" si="48">IF(CS21="",CR21,CS21)</f>
        <v/>
      </c>
      <c r="CU21" s="315" t="str">
        <f t="shared" si="22"/>
        <v/>
      </c>
      <c r="CV21" s="236"/>
      <c r="CW21" s="316" t="str">
        <f t="shared" ref="CW21:CW31" si="49">IF(CV21="",CU21,CV21)</f>
        <v/>
      </c>
      <c r="CX21" s="328" t="str">
        <f t="shared" ref="CX21:CX31" si="50">IF(DD21=0,"",DD21)</f>
        <v/>
      </c>
      <c r="CY21" s="530"/>
      <c r="DA21" s="6">
        <f>IF(AND(CT21&lt;&gt;"",OR(CT21&lt;EXPEDIENTE!$I$25,CT21&gt;EXPEDIENTE!$I$29)),1,0)</f>
        <v>0</v>
      </c>
      <c r="DB21" s="6">
        <f>IF(AND(CW21&lt;&gt;"",OR(CW21&lt;EXPEDIENTE!$I$25,CW21&gt;EXPEDIENTE!$I$29)),1,0)</f>
        <v>0</v>
      </c>
      <c r="DD21" s="88">
        <f t="shared" si="23"/>
        <v>0</v>
      </c>
      <c r="DE21" s="88">
        <f t="shared" ref="DE21:DE31" si="51">IF(AS21="",0,1)</f>
        <v>0</v>
      </c>
      <c r="DF21" s="88">
        <f t="shared" ref="DF21:DF31" si="52">IF(AV21="",0,1)</f>
        <v>0</v>
      </c>
      <c r="DG21" s="88">
        <f t="shared" ref="DG21:DG31" si="53">IF(AY21="",0,1)</f>
        <v>0</v>
      </c>
      <c r="DH21" s="88">
        <f t="shared" ref="DH21:DH31" si="54">IF(BB21="",0,1)</f>
        <v>0</v>
      </c>
      <c r="DI21" s="88">
        <f t="shared" ref="DI21:DI31" si="55">IF(BE21="",0,1)</f>
        <v>0</v>
      </c>
      <c r="DJ21" s="88">
        <f t="shared" ref="DJ21:DJ31" si="56">IF(BH21="",0,1)</f>
        <v>0</v>
      </c>
      <c r="DK21" s="88">
        <f t="shared" ref="DK21:DK31" si="57">IF(BK21="",0,1)</f>
        <v>0</v>
      </c>
      <c r="DL21" s="88">
        <f t="shared" ref="DL21:DL31" si="58">IF(BQ21="",0,1)</f>
        <v>0</v>
      </c>
      <c r="DM21" s="88">
        <f t="shared" ref="DM21:DM31" si="59">IF(BT21="",0,1)</f>
        <v>0</v>
      </c>
      <c r="DN21" s="88">
        <f t="shared" ref="DN21:DN31" si="60">IF(BW21="",0,1)</f>
        <v>0</v>
      </c>
      <c r="DO21" s="88">
        <f t="shared" ref="DO21:DO31" si="61">IF(BZ21="",0,1)</f>
        <v>0</v>
      </c>
      <c r="DP21" s="88">
        <f t="shared" ref="DP21:DP31" si="62">IF(CC21="",0,1)</f>
        <v>0</v>
      </c>
      <c r="DQ21" s="88">
        <f t="shared" ref="DQ21:DQ31" si="63">IF(CG21="",0,1)</f>
        <v>0</v>
      </c>
      <c r="DR21" s="88">
        <f t="shared" ref="DR21:DR31" si="64">IF(CL21="",0,1)</f>
        <v>0</v>
      </c>
      <c r="DS21" s="88">
        <f t="shared" ref="DS21:DS31" si="65">IF(CO21="",0,1)</f>
        <v>0</v>
      </c>
      <c r="DT21" s="88">
        <f t="shared" ref="DT21:DT31" si="66">IF(CS21="",0,1)</f>
        <v>0</v>
      </c>
      <c r="DU21" s="88">
        <f t="shared" ref="DU21:DU31" si="67">IF(CV21="",0,1)</f>
        <v>0</v>
      </c>
      <c r="DW21" s="88">
        <f>IF(CY21&lt;&gt;"",MAX($DW$9:DW20)+1,0)</f>
        <v>0</v>
      </c>
      <c r="DX21" s="182" t="str">
        <f t="shared" ref="DX21:DX31" si="68">IF(DW21=0,"",CY21)</f>
        <v/>
      </c>
    </row>
    <row r="22" spans="2:128" ht="30" customHeight="1" x14ac:dyDescent="0.25">
      <c r="B22" s="875"/>
      <c r="C22" s="885" t="s">
        <v>47</v>
      </c>
      <c r="D22" s="886"/>
      <c r="E22" s="52"/>
      <c r="F22" s="53"/>
      <c r="G22" s="54"/>
      <c r="H22" s="54"/>
      <c r="I22" s="54"/>
      <c r="J22" s="54"/>
      <c r="K22" s="54"/>
      <c r="L22" s="23">
        <f t="shared" si="24"/>
        <v>0</v>
      </c>
      <c r="M22" s="28">
        <f t="shared" ref="M22:M31" si="69">F22+L22</f>
        <v>0</v>
      </c>
      <c r="N22" s="25"/>
      <c r="O22" s="53"/>
      <c r="P22" s="54"/>
      <c r="Q22" s="54"/>
      <c r="R22" s="54"/>
      <c r="S22" s="54"/>
      <c r="T22" s="23">
        <f t="shared" si="25"/>
        <v>0</v>
      </c>
      <c r="U22" s="60"/>
      <c r="V22" s="27"/>
      <c r="W22" s="28">
        <f t="shared" ref="W22:W31" si="70">M22+T22+U22</f>
        <v>0</v>
      </c>
      <c r="X22" s="53"/>
      <c r="Y22" s="54"/>
      <c r="Z22" s="23">
        <f t="shared" si="26"/>
        <v>0</v>
      </c>
      <c r="AA22" s="62"/>
      <c r="AB22" s="63"/>
      <c r="AC22" s="69"/>
      <c r="AD22" s="70"/>
      <c r="AE22" s="71"/>
      <c r="AG22" s="6">
        <f>IF(AND(AA22&lt;&gt;"",OR(AA22&lt;EXPEDIENTE!$I$25,AA22&gt;EXPEDIENTE!$I$29)),1,0)</f>
        <v>0</v>
      </c>
      <c r="AH22" s="6">
        <f>IF(AND(AB22&lt;&gt;"",OR(AB22&lt;EXPEDIENTE!$I$25,AB22&gt;EXPEDIENTE!$I$29)),1,0)</f>
        <v>0</v>
      </c>
      <c r="AI22" s="6">
        <f>IF(DATE(YEAR(EXPEDIENTE!$I$25)+3,MONTH(DATEVALUE($C22&amp;"1")),1)&gt;=DATE(YEAR(EXPEDIENTE!$I$25),MONTH(EXPEDIENTE!$I$25),1),0,1)</f>
        <v>0</v>
      </c>
      <c r="AJ22" s="6" t="e">
        <f>IF(DATE(YEAR(EXPEDIENTE!$I$25)+3,MONTH(DATEVALUE($C22&amp;"1")),1)&lt;=DATE(YEAR(EXPEDIENTE!$I$27),MONTH(EXPEDIENTE!$I$27),1),0,1)</f>
        <v>#VALUE!</v>
      </c>
      <c r="AK22" s="6" t="e">
        <f t="shared" si="27"/>
        <v>#VALUE!</v>
      </c>
      <c r="AM22" s="728"/>
      <c r="AN22" s="723" t="s">
        <v>47</v>
      </c>
      <c r="AO22" s="724"/>
      <c r="AP22" s="719"/>
      <c r="AQ22" s="720"/>
      <c r="AR22" s="319">
        <f t="shared" si="6"/>
        <v>0</v>
      </c>
      <c r="AS22" s="120"/>
      <c r="AT22" s="320">
        <f t="shared" si="28"/>
        <v>0</v>
      </c>
      <c r="AU22" s="321">
        <f t="shared" si="7"/>
        <v>0</v>
      </c>
      <c r="AV22" s="528"/>
      <c r="AW22" s="322">
        <f t="shared" si="29"/>
        <v>0</v>
      </c>
      <c r="AX22" s="321">
        <f t="shared" si="8"/>
        <v>0</v>
      </c>
      <c r="AY22" s="529"/>
      <c r="AZ22" s="323">
        <f t="shared" si="30"/>
        <v>0</v>
      </c>
      <c r="BA22" s="323">
        <f t="shared" si="9"/>
        <v>0</v>
      </c>
      <c r="BB22" s="529"/>
      <c r="BC22" s="323">
        <f t="shared" si="31"/>
        <v>0</v>
      </c>
      <c r="BD22" s="323">
        <f t="shared" si="10"/>
        <v>0</v>
      </c>
      <c r="BE22" s="529"/>
      <c r="BF22" s="323">
        <f t="shared" si="32"/>
        <v>0</v>
      </c>
      <c r="BG22" s="323">
        <f t="shared" si="11"/>
        <v>0</v>
      </c>
      <c r="BH22" s="529"/>
      <c r="BI22" s="323">
        <f t="shared" si="33"/>
        <v>0</v>
      </c>
      <c r="BJ22" s="323">
        <f t="shared" si="12"/>
        <v>0</v>
      </c>
      <c r="BK22" s="529"/>
      <c r="BL22" s="323">
        <f t="shared" si="34"/>
        <v>0</v>
      </c>
      <c r="BM22" s="304">
        <f t="shared" si="35"/>
        <v>0</v>
      </c>
      <c r="BN22" s="324">
        <f t="shared" si="36"/>
        <v>0</v>
      </c>
      <c r="BO22" s="306"/>
      <c r="BP22" s="321">
        <f t="shared" si="13"/>
        <v>0</v>
      </c>
      <c r="BQ22" s="528"/>
      <c r="BR22" s="325">
        <f t="shared" si="37"/>
        <v>0</v>
      </c>
      <c r="BS22" s="323">
        <f t="shared" si="14"/>
        <v>0</v>
      </c>
      <c r="BT22" s="529"/>
      <c r="BU22" s="323">
        <f t="shared" si="38"/>
        <v>0</v>
      </c>
      <c r="BV22" s="323">
        <f t="shared" si="15"/>
        <v>0</v>
      </c>
      <c r="BW22" s="529"/>
      <c r="BX22" s="323">
        <f t="shared" si="39"/>
        <v>0</v>
      </c>
      <c r="BY22" s="323">
        <f t="shared" si="16"/>
        <v>0</v>
      </c>
      <c r="BZ22" s="529"/>
      <c r="CA22" s="323">
        <f t="shared" si="40"/>
        <v>0</v>
      </c>
      <c r="CB22" s="323">
        <f t="shared" si="17"/>
        <v>0</v>
      </c>
      <c r="CC22" s="529"/>
      <c r="CD22" s="323">
        <f t="shared" si="41"/>
        <v>0</v>
      </c>
      <c r="CE22" s="304">
        <f t="shared" si="42"/>
        <v>0</v>
      </c>
      <c r="CF22" s="321">
        <f t="shared" si="18"/>
        <v>0</v>
      </c>
      <c r="CG22" s="529"/>
      <c r="CH22" s="326">
        <f t="shared" si="43"/>
        <v>0</v>
      </c>
      <c r="CI22" s="310"/>
      <c r="CJ22" s="327">
        <f t="shared" si="44"/>
        <v>0</v>
      </c>
      <c r="CK22" s="321">
        <f t="shared" si="19"/>
        <v>0</v>
      </c>
      <c r="CL22" s="528"/>
      <c r="CM22" s="322">
        <f t="shared" si="45"/>
        <v>0</v>
      </c>
      <c r="CN22" s="321">
        <f t="shared" si="20"/>
        <v>0</v>
      </c>
      <c r="CO22" s="529"/>
      <c r="CP22" s="326">
        <f t="shared" si="46"/>
        <v>0</v>
      </c>
      <c r="CQ22" s="327">
        <f t="shared" si="47"/>
        <v>0</v>
      </c>
      <c r="CR22" s="313" t="str">
        <f t="shared" si="21"/>
        <v/>
      </c>
      <c r="CS22" s="526"/>
      <c r="CT22" s="314" t="str">
        <f t="shared" si="48"/>
        <v/>
      </c>
      <c r="CU22" s="315" t="str">
        <f t="shared" si="22"/>
        <v/>
      </c>
      <c r="CV22" s="236"/>
      <c r="CW22" s="316" t="str">
        <f t="shared" si="49"/>
        <v/>
      </c>
      <c r="CX22" s="328" t="str">
        <f t="shared" si="50"/>
        <v/>
      </c>
      <c r="CY22" s="530"/>
      <c r="DA22" s="6">
        <f>IF(AND(CT22&lt;&gt;"",OR(CT22&lt;EXPEDIENTE!$I$25,CT22&gt;EXPEDIENTE!$I$29)),1,0)</f>
        <v>0</v>
      </c>
      <c r="DB22" s="6">
        <f>IF(AND(CW22&lt;&gt;"",OR(CW22&lt;EXPEDIENTE!$I$25,CW22&gt;EXPEDIENTE!$I$29)),1,0)</f>
        <v>0</v>
      </c>
      <c r="DD22" s="88">
        <f t="shared" si="23"/>
        <v>0</v>
      </c>
      <c r="DE22" s="88">
        <f t="shared" si="51"/>
        <v>0</v>
      </c>
      <c r="DF22" s="88">
        <f t="shared" si="52"/>
        <v>0</v>
      </c>
      <c r="DG22" s="88">
        <f t="shared" si="53"/>
        <v>0</v>
      </c>
      <c r="DH22" s="88">
        <f t="shared" si="54"/>
        <v>0</v>
      </c>
      <c r="DI22" s="88">
        <f t="shared" si="55"/>
        <v>0</v>
      </c>
      <c r="DJ22" s="88">
        <f t="shared" si="56"/>
        <v>0</v>
      </c>
      <c r="DK22" s="88">
        <f t="shared" si="57"/>
        <v>0</v>
      </c>
      <c r="DL22" s="88">
        <f t="shared" si="58"/>
        <v>0</v>
      </c>
      <c r="DM22" s="88">
        <f t="shared" si="59"/>
        <v>0</v>
      </c>
      <c r="DN22" s="88">
        <f t="shared" si="60"/>
        <v>0</v>
      </c>
      <c r="DO22" s="88">
        <f t="shared" si="61"/>
        <v>0</v>
      </c>
      <c r="DP22" s="88">
        <f t="shared" si="62"/>
        <v>0</v>
      </c>
      <c r="DQ22" s="88">
        <f t="shared" si="63"/>
        <v>0</v>
      </c>
      <c r="DR22" s="88">
        <f t="shared" si="64"/>
        <v>0</v>
      </c>
      <c r="DS22" s="88">
        <f t="shared" si="65"/>
        <v>0</v>
      </c>
      <c r="DT22" s="88">
        <f t="shared" si="66"/>
        <v>0</v>
      </c>
      <c r="DU22" s="88">
        <f t="shared" si="67"/>
        <v>0</v>
      </c>
      <c r="DW22" s="88">
        <f>IF(CY22&lt;&gt;"",MAX($DW$9:DW21)+1,0)</f>
        <v>0</v>
      </c>
      <c r="DX22" s="182" t="str">
        <f t="shared" si="68"/>
        <v/>
      </c>
    </row>
    <row r="23" spans="2:128" ht="30" customHeight="1" x14ac:dyDescent="0.25">
      <c r="B23" s="875"/>
      <c r="C23" s="885" t="s">
        <v>48</v>
      </c>
      <c r="D23" s="886"/>
      <c r="E23" s="52"/>
      <c r="F23" s="53"/>
      <c r="G23" s="54"/>
      <c r="H23" s="54"/>
      <c r="I23" s="54"/>
      <c r="J23" s="54"/>
      <c r="K23" s="54"/>
      <c r="L23" s="23">
        <f t="shared" si="24"/>
        <v>0</v>
      </c>
      <c r="M23" s="28">
        <f t="shared" si="69"/>
        <v>0</v>
      </c>
      <c r="N23" s="25"/>
      <c r="O23" s="53"/>
      <c r="P23" s="54"/>
      <c r="Q23" s="54"/>
      <c r="R23" s="54"/>
      <c r="S23" s="54"/>
      <c r="T23" s="23">
        <f t="shared" si="25"/>
        <v>0</v>
      </c>
      <c r="U23" s="60"/>
      <c r="V23" s="27"/>
      <c r="W23" s="28">
        <f t="shared" si="70"/>
        <v>0</v>
      </c>
      <c r="X23" s="53"/>
      <c r="Y23" s="54"/>
      <c r="Z23" s="23">
        <f t="shared" si="26"/>
        <v>0</v>
      </c>
      <c r="AA23" s="62"/>
      <c r="AB23" s="63"/>
      <c r="AC23" s="69"/>
      <c r="AD23" s="70"/>
      <c r="AE23" s="71"/>
      <c r="AG23" s="6">
        <f>IF(AND(AA23&lt;&gt;"",OR(AA23&lt;EXPEDIENTE!$I$25,AA23&gt;EXPEDIENTE!$I$29)),1,0)</f>
        <v>0</v>
      </c>
      <c r="AH23" s="6">
        <f>IF(AND(AB23&lt;&gt;"",OR(AB23&lt;EXPEDIENTE!$I$25,AB23&gt;EXPEDIENTE!$I$29)),1,0)</f>
        <v>0</v>
      </c>
      <c r="AI23" s="6">
        <f>IF(DATE(YEAR(EXPEDIENTE!$I$25)+3,MONTH(DATEVALUE($C23&amp;"1")),1)&gt;=DATE(YEAR(EXPEDIENTE!$I$25),MONTH(EXPEDIENTE!$I$25),1),0,1)</f>
        <v>0</v>
      </c>
      <c r="AJ23" s="6" t="e">
        <f>IF(DATE(YEAR(EXPEDIENTE!$I$25)+3,MONTH(DATEVALUE($C23&amp;"1")),1)&lt;=DATE(YEAR(EXPEDIENTE!$I$27),MONTH(EXPEDIENTE!$I$27),1),0,1)</f>
        <v>#VALUE!</v>
      </c>
      <c r="AK23" s="6" t="e">
        <f t="shared" si="27"/>
        <v>#VALUE!</v>
      </c>
      <c r="AM23" s="728"/>
      <c r="AN23" s="723" t="s">
        <v>48</v>
      </c>
      <c r="AO23" s="724"/>
      <c r="AP23" s="719"/>
      <c r="AQ23" s="720"/>
      <c r="AR23" s="319">
        <f t="shared" si="6"/>
        <v>0</v>
      </c>
      <c r="AS23" s="120"/>
      <c r="AT23" s="320">
        <f t="shared" si="28"/>
        <v>0</v>
      </c>
      <c r="AU23" s="321">
        <f t="shared" si="7"/>
        <v>0</v>
      </c>
      <c r="AV23" s="528"/>
      <c r="AW23" s="322">
        <f t="shared" si="29"/>
        <v>0</v>
      </c>
      <c r="AX23" s="321">
        <f t="shared" si="8"/>
        <v>0</v>
      </c>
      <c r="AY23" s="529"/>
      <c r="AZ23" s="323">
        <f t="shared" si="30"/>
        <v>0</v>
      </c>
      <c r="BA23" s="323">
        <f t="shared" si="9"/>
        <v>0</v>
      </c>
      <c r="BB23" s="529"/>
      <c r="BC23" s="323">
        <f t="shared" si="31"/>
        <v>0</v>
      </c>
      <c r="BD23" s="323">
        <f t="shared" si="10"/>
        <v>0</v>
      </c>
      <c r="BE23" s="529"/>
      <c r="BF23" s="323">
        <f t="shared" si="32"/>
        <v>0</v>
      </c>
      <c r="BG23" s="323">
        <f t="shared" si="11"/>
        <v>0</v>
      </c>
      <c r="BH23" s="529"/>
      <c r="BI23" s="323">
        <f t="shared" si="33"/>
        <v>0</v>
      </c>
      <c r="BJ23" s="323">
        <f t="shared" si="12"/>
        <v>0</v>
      </c>
      <c r="BK23" s="529"/>
      <c r="BL23" s="323">
        <f t="shared" si="34"/>
        <v>0</v>
      </c>
      <c r="BM23" s="304">
        <f t="shared" si="35"/>
        <v>0</v>
      </c>
      <c r="BN23" s="324">
        <f t="shared" si="36"/>
        <v>0</v>
      </c>
      <c r="BO23" s="306"/>
      <c r="BP23" s="321">
        <f t="shared" si="13"/>
        <v>0</v>
      </c>
      <c r="BQ23" s="528"/>
      <c r="BR23" s="325">
        <f t="shared" si="37"/>
        <v>0</v>
      </c>
      <c r="BS23" s="323">
        <f t="shared" si="14"/>
        <v>0</v>
      </c>
      <c r="BT23" s="529"/>
      <c r="BU23" s="323">
        <f t="shared" si="38"/>
        <v>0</v>
      </c>
      <c r="BV23" s="323">
        <f t="shared" si="15"/>
        <v>0</v>
      </c>
      <c r="BW23" s="529"/>
      <c r="BX23" s="323">
        <f t="shared" si="39"/>
        <v>0</v>
      </c>
      <c r="BY23" s="323">
        <f t="shared" si="16"/>
        <v>0</v>
      </c>
      <c r="BZ23" s="529"/>
      <c r="CA23" s="323">
        <f t="shared" si="40"/>
        <v>0</v>
      </c>
      <c r="CB23" s="323">
        <f t="shared" si="17"/>
        <v>0</v>
      </c>
      <c r="CC23" s="529"/>
      <c r="CD23" s="323">
        <f t="shared" si="41"/>
        <v>0</v>
      </c>
      <c r="CE23" s="304">
        <f t="shared" si="42"/>
        <v>0</v>
      </c>
      <c r="CF23" s="321">
        <f t="shared" si="18"/>
        <v>0</v>
      </c>
      <c r="CG23" s="529"/>
      <c r="CH23" s="326">
        <f t="shared" si="43"/>
        <v>0</v>
      </c>
      <c r="CI23" s="310"/>
      <c r="CJ23" s="327">
        <f t="shared" si="44"/>
        <v>0</v>
      </c>
      <c r="CK23" s="321">
        <f t="shared" si="19"/>
        <v>0</v>
      </c>
      <c r="CL23" s="528"/>
      <c r="CM23" s="322">
        <f t="shared" si="45"/>
        <v>0</v>
      </c>
      <c r="CN23" s="321">
        <f t="shared" si="20"/>
        <v>0</v>
      </c>
      <c r="CO23" s="529"/>
      <c r="CP23" s="326">
        <f t="shared" si="46"/>
        <v>0</v>
      </c>
      <c r="CQ23" s="327">
        <f t="shared" si="47"/>
        <v>0</v>
      </c>
      <c r="CR23" s="313" t="str">
        <f t="shared" si="21"/>
        <v/>
      </c>
      <c r="CS23" s="526"/>
      <c r="CT23" s="314" t="str">
        <f t="shared" si="48"/>
        <v/>
      </c>
      <c r="CU23" s="315" t="str">
        <f t="shared" si="22"/>
        <v/>
      </c>
      <c r="CV23" s="236"/>
      <c r="CW23" s="316" t="str">
        <f t="shared" si="49"/>
        <v/>
      </c>
      <c r="CX23" s="328" t="str">
        <f t="shared" si="50"/>
        <v/>
      </c>
      <c r="CY23" s="530"/>
      <c r="DA23" s="6">
        <f>IF(AND(CT23&lt;&gt;"",OR(CT23&lt;EXPEDIENTE!$I$25,CT23&gt;EXPEDIENTE!$I$29)),1,0)</f>
        <v>0</v>
      </c>
      <c r="DB23" s="6">
        <f>IF(AND(CW23&lt;&gt;"",OR(CW23&lt;EXPEDIENTE!$I$25,CW23&gt;EXPEDIENTE!$I$29)),1,0)</f>
        <v>0</v>
      </c>
      <c r="DD23" s="88">
        <f t="shared" si="23"/>
        <v>0</v>
      </c>
      <c r="DE23" s="88">
        <f t="shared" si="51"/>
        <v>0</v>
      </c>
      <c r="DF23" s="88">
        <f t="shared" si="52"/>
        <v>0</v>
      </c>
      <c r="DG23" s="88">
        <f t="shared" si="53"/>
        <v>0</v>
      </c>
      <c r="DH23" s="88">
        <f t="shared" si="54"/>
        <v>0</v>
      </c>
      <c r="DI23" s="88">
        <f t="shared" si="55"/>
        <v>0</v>
      </c>
      <c r="DJ23" s="88">
        <f t="shared" si="56"/>
        <v>0</v>
      </c>
      <c r="DK23" s="88">
        <f t="shared" si="57"/>
        <v>0</v>
      </c>
      <c r="DL23" s="88">
        <f t="shared" si="58"/>
        <v>0</v>
      </c>
      <c r="DM23" s="88">
        <f t="shared" si="59"/>
        <v>0</v>
      </c>
      <c r="DN23" s="88">
        <f t="shared" si="60"/>
        <v>0</v>
      </c>
      <c r="DO23" s="88">
        <f t="shared" si="61"/>
        <v>0</v>
      </c>
      <c r="DP23" s="88">
        <f t="shared" si="62"/>
        <v>0</v>
      </c>
      <c r="DQ23" s="88">
        <f t="shared" si="63"/>
        <v>0</v>
      </c>
      <c r="DR23" s="88">
        <f t="shared" si="64"/>
        <v>0</v>
      </c>
      <c r="DS23" s="88">
        <f t="shared" si="65"/>
        <v>0</v>
      </c>
      <c r="DT23" s="88">
        <f t="shared" si="66"/>
        <v>0</v>
      </c>
      <c r="DU23" s="88">
        <f t="shared" si="67"/>
        <v>0</v>
      </c>
      <c r="DW23" s="88">
        <f>IF(CY23&lt;&gt;"",MAX($DW$9:DW22)+1,0)</f>
        <v>0</v>
      </c>
      <c r="DX23" s="182" t="str">
        <f t="shared" si="68"/>
        <v/>
      </c>
    </row>
    <row r="24" spans="2:128" ht="30" customHeight="1" x14ac:dyDescent="0.25">
      <c r="B24" s="875"/>
      <c r="C24" s="885" t="s">
        <v>49</v>
      </c>
      <c r="D24" s="886"/>
      <c r="E24" s="52"/>
      <c r="F24" s="53"/>
      <c r="G24" s="54"/>
      <c r="H24" s="54"/>
      <c r="I24" s="54"/>
      <c r="J24" s="54"/>
      <c r="K24" s="54"/>
      <c r="L24" s="23">
        <f t="shared" si="24"/>
        <v>0</v>
      </c>
      <c r="M24" s="28">
        <f t="shared" si="69"/>
        <v>0</v>
      </c>
      <c r="N24" s="25"/>
      <c r="O24" s="53"/>
      <c r="P24" s="54"/>
      <c r="Q24" s="54"/>
      <c r="R24" s="54"/>
      <c r="S24" s="54"/>
      <c r="T24" s="23">
        <f t="shared" si="25"/>
        <v>0</v>
      </c>
      <c r="U24" s="60"/>
      <c r="V24" s="27"/>
      <c r="W24" s="28">
        <f t="shared" si="70"/>
        <v>0</v>
      </c>
      <c r="X24" s="53"/>
      <c r="Y24" s="54"/>
      <c r="Z24" s="23">
        <f t="shared" si="26"/>
        <v>0</v>
      </c>
      <c r="AA24" s="62"/>
      <c r="AB24" s="63"/>
      <c r="AC24" s="69"/>
      <c r="AD24" s="70"/>
      <c r="AE24" s="71"/>
      <c r="AG24" s="6">
        <f>IF(AND(AA24&lt;&gt;"",OR(AA24&lt;EXPEDIENTE!$I$25,AA24&gt;EXPEDIENTE!$I$29)),1,0)</f>
        <v>0</v>
      </c>
      <c r="AH24" s="6">
        <f>IF(AND(AB24&lt;&gt;"",OR(AB24&lt;EXPEDIENTE!$I$25,AB24&gt;EXPEDIENTE!$I$29)),1,0)</f>
        <v>0</v>
      </c>
      <c r="AI24" s="6">
        <f>IF(DATE(YEAR(EXPEDIENTE!$I$25)+3,MONTH(DATEVALUE($C24&amp;"1")),1)&gt;=DATE(YEAR(EXPEDIENTE!$I$25),MONTH(EXPEDIENTE!$I$25),1),0,1)</f>
        <v>0</v>
      </c>
      <c r="AJ24" s="6" t="e">
        <f>IF(DATE(YEAR(EXPEDIENTE!$I$25)+3,MONTH(DATEVALUE($C24&amp;"1")),1)&lt;=DATE(YEAR(EXPEDIENTE!$I$27),MONTH(EXPEDIENTE!$I$27),1),0,1)</f>
        <v>#VALUE!</v>
      </c>
      <c r="AK24" s="6" t="e">
        <f t="shared" si="27"/>
        <v>#VALUE!</v>
      </c>
      <c r="AM24" s="728"/>
      <c r="AN24" s="723" t="s">
        <v>49</v>
      </c>
      <c r="AO24" s="724"/>
      <c r="AP24" s="719"/>
      <c r="AQ24" s="720"/>
      <c r="AR24" s="319">
        <f t="shared" si="6"/>
        <v>0</v>
      </c>
      <c r="AS24" s="120"/>
      <c r="AT24" s="320">
        <f t="shared" si="28"/>
        <v>0</v>
      </c>
      <c r="AU24" s="321">
        <f t="shared" si="7"/>
        <v>0</v>
      </c>
      <c r="AV24" s="528"/>
      <c r="AW24" s="322">
        <f t="shared" si="29"/>
        <v>0</v>
      </c>
      <c r="AX24" s="321">
        <f t="shared" si="8"/>
        <v>0</v>
      </c>
      <c r="AY24" s="529"/>
      <c r="AZ24" s="323">
        <f t="shared" si="30"/>
        <v>0</v>
      </c>
      <c r="BA24" s="323">
        <f t="shared" si="9"/>
        <v>0</v>
      </c>
      <c r="BB24" s="529"/>
      <c r="BC24" s="323">
        <f t="shared" si="31"/>
        <v>0</v>
      </c>
      <c r="BD24" s="323">
        <f t="shared" si="10"/>
        <v>0</v>
      </c>
      <c r="BE24" s="529"/>
      <c r="BF24" s="323">
        <f t="shared" si="32"/>
        <v>0</v>
      </c>
      <c r="BG24" s="323">
        <f t="shared" si="11"/>
        <v>0</v>
      </c>
      <c r="BH24" s="529"/>
      <c r="BI24" s="323">
        <f t="shared" si="33"/>
        <v>0</v>
      </c>
      <c r="BJ24" s="323">
        <f t="shared" si="12"/>
        <v>0</v>
      </c>
      <c r="BK24" s="529"/>
      <c r="BL24" s="323">
        <f t="shared" si="34"/>
        <v>0</v>
      </c>
      <c r="BM24" s="304">
        <f t="shared" si="35"/>
        <v>0</v>
      </c>
      <c r="BN24" s="324">
        <f t="shared" si="36"/>
        <v>0</v>
      </c>
      <c r="BO24" s="306"/>
      <c r="BP24" s="321">
        <f t="shared" si="13"/>
        <v>0</v>
      </c>
      <c r="BQ24" s="528"/>
      <c r="BR24" s="325">
        <f t="shared" si="37"/>
        <v>0</v>
      </c>
      <c r="BS24" s="323">
        <f t="shared" si="14"/>
        <v>0</v>
      </c>
      <c r="BT24" s="529"/>
      <c r="BU24" s="323">
        <f t="shared" si="38"/>
        <v>0</v>
      </c>
      <c r="BV24" s="323">
        <f t="shared" si="15"/>
        <v>0</v>
      </c>
      <c r="BW24" s="529"/>
      <c r="BX24" s="323">
        <f t="shared" si="39"/>
        <v>0</v>
      </c>
      <c r="BY24" s="323">
        <f t="shared" si="16"/>
        <v>0</v>
      </c>
      <c r="BZ24" s="529"/>
      <c r="CA24" s="323">
        <f t="shared" si="40"/>
        <v>0</v>
      </c>
      <c r="CB24" s="323">
        <f t="shared" si="17"/>
        <v>0</v>
      </c>
      <c r="CC24" s="529"/>
      <c r="CD24" s="323">
        <f t="shared" si="41"/>
        <v>0</v>
      </c>
      <c r="CE24" s="304">
        <f t="shared" si="42"/>
        <v>0</v>
      </c>
      <c r="CF24" s="321">
        <f t="shared" si="18"/>
        <v>0</v>
      </c>
      <c r="CG24" s="529"/>
      <c r="CH24" s="326">
        <f t="shared" si="43"/>
        <v>0</v>
      </c>
      <c r="CI24" s="310"/>
      <c r="CJ24" s="327">
        <f t="shared" si="44"/>
        <v>0</v>
      </c>
      <c r="CK24" s="321">
        <f t="shared" si="19"/>
        <v>0</v>
      </c>
      <c r="CL24" s="528"/>
      <c r="CM24" s="322">
        <f t="shared" si="45"/>
        <v>0</v>
      </c>
      <c r="CN24" s="321">
        <f t="shared" si="20"/>
        <v>0</v>
      </c>
      <c r="CO24" s="529"/>
      <c r="CP24" s="326">
        <f t="shared" si="46"/>
        <v>0</v>
      </c>
      <c r="CQ24" s="327">
        <f t="shared" si="47"/>
        <v>0</v>
      </c>
      <c r="CR24" s="313" t="str">
        <f t="shared" si="21"/>
        <v/>
      </c>
      <c r="CS24" s="526"/>
      <c r="CT24" s="314" t="str">
        <f t="shared" si="48"/>
        <v/>
      </c>
      <c r="CU24" s="315" t="str">
        <f t="shared" si="22"/>
        <v/>
      </c>
      <c r="CV24" s="236"/>
      <c r="CW24" s="316" t="str">
        <f t="shared" si="49"/>
        <v/>
      </c>
      <c r="CX24" s="328" t="str">
        <f t="shared" si="50"/>
        <v/>
      </c>
      <c r="CY24" s="530"/>
      <c r="DA24" s="6">
        <f>IF(AND(CT24&lt;&gt;"",OR(CT24&lt;EXPEDIENTE!$I$25,CT24&gt;EXPEDIENTE!$I$29)),1,0)</f>
        <v>0</v>
      </c>
      <c r="DB24" s="6">
        <f>IF(AND(CW24&lt;&gt;"",OR(CW24&lt;EXPEDIENTE!$I$25,CW24&gt;EXPEDIENTE!$I$29)),1,0)</f>
        <v>0</v>
      </c>
      <c r="DD24" s="88">
        <f t="shared" si="23"/>
        <v>0</v>
      </c>
      <c r="DE24" s="88">
        <f t="shared" si="51"/>
        <v>0</v>
      </c>
      <c r="DF24" s="88">
        <f t="shared" si="52"/>
        <v>0</v>
      </c>
      <c r="DG24" s="88">
        <f t="shared" si="53"/>
        <v>0</v>
      </c>
      <c r="DH24" s="88">
        <f t="shared" si="54"/>
        <v>0</v>
      </c>
      <c r="DI24" s="88">
        <f t="shared" si="55"/>
        <v>0</v>
      </c>
      <c r="DJ24" s="88">
        <f t="shared" si="56"/>
        <v>0</v>
      </c>
      <c r="DK24" s="88">
        <f t="shared" si="57"/>
        <v>0</v>
      </c>
      <c r="DL24" s="88">
        <f t="shared" si="58"/>
        <v>0</v>
      </c>
      <c r="DM24" s="88">
        <f t="shared" si="59"/>
        <v>0</v>
      </c>
      <c r="DN24" s="88">
        <f t="shared" si="60"/>
        <v>0</v>
      </c>
      <c r="DO24" s="88">
        <f t="shared" si="61"/>
        <v>0</v>
      </c>
      <c r="DP24" s="88">
        <f t="shared" si="62"/>
        <v>0</v>
      </c>
      <c r="DQ24" s="88">
        <f t="shared" si="63"/>
        <v>0</v>
      </c>
      <c r="DR24" s="88">
        <f t="shared" si="64"/>
        <v>0</v>
      </c>
      <c r="DS24" s="88">
        <f t="shared" si="65"/>
        <v>0</v>
      </c>
      <c r="DT24" s="88">
        <f t="shared" si="66"/>
        <v>0</v>
      </c>
      <c r="DU24" s="88">
        <f t="shared" si="67"/>
        <v>0</v>
      </c>
      <c r="DW24" s="88">
        <f>IF(CY24&lt;&gt;"",MAX($DW$9:DW23)+1,0)</f>
        <v>0</v>
      </c>
      <c r="DX24" s="182" t="str">
        <f t="shared" si="68"/>
        <v/>
      </c>
    </row>
    <row r="25" spans="2:128" ht="30" customHeight="1" x14ac:dyDescent="0.25">
      <c r="B25" s="875"/>
      <c r="C25" s="885" t="s">
        <v>50</v>
      </c>
      <c r="D25" s="886"/>
      <c r="E25" s="52"/>
      <c r="F25" s="53"/>
      <c r="G25" s="54"/>
      <c r="H25" s="54"/>
      <c r="I25" s="54"/>
      <c r="J25" s="54"/>
      <c r="K25" s="54"/>
      <c r="L25" s="23">
        <f t="shared" si="24"/>
        <v>0</v>
      </c>
      <c r="M25" s="28">
        <f t="shared" si="69"/>
        <v>0</v>
      </c>
      <c r="N25" s="25"/>
      <c r="O25" s="53"/>
      <c r="P25" s="54"/>
      <c r="Q25" s="54"/>
      <c r="R25" s="54"/>
      <c r="S25" s="54"/>
      <c r="T25" s="23">
        <f t="shared" si="25"/>
        <v>0</v>
      </c>
      <c r="U25" s="60"/>
      <c r="V25" s="27"/>
      <c r="W25" s="28">
        <f t="shared" si="70"/>
        <v>0</v>
      </c>
      <c r="X25" s="53"/>
      <c r="Y25" s="54"/>
      <c r="Z25" s="23">
        <f t="shared" si="26"/>
        <v>0</v>
      </c>
      <c r="AA25" s="62"/>
      <c r="AB25" s="63"/>
      <c r="AC25" s="69"/>
      <c r="AD25" s="70"/>
      <c r="AE25" s="71"/>
      <c r="AG25" s="6">
        <f>IF(AND(AA25&lt;&gt;"",OR(AA25&lt;EXPEDIENTE!$I$25,AA25&gt;EXPEDIENTE!$I$29)),1,0)</f>
        <v>0</v>
      </c>
      <c r="AH25" s="6">
        <f>IF(AND(AB25&lt;&gt;"",OR(AB25&lt;EXPEDIENTE!$I$25,AB25&gt;EXPEDIENTE!$I$29)),1,0)</f>
        <v>0</v>
      </c>
      <c r="AI25" s="6">
        <f>IF(DATE(YEAR(EXPEDIENTE!$I$25)+3,MONTH(DATEVALUE($C25&amp;"1")),1)&gt;=DATE(YEAR(EXPEDIENTE!$I$25),MONTH(EXPEDIENTE!$I$25),1),0,1)</f>
        <v>0</v>
      </c>
      <c r="AJ25" s="6" t="e">
        <f>IF(DATE(YEAR(EXPEDIENTE!$I$25)+3,MONTH(DATEVALUE($C25&amp;"1")),1)&lt;=DATE(YEAR(EXPEDIENTE!$I$27),MONTH(EXPEDIENTE!$I$27),1),0,1)</f>
        <v>#VALUE!</v>
      </c>
      <c r="AK25" s="6" t="e">
        <f t="shared" si="27"/>
        <v>#VALUE!</v>
      </c>
      <c r="AM25" s="728"/>
      <c r="AN25" s="723" t="s">
        <v>50</v>
      </c>
      <c r="AO25" s="724"/>
      <c r="AP25" s="719"/>
      <c r="AQ25" s="720"/>
      <c r="AR25" s="319">
        <f t="shared" si="6"/>
        <v>0</v>
      </c>
      <c r="AS25" s="120"/>
      <c r="AT25" s="320">
        <f t="shared" si="28"/>
        <v>0</v>
      </c>
      <c r="AU25" s="321">
        <f t="shared" si="7"/>
        <v>0</v>
      </c>
      <c r="AV25" s="528"/>
      <c r="AW25" s="322">
        <f t="shared" si="29"/>
        <v>0</v>
      </c>
      <c r="AX25" s="321">
        <f t="shared" si="8"/>
        <v>0</v>
      </c>
      <c r="AY25" s="529"/>
      <c r="AZ25" s="323">
        <f t="shared" si="30"/>
        <v>0</v>
      </c>
      <c r="BA25" s="323">
        <f t="shared" si="9"/>
        <v>0</v>
      </c>
      <c r="BB25" s="529"/>
      <c r="BC25" s="323">
        <f t="shared" si="31"/>
        <v>0</v>
      </c>
      <c r="BD25" s="323">
        <f t="shared" si="10"/>
        <v>0</v>
      </c>
      <c r="BE25" s="529"/>
      <c r="BF25" s="323">
        <f t="shared" si="32"/>
        <v>0</v>
      </c>
      <c r="BG25" s="323">
        <f t="shared" si="11"/>
        <v>0</v>
      </c>
      <c r="BH25" s="529"/>
      <c r="BI25" s="323">
        <f t="shared" si="33"/>
        <v>0</v>
      </c>
      <c r="BJ25" s="323">
        <f t="shared" si="12"/>
        <v>0</v>
      </c>
      <c r="BK25" s="529"/>
      <c r="BL25" s="323">
        <f t="shared" si="34"/>
        <v>0</v>
      </c>
      <c r="BM25" s="304">
        <f t="shared" si="35"/>
        <v>0</v>
      </c>
      <c r="BN25" s="324">
        <f t="shared" si="36"/>
        <v>0</v>
      </c>
      <c r="BO25" s="306"/>
      <c r="BP25" s="321">
        <f t="shared" si="13"/>
        <v>0</v>
      </c>
      <c r="BQ25" s="528"/>
      <c r="BR25" s="325">
        <f t="shared" si="37"/>
        <v>0</v>
      </c>
      <c r="BS25" s="323">
        <f t="shared" si="14"/>
        <v>0</v>
      </c>
      <c r="BT25" s="529"/>
      <c r="BU25" s="323">
        <f t="shared" si="38"/>
        <v>0</v>
      </c>
      <c r="BV25" s="323">
        <f t="shared" si="15"/>
        <v>0</v>
      </c>
      <c r="BW25" s="529"/>
      <c r="BX25" s="323">
        <f t="shared" si="39"/>
        <v>0</v>
      </c>
      <c r="BY25" s="323">
        <f t="shared" si="16"/>
        <v>0</v>
      </c>
      <c r="BZ25" s="529"/>
      <c r="CA25" s="323">
        <f t="shared" si="40"/>
        <v>0</v>
      </c>
      <c r="CB25" s="323">
        <f t="shared" si="17"/>
        <v>0</v>
      </c>
      <c r="CC25" s="529"/>
      <c r="CD25" s="323">
        <f t="shared" si="41"/>
        <v>0</v>
      </c>
      <c r="CE25" s="304">
        <f t="shared" si="42"/>
        <v>0</v>
      </c>
      <c r="CF25" s="321">
        <f t="shared" si="18"/>
        <v>0</v>
      </c>
      <c r="CG25" s="529"/>
      <c r="CH25" s="326">
        <f t="shared" si="43"/>
        <v>0</v>
      </c>
      <c r="CI25" s="310"/>
      <c r="CJ25" s="327">
        <f t="shared" si="44"/>
        <v>0</v>
      </c>
      <c r="CK25" s="321">
        <f t="shared" si="19"/>
        <v>0</v>
      </c>
      <c r="CL25" s="528"/>
      <c r="CM25" s="322">
        <f t="shared" si="45"/>
        <v>0</v>
      </c>
      <c r="CN25" s="321">
        <f t="shared" si="20"/>
        <v>0</v>
      </c>
      <c r="CO25" s="529"/>
      <c r="CP25" s="326">
        <f t="shared" si="46"/>
        <v>0</v>
      </c>
      <c r="CQ25" s="327">
        <f t="shared" si="47"/>
        <v>0</v>
      </c>
      <c r="CR25" s="313" t="str">
        <f t="shared" si="21"/>
        <v/>
      </c>
      <c r="CS25" s="526"/>
      <c r="CT25" s="314" t="str">
        <f t="shared" si="48"/>
        <v/>
      </c>
      <c r="CU25" s="315" t="str">
        <f t="shared" si="22"/>
        <v/>
      </c>
      <c r="CV25" s="236"/>
      <c r="CW25" s="316" t="str">
        <f t="shared" si="49"/>
        <v/>
      </c>
      <c r="CX25" s="328" t="str">
        <f t="shared" si="50"/>
        <v/>
      </c>
      <c r="CY25" s="530"/>
      <c r="DA25" s="6">
        <f>IF(AND(CT25&lt;&gt;"",OR(CT25&lt;EXPEDIENTE!$I$25,CT25&gt;EXPEDIENTE!$I$29)),1,0)</f>
        <v>0</v>
      </c>
      <c r="DB25" s="6">
        <f>IF(AND(CW25&lt;&gt;"",OR(CW25&lt;EXPEDIENTE!$I$25,CW25&gt;EXPEDIENTE!$I$29)),1,0)</f>
        <v>0</v>
      </c>
      <c r="DD25" s="88">
        <f t="shared" si="23"/>
        <v>0</v>
      </c>
      <c r="DE25" s="88">
        <f t="shared" si="51"/>
        <v>0</v>
      </c>
      <c r="DF25" s="88">
        <f t="shared" si="52"/>
        <v>0</v>
      </c>
      <c r="DG25" s="88">
        <f t="shared" si="53"/>
        <v>0</v>
      </c>
      <c r="DH25" s="88">
        <f t="shared" si="54"/>
        <v>0</v>
      </c>
      <c r="DI25" s="88">
        <f t="shared" si="55"/>
        <v>0</v>
      </c>
      <c r="DJ25" s="88">
        <f t="shared" si="56"/>
        <v>0</v>
      </c>
      <c r="DK25" s="88">
        <f t="shared" si="57"/>
        <v>0</v>
      </c>
      <c r="DL25" s="88">
        <f t="shared" si="58"/>
        <v>0</v>
      </c>
      <c r="DM25" s="88">
        <f t="shared" si="59"/>
        <v>0</v>
      </c>
      <c r="DN25" s="88">
        <f t="shared" si="60"/>
        <v>0</v>
      </c>
      <c r="DO25" s="88">
        <f t="shared" si="61"/>
        <v>0</v>
      </c>
      <c r="DP25" s="88">
        <f t="shared" si="62"/>
        <v>0</v>
      </c>
      <c r="DQ25" s="88">
        <f t="shared" si="63"/>
        <v>0</v>
      </c>
      <c r="DR25" s="88">
        <f t="shared" si="64"/>
        <v>0</v>
      </c>
      <c r="DS25" s="88">
        <f t="shared" si="65"/>
        <v>0</v>
      </c>
      <c r="DT25" s="88">
        <f t="shared" si="66"/>
        <v>0</v>
      </c>
      <c r="DU25" s="88">
        <f t="shared" si="67"/>
        <v>0</v>
      </c>
      <c r="DW25" s="88">
        <f>IF(CY25&lt;&gt;"",MAX($DW$9:DW24)+1,0)</f>
        <v>0</v>
      </c>
      <c r="DX25" s="182" t="str">
        <f t="shared" si="68"/>
        <v/>
      </c>
    </row>
    <row r="26" spans="2:128" ht="30" customHeight="1" x14ac:dyDescent="0.25">
      <c r="B26" s="875"/>
      <c r="C26" s="885" t="s">
        <v>51</v>
      </c>
      <c r="D26" s="886"/>
      <c r="E26" s="52"/>
      <c r="F26" s="53"/>
      <c r="G26" s="54"/>
      <c r="H26" s="54"/>
      <c r="I26" s="54"/>
      <c r="J26" s="54"/>
      <c r="K26" s="54"/>
      <c r="L26" s="23">
        <f t="shared" si="24"/>
        <v>0</v>
      </c>
      <c r="M26" s="28">
        <f t="shared" si="69"/>
        <v>0</v>
      </c>
      <c r="N26" s="25"/>
      <c r="O26" s="53"/>
      <c r="P26" s="54"/>
      <c r="Q26" s="54"/>
      <c r="R26" s="54"/>
      <c r="S26" s="54"/>
      <c r="T26" s="23">
        <f t="shared" si="25"/>
        <v>0</v>
      </c>
      <c r="U26" s="60"/>
      <c r="V26" s="27"/>
      <c r="W26" s="28">
        <f t="shared" si="70"/>
        <v>0</v>
      </c>
      <c r="X26" s="53"/>
      <c r="Y26" s="54"/>
      <c r="Z26" s="23">
        <f t="shared" si="26"/>
        <v>0</v>
      </c>
      <c r="AA26" s="62"/>
      <c r="AB26" s="63"/>
      <c r="AC26" s="69"/>
      <c r="AD26" s="70"/>
      <c r="AE26" s="71"/>
      <c r="AG26" s="6">
        <f>IF(AND(AA26&lt;&gt;"",OR(AA26&lt;EXPEDIENTE!$I$25,AA26&gt;EXPEDIENTE!$I$29)),1,0)</f>
        <v>0</v>
      </c>
      <c r="AH26" s="6">
        <f>IF(AND(AB26&lt;&gt;"",OR(AB26&lt;EXPEDIENTE!$I$25,AB26&gt;EXPEDIENTE!$I$29)),1,0)</f>
        <v>0</v>
      </c>
      <c r="AI26" s="6">
        <f>IF(DATE(YEAR(EXPEDIENTE!$I$25)+3,MONTH(DATEVALUE($C26&amp;"1")),1)&gt;=DATE(YEAR(EXPEDIENTE!$I$25),MONTH(EXPEDIENTE!$I$25),1),0,1)</f>
        <v>0</v>
      </c>
      <c r="AJ26" s="6" t="e">
        <f>IF(DATE(YEAR(EXPEDIENTE!$I$25)+3,MONTH(DATEVALUE($C26&amp;"1")),1)&lt;=DATE(YEAR(EXPEDIENTE!$I$27),MONTH(EXPEDIENTE!$I$27),1),0,1)</f>
        <v>#VALUE!</v>
      </c>
      <c r="AK26" s="6" t="e">
        <f t="shared" si="27"/>
        <v>#VALUE!</v>
      </c>
      <c r="AM26" s="728"/>
      <c r="AN26" s="723" t="s">
        <v>51</v>
      </c>
      <c r="AO26" s="724"/>
      <c r="AP26" s="719"/>
      <c r="AQ26" s="720"/>
      <c r="AR26" s="319">
        <f t="shared" si="6"/>
        <v>0</v>
      </c>
      <c r="AS26" s="120"/>
      <c r="AT26" s="320">
        <f t="shared" si="28"/>
        <v>0</v>
      </c>
      <c r="AU26" s="321">
        <f t="shared" si="7"/>
        <v>0</v>
      </c>
      <c r="AV26" s="528"/>
      <c r="AW26" s="322">
        <f t="shared" si="29"/>
        <v>0</v>
      </c>
      <c r="AX26" s="321">
        <f t="shared" si="8"/>
        <v>0</v>
      </c>
      <c r="AY26" s="529"/>
      <c r="AZ26" s="323">
        <f t="shared" si="30"/>
        <v>0</v>
      </c>
      <c r="BA26" s="323">
        <f t="shared" si="9"/>
        <v>0</v>
      </c>
      <c r="BB26" s="529"/>
      <c r="BC26" s="323">
        <f t="shared" si="31"/>
        <v>0</v>
      </c>
      <c r="BD26" s="323">
        <f t="shared" si="10"/>
        <v>0</v>
      </c>
      <c r="BE26" s="529"/>
      <c r="BF26" s="323">
        <f t="shared" si="32"/>
        <v>0</v>
      </c>
      <c r="BG26" s="323">
        <f t="shared" si="11"/>
        <v>0</v>
      </c>
      <c r="BH26" s="529"/>
      <c r="BI26" s="323">
        <f t="shared" si="33"/>
        <v>0</v>
      </c>
      <c r="BJ26" s="323">
        <f t="shared" si="12"/>
        <v>0</v>
      </c>
      <c r="BK26" s="529"/>
      <c r="BL26" s="323">
        <f t="shared" si="34"/>
        <v>0</v>
      </c>
      <c r="BM26" s="304">
        <f t="shared" si="35"/>
        <v>0</v>
      </c>
      <c r="BN26" s="324">
        <f t="shared" si="36"/>
        <v>0</v>
      </c>
      <c r="BO26" s="306"/>
      <c r="BP26" s="321">
        <f t="shared" si="13"/>
        <v>0</v>
      </c>
      <c r="BQ26" s="528"/>
      <c r="BR26" s="325">
        <f t="shared" si="37"/>
        <v>0</v>
      </c>
      <c r="BS26" s="323">
        <f t="shared" si="14"/>
        <v>0</v>
      </c>
      <c r="BT26" s="529"/>
      <c r="BU26" s="323">
        <f t="shared" si="38"/>
        <v>0</v>
      </c>
      <c r="BV26" s="323">
        <f t="shared" si="15"/>
        <v>0</v>
      </c>
      <c r="BW26" s="529"/>
      <c r="BX26" s="323">
        <f t="shared" si="39"/>
        <v>0</v>
      </c>
      <c r="BY26" s="323">
        <f t="shared" si="16"/>
        <v>0</v>
      </c>
      <c r="BZ26" s="529"/>
      <c r="CA26" s="323">
        <f t="shared" si="40"/>
        <v>0</v>
      </c>
      <c r="CB26" s="323">
        <f t="shared" si="17"/>
        <v>0</v>
      </c>
      <c r="CC26" s="529"/>
      <c r="CD26" s="323">
        <f t="shared" si="41"/>
        <v>0</v>
      </c>
      <c r="CE26" s="304">
        <f t="shared" si="42"/>
        <v>0</v>
      </c>
      <c r="CF26" s="321">
        <f t="shared" si="18"/>
        <v>0</v>
      </c>
      <c r="CG26" s="529"/>
      <c r="CH26" s="326">
        <f t="shared" si="43"/>
        <v>0</v>
      </c>
      <c r="CI26" s="310"/>
      <c r="CJ26" s="327">
        <f t="shared" si="44"/>
        <v>0</v>
      </c>
      <c r="CK26" s="321">
        <f t="shared" si="19"/>
        <v>0</v>
      </c>
      <c r="CL26" s="528"/>
      <c r="CM26" s="322">
        <f t="shared" si="45"/>
        <v>0</v>
      </c>
      <c r="CN26" s="321">
        <f t="shared" si="20"/>
        <v>0</v>
      </c>
      <c r="CO26" s="529"/>
      <c r="CP26" s="326">
        <f t="shared" si="46"/>
        <v>0</v>
      </c>
      <c r="CQ26" s="327">
        <f t="shared" si="47"/>
        <v>0</v>
      </c>
      <c r="CR26" s="313" t="str">
        <f t="shared" si="21"/>
        <v/>
      </c>
      <c r="CS26" s="526"/>
      <c r="CT26" s="314" t="str">
        <f t="shared" si="48"/>
        <v/>
      </c>
      <c r="CU26" s="315" t="str">
        <f t="shared" si="22"/>
        <v/>
      </c>
      <c r="CV26" s="236"/>
      <c r="CW26" s="316" t="str">
        <f t="shared" si="49"/>
        <v/>
      </c>
      <c r="CX26" s="328" t="str">
        <f t="shared" si="50"/>
        <v/>
      </c>
      <c r="CY26" s="530"/>
      <c r="DA26" s="6">
        <f>IF(AND(CT26&lt;&gt;"",OR(CT26&lt;EXPEDIENTE!$I$25,CT26&gt;EXPEDIENTE!$I$29)),1,0)</f>
        <v>0</v>
      </c>
      <c r="DB26" s="6">
        <f>IF(AND(CW26&lt;&gt;"",OR(CW26&lt;EXPEDIENTE!$I$25,CW26&gt;EXPEDIENTE!$I$29)),1,0)</f>
        <v>0</v>
      </c>
      <c r="DD26" s="88">
        <f t="shared" si="23"/>
        <v>0</v>
      </c>
      <c r="DE26" s="88">
        <f t="shared" si="51"/>
        <v>0</v>
      </c>
      <c r="DF26" s="88">
        <f t="shared" si="52"/>
        <v>0</v>
      </c>
      <c r="DG26" s="88">
        <f t="shared" si="53"/>
        <v>0</v>
      </c>
      <c r="DH26" s="88">
        <f t="shared" si="54"/>
        <v>0</v>
      </c>
      <c r="DI26" s="88">
        <f t="shared" si="55"/>
        <v>0</v>
      </c>
      <c r="DJ26" s="88">
        <f t="shared" si="56"/>
        <v>0</v>
      </c>
      <c r="DK26" s="88">
        <f t="shared" si="57"/>
        <v>0</v>
      </c>
      <c r="DL26" s="88">
        <f t="shared" si="58"/>
        <v>0</v>
      </c>
      <c r="DM26" s="88">
        <f t="shared" si="59"/>
        <v>0</v>
      </c>
      <c r="DN26" s="88">
        <f t="shared" si="60"/>
        <v>0</v>
      </c>
      <c r="DO26" s="88">
        <f t="shared" si="61"/>
        <v>0</v>
      </c>
      <c r="DP26" s="88">
        <f t="shared" si="62"/>
        <v>0</v>
      </c>
      <c r="DQ26" s="88">
        <f t="shared" si="63"/>
        <v>0</v>
      </c>
      <c r="DR26" s="88">
        <f t="shared" si="64"/>
        <v>0</v>
      </c>
      <c r="DS26" s="88">
        <f t="shared" si="65"/>
        <v>0</v>
      </c>
      <c r="DT26" s="88">
        <f t="shared" si="66"/>
        <v>0</v>
      </c>
      <c r="DU26" s="88">
        <f t="shared" si="67"/>
        <v>0</v>
      </c>
      <c r="DW26" s="88">
        <f>IF(CY26&lt;&gt;"",MAX($DW$9:DW25)+1,0)</f>
        <v>0</v>
      </c>
      <c r="DX26" s="182" t="str">
        <f t="shared" si="68"/>
        <v/>
      </c>
    </row>
    <row r="27" spans="2:128" ht="30" customHeight="1" x14ac:dyDescent="0.25">
      <c r="B27" s="875"/>
      <c r="C27" s="885" t="s">
        <v>52</v>
      </c>
      <c r="D27" s="886"/>
      <c r="E27" s="52"/>
      <c r="F27" s="53"/>
      <c r="G27" s="54"/>
      <c r="H27" s="54"/>
      <c r="I27" s="54"/>
      <c r="J27" s="54"/>
      <c r="K27" s="54"/>
      <c r="L27" s="23">
        <f t="shared" si="24"/>
        <v>0</v>
      </c>
      <c r="M27" s="28">
        <f t="shared" si="69"/>
        <v>0</v>
      </c>
      <c r="N27" s="25"/>
      <c r="O27" s="53"/>
      <c r="P27" s="54"/>
      <c r="Q27" s="54"/>
      <c r="R27" s="54"/>
      <c r="S27" s="54"/>
      <c r="T27" s="23">
        <f t="shared" si="25"/>
        <v>0</v>
      </c>
      <c r="U27" s="60"/>
      <c r="V27" s="27"/>
      <c r="W27" s="28">
        <f t="shared" si="70"/>
        <v>0</v>
      </c>
      <c r="X27" s="53"/>
      <c r="Y27" s="54"/>
      <c r="Z27" s="23">
        <f t="shared" si="26"/>
        <v>0</v>
      </c>
      <c r="AA27" s="62"/>
      <c r="AB27" s="63"/>
      <c r="AC27" s="69"/>
      <c r="AD27" s="70"/>
      <c r="AE27" s="71"/>
      <c r="AG27" s="6">
        <f>IF(AND(AA27&lt;&gt;"",OR(AA27&lt;EXPEDIENTE!$I$25,AA27&gt;EXPEDIENTE!$I$29)),1,0)</f>
        <v>0</v>
      </c>
      <c r="AH27" s="6">
        <f>IF(AND(AB27&lt;&gt;"",OR(AB27&lt;EXPEDIENTE!$I$25,AB27&gt;EXPEDIENTE!$I$29)),1,0)</f>
        <v>0</v>
      </c>
      <c r="AI27" s="6">
        <f>IF(DATE(YEAR(EXPEDIENTE!$I$25)+3,MONTH(DATEVALUE($C27&amp;"1")),1)&gt;=DATE(YEAR(EXPEDIENTE!$I$25),MONTH(EXPEDIENTE!$I$25),1),0,1)</f>
        <v>0</v>
      </c>
      <c r="AJ27" s="6" t="e">
        <f>IF(DATE(YEAR(EXPEDIENTE!$I$25)+3,MONTH(DATEVALUE($C27&amp;"1")),1)&lt;=DATE(YEAR(EXPEDIENTE!$I$27),MONTH(EXPEDIENTE!$I$27),1),0,1)</f>
        <v>#VALUE!</v>
      </c>
      <c r="AK27" s="6" t="e">
        <f t="shared" si="27"/>
        <v>#VALUE!</v>
      </c>
      <c r="AM27" s="728"/>
      <c r="AN27" s="723" t="s">
        <v>52</v>
      </c>
      <c r="AO27" s="724"/>
      <c r="AP27" s="719"/>
      <c r="AQ27" s="720"/>
      <c r="AR27" s="319">
        <f t="shared" si="6"/>
        <v>0</v>
      </c>
      <c r="AS27" s="120"/>
      <c r="AT27" s="320">
        <f t="shared" si="28"/>
        <v>0</v>
      </c>
      <c r="AU27" s="321">
        <f t="shared" si="7"/>
        <v>0</v>
      </c>
      <c r="AV27" s="528"/>
      <c r="AW27" s="322">
        <f t="shared" si="29"/>
        <v>0</v>
      </c>
      <c r="AX27" s="321">
        <f t="shared" si="8"/>
        <v>0</v>
      </c>
      <c r="AY27" s="529"/>
      <c r="AZ27" s="323">
        <f t="shared" si="30"/>
        <v>0</v>
      </c>
      <c r="BA27" s="323">
        <f t="shared" si="9"/>
        <v>0</v>
      </c>
      <c r="BB27" s="529"/>
      <c r="BC27" s="323">
        <f t="shared" si="31"/>
        <v>0</v>
      </c>
      <c r="BD27" s="323">
        <f t="shared" si="10"/>
        <v>0</v>
      </c>
      <c r="BE27" s="529"/>
      <c r="BF27" s="323">
        <f t="shared" si="32"/>
        <v>0</v>
      </c>
      <c r="BG27" s="323">
        <f t="shared" si="11"/>
        <v>0</v>
      </c>
      <c r="BH27" s="529"/>
      <c r="BI27" s="323">
        <f t="shared" si="33"/>
        <v>0</v>
      </c>
      <c r="BJ27" s="323">
        <f t="shared" si="12"/>
        <v>0</v>
      </c>
      <c r="BK27" s="529"/>
      <c r="BL27" s="323">
        <f t="shared" si="34"/>
        <v>0</v>
      </c>
      <c r="BM27" s="304">
        <f t="shared" si="35"/>
        <v>0</v>
      </c>
      <c r="BN27" s="324">
        <f t="shared" si="36"/>
        <v>0</v>
      </c>
      <c r="BO27" s="306"/>
      <c r="BP27" s="321">
        <f t="shared" si="13"/>
        <v>0</v>
      </c>
      <c r="BQ27" s="528"/>
      <c r="BR27" s="325">
        <f t="shared" si="37"/>
        <v>0</v>
      </c>
      <c r="BS27" s="323">
        <f t="shared" si="14"/>
        <v>0</v>
      </c>
      <c r="BT27" s="529"/>
      <c r="BU27" s="323">
        <f t="shared" si="38"/>
        <v>0</v>
      </c>
      <c r="BV27" s="323">
        <f t="shared" si="15"/>
        <v>0</v>
      </c>
      <c r="BW27" s="529"/>
      <c r="BX27" s="323">
        <f t="shared" si="39"/>
        <v>0</v>
      </c>
      <c r="BY27" s="323">
        <f t="shared" si="16"/>
        <v>0</v>
      </c>
      <c r="BZ27" s="529"/>
      <c r="CA27" s="323">
        <f t="shared" si="40"/>
        <v>0</v>
      </c>
      <c r="CB27" s="323">
        <f t="shared" si="17"/>
        <v>0</v>
      </c>
      <c r="CC27" s="529"/>
      <c r="CD27" s="323">
        <f t="shared" si="41"/>
        <v>0</v>
      </c>
      <c r="CE27" s="304">
        <f t="shared" si="42"/>
        <v>0</v>
      </c>
      <c r="CF27" s="321">
        <f t="shared" si="18"/>
        <v>0</v>
      </c>
      <c r="CG27" s="529"/>
      <c r="CH27" s="326">
        <f t="shared" si="43"/>
        <v>0</v>
      </c>
      <c r="CI27" s="310"/>
      <c r="CJ27" s="327">
        <f t="shared" si="44"/>
        <v>0</v>
      </c>
      <c r="CK27" s="321">
        <f t="shared" si="19"/>
        <v>0</v>
      </c>
      <c r="CL27" s="528"/>
      <c r="CM27" s="322">
        <f t="shared" si="45"/>
        <v>0</v>
      </c>
      <c r="CN27" s="321">
        <f t="shared" si="20"/>
        <v>0</v>
      </c>
      <c r="CO27" s="529"/>
      <c r="CP27" s="326">
        <f t="shared" si="46"/>
        <v>0</v>
      </c>
      <c r="CQ27" s="327">
        <f t="shared" si="47"/>
        <v>0</v>
      </c>
      <c r="CR27" s="313" t="str">
        <f t="shared" si="21"/>
        <v/>
      </c>
      <c r="CS27" s="526"/>
      <c r="CT27" s="314" t="str">
        <f t="shared" si="48"/>
        <v/>
      </c>
      <c r="CU27" s="315" t="str">
        <f t="shared" si="22"/>
        <v/>
      </c>
      <c r="CV27" s="236"/>
      <c r="CW27" s="316" t="str">
        <f t="shared" si="49"/>
        <v/>
      </c>
      <c r="CX27" s="328" t="str">
        <f t="shared" si="50"/>
        <v/>
      </c>
      <c r="CY27" s="530"/>
      <c r="DA27" s="6">
        <f>IF(AND(CT27&lt;&gt;"",OR(CT27&lt;EXPEDIENTE!$I$25,CT27&gt;EXPEDIENTE!$I$29)),1,0)</f>
        <v>0</v>
      </c>
      <c r="DB27" s="6">
        <f>IF(AND(CW27&lt;&gt;"",OR(CW27&lt;EXPEDIENTE!$I$25,CW27&gt;EXPEDIENTE!$I$29)),1,0)</f>
        <v>0</v>
      </c>
      <c r="DD27" s="88">
        <f t="shared" si="23"/>
        <v>0</v>
      </c>
      <c r="DE27" s="88">
        <f t="shared" si="51"/>
        <v>0</v>
      </c>
      <c r="DF27" s="88">
        <f t="shared" si="52"/>
        <v>0</v>
      </c>
      <c r="DG27" s="88">
        <f t="shared" si="53"/>
        <v>0</v>
      </c>
      <c r="DH27" s="88">
        <f t="shared" si="54"/>
        <v>0</v>
      </c>
      <c r="DI27" s="88">
        <f t="shared" si="55"/>
        <v>0</v>
      </c>
      <c r="DJ27" s="88">
        <f t="shared" si="56"/>
        <v>0</v>
      </c>
      <c r="DK27" s="88">
        <f t="shared" si="57"/>
        <v>0</v>
      </c>
      <c r="DL27" s="88">
        <f t="shared" si="58"/>
        <v>0</v>
      </c>
      <c r="DM27" s="88">
        <f t="shared" si="59"/>
        <v>0</v>
      </c>
      <c r="DN27" s="88">
        <f t="shared" si="60"/>
        <v>0</v>
      </c>
      <c r="DO27" s="88">
        <f t="shared" si="61"/>
        <v>0</v>
      </c>
      <c r="DP27" s="88">
        <f t="shared" si="62"/>
        <v>0</v>
      </c>
      <c r="DQ27" s="88">
        <f t="shared" si="63"/>
        <v>0</v>
      </c>
      <c r="DR27" s="88">
        <f t="shared" si="64"/>
        <v>0</v>
      </c>
      <c r="DS27" s="88">
        <f t="shared" si="65"/>
        <v>0</v>
      </c>
      <c r="DT27" s="88">
        <f t="shared" si="66"/>
        <v>0</v>
      </c>
      <c r="DU27" s="88">
        <f t="shared" si="67"/>
        <v>0</v>
      </c>
      <c r="DW27" s="88">
        <f>IF(CY27&lt;&gt;"",MAX($DW$9:DW26)+1,0)</f>
        <v>0</v>
      </c>
      <c r="DX27" s="182" t="str">
        <f t="shared" si="68"/>
        <v/>
      </c>
    </row>
    <row r="28" spans="2:128" ht="30" customHeight="1" x14ac:dyDescent="0.25">
      <c r="B28" s="875"/>
      <c r="C28" s="885" t="s">
        <v>53</v>
      </c>
      <c r="D28" s="886"/>
      <c r="E28" s="52"/>
      <c r="F28" s="53"/>
      <c r="G28" s="54"/>
      <c r="H28" s="54"/>
      <c r="I28" s="54"/>
      <c r="J28" s="54"/>
      <c r="K28" s="54"/>
      <c r="L28" s="23">
        <f t="shared" si="24"/>
        <v>0</v>
      </c>
      <c r="M28" s="28">
        <f t="shared" si="69"/>
        <v>0</v>
      </c>
      <c r="N28" s="25"/>
      <c r="O28" s="53"/>
      <c r="P28" s="54"/>
      <c r="Q28" s="54"/>
      <c r="R28" s="54"/>
      <c r="S28" s="54"/>
      <c r="T28" s="23">
        <f t="shared" si="25"/>
        <v>0</v>
      </c>
      <c r="U28" s="60"/>
      <c r="V28" s="27"/>
      <c r="W28" s="28">
        <f t="shared" si="70"/>
        <v>0</v>
      </c>
      <c r="X28" s="53"/>
      <c r="Y28" s="54"/>
      <c r="Z28" s="23">
        <f t="shared" si="26"/>
        <v>0</v>
      </c>
      <c r="AA28" s="62"/>
      <c r="AB28" s="63"/>
      <c r="AC28" s="69"/>
      <c r="AD28" s="70"/>
      <c r="AE28" s="71"/>
      <c r="AG28" s="6">
        <f>IF(AND(AA28&lt;&gt;"",OR(AA28&lt;EXPEDIENTE!$I$25,AA28&gt;EXPEDIENTE!$I$29)),1,0)</f>
        <v>0</v>
      </c>
      <c r="AH28" s="6">
        <f>IF(AND(AB28&lt;&gt;"",OR(AB28&lt;EXPEDIENTE!$I$25,AB28&gt;EXPEDIENTE!$I$29)),1,0)</f>
        <v>0</v>
      </c>
      <c r="AI28" s="6">
        <f>IF(DATE(YEAR(EXPEDIENTE!$I$25)+3,MONTH(DATEVALUE($C28&amp;"1")),1)&gt;=DATE(YEAR(EXPEDIENTE!$I$25),MONTH(EXPEDIENTE!$I$25),1),0,1)</f>
        <v>0</v>
      </c>
      <c r="AJ28" s="6" t="e">
        <f>IF(DATE(YEAR(EXPEDIENTE!$I$25)+3,MONTH(DATEVALUE($C28&amp;"1")),1)&lt;=DATE(YEAR(EXPEDIENTE!$I$27),MONTH(EXPEDIENTE!$I$27),1),0,1)</f>
        <v>#VALUE!</v>
      </c>
      <c r="AK28" s="6" t="e">
        <f t="shared" si="27"/>
        <v>#VALUE!</v>
      </c>
      <c r="AM28" s="728"/>
      <c r="AN28" s="723" t="s">
        <v>53</v>
      </c>
      <c r="AO28" s="724"/>
      <c r="AP28" s="719"/>
      <c r="AQ28" s="720"/>
      <c r="AR28" s="319">
        <f t="shared" si="6"/>
        <v>0</v>
      </c>
      <c r="AS28" s="120"/>
      <c r="AT28" s="320">
        <f t="shared" si="28"/>
        <v>0</v>
      </c>
      <c r="AU28" s="321">
        <f t="shared" si="7"/>
        <v>0</v>
      </c>
      <c r="AV28" s="528"/>
      <c r="AW28" s="322">
        <f t="shared" si="29"/>
        <v>0</v>
      </c>
      <c r="AX28" s="321">
        <f t="shared" si="8"/>
        <v>0</v>
      </c>
      <c r="AY28" s="529"/>
      <c r="AZ28" s="323">
        <f t="shared" si="30"/>
        <v>0</v>
      </c>
      <c r="BA28" s="323">
        <f t="shared" si="9"/>
        <v>0</v>
      </c>
      <c r="BB28" s="529"/>
      <c r="BC28" s="323">
        <f t="shared" si="31"/>
        <v>0</v>
      </c>
      <c r="BD28" s="323">
        <f t="shared" si="10"/>
        <v>0</v>
      </c>
      <c r="BE28" s="529"/>
      <c r="BF28" s="323">
        <f t="shared" si="32"/>
        <v>0</v>
      </c>
      <c r="BG28" s="323">
        <f t="shared" si="11"/>
        <v>0</v>
      </c>
      <c r="BH28" s="529"/>
      <c r="BI28" s="323">
        <f t="shared" si="33"/>
        <v>0</v>
      </c>
      <c r="BJ28" s="323">
        <f t="shared" si="12"/>
        <v>0</v>
      </c>
      <c r="BK28" s="529"/>
      <c r="BL28" s="323">
        <f t="shared" si="34"/>
        <v>0</v>
      </c>
      <c r="BM28" s="304">
        <f t="shared" si="35"/>
        <v>0</v>
      </c>
      <c r="BN28" s="324">
        <f t="shared" si="36"/>
        <v>0</v>
      </c>
      <c r="BO28" s="306"/>
      <c r="BP28" s="321">
        <f t="shared" si="13"/>
        <v>0</v>
      </c>
      <c r="BQ28" s="528"/>
      <c r="BR28" s="325">
        <f t="shared" si="37"/>
        <v>0</v>
      </c>
      <c r="BS28" s="323">
        <f t="shared" si="14"/>
        <v>0</v>
      </c>
      <c r="BT28" s="529"/>
      <c r="BU28" s="323">
        <f t="shared" si="38"/>
        <v>0</v>
      </c>
      <c r="BV28" s="323">
        <f t="shared" si="15"/>
        <v>0</v>
      </c>
      <c r="BW28" s="529"/>
      <c r="BX28" s="323">
        <f t="shared" si="39"/>
        <v>0</v>
      </c>
      <c r="BY28" s="323">
        <f t="shared" si="16"/>
        <v>0</v>
      </c>
      <c r="BZ28" s="529"/>
      <c r="CA28" s="323">
        <f t="shared" si="40"/>
        <v>0</v>
      </c>
      <c r="CB28" s="323">
        <f t="shared" si="17"/>
        <v>0</v>
      </c>
      <c r="CC28" s="529"/>
      <c r="CD28" s="323">
        <f t="shared" si="41"/>
        <v>0</v>
      </c>
      <c r="CE28" s="304">
        <f t="shared" si="42"/>
        <v>0</v>
      </c>
      <c r="CF28" s="321">
        <f t="shared" si="18"/>
        <v>0</v>
      </c>
      <c r="CG28" s="529"/>
      <c r="CH28" s="326">
        <f t="shared" si="43"/>
        <v>0</v>
      </c>
      <c r="CI28" s="310"/>
      <c r="CJ28" s="327">
        <f t="shared" si="44"/>
        <v>0</v>
      </c>
      <c r="CK28" s="321">
        <f t="shared" si="19"/>
        <v>0</v>
      </c>
      <c r="CL28" s="528"/>
      <c r="CM28" s="322">
        <f t="shared" si="45"/>
        <v>0</v>
      </c>
      <c r="CN28" s="321">
        <f t="shared" si="20"/>
        <v>0</v>
      </c>
      <c r="CO28" s="529"/>
      <c r="CP28" s="326">
        <f t="shared" si="46"/>
        <v>0</v>
      </c>
      <c r="CQ28" s="327">
        <f t="shared" si="47"/>
        <v>0</v>
      </c>
      <c r="CR28" s="313" t="str">
        <f t="shared" si="21"/>
        <v/>
      </c>
      <c r="CS28" s="526"/>
      <c r="CT28" s="314" t="str">
        <f t="shared" si="48"/>
        <v/>
      </c>
      <c r="CU28" s="315" t="str">
        <f t="shared" si="22"/>
        <v/>
      </c>
      <c r="CV28" s="236"/>
      <c r="CW28" s="316" t="str">
        <f t="shared" si="49"/>
        <v/>
      </c>
      <c r="CX28" s="328" t="str">
        <f t="shared" si="50"/>
        <v/>
      </c>
      <c r="CY28" s="530"/>
      <c r="DA28" s="6">
        <f>IF(AND(CT28&lt;&gt;"",OR(CT28&lt;EXPEDIENTE!$I$25,CT28&gt;EXPEDIENTE!$I$29)),1,0)</f>
        <v>0</v>
      </c>
      <c r="DB28" s="6">
        <f>IF(AND(CW28&lt;&gt;"",OR(CW28&lt;EXPEDIENTE!$I$25,CW28&gt;EXPEDIENTE!$I$29)),1,0)</f>
        <v>0</v>
      </c>
      <c r="DD28" s="88">
        <f t="shared" si="23"/>
        <v>0</v>
      </c>
      <c r="DE28" s="88">
        <f t="shared" si="51"/>
        <v>0</v>
      </c>
      <c r="DF28" s="88">
        <f t="shared" si="52"/>
        <v>0</v>
      </c>
      <c r="DG28" s="88">
        <f t="shared" si="53"/>
        <v>0</v>
      </c>
      <c r="DH28" s="88">
        <f t="shared" si="54"/>
        <v>0</v>
      </c>
      <c r="DI28" s="88">
        <f t="shared" si="55"/>
        <v>0</v>
      </c>
      <c r="DJ28" s="88">
        <f t="shared" si="56"/>
        <v>0</v>
      </c>
      <c r="DK28" s="88">
        <f t="shared" si="57"/>
        <v>0</v>
      </c>
      <c r="DL28" s="88">
        <f t="shared" si="58"/>
        <v>0</v>
      </c>
      <c r="DM28" s="88">
        <f t="shared" si="59"/>
        <v>0</v>
      </c>
      <c r="DN28" s="88">
        <f t="shared" si="60"/>
        <v>0</v>
      </c>
      <c r="DO28" s="88">
        <f t="shared" si="61"/>
        <v>0</v>
      </c>
      <c r="DP28" s="88">
        <f t="shared" si="62"/>
        <v>0</v>
      </c>
      <c r="DQ28" s="88">
        <f t="shared" si="63"/>
        <v>0</v>
      </c>
      <c r="DR28" s="88">
        <f t="shared" si="64"/>
        <v>0</v>
      </c>
      <c r="DS28" s="88">
        <f t="shared" si="65"/>
        <v>0</v>
      </c>
      <c r="DT28" s="88">
        <f t="shared" si="66"/>
        <v>0</v>
      </c>
      <c r="DU28" s="88">
        <f t="shared" si="67"/>
        <v>0</v>
      </c>
      <c r="DW28" s="88">
        <f>IF(CY28&lt;&gt;"",MAX($DW$9:DW27)+1,0)</f>
        <v>0</v>
      </c>
      <c r="DX28" s="182" t="str">
        <f t="shared" si="68"/>
        <v/>
      </c>
    </row>
    <row r="29" spans="2:128" ht="30" customHeight="1" x14ac:dyDescent="0.25">
      <c r="B29" s="875"/>
      <c r="C29" s="885" t="s">
        <v>54</v>
      </c>
      <c r="D29" s="886"/>
      <c r="E29" s="52"/>
      <c r="F29" s="53"/>
      <c r="G29" s="54"/>
      <c r="H29" s="54"/>
      <c r="I29" s="54"/>
      <c r="J29" s="54"/>
      <c r="K29" s="54"/>
      <c r="L29" s="23">
        <f t="shared" si="24"/>
        <v>0</v>
      </c>
      <c r="M29" s="28">
        <f t="shared" si="69"/>
        <v>0</v>
      </c>
      <c r="N29" s="25"/>
      <c r="O29" s="53"/>
      <c r="P29" s="54"/>
      <c r="Q29" s="54"/>
      <c r="R29" s="54"/>
      <c r="S29" s="54"/>
      <c r="T29" s="23">
        <f t="shared" si="25"/>
        <v>0</v>
      </c>
      <c r="U29" s="60"/>
      <c r="V29" s="27"/>
      <c r="W29" s="28">
        <f t="shared" si="70"/>
        <v>0</v>
      </c>
      <c r="X29" s="53"/>
      <c r="Y29" s="54"/>
      <c r="Z29" s="23">
        <f t="shared" si="26"/>
        <v>0</v>
      </c>
      <c r="AA29" s="62"/>
      <c r="AB29" s="63"/>
      <c r="AC29" s="69"/>
      <c r="AD29" s="70"/>
      <c r="AE29" s="71"/>
      <c r="AG29" s="6">
        <f>IF(AND(AA29&lt;&gt;"",OR(AA29&lt;EXPEDIENTE!$I$25,AA29&gt;EXPEDIENTE!$I$29)),1,0)</f>
        <v>0</v>
      </c>
      <c r="AH29" s="6">
        <f>IF(AND(AB29&lt;&gt;"",OR(AB29&lt;EXPEDIENTE!$I$25,AB29&gt;EXPEDIENTE!$I$29)),1,0)</f>
        <v>0</v>
      </c>
      <c r="AI29" s="6">
        <f>IF(DATE(YEAR(EXPEDIENTE!$I$25)+3,MONTH(DATEVALUE($C29&amp;"1")),1)&gt;=DATE(YEAR(EXPEDIENTE!$I$25),MONTH(EXPEDIENTE!$I$25),1),0,1)</f>
        <v>0</v>
      </c>
      <c r="AJ29" s="6" t="e">
        <f>IF(DATE(YEAR(EXPEDIENTE!$I$25)+3,MONTH(DATEVALUE($C29&amp;"1")),1)&lt;=DATE(YEAR(EXPEDIENTE!$I$27),MONTH(EXPEDIENTE!$I$27),1),0,1)</f>
        <v>#VALUE!</v>
      </c>
      <c r="AK29" s="6" t="e">
        <f t="shared" si="27"/>
        <v>#VALUE!</v>
      </c>
      <c r="AM29" s="728"/>
      <c r="AN29" s="723" t="s">
        <v>54</v>
      </c>
      <c r="AO29" s="724"/>
      <c r="AP29" s="719"/>
      <c r="AQ29" s="720"/>
      <c r="AR29" s="319">
        <f t="shared" si="6"/>
        <v>0</v>
      </c>
      <c r="AS29" s="120"/>
      <c r="AT29" s="320">
        <f t="shared" si="28"/>
        <v>0</v>
      </c>
      <c r="AU29" s="321">
        <f t="shared" si="7"/>
        <v>0</v>
      </c>
      <c r="AV29" s="528"/>
      <c r="AW29" s="322">
        <f t="shared" si="29"/>
        <v>0</v>
      </c>
      <c r="AX29" s="321">
        <f t="shared" si="8"/>
        <v>0</v>
      </c>
      <c r="AY29" s="529"/>
      <c r="AZ29" s="323">
        <f t="shared" si="30"/>
        <v>0</v>
      </c>
      <c r="BA29" s="323">
        <f t="shared" si="9"/>
        <v>0</v>
      </c>
      <c r="BB29" s="529"/>
      <c r="BC29" s="323">
        <f t="shared" si="31"/>
        <v>0</v>
      </c>
      <c r="BD29" s="323">
        <f t="shared" si="10"/>
        <v>0</v>
      </c>
      <c r="BE29" s="529"/>
      <c r="BF29" s="323">
        <f t="shared" si="32"/>
        <v>0</v>
      </c>
      <c r="BG29" s="323">
        <f t="shared" si="11"/>
        <v>0</v>
      </c>
      <c r="BH29" s="529"/>
      <c r="BI29" s="323">
        <f t="shared" si="33"/>
        <v>0</v>
      </c>
      <c r="BJ29" s="323">
        <f t="shared" si="12"/>
        <v>0</v>
      </c>
      <c r="BK29" s="529"/>
      <c r="BL29" s="323">
        <f t="shared" si="34"/>
        <v>0</v>
      </c>
      <c r="BM29" s="304">
        <f t="shared" si="35"/>
        <v>0</v>
      </c>
      <c r="BN29" s="324">
        <f t="shared" si="36"/>
        <v>0</v>
      </c>
      <c r="BO29" s="306"/>
      <c r="BP29" s="321">
        <f t="shared" si="13"/>
        <v>0</v>
      </c>
      <c r="BQ29" s="528"/>
      <c r="BR29" s="325">
        <f t="shared" si="37"/>
        <v>0</v>
      </c>
      <c r="BS29" s="323">
        <f t="shared" si="14"/>
        <v>0</v>
      </c>
      <c r="BT29" s="529"/>
      <c r="BU29" s="323">
        <f t="shared" si="38"/>
        <v>0</v>
      </c>
      <c r="BV29" s="323">
        <f t="shared" si="15"/>
        <v>0</v>
      </c>
      <c r="BW29" s="529"/>
      <c r="BX29" s="323">
        <f t="shared" si="39"/>
        <v>0</v>
      </c>
      <c r="BY29" s="323">
        <f t="shared" si="16"/>
        <v>0</v>
      </c>
      <c r="BZ29" s="529"/>
      <c r="CA29" s="323">
        <f t="shared" si="40"/>
        <v>0</v>
      </c>
      <c r="CB29" s="323">
        <f t="shared" si="17"/>
        <v>0</v>
      </c>
      <c r="CC29" s="529"/>
      <c r="CD29" s="323">
        <f t="shared" si="41"/>
        <v>0</v>
      </c>
      <c r="CE29" s="304">
        <f t="shared" si="42"/>
        <v>0</v>
      </c>
      <c r="CF29" s="321">
        <f t="shared" si="18"/>
        <v>0</v>
      </c>
      <c r="CG29" s="529"/>
      <c r="CH29" s="326">
        <f t="shared" si="43"/>
        <v>0</v>
      </c>
      <c r="CI29" s="310"/>
      <c r="CJ29" s="327">
        <f t="shared" si="44"/>
        <v>0</v>
      </c>
      <c r="CK29" s="321">
        <f t="shared" si="19"/>
        <v>0</v>
      </c>
      <c r="CL29" s="528"/>
      <c r="CM29" s="322">
        <f t="shared" si="45"/>
        <v>0</v>
      </c>
      <c r="CN29" s="321">
        <f t="shared" si="20"/>
        <v>0</v>
      </c>
      <c r="CO29" s="529"/>
      <c r="CP29" s="326">
        <f t="shared" si="46"/>
        <v>0</v>
      </c>
      <c r="CQ29" s="327">
        <f t="shared" si="47"/>
        <v>0</v>
      </c>
      <c r="CR29" s="313" t="str">
        <f t="shared" si="21"/>
        <v/>
      </c>
      <c r="CS29" s="526"/>
      <c r="CT29" s="314" t="str">
        <f t="shared" si="48"/>
        <v/>
      </c>
      <c r="CU29" s="315" t="str">
        <f t="shared" si="22"/>
        <v/>
      </c>
      <c r="CV29" s="236"/>
      <c r="CW29" s="316" t="str">
        <f t="shared" si="49"/>
        <v/>
      </c>
      <c r="CX29" s="328" t="str">
        <f t="shared" si="50"/>
        <v/>
      </c>
      <c r="CY29" s="530"/>
      <c r="DA29" s="6">
        <f>IF(AND(CT29&lt;&gt;"",OR(CT29&lt;EXPEDIENTE!$I$25,CT29&gt;EXPEDIENTE!$I$29)),1,0)</f>
        <v>0</v>
      </c>
      <c r="DB29" s="6">
        <f>IF(AND(CW29&lt;&gt;"",OR(CW29&lt;EXPEDIENTE!$I$25,CW29&gt;EXPEDIENTE!$I$29)),1,0)</f>
        <v>0</v>
      </c>
      <c r="DD29" s="88">
        <f t="shared" si="23"/>
        <v>0</v>
      </c>
      <c r="DE29" s="88">
        <f t="shared" si="51"/>
        <v>0</v>
      </c>
      <c r="DF29" s="88">
        <f t="shared" si="52"/>
        <v>0</v>
      </c>
      <c r="DG29" s="88">
        <f t="shared" si="53"/>
        <v>0</v>
      </c>
      <c r="DH29" s="88">
        <f t="shared" si="54"/>
        <v>0</v>
      </c>
      <c r="DI29" s="88">
        <f t="shared" si="55"/>
        <v>0</v>
      </c>
      <c r="DJ29" s="88">
        <f t="shared" si="56"/>
        <v>0</v>
      </c>
      <c r="DK29" s="88">
        <f t="shared" si="57"/>
        <v>0</v>
      </c>
      <c r="DL29" s="88">
        <f t="shared" si="58"/>
        <v>0</v>
      </c>
      <c r="DM29" s="88">
        <f t="shared" si="59"/>
        <v>0</v>
      </c>
      <c r="DN29" s="88">
        <f t="shared" si="60"/>
        <v>0</v>
      </c>
      <c r="DO29" s="88">
        <f t="shared" si="61"/>
        <v>0</v>
      </c>
      <c r="DP29" s="88">
        <f t="shared" si="62"/>
        <v>0</v>
      </c>
      <c r="DQ29" s="88">
        <f t="shared" si="63"/>
        <v>0</v>
      </c>
      <c r="DR29" s="88">
        <f t="shared" si="64"/>
        <v>0</v>
      </c>
      <c r="DS29" s="88">
        <f t="shared" si="65"/>
        <v>0</v>
      </c>
      <c r="DT29" s="88">
        <f t="shared" si="66"/>
        <v>0</v>
      </c>
      <c r="DU29" s="88">
        <f t="shared" si="67"/>
        <v>0</v>
      </c>
      <c r="DW29" s="88">
        <f>IF(CY29&lt;&gt;"",MAX($DW$9:DW28)+1,0)</f>
        <v>0</v>
      </c>
      <c r="DX29" s="182" t="str">
        <f t="shared" si="68"/>
        <v/>
      </c>
    </row>
    <row r="30" spans="2:128" ht="30" customHeight="1" x14ac:dyDescent="0.25">
      <c r="B30" s="875"/>
      <c r="C30" s="885" t="s">
        <v>55</v>
      </c>
      <c r="D30" s="886"/>
      <c r="E30" s="52"/>
      <c r="F30" s="53"/>
      <c r="G30" s="54"/>
      <c r="H30" s="54"/>
      <c r="I30" s="54"/>
      <c r="J30" s="54"/>
      <c r="K30" s="54"/>
      <c r="L30" s="23">
        <f t="shared" si="24"/>
        <v>0</v>
      </c>
      <c r="M30" s="28">
        <f t="shared" si="69"/>
        <v>0</v>
      </c>
      <c r="N30" s="25"/>
      <c r="O30" s="53"/>
      <c r="P30" s="54"/>
      <c r="Q30" s="54"/>
      <c r="R30" s="54"/>
      <c r="S30" s="54"/>
      <c r="T30" s="23">
        <f t="shared" si="25"/>
        <v>0</v>
      </c>
      <c r="U30" s="60"/>
      <c r="V30" s="27"/>
      <c r="W30" s="28">
        <f t="shared" si="70"/>
        <v>0</v>
      </c>
      <c r="X30" s="53"/>
      <c r="Y30" s="54"/>
      <c r="Z30" s="23">
        <f t="shared" si="26"/>
        <v>0</v>
      </c>
      <c r="AA30" s="62"/>
      <c r="AB30" s="63"/>
      <c r="AC30" s="69"/>
      <c r="AD30" s="70"/>
      <c r="AE30" s="71"/>
      <c r="AG30" s="6">
        <f>IF(AND(AA30&lt;&gt;"",OR(AA30&lt;EXPEDIENTE!$I$25,AA30&gt;EXPEDIENTE!$I$29)),1,0)</f>
        <v>0</v>
      </c>
      <c r="AH30" s="6">
        <f>IF(AND(AB30&lt;&gt;"",OR(AB30&lt;EXPEDIENTE!$I$25,AB30&gt;EXPEDIENTE!$I$29)),1,0)</f>
        <v>0</v>
      </c>
      <c r="AI30" s="6">
        <f>IF(DATE(YEAR(EXPEDIENTE!$I$25)+3,MONTH(DATEVALUE($C30&amp;"1")),1)&gt;=DATE(YEAR(EXPEDIENTE!$I$25),MONTH(EXPEDIENTE!$I$25),1),0,1)</f>
        <v>0</v>
      </c>
      <c r="AJ30" s="6" t="e">
        <f>IF(DATE(YEAR(EXPEDIENTE!$I$25)+3,MONTH(DATEVALUE($C30&amp;"1")),1)&lt;=DATE(YEAR(EXPEDIENTE!$I$27),MONTH(EXPEDIENTE!$I$27),1),0,1)</f>
        <v>#VALUE!</v>
      </c>
      <c r="AK30" s="6" t="e">
        <f t="shared" si="27"/>
        <v>#VALUE!</v>
      </c>
      <c r="AM30" s="728"/>
      <c r="AN30" s="723" t="s">
        <v>55</v>
      </c>
      <c r="AO30" s="724"/>
      <c r="AP30" s="719"/>
      <c r="AQ30" s="720"/>
      <c r="AR30" s="319">
        <f t="shared" si="6"/>
        <v>0</v>
      </c>
      <c r="AS30" s="120"/>
      <c r="AT30" s="320">
        <f t="shared" si="28"/>
        <v>0</v>
      </c>
      <c r="AU30" s="321">
        <f t="shared" si="7"/>
        <v>0</v>
      </c>
      <c r="AV30" s="528"/>
      <c r="AW30" s="322">
        <f t="shared" si="29"/>
        <v>0</v>
      </c>
      <c r="AX30" s="321">
        <f t="shared" si="8"/>
        <v>0</v>
      </c>
      <c r="AY30" s="529"/>
      <c r="AZ30" s="323">
        <f t="shared" si="30"/>
        <v>0</v>
      </c>
      <c r="BA30" s="323">
        <f t="shared" si="9"/>
        <v>0</v>
      </c>
      <c r="BB30" s="529"/>
      <c r="BC30" s="323">
        <f t="shared" si="31"/>
        <v>0</v>
      </c>
      <c r="BD30" s="323">
        <f t="shared" si="10"/>
        <v>0</v>
      </c>
      <c r="BE30" s="529"/>
      <c r="BF30" s="323">
        <f t="shared" si="32"/>
        <v>0</v>
      </c>
      <c r="BG30" s="323">
        <f t="shared" si="11"/>
        <v>0</v>
      </c>
      <c r="BH30" s="529"/>
      <c r="BI30" s="323">
        <f t="shared" si="33"/>
        <v>0</v>
      </c>
      <c r="BJ30" s="323">
        <f t="shared" si="12"/>
        <v>0</v>
      </c>
      <c r="BK30" s="529"/>
      <c r="BL30" s="323">
        <f t="shared" si="34"/>
        <v>0</v>
      </c>
      <c r="BM30" s="304">
        <f t="shared" si="35"/>
        <v>0</v>
      </c>
      <c r="BN30" s="324">
        <f t="shared" si="36"/>
        <v>0</v>
      </c>
      <c r="BO30" s="306"/>
      <c r="BP30" s="321">
        <f t="shared" si="13"/>
        <v>0</v>
      </c>
      <c r="BQ30" s="528"/>
      <c r="BR30" s="325">
        <f t="shared" si="37"/>
        <v>0</v>
      </c>
      <c r="BS30" s="323">
        <f t="shared" si="14"/>
        <v>0</v>
      </c>
      <c r="BT30" s="529"/>
      <c r="BU30" s="323">
        <f t="shared" si="38"/>
        <v>0</v>
      </c>
      <c r="BV30" s="323">
        <f t="shared" si="15"/>
        <v>0</v>
      </c>
      <c r="BW30" s="529"/>
      <c r="BX30" s="323">
        <f t="shared" si="39"/>
        <v>0</v>
      </c>
      <c r="BY30" s="323">
        <f t="shared" si="16"/>
        <v>0</v>
      </c>
      <c r="BZ30" s="529"/>
      <c r="CA30" s="323">
        <f t="shared" si="40"/>
        <v>0</v>
      </c>
      <c r="CB30" s="323">
        <f t="shared" si="17"/>
        <v>0</v>
      </c>
      <c r="CC30" s="529"/>
      <c r="CD30" s="323">
        <f t="shared" si="41"/>
        <v>0</v>
      </c>
      <c r="CE30" s="304">
        <f t="shared" si="42"/>
        <v>0</v>
      </c>
      <c r="CF30" s="321">
        <f t="shared" si="18"/>
        <v>0</v>
      </c>
      <c r="CG30" s="529"/>
      <c r="CH30" s="326">
        <f t="shared" si="43"/>
        <v>0</v>
      </c>
      <c r="CI30" s="310"/>
      <c r="CJ30" s="327">
        <f t="shared" si="44"/>
        <v>0</v>
      </c>
      <c r="CK30" s="321">
        <f t="shared" si="19"/>
        <v>0</v>
      </c>
      <c r="CL30" s="528"/>
      <c r="CM30" s="322">
        <f t="shared" si="45"/>
        <v>0</v>
      </c>
      <c r="CN30" s="321">
        <f t="shared" si="20"/>
        <v>0</v>
      </c>
      <c r="CO30" s="529"/>
      <c r="CP30" s="326">
        <f t="shared" si="46"/>
        <v>0</v>
      </c>
      <c r="CQ30" s="327">
        <f t="shared" si="47"/>
        <v>0</v>
      </c>
      <c r="CR30" s="313" t="str">
        <f t="shared" si="21"/>
        <v/>
      </c>
      <c r="CS30" s="526"/>
      <c r="CT30" s="314" t="str">
        <f t="shared" si="48"/>
        <v/>
      </c>
      <c r="CU30" s="315" t="str">
        <f t="shared" si="22"/>
        <v/>
      </c>
      <c r="CV30" s="236"/>
      <c r="CW30" s="316" t="str">
        <f t="shared" si="49"/>
        <v/>
      </c>
      <c r="CX30" s="328" t="str">
        <f t="shared" si="50"/>
        <v/>
      </c>
      <c r="CY30" s="530"/>
      <c r="DA30" s="6">
        <f>IF(AND(CT30&lt;&gt;"",OR(CT30&lt;EXPEDIENTE!$I$25,CT30&gt;EXPEDIENTE!$I$29)),1,0)</f>
        <v>0</v>
      </c>
      <c r="DB30" s="6">
        <f>IF(AND(CW30&lt;&gt;"",OR(CW30&lt;EXPEDIENTE!$I$25,CW30&gt;EXPEDIENTE!$I$29)),1,0)</f>
        <v>0</v>
      </c>
      <c r="DD30" s="88">
        <f t="shared" si="23"/>
        <v>0</v>
      </c>
      <c r="DE30" s="88">
        <f t="shared" si="51"/>
        <v>0</v>
      </c>
      <c r="DF30" s="88">
        <f t="shared" si="52"/>
        <v>0</v>
      </c>
      <c r="DG30" s="88">
        <f t="shared" si="53"/>
        <v>0</v>
      </c>
      <c r="DH30" s="88">
        <f t="shared" si="54"/>
        <v>0</v>
      </c>
      <c r="DI30" s="88">
        <f t="shared" si="55"/>
        <v>0</v>
      </c>
      <c r="DJ30" s="88">
        <f t="shared" si="56"/>
        <v>0</v>
      </c>
      <c r="DK30" s="88">
        <f t="shared" si="57"/>
        <v>0</v>
      </c>
      <c r="DL30" s="88">
        <f t="shared" si="58"/>
        <v>0</v>
      </c>
      <c r="DM30" s="88">
        <f t="shared" si="59"/>
        <v>0</v>
      </c>
      <c r="DN30" s="88">
        <f t="shared" si="60"/>
        <v>0</v>
      </c>
      <c r="DO30" s="88">
        <f t="shared" si="61"/>
        <v>0</v>
      </c>
      <c r="DP30" s="88">
        <f t="shared" si="62"/>
        <v>0</v>
      </c>
      <c r="DQ30" s="88">
        <f t="shared" si="63"/>
        <v>0</v>
      </c>
      <c r="DR30" s="88">
        <f t="shared" si="64"/>
        <v>0</v>
      </c>
      <c r="DS30" s="88">
        <f t="shared" si="65"/>
        <v>0</v>
      </c>
      <c r="DT30" s="88">
        <f t="shared" si="66"/>
        <v>0</v>
      </c>
      <c r="DU30" s="88">
        <f t="shared" si="67"/>
        <v>0</v>
      </c>
      <c r="DW30" s="88">
        <f>IF(CY30&lt;&gt;"",MAX($DW$9:DW29)+1,0)</f>
        <v>0</v>
      </c>
      <c r="DX30" s="182" t="str">
        <f t="shared" si="68"/>
        <v/>
      </c>
    </row>
    <row r="31" spans="2:128" ht="30" customHeight="1" thickBot="1" x14ac:dyDescent="0.3">
      <c r="B31" s="875"/>
      <c r="C31" s="885" t="s">
        <v>56</v>
      </c>
      <c r="D31" s="886"/>
      <c r="E31" s="52"/>
      <c r="F31" s="55"/>
      <c r="G31" s="56"/>
      <c r="H31" s="56"/>
      <c r="I31" s="56"/>
      <c r="J31" s="56"/>
      <c r="K31" s="56"/>
      <c r="L31" s="23">
        <f t="shared" si="24"/>
        <v>0</v>
      </c>
      <c r="M31" s="28">
        <f t="shared" si="69"/>
        <v>0</v>
      </c>
      <c r="N31" s="25"/>
      <c r="O31" s="57"/>
      <c r="P31" s="58"/>
      <c r="Q31" s="58"/>
      <c r="R31" s="58"/>
      <c r="S31" s="58"/>
      <c r="T31" s="29">
        <f t="shared" si="25"/>
        <v>0</v>
      </c>
      <c r="U31" s="61"/>
      <c r="V31" s="27"/>
      <c r="W31" s="28">
        <f t="shared" si="70"/>
        <v>0</v>
      </c>
      <c r="X31" s="55"/>
      <c r="Y31" s="56"/>
      <c r="Z31" s="30">
        <f t="shared" si="26"/>
        <v>0</v>
      </c>
      <c r="AA31" s="62"/>
      <c r="AB31" s="63"/>
      <c r="AC31" s="72"/>
      <c r="AD31" s="73"/>
      <c r="AE31" s="74"/>
      <c r="AG31" s="6">
        <f>IF(AND(AA31&lt;&gt;"",OR(AA31&lt;EXPEDIENTE!$I$25,AA31&gt;EXPEDIENTE!$I$29)),1,0)</f>
        <v>0</v>
      </c>
      <c r="AH31" s="6">
        <f>IF(AND(AB31&lt;&gt;"",OR(AB31&lt;EXPEDIENTE!$I$25,AB31&gt;EXPEDIENTE!$I$29)),1,0)</f>
        <v>0</v>
      </c>
      <c r="AI31" s="6">
        <f>IF(DATE(YEAR(EXPEDIENTE!$I$25)+3,MONTH(DATEVALUE($C31&amp;"1")),1)&gt;=DATE(YEAR(EXPEDIENTE!$I$25),MONTH(EXPEDIENTE!$I$25),1),0,1)</f>
        <v>0</v>
      </c>
      <c r="AJ31" s="6" t="e">
        <f>IF(DATE(YEAR(EXPEDIENTE!$I$25)+3,MONTH(DATEVALUE($C31&amp;"1")),1)&lt;=DATE(YEAR(EXPEDIENTE!$I$27),MONTH(EXPEDIENTE!$I$27),1),0,1)</f>
        <v>#VALUE!</v>
      </c>
      <c r="AK31" s="6" t="e">
        <f t="shared" si="27"/>
        <v>#VALUE!</v>
      </c>
      <c r="AM31" s="728"/>
      <c r="AN31" s="781" t="s">
        <v>56</v>
      </c>
      <c r="AO31" s="782"/>
      <c r="AP31" s="721"/>
      <c r="AQ31" s="722"/>
      <c r="AR31" s="329">
        <f t="shared" si="6"/>
        <v>0</v>
      </c>
      <c r="AS31" s="531"/>
      <c r="AT31" s="330">
        <f t="shared" si="28"/>
        <v>0</v>
      </c>
      <c r="AU31" s="331">
        <f t="shared" si="7"/>
        <v>0</v>
      </c>
      <c r="AV31" s="532"/>
      <c r="AW31" s="332">
        <f t="shared" si="29"/>
        <v>0</v>
      </c>
      <c r="AX31" s="331">
        <f t="shared" si="8"/>
        <v>0</v>
      </c>
      <c r="AY31" s="533"/>
      <c r="AZ31" s="333">
        <f t="shared" si="30"/>
        <v>0</v>
      </c>
      <c r="BA31" s="333">
        <f t="shared" si="9"/>
        <v>0</v>
      </c>
      <c r="BB31" s="533"/>
      <c r="BC31" s="333">
        <f t="shared" si="31"/>
        <v>0</v>
      </c>
      <c r="BD31" s="333">
        <f t="shared" si="10"/>
        <v>0</v>
      </c>
      <c r="BE31" s="533"/>
      <c r="BF31" s="333">
        <f t="shared" si="32"/>
        <v>0</v>
      </c>
      <c r="BG31" s="333">
        <f t="shared" si="11"/>
        <v>0</v>
      </c>
      <c r="BH31" s="533"/>
      <c r="BI31" s="333">
        <f t="shared" si="33"/>
        <v>0</v>
      </c>
      <c r="BJ31" s="333">
        <f t="shared" si="12"/>
        <v>0</v>
      </c>
      <c r="BK31" s="533"/>
      <c r="BL31" s="333">
        <f t="shared" si="34"/>
        <v>0</v>
      </c>
      <c r="BM31" s="334">
        <f t="shared" si="35"/>
        <v>0</v>
      </c>
      <c r="BN31" s="335">
        <f t="shared" si="36"/>
        <v>0</v>
      </c>
      <c r="BO31" s="306"/>
      <c r="BP31" s="331">
        <f t="shared" si="13"/>
        <v>0</v>
      </c>
      <c r="BQ31" s="532"/>
      <c r="BR31" s="336">
        <f t="shared" si="37"/>
        <v>0</v>
      </c>
      <c r="BS31" s="333">
        <f t="shared" si="14"/>
        <v>0</v>
      </c>
      <c r="BT31" s="533"/>
      <c r="BU31" s="333">
        <f t="shared" si="38"/>
        <v>0</v>
      </c>
      <c r="BV31" s="333">
        <f t="shared" si="15"/>
        <v>0</v>
      </c>
      <c r="BW31" s="533"/>
      <c r="BX31" s="333">
        <f t="shared" si="39"/>
        <v>0</v>
      </c>
      <c r="BY31" s="333">
        <f t="shared" si="16"/>
        <v>0</v>
      </c>
      <c r="BZ31" s="533"/>
      <c r="CA31" s="333">
        <f t="shared" si="40"/>
        <v>0</v>
      </c>
      <c r="CB31" s="333">
        <f t="shared" si="17"/>
        <v>0</v>
      </c>
      <c r="CC31" s="533"/>
      <c r="CD31" s="333">
        <f t="shared" si="41"/>
        <v>0</v>
      </c>
      <c r="CE31" s="334">
        <f t="shared" si="42"/>
        <v>0</v>
      </c>
      <c r="CF31" s="331">
        <f t="shared" si="18"/>
        <v>0</v>
      </c>
      <c r="CG31" s="533"/>
      <c r="CH31" s="337">
        <f t="shared" si="43"/>
        <v>0</v>
      </c>
      <c r="CI31" s="310"/>
      <c r="CJ31" s="335">
        <f t="shared" si="44"/>
        <v>0</v>
      </c>
      <c r="CK31" s="331">
        <f t="shared" si="19"/>
        <v>0</v>
      </c>
      <c r="CL31" s="532"/>
      <c r="CM31" s="332">
        <f t="shared" si="45"/>
        <v>0</v>
      </c>
      <c r="CN31" s="331">
        <f t="shared" si="20"/>
        <v>0</v>
      </c>
      <c r="CO31" s="533"/>
      <c r="CP31" s="337">
        <f t="shared" si="46"/>
        <v>0</v>
      </c>
      <c r="CQ31" s="335">
        <f t="shared" si="47"/>
        <v>0</v>
      </c>
      <c r="CR31" s="338" t="str">
        <f t="shared" si="21"/>
        <v/>
      </c>
      <c r="CS31" s="534"/>
      <c r="CT31" s="339" t="str">
        <f t="shared" si="48"/>
        <v/>
      </c>
      <c r="CU31" s="340" t="str">
        <f t="shared" si="22"/>
        <v/>
      </c>
      <c r="CV31" s="248"/>
      <c r="CW31" s="341" t="str">
        <f t="shared" si="49"/>
        <v/>
      </c>
      <c r="CX31" s="342" t="str">
        <f t="shared" si="50"/>
        <v/>
      </c>
      <c r="CY31" s="535"/>
      <c r="DA31" s="6">
        <f>IF(AND(CT31&lt;&gt;"",OR(CT31&lt;EXPEDIENTE!$I$25,CT31&gt;EXPEDIENTE!$I$29)),1,0)</f>
        <v>0</v>
      </c>
      <c r="DB31" s="6">
        <f>IF(AND(CW31&lt;&gt;"",OR(CW31&lt;EXPEDIENTE!$I$25,CW31&gt;EXPEDIENTE!$I$29)),1,0)</f>
        <v>0</v>
      </c>
      <c r="DD31" s="88">
        <f t="shared" si="23"/>
        <v>0</v>
      </c>
      <c r="DE31" s="88">
        <f t="shared" si="51"/>
        <v>0</v>
      </c>
      <c r="DF31" s="88">
        <f t="shared" si="52"/>
        <v>0</v>
      </c>
      <c r="DG31" s="88">
        <f t="shared" si="53"/>
        <v>0</v>
      </c>
      <c r="DH31" s="88">
        <f t="shared" si="54"/>
        <v>0</v>
      </c>
      <c r="DI31" s="88">
        <f t="shared" si="55"/>
        <v>0</v>
      </c>
      <c r="DJ31" s="88">
        <f t="shared" si="56"/>
        <v>0</v>
      </c>
      <c r="DK31" s="88">
        <f t="shared" si="57"/>
        <v>0</v>
      </c>
      <c r="DL31" s="88">
        <f t="shared" si="58"/>
        <v>0</v>
      </c>
      <c r="DM31" s="88">
        <f t="shared" si="59"/>
        <v>0</v>
      </c>
      <c r="DN31" s="88">
        <f t="shared" si="60"/>
        <v>0</v>
      </c>
      <c r="DO31" s="88">
        <f t="shared" si="61"/>
        <v>0</v>
      </c>
      <c r="DP31" s="88">
        <f t="shared" si="62"/>
        <v>0</v>
      </c>
      <c r="DQ31" s="88">
        <f t="shared" si="63"/>
        <v>0</v>
      </c>
      <c r="DR31" s="88">
        <f t="shared" si="64"/>
        <v>0</v>
      </c>
      <c r="DS31" s="88">
        <f t="shared" si="65"/>
        <v>0</v>
      </c>
      <c r="DT31" s="88">
        <f t="shared" si="66"/>
        <v>0</v>
      </c>
      <c r="DU31" s="88">
        <f t="shared" si="67"/>
        <v>0</v>
      </c>
      <c r="DW31" s="88">
        <f>IF(CY31&lt;&gt;"",MAX($DW$9:DW30)+1,0)</f>
        <v>0</v>
      </c>
      <c r="DX31" s="182" t="str">
        <f t="shared" si="68"/>
        <v/>
      </c>
    </row>
    <row r="32" spans="2:128" ht="9.9499999999999993" customHeight="1" thickBot="1" x14ac:dyDescent="0.3">
      <c r="B32" s="875"/>
      <c r="C32" s="177"/>
      <c r="D32" s="161"/>
      <c r="E32" s="161"/>
      <c r="F32" s="161"/>
      <c r="G32" s="161"/>
      <c r="H32" s="161"/>
      <c r="I32" s="161"/>
      <c r="J32" s="161"/>
      <c r="K32" s="161"/>
      <c r="L32" s="161"/>
      <c r="M32" s="178"/>
      <c r="N32" s="32"/>
      <c r="O32" s="33"/>
      <c r="P32" s="33"/>
      <c r="Q32" s="33"/>
      <c r="R32" s="33"/>
      <c r="S32" s="33"/>
      <c r="T32" s="33"/>
      <c r="U32" s="33"/>
      <c r="V32" s="34"/>
      <c r="W32" s="159"/>
      <c r="X32" s="161"/>
      <c r="Y32" s="161"/>
      <c r="Z32" s="161"/>
      <c r="AA32" s="161"/>
      <c r="AB32" s="161"/>
      <c r="AC32" s="161"/>
      <c r="AD32" s="161"/>
      <c r="AE32" s="164"/>
      <c r="AM32" s="728"/>
      <c r="AN32" s="277"/>
      <c r="AO32" s="278"/>
      <c r="AP32" s="278"/>
      <c r="AQ32" s="278"/>
      <c r="AR32" s="278"/>
      <c r="AS32" s="278"/>
      <c r="AT32" s="278"/>
      <c r="AU32" s="278"/>
      <c r="AV32" s="278"/>
      <c r="AW32" s="278"/>
      <c r="AX32" s="278"/>
      <c r="AY32" s="278"/>
      <c r="AZ32" s="278"/>
      <c r="BA32" s="278"/>
      <c r="BB32" s="278"/>
      <c r="BC32" s="278"/>
      <c r="BD32" s="278"/>
      <c r="BE32" s="278"/>
      <c r="BF32" s="278"/>
      <c r="BG32" s="278"/>
      <c r="BH32" s="278"/>
      <c r="BI32" s="278"/>
      <c r="BJ32" s="278"/>
      <c r="BK32" s="278"/>
      <c r="BL32" s="278"/>
      <c r="BM32" s="278"/>
      <c r="BN32" s="343"/>
      <c r="BO32" s="344"/>
      <c r="BP32" s="345"/>
      <c r="BQ32" s="345"/>
      <c r="BR32" s="345"/>
      <c r="BS32" s="345"/>
      <c r="BT32" s="345"/>
      <c r="BU32" s="345"/>
      <c r="BV32" s="345"/>
      <c r="BW32" s="345"/>
      <c r="BX32" s="345"/>
      <c r="BY32" s="345"/>
      <c r="BZ32" s="345"/>
      <c r="CA32" s="345"/>
      <c r="CB32" s="345"/>
      <c r="CC32" s="345"/>
      <c r="CD32" s="345"/>
      <c r="CE32" s="345"/>
      <c r="CF32" s="345"/>
      <c r="CG32" s="345"/>
      <c r="CH32" s="345"/>
      <c r="CI32" s="346"/>
      <c r="CJ32" s="347"/>
      <c r="CK32" s="278"/>
      <c r="CL32" s="278"/>
      <c r="CM32" s="278"/>
      <c r="CN32" s="278"/>
      <c r="CO32" s="278"/>
      <c r="CP32" s="278"/>
      <c r="CQ32" s="278"/>
      <c r="CR32" s="278"/>
      <c r="CS32" s="278"/>
      <c r="CT32" s="278"/>
      <c r="CU32" s="278"/>
      <c r="CV32" s="278"/>
      <c r="CW32" s="278"/>
      <c r="CX32" s="348"/>
      <c r="CY32" s="349"/>
    </row>
    <row r="33" spans="2:128" s="35" customFormat="1" ht="54.95" customHeight="1" thickTop="1" thickBot="1" x14ac:dyDescent="0.3">
      <c r="B33" s="875"/>
      <c r="C33" s="887" t="s">
        <v>185</v>
      </c>
      <c r="D33" s="887"/>
      <c r="E33" s="887"/>
      <c r="F33" s="887"/>
      <c r="G33" s="887"/>
      <c r="H33" s="887"/>
      <c r="I33" s="887"/>
      <c r="J33" s="887"/>
      <c r="K33" s="887"/>
      <c r="L33" s="887"/>
      <c r="M33" s="887"/>
      <c r="N33" s="887"/>
      <c r="O33" s="887"/>
      <c r="P33" s="887"/>
      <c r="Q33" s="887"/>
      <c r="R33" s="887"/>
      <c r="S33" s="887"/>
      <c r="T33" s="887"/>
      <c r="U33" s="887"/>
      <c r="V33" s="887"/>
      <c r="W33" s="887"/>
      <c r="X33" s="887"/>
      <c r="Y33" s="887"/>
      <c r="Z33" s="887"/>
      <c r="AA33" s="887"/>
      <c r="AB33" s="887"/>
      <c r="AC33" s="887"/>
      <c r="AD33" s="887"/>
      <c r="AE33" s="888"/>
      <c r="AG33" s="6"/>
      <c r="AH33" s="6"/>
      <c r="AI33" s="109"/>
      <c r="AJ33" s="109"/>
      <c r="AK33" s="109"/>
      <c r="AL33" s="350"/>
      <c r="AM33" s="728"/>
      <c r="AN33" s="751" t="s">
        <v>185</v>
      </c>
      <c r="AO33" s="751"/>
      <c r="AP33" s="751"/>
      <c r="AQ33" s="751"/>
      <c r="AR33" s="751"/>
      <c r="AS33" s="751"/>
      <c r="AT33" s="751"/>
      <c r="AU33" s="751"/>
      <c r="AV33" s="751"/>
      <c r="AW33" s="751"/>
      <c r="AX33" s="751"/>
      <c r="AY33" s="751"/>
      <c r="AZ33" s="751"/>
      <c r="BA33" s="751"/>
      <c r="BB33" s="751"/>
      <c r="BC33" s="751"/>
      <c r="BD33" s="751"/>
      <c r="BE33" s="751"/>
      <c r="BF33" s="751"/>
      <c r="BG33" s="751"/>
      <c r="BH33" s="751"/>
      <c r="BI33" s="751"/>
      <c r="BJ33" s="751"/>
      <c r="BK33" s="751"/>
      <c r="BL33" s="751"/>
      <c r="BM33" s="751"/>
      <c r="BN33" s="751"/>
      <c r="BO33" s="751"/>
      <c r="BP33" s="751"/>
      <c r="BQ33" s="751"/>
      <c r="BR33" s="751"/>
      <c r="BS33" s="751"/>
      <c r="BT33" s="751"/>
      <c r="BU33" s="751"/>
      <c r="BV33" s="751"/>
      <c r="BW33" s="751"/>
      <c r="BX33" s="751"/>
      <c r="BY33" s="751"/>
      <c r="BZ33" s="751"/>
      <c r="CA33" s="751"/>
      <c r="CB33" s="751"/>
      <c r="CC33" s="751"/>
      <c r="CD33" s="751"/>
      <c r="CE33" s="751"/>
      <c r="CF33" s="751"/>
      <c r="CG33" s="751"/>
      <c r="CH33" s="751"/>
      <c r="CI33" s="751"/>
      <c r="CJ33" s="751"/>
      <c r="CK33" s="751"/>
      <c r="CL33" s="751"/>
      <c r="CM33" s="751"/>
      <c r="CN33" s="751"/>
      <c r="CO33" s="751"/>
      <c r="CP33" s="751"/>
      <c r="CQ33" s="751"/>
      <c r="CR33" s="751"/>
      <c r="CS33" s="751"/>
      <c r="CT33" s="751"/>
      <c r="CU33" s="751"/>
      <c r="CV33" s="751"/>
      <c r="CW33" s="751"/>
      <c r="CX33" s="751"/>
      <c r="CY33" s="752"/>
      <c r="DA33" s="6"/>
      <c r="DB33" s="6"/>
      <c r="DD33" s="109"/>
      <c r="DE33" s="109"/>
      <c r="DF33" s="109"/>
      <c r="DG33" s="109"/>
      <c r="DH33" s="109"/>
      <c r="DI33" s="109"/>
      <c r="DJ33" s="109"/>
      <c r="DK33" s="109"/>
      <c r="DL33" s="109"/>
      <c r="DM33" s="109"/>
      <c r="DN33" s="109"/>
      <c r="DO33" s="109"/>
      <c r="DP33" s="109"/>
      <c r="DQ33" s="109"/>
      <c r="DR33" s="109"/>
      <c r="DS33" s="109"/>
      <c r="DT33" s="109"/>
      <c r="DU33" s="109"/>
    </row>
    <row r="34" spans="2:128" ht="20.100000000000001" customHeight="1" thickTop="1" thickBot="1" x14ac:dyDescent="0.3">
      <c r="B34" s="875"/>
      <c r="C34" s="858" t="s">
        <v>87</v>
      </c>
      <c r="D34" s="859"/>
      <c r="E34" s="860"/>
      <c r="F34" s="861" t="s">
        <v>85</v>
      </c>
      <c r="G34" s="862"/>
      <c r="H34" s="862"/>
      <c r="I34" s="862"/>
      <c r="J34" s="862"/>
      <c r="K34" s="862"/>
      <c r="L34" s="862"/>
      <c r="M34" s="863"/>
      <c r="N34" s="740" t="s">
        <v>88</v>
      </c>
      <c r="O34" s="741"/>
      <c r="P34" s="741"/>
      <c r="Q34" s="741"/>
      <c r="R34" s="741"/>
      <c r="S34" s="741"/>
      <c r="T34" s="741"/>
      <c r="U34" s="741"/>
      <c r="V34" s="742"/>
      <c r="W34" s="864" t="s">
        <v>79</v>
      </c>
      <c r="X34" s="746" t="s">
        <v>66</v>
      </c>
      <c r="Y34" s="743" t="s">
        <v>59</v>
      </c>
      <c r="Z34" s="743" t="s">
        <v>60</v>
      </c>
      <c r="AA34" s="743" t="s">
        <v>64</v>
      </c>
      <c r="AB34" s="789" t="s">
        <v>84</v>
      </c>
      <c r="AC34" s="746" t="s">
        <v>91</v>
      </c>
      <c r="AD34" s="789" t="s">
        <v>90</v>
      </c>
      <c r="AE34" s="871" t="s">
        <v>67</v>
      </c>
      <c r="AM34" s="728"/>
      <c r="AN34" s="732" t="s">
        <v>87</v>
      </c>
      <c r="AO34" s="733"/>
      <c r="AP34" s="733"/>
      <c r="AQ34" s="733"/>
      <c r="AR34" s="733"/>
      <c r="AS34" s="733"/>
      <c r="AT34" s="734"/>
      <c r="AU34" s="910" t="s">
        <v>85</v>
      </c>
      <c r="AV34" s="911"/>
      <c r="AW34" s="911"/>
      <c r="AX34" s="911"/>
      <c r="AY34" s="911"/>
      <c r="AZ34" s="911"/>
      <c r="BA34" s="911"/>
      <c r="BB34" s="911"/>
      <c r="BC34" s="911"/>
      <c r="BD34" s="911"/>
      <c r="BE34" s="911"/>
      <c r="BF34" s="911"/>
      <c r="BG34" s="911"/>
      <c r="BH34" s="911"/>
      <c r="BI34" s="911"/>
      <c r="BJ34" s="911"/>
      <c r="BK34" s="911"/>
      <c r="BL34" s="911"/>
      <c r="BM34" s="911"/>
      <c r="BN34" s="912"/>
      <c r="BO34" s="927" t="s">
        <v>407</v>
      </c>
      <c r="BP34" s="921"/>
      <c r="BQ34" s="921"/>
      <c r="BR34" s="921"/>
      <c r="BS34" s="921"/>
      <c r="BT34" s="921"/>
      <c r="BU34" s="921"/>
      <c r="BV34" s="921"/>
      <c r="BW34" s="921"/>
      <c r="BX34" s="921"/>
      <c r="BY34" s="921"/>
      <c r="BZ34" s="921"/>
      <c r="CA34" s="921"/>
      <c r="CB34" s="921"/>
      <c r="CC34" s="921"/>
      <c r="CD34" s="921"/>
      <c r="CE34" s="921"/>
      <c r="CF34" s="921"/>
      <c r="CG34" s="922"/>
      <c r="CH34" s="922"/>
      <c r="CI34" s="923"/>
      <c r="CJ34" s="827" t="s">
        <v>79</v>
      </c>
      <c r="CK34" s="695" t="s">
        <v>316</v>
      </c>
      <c r="CL34" s="696"/>
      <c r="CM34" s="697"/>
      <c r="CN34" s="714" t="s">
        <v>317</v>
      </c>
      <c r="CO34" s="715"/>
      <c r="CP34" s="716"/>
      <c r="CQ34" s="828" t="s">
        <v>60</v>
      </c>
      <c r="CR34" s="706" t="s">
        <v>319</v>
      </c>
      <c r="CS34" s="707"/>
      <c r="CT34" s="708"/>
      <c r="CU34" s="709" t="s">
        <v>318</v>
      </c>
      <c r="CV34" s="710"/>
      <c r="CW34" s="711"/>
      <c r="CX34" s="280"/>
      <c r="CY34" s="712" t="s">
        <v>320</v>
      </c>
    </row>
    <row r="35" spans="2:128" ht="15" customHeight="1" x14ac:dyDescent="0.25">
      <c r="B35" s="875"/>
      <c r="C35" s="877" t="s">
        <v>70</v>
      </c>
      <c r="D35" s="753" t="s">
        <v>63</v>
      </c>
      <c r="E35" s="891"/>
      <c r="F35" s="854" t="s">
        <v>57</v>
      </c>
      <c r="G35" s="753" t="s">
        <v>72</v>
      </c>
      <c r="H35" s="753"/>
      <c r="I35" s="753"/>
      <c r="J35" s="753"/>
      <c r="K35" s="753"/>
      <c r="L35" s="754"/>
      <c r="M35" s="749" t="s">
        <v>96</v>
      </c>
      <c r="N35" s="16"/>
      <c r="O35" s="788" t="s">
        <v>73</v>
      </c>
      <c r="P35" s="753"/>
      <c r="Q35" s="753"/>
      <c r="R35" s="753"/>
      <c r="S35" s="753"/>
      <c r="T35" s="753"/>
      <c r="U35" s="749" t="s">
        <v>89</v>
      </c>
      <c r="V35" s="17"/>
      <c r="W35" s="865"/>
      <c r="X35" s="747"/>
      <c r="Y35" s="744"/>
      <c r="Z35" s="744"/>
      <c r="AA35" s="744"/>
      <c r="AB35" s="790"/>
      <c r="AC35" s="747"/>
      <c r="AD35" s="790"/>
      <c r="AE35" s="872"/>
      <c r="AM35" s="728"/>
      <c r="AN35" s="806" t="s">
        <v>70</v>
      </c>
      <c r="AO35" s="803" t="s">
        <v>63</v>
      </c>
      <c r="AP35" s="804"/>
      <c r="AQ35" s="805"/>
      <c r="AR35" s="803" t="s">
        <v>63</v>
      </c>
      <c r="AS35" s="804"/>
      <c r="AT35" s="805"/>
      <c r="AU35" s="778" t="s">
        <v>272</v>
      </c>
      <c r="AV35" s="779"/>
      <c r="AW35" s="780"/>
      <c r="AX35" s="820" t="s">
        <v>72</v>
      </c>
      <c r="AY35" s="821"/>
      <c r="AZ35" s="821"/>
      <c r="BA35" s="821"/>
      <c r="BB35" s="821"/>
      <c r="BC35" s="821"/>
      <c r="BD35" s="821"/>
      <c r="BE35" s="821"/>
      <c r="BF35" s="821"/>
      <c r="BG35" s="821"/>
      <c r="BH35" s="821"/>
      <c r="BI35" s="821"/>
      <c r="BJ35" s="821"/>
      <c r="BK35" s="821"/>
      <c r="BL35" s="821"/>
      <c r="BM35" s="822"/>
      <c r="BN35" s="823" t="s">
        <v>273</v>
      </c>
      <c r="BO35" s="281"/>
      <c r="BP35" s="820" t="s">
        <v>408</v>
      </c>
      <c r="BQ35" s="924"/>
      <c r="BR35" s="924"/>
      <c r="BS35" s="821"/>
      <c r="BT35" s="821"/>
      <c r="BU35" s="821"/>
      <c r="BV35" s="821"/>
      <c r="BW35" s="821"/>
      <c r="BX35" s="821"/>
      <c r="BY35" s="821"/>
      <c r="BZ35" s="821"/>
      <c r="CA35" s="821"/>
      <c r="CB35" s="821"/>
      <c r="CC35" s="821"/>
      <c r="CD35" s="821"/>
      <c r="CE35" s="822"/>
      <c r="CF35" s="928" t="s">
        <v>409</v>
      </c>
      <c r="CG35" s="925"/>
      <c r="CH35" s="926"/>
      <c r="CI35" s="282"/>
      <c r="CJ35" s="738"/>
      <c r="CK35" s="698" t="s">
        <v>270</v>
      </c>
      <c r="CL35" s="700" t="s">
        <v>245</v>
      </c>
      <c r="CM35" s="702" t="s">
        <v>271</v>
      </c>
      <c r="CN35" s="698" t="s">
        <v>270</v>
      </c>
      <c r="CO35" s="700" t="s">
        <v>245</v>
      </c>
      <c r="CP35" s="702" t="s">
        <v>271</v>
      </c>
      <c r="CQ35" s="829"/>
      <c r="CR35" s="698" t="s">
        <v>270</v>
      </c>
      <c r="CS35" s="700" t="s">
        <v>245</v>
      </c>
      <c r="CT35" s="702" t="s">
        <v>271</v>
      </c>
      <c r="CU35" s="698" t="s">
        <v>270</v>
      </c>
      <c r="CV35" s="700" t="s">
        <v>245</v>
      </c>
      <c r="CW35" s="702" t="s">
        <v>271</v>
      </c>
      <c r="CX35" s="283"/>
      <c r="CY35" s="713"/>
    </row>
    <row r="36" spans="2:128" ht="45" customHeight="1" thickBot="1" x14ac:dyDescent="0.3">
      <c r="B36" s="875"/>
      <c r="C36" s="878"/>
      <c r="D36" s="36" t="s">
        <v>68</v>
      </c>
      <c r="E36" s="37" t="s">
        <v>69</v>
      </c>
      <c r="F36" s="855"/>
      <c r="G36" s="18" t="s">
        <v>97</v>
      </c>
      <c r="H36" s="18" t="s">
        <v>98</v>
      </c>
      <c r="I36" s="18" t="s">
        <v>99</v>
      </c>
      <c r="J36" s="18" t="s">
        <v>100</v>
      </c>
      <c r="K36" s="18" t="s">
        <v>101</v>
      </c>
      <c r="L36" s="19" t="s">
        <v>108</v>
      </c>
      <c r="M36" s="750"/>
      <c r="N36" s="20"/>
      <c r="O36" s="21" t="s">
        <v>102</v>
      </c>
      <c r="P36" s="18" t="s">
        <v>103</v>
      </c>
      <c r="Q36" s="18" t="s">
        <v>104</v>
      </c>
      <c r="R36" s="18" t="s">
        <v>105</v>
      </c>
      <c r="S36" s="18" t="s">
        <v>106</v>
      </c>
      <c r="T36" s="18" t="s">
        <v>107</v>
      </c>
      <c r="U36" s="750"/>
      <c r="V36" s="22"/>
      <c r="W36" s="866"/>
      <c r="X36" s="748"/>
      <c r="Y36" s="745"/>
      <c r="Z36" s="745"/>
      <c r="AA36" s="745"/>
      <c r="AB36" s="791"/>
      <c r="AC36" s="748"/>
      <c r="AD36" s="791"/>
      <c r="AE36" s="873"/>
      <c r="AM36" s="728"/>
      <c r="AN36" s="807"/>
      <c r="AO36" s="284" t="s">
        <v>307</v>
      </c>
      <c r="AP36" s="351" t="s">
        <v>308</v>
      </c>
      <c r="AQ36" s="286" t="s">
        <v>271</v>
      </c>
      <c r="AR36" s="284" t="s">
        <v>310</v>
      </c>
      <c r="AS36" s="351" t="s">
        <v>311</v>
      </c>
      <c r="AT36" s="286" t="s">
        <v>271</v>
      </c>
      <c r="AU36" s="284" t="s">
        <v>270</v>
      </c>
      <c r="AV36" s="285" t="s">
        <v>245</v>
      </c>
      <c r="AW36" s="286" t="s">
        <v>271</v>
      </c>
      <c r="AX36" s="287" t="s">
        <v>274</v>
      </c>
      <c r="AY36" s="288" t="s">
        <v>275</v>
      </c>
      <c r="AZ36" s="289" t="s">
        <v>276</v>
      </c>
      <c r="BA36" s="289" t="s">
        <v>277</v>
      </c>
      <c r="BB36" s="288" t="s">
        <v>278</v>
      </c>
      <c r="BC36" s="289" t="s">
        <v>279</v>
      </c>
      <c r="BD36" s="289" t="s">
        <v>280</v>
      </c>
      <c r="BE36" s="288" t="s">
        <v>281</v>
      </c>
      <c r="BF36" s="289" t="s">
        <v>282</v>
      </c>
      <c r="BG36" s="289" t="s">
        <v>283</v>
      </c>
      <c r="BH36" s="288" t="s">
        <v>284</v>
      </c>
      <c r="BI36" s="289" t="s">
        <v>285</v>
      </c>
      <c r="BJ36" s="289" t="s">
        <v>286</v>
      </c>
      <c r="BK36" s="288" t="s">
        <v>287</v>
      </c>
      <c r="BL36" s="289" t="s">
        <v>288</v>
      </c>
      <c r="BM36" s="290" t="s">
        <v>289</v>
      </c>
      <c r="BN36" s="824"/>
      <c r="BO36" s="291"/>
      <c r="BP36" s="287" t="s">
        <v>291</v>
      </c>
      <c r="BQ36" s="288" t="s">
        <v>292</v>
      </c>
      <c r="BR36" s="289" t="s">
        <v>293</v>
      </c>
      <c r="BS36" s="289" t="s">
        <v>294</v>
      </c>
      <c r="BT36" s="288" t="s">
        <v>295</v>
      </c>
      <c r="BU36" s="289" t="s">
        <v>296</v>
      </c>
      <c r="BV36" s="289" t="s">
        <v>297</v>
      </c>
      <c r="BW36" s="288" t="s">
        <v>298</v>
      </c>
      <c r="BX36" s="289" t="s">
        <v>299</v>
      </c>
      <c r="BY36" s="289" t="s">
        <v>300</v>
      </c>
      <c r="BZ36" s="288" t="s">
        <v>301</v>
      </c>
      <c r="CA36" s="289" t="s">
        <v>302</v>
      </c>
      <c r="CB36" s="289" t="s">
        <v>303</v>
      </c>
      <c r="CC36" s="288" t="s">
        <v>304</v>
      </c>
      <c r="CD36" s="289" t="s">
        <v>305</v>
      </c>
      <c r="CE36" s="290" t="s">
        <v>306</v>
      </c>
      <c r="CF36" s="292" t="s">
        <v>270</v>
      </c>
      <c r="CG36" s="293" t="s">
        <v>245</v>
      </c>
      <c r="CH36" s="294" t="s">
        <v>271</v>
      </c>
      <c r="CI36" s="295"/>
      <c r="CJ36" s="739"/>
      <c r="CK36" s="699"/>
      <c r="CL36" s="701"/>
      <c r="CM36" s="703"/>
      <c r="CN36" s="699"/>
      <c r="CO36" s="701"/>
      <c r="CP36" s="703"/>
      <c r="CQ36" s="830"/>
      <c r="CR36" s="699"/>
      <c r="CS36" s="701"/>
      <c r="CT36" s="703"/>
      <c r="CU36" s="699"/>
      <c r="CV36" s="701"/>
      <c r="CW36" s="703"/>
      <c r="CX36" s="296" t="s">
        <v>321</v>
      </c>
      <c r="CY36" s="297" t="s">
        <v>245</v>
      </c>
      <c r="DD36" s="88" t="s">
        <v>322</v>
      </c>
      <c r="DE36" s="88" t="s">
        <v>323</v>
      </c>
      <c r="DF36" s="88" t="s">
        <v>324</v>
      </c>
      <c r="DG36" s="88" t="s">
        <v>325</v>
      </c>
      <c r="DH36" s="88" t="s">
        <v>326</v>
      </c>
      <c r="DI36" s="88" t="s">
        <v>327</v>
      </c>
      <c r="DJ36" s="88" t="s">
        <v>328</v>
      </c>
      <c r="DK36" s="88" t="s">
        <v>329</v>
      </c>
      <c r="DL36" s="88" t="s">
        <v>330</v>
      </c>
      <c r="DM36" s="88" t="s">
        <v>331</v>
      </c>
      <c r="DN36" s="88" t="s">
        <v>332</v>
      </c>
      <c r="DO36" s="88" t="s">
        <v>333</v>
      </c>
      <c r="DP36" s="88" t="s">
        <v>334</v>
      </c>
      <c r="DQ36" s="88" t="s">
        <v>335</v>
      </c>
      <c r="DR36" s="88" t="s">
        <v>336</v>
      </c>
      <c r="DS36" s="88" t="s">
        <v>337</v>
      </c>
      <c r="DT36" s="88" t="s">
        <v>338</v>
      </c>
      <c r="DU36" s="88" t="s">
        <v>339</v>
      </c>
    </row>
    <row r="37" spans="2:128" ht="30" customHeight="1" x14ac:dyDescent="0.25">
      <c r="B37" s="875"/>
      <c r="C37" s="75"/>
      <c r="D37" s="62"/>
      <c r="E37" s="63"/>
      <c r="F37" s="50"/>
      <c r="G37" s="51"/>
      <c r="H37" s="51"/>
      <c r="I37" s="51"/>
      <c r="J37" s="51"/>
      <c r="K37" s="51"/>
      <c r="L37" s="38">
        <f>SUM(G37:K37)</f>
        <v>0</v>
      </c>
      <c r="M37" s="39">
        <f>F37+L37</f>
        <v>0</v>
      </c>
      <c r="N37" s="40"/>
      <c r="O37" s="77"/>
      <c r="P37" s="78"/>
      <c r="Q37" s="78"/>
      <c r="R37" s="78"/>
      <c r="S37" s="78"/>
      <c r="T37" s="38">
        <f>SUM(O37:S37)</f>
        <v>0</v>
      </c>
      <c r="U37" s="79"/>
      <c r="V37" s="27"/>
      <c r="W37" s="41">
        <f>M37+T37+U37</f>
        <v>0</v>
      </c>
      <c r="X37" s="77"/>
      <c r="Y37" s="78"/>
      <c r="Z37" s="26">
        <f>F37+L37+T37+U37-X37-Y37</f>
        <v>0</v>
      </c>
      <c r="AA37" s="62"/>
      <c r="AB37" s="63"/>
      <c r="AC37" s="66"/>
      <c r="AD37" s="67"/>
      <c r="AE37" s="105"/>
      <c r="AG37" s="6">
        <f>IF(AND(AA37&lt;&gt;"",OR(AA37&lt;EXPEDIENTE!$I$25,AA37&gt;EXPEDIENTE!$I$29)),1,0)</f>
        <v>0</v>
      </c>
      <c r="AH37" s="6">
        <f>IF(AND(AB37&lt;&gt;"",OR(AB37&lt;EXPEDIENTE!$I$25,AB37&gt;EXPEDIENTE!$I$29)),1,0)</f>
        <v>0</v>
      </c>
      <c r="AM37" s="728"/>
      <c r="AN37" s="352" t="str">
        <f t="shared" ref="AN37:AO44" si="71">IF(C37="","",C37)</f>
        <v/>
      </c>
      <c r="AO37" s="353" t="str">
        <f>IF(D37="","",D37)</f>
        <v/>
      </c>
      <c r="AP37" s="536"/>
      <c r="AQ37" s="354" t="str">
        <f>IF(AP37="",AO37,AP37)</f>
        <v/>
      </c>
      <c r="AR37" s="353" t="str">
        <f t="shared" ref="AR37:AR44" si="72">IF(E37="","",E37)</f>
        <v/>
      </c>
      <c r="AS37" s="536"/>
      <c r="AT37" s="354" t="str">
        <f>IF(AS37="",AR37,AS37)</f>
        <v/>
      </c>
      <c r="AU37" s="301">
        <f t="shared" ref="AU37:AU44" si="73">IF(F37="",0,F37)</f>
        <v>0</v>
      </c>
      <c r="AV37" s="523"/>
      <c r="AW37" s="302">
        <f>IF(AV37="",AU37,AV37)</f>
        <v>0</v>
      </c>
      <c r="AX37" s="301">
        <f t="shared" ref="AX37:AX44" si="74">IF(G37="",0,G37)</f>
        <v>0</v>
      </c>
      <c r="AY37" s="524"/>
      <c r="AZ37" s="303">
        <f>IF(AY37="",AX37,AY37)</f>
        <v>0</v>
      </c>
      <c r="BA37" s="303">
        <f t="shared" ref="BA37:BA44" si="75">IF(H37="",0,H37)</f>
        <v>0</v>
      </c>
      <c r="BB37" s="524"/>
      <c r="BC37" s="303">
        <f>IF(BB37="",BA37,BB37)</f>
        <v>0</v>
      </c>
      <c r="BD37" s="303">
        <f t="shared" ref="BD37:BD44" si="76">IF(I37="",0,I37)</f>
        <v>0</v>
      </c>
      <c r="BE37" s="524"/>
      <c r="BF37" s="303">
        <f>IF(BE37="",BD37,BE37)</f>
        <v>0</v>
      </c>
      <c r="BG37" s="303">
        <f t="shared" ref="BG37:BG44" si="77">IF(J37="",0,J37)</f>
        <v>0</v>
      </c>
      <c r="BH37" s="524"/>
      <c r="BI37" s="303">
        <f>IF(BH37="",BG37,BH37)</f>
        <v>0</v>
      </c>
      <c r="BJ37" s="303">
        <f t="shared" ref="BJ37:BJ44" si="78">IF(K37="",0,K37)</f>
        <v>0</v>
      </c>
      <c r="BK37" s="524"/>
      <c r="BL37" s="303">
        <f>IF(BK37="",BJ37,BK37)</f>
        <v>0</v>
      </c>
      <c r="BM37" s="304">
        <f>AZ37+BC37+BF37+BI37+BL37</f>
        <v>0</v>
      </c>
      <c r="BN37" s="305">
        <f>AW37+BM37</f>
        <v>0</v>
      </c>
      <c r="BO37" s="355"/>
      <c r="BP37" s="301">
        <f t="shared" ref="BP37:BP44" si="79">IF(O37="",0,O37)</f>
        <v>0</v>
      </c>
      <c r="BQ37" s="537"/>
      <c r="BR37" s="307">
        <f>IF(BQ37="",BP37,BQ37)</f>
        <v>0</v>
      </c>
      <c r="BS37" s="303">
        <f t="shared" ref="BS37:BS44" si="80">IF(P37="",0,P37)</f>
        <v>0</v>
      </c>
      <c r="BT37" s="525"/>
      <c r="BU37" s="303">
        <f>IF(BT37="",BS37,BT37)</f>
        <v>0</v>
      </c>
      <c r="BV37" s="303">
        <f t="shared" ref="BV37:BV44" si="81">IF(Q37="",0,Q37)</f>
        <v>0</v>
      </c>
      <c r="BW37" s="525"/>
      <c r="BX37" s="303">
        <f>IF(BW37="",BV37,BW37)</f>
        <v>0</v>
      </c>
      <c r="BY37" s="303">
        <f t="shared" ref="BY37:BY44" si="82">IF(R37="",0,R37)</f>
        <v>0</v>
      </c>
      <c r="BZ37" s="525"/>
      <c r="CA37" s="303">
        <f>IF(BZ37="",BY37,BZ37)</f>
        <v>0</v>
      </c>
      <c r="CB37" s="303">
        <f t="shared" ref="CB37:CB44" si="83">IF(S37="",0,S37)</f>
        <v>0</v>
      </c>
      <c r="CC37" s="525"/>
      <c r="CD37" s="303">
        <f>IF(CC37="",CB37,CC37)</f>
        <v>0</v>
      </c>
      <c r="CE37" s="356">
        <f>BR37+BU37+BX37+CA37+CD37</f>
        <v>0</v>
      </c>
      <c r="CF37" s="308">
        <f t="shared" ref="CF37:CF44" si="84">IF(U37="",0,U37)</f>
        <v>0</v>
      </c>
      <c r="CG37" s="525"/>
      <c r="CH37" s="309">
        <f>IF(CG37="",CF37,CG37)</f>
        <v>0</v>
      </c>
      <c r="CI37" s="310"/>
      <c r="CJ37" s="311">
        <f>BN37+CE37+CH37</f>
        <v>0</v>
      </c>
      <c r="CK37" s="308">
        <f t="shared" ref="CK37:CK44" si="85">IF(X37="",0,X37)</f>
        <v>0</v>
      </c>
      <c r="CL37" s="537"/>
      <c r="CM37" s="357">
        <f>IF(CL37="",CK37,CL37)</f>
        <v>0</v>
      </c>
      <c r="CN37" s="308">
        <f t="shared" ref="CN37:CN44" si="86">IF(Y37="",0,Y37)</f>
        <v>0</v>
      </c>
      <c r="CO37" s="525"/>
      <c r="CP37" s="309">
        <f>IF(CO37="",CN37,CO37)</f>
        <v>0</v>
      </c>
      <c r="CQ37" s="311">
        <f>AW37+BM37+CE37+CH37-CM37-CP37</f>
        <v>0</v>
      </c>
      <c r="CR37" s="353" t="str">
        <f t="shared" ref="CR37:CR44" si="87">IF(AA37="","",AA37)</f>
        <v/>
      </c>
      <c r="CS37" s="227"/>
      <c r="CT37" s="354" t="str">
        <f>IF(CS37="",CR37,CS37)</f>
        <v/>
      </c>
      <c r="CU37" s="353" t="str">
        <f t="shared" ref="CU37:CU44" si="88">IF(AB37="","",AB37)</f>
        <v/>
      </c>
      <c r="CV37" s="227"/>
      <c r="CW37" s="354" t="str">
        <f>IF(CV37="",CU37,CV37)</f>
        <v/>
      </c>
      <c r="CX37" s="317" t="str">
        <f>IF(DD37=0,"",DD37)</f>
        <v/>
      </c>
      <c r="CY37" s="527"/>
      <c r="DA37" s="6">
        <f>IF(AND(CT37&lt;&gt;"",OR(CT37&lt;EXPEDIENTE!$I$25,CT37&gt;EXPEDIENTE!$I$29)),1,0)</f>
        <v>0</v>
      </c>
      <c r="DB37" s="6">
        <f>IF(AND(CW37&lt;&gt;"",OR(CW37&lt;EXPEDIENTE!$I$25,CW37&gt;EXPEDIENTE!$I$29)),1,0)</f>
        <v>0</v>
      </c>
      <c r="DD37" s="88">
        <f t="shared" ref="DD37:DD44" si="89">SUM(DE37:DU37)</f>
        <v>0</v>
      </c>
      <c r="DE37" s="88">
        <f>IF(AS37="",0,1)</f>
        <v>0</v>
      </c>
      <c r="DF37" s="88">
        <f>IF(AV37="",0,1)</f>
        <v>0</v>
      </c>
      <c r="DG37" s="88">
        <f>IF(AY37="",0,1)</f>
        <v>0</v>
      </c>
      <c r="DH37" s="88">
        <f>IF(BB37="",0,1)</f>
        <v>0</v>
      </c>
      <c r="DI37" s="88">
        <f>IF(BE37="",0,1)</f>
        <v>0</v>
      </c>
      <c r="DJ37" s="88">
        <f>IF(BH37="",0,1)</f>
        <v>0</v>
      </c>
      <c r="DK37" s="88">
        <f>IF(BK37="",0,1)</f>
        <v>0</v>
      </c>
      <c r="DL37" s="88">
        <f>IF(BQ37="",0,1)</f>
        <v>0</v>
      </c>
      <c r="DM37" s="88">
        <f>IF(BT37="",0,1)</f>
        <v>0</v>
      </c>
      <c r="DN37" s="88">
        <f>IF(BW37="",0,1)</f>
        <v>0</v>
      </c>
      <c r="DO37" s="88">
        <f>IF(BZ37="",0,1)</f>
        <v>0</v>
      </c>
      <c r="DP37" s="88">
        <f>IF(CC37="",0,1)</f>
        <v>0</v>
      </c>
      <c r="DQ37" s="88">
        <f>IF(CG37="",0,1)</f>
        <v>0</v>
      </c>
      <c r="DR37" s="88">
        <f>IF(CL37="",0,1)</f>
        <v>0</v>
      </c>
      <c r="DS37" s="88">
        <f>IF(CO37="",0,1)</f>
        <v>0</v>
      </c>
      <c r="DT37" s="88">
        <f>IF(CS37="",0,1)</f>
        <v>0</v>
      </c>
      <c r="DU37" s="88">
        <f>IF(CV37="",0,1)</f>
        <v>0</v>
      </c>
      <c r="DW37" s="88">
        <f>IF(CY37&lt;&gt;"",MAX($DW$9:DW36)+1,0)</f>
        <v>0</v>
      </c>
      <c r="DX37" s="182" t="str">
        <f t="shared" ref="DX37:DX44" si="90">IF(DW37=0,"",CY37)</f>
        <v/>
      </c>
    </row>
    <row r="38" spans="2:128" ht="30" customHeight="1" x14ac:dyDescent="0.25">
      <c r="B38" s="875"/>
      <c r="C38" s="76"/>
      <c r="D38" s="64"/>
      <c r="E38" s="65"/>
      <c r="F38" s="53"/>
      <c r="G38" s="54"/>
      <c r="H38" s="54"/>
      <c r="I38" s="54"/>
      <c r="J38" s="54"/>
      <c r="K38" s="54"/>
      <c r="L38" s="23">
        <f>SUM(G38:K38)</f>
        <v>0</v>
      </c>
      <c r="M38" s="42">
        <f t="shared" ref="M38:M44" si="91">F38+L38</f>
        <v>0</v>
      </c>
      <c r="N38" s="40"/>
      <c r="O38" s="53"/>
      <c r="P38" s="54"/>
      <c r="Q38" s="54"/>
      <c r="R38" s="54"/>
      <c r="S38" s="54"/>
      <c r="T38" s="23">
        <f t="shared" ref="T38:T44" si="92">SUM(O38:S38)</f>
        <v>0</v>
      </c>
      <c r="U38" s="80"/>
      <c r="V38" s="27"/>
      <c r="W38" s="43">
        <f t="shared" ref="W38:W44" si="93">M38+T38+U38</f>
        <v>0</v>
      </c>
      <c r="X38" s="53"/>
      <c r="Y38" s="54"/>
      <c r="Z38" s="26">
        <f t="shared" ref="Z38:Z44" si="94">F38+L38+T38+U38-X38-Y38</f>
        <v>0</v>
      </c>
      <c r="AA38" s="62"/>
      <c r="AB38" s="63"/>
      <c r="AC38" s="69"/>
      <c r="AD38" s="70"/>
      <c r="AE38" s="104"/>
      <c r="AG38" s="6">
        <f>IF(AND(AA38&lt;&gt;"",OR(AA38&lt;EXPEDIENTE!$I$25,AA38&gt;EXPEDIENTE!$I$29)),1,0)</f>
        <v>0</v>
      </c>
      <c r="AH38" s="6">
        <f>IF(AND(AB38&lt;&gt;"",OR(AB38&lt;EXPEDIENTE!$I$25,AB38&gt;EXPEDIENTE!$I$29)),1,0)</f>
        <v>0</v>
      </c>
      <c r="AM38" s="728"/>
      <c r="AN38" s="358" t="str">
        <f t="shared" si="71"/>
        <v/>
      </c>
      <c r="AO38" s="315" t="str">
        <f t="shared" si="71"/>
        <v/>
      </c>
      <c r="AP38" s="236"/>
      <c r="AQ38" s="316" t="str">
        <f t="shared" ref="AQ38:AQ44" si="95">IF(AP38="",AO38,AP38)</f>
        <v/>
      </c>
      <c r="AR38" s="315" t="str">
        <f t="shared" si="72"/>
        <v/>
      </c>
      <c r="AS38" s="236"/>
      <c r="AT38" s="316" t="str">
        <f t="shared" ref="AT38:AT44" si="96">IF(AS38="",AR38,AS38)</f>
        <v/>
      </c>
      <c r="AU38" s="301">
        <f t="shared" si="73"/>
        <v>0</v>
      </c>
      <c r="AV38" s="528"/>
      <c r="AW38" s="322">
        <f t="shared" ref="AW38:AW44" si="97">IF(AV38="",AU38,AV38)</f>
        <v>0</v>
      </c>
      <c r="AX38" s="321">
        <f t="shared" si="74"/>
        <v>0</v>
      </c>
      <c r="AY38" s="529"/>
      <c r="AZ38" s="323">
        <f t="shared" ref="AZ38:AZ44" si="98">IF(AY38="",AX38,AY38)</f>
        <v>0</v>
      </c>
      <c r="BA38" s="323">
        <f t="shared" si="75"/>
        <v>0</v>
      </c>
      <c r="BB38" s="529"/>
      <c r="BC38" s="323">
        <f t="shared" ref="BC38:BC44" si="99">IF(BB38="",BA38,BB38)</f>
        <v>0</v>
      </c>
      <c r="BD38" s="323">
        <f t="shared" si="76"/>
        <v>0</v>
      </c>
      <c r="BE38" s="529"/>
      <c r="BF38" s="323">
        <f t="shared" ref="BF38:BF44" si="100">IF(BE38="",BD38,BE38)</f>
        <v>0</v>
      </c>
      <c r="BG38" s="323">
        <f t="shared" si="77"/>
        <v>0</v>
      </c>
      <c r="BH38" s="529"/>
      <c r="BI38" s="323">
        <f t="shared" ref="BI38:BI44" si="101">IF(BH38="",BG38,BH38)</f>
        <v>0</v>
      </c>
      <c r="BJ38" s="323">
        <f t="shared" si="78"/>
        <v>0</v>
      </c>
      <c r="BK38" s="529"/>
      <c r="BL38" s="323">
        <f t="shared" ref="BL38:BL44" si="102">IF(BK38="",BJ38,BK38)</f>
        <v>0</v>
      </c>
      <c r="BM38" s="304">
        <f t="shared" ref="BM38:BM44" si="103">AZ38+BC38+BF38+BI38+BL38</f>
        <v>0</v>
      </c>
      <c r="BN38" s="324">
        <f t="shared" ref="BN38:BN44" si="104">AW38+BM38</f>
        <v>0</v>
      </c>
      <c r="BO38" s="355"/>
      <c r="BP38" s="321">
        <f t="shared" si="79"/>
        <v>0</v>
      </c>
      <c r="BQ38" s="528"/>
      <c r="BR38" s="325">
        <f t="shared" ref="BR38:BR44" si="105">IF(BQ38="",BP38,BQ38)</f>
        <v>0</v>
      </c>
      <c r="BS38" s="323">
        <f t="shared" si="80"/>
        <v>0</v>
      </c>
      <c r="BT38" s="529"/>
      <c r="BU38" s="323">
        <f t="shared" ref="BU38:BU44" si="106">IF(BT38="",BS38,BT38)</f>
        <v>0</v>
      </c>
      <c r="BV38" s="323">
        <f t="shared" si="81"/>
        <v>0</v>
      </c>
      <c r="BW38" s="529"/>
      <c r="BX38" s="323">
        <f t="shared" ref="BX38:BX44" si="107">IF(BW38="",BV38,BW38)</f>
        <v>0</v>
      </c>
      <c r="BY38" s="323">
        <f t="shared" si="82"/>
        <v>0</v>
      </c>
      <c r="BZ38" s="529"/>
      <c r="CA38" s="323">
        <f t="shared" ref="CA38:CA44" si="108">IF(BZ38="",BY38,BZ38)</f>
        <v>0</v>
      </c>
      <c r="CB38" s="323">
        <f t="shared" si="83"/>
        <v>0</v>
      </c>
      <c r="CC38" s="529"/>
      <c r="CD38" s="323">
        <f t="shared" ref="CD38:CD44" si="109">IF(CC38="",CB38,CC38)</f>
        <v>0</v>
      </c>
      <c r="CE38" s="304">
        <f t="shared" ref="CE38:CE44" si="110">BR38+BU38+BX38+CA38+CD38</f>
        <v>0</v>
      </c>
      <c r="CF38" s="321">
        <f t="shared" si="84"/>
        <v>0</v>
      </c>
      <c r="CG38" s="529"/>
      <c r="CH38" s="326">
        <f t="shared" ref="CH38:CH44" si="111">IF(CG38="",CF38,CG38)</f>
        <v>0</v>
      </c>
      <c r="CI38" s="310"/>
      <c r="CJ38" s="327">
        <f t="shared" ref="CJ38:CJ44" si="112">BN38+CE38+CH38</f>
        <v>0</v>
      </c>
      <c r="CK38" s="321">
        <f t="shared" si="85"/>
        <v>0</v>
      </c>
      <c r="CL38" s="528"/>
      <c r="CM38" s="322">
        <f t="shared" ref="CM38:CM44" si="113">IF(CL38="",CK38,CL38)</f>
        <v>0</v>
      </c>
      <c r="CN38" s="321">
        <f t="shared" si="86"/>
        <v>0</v>
      </c>
      <c r="CO38" s="524"/>
      <c r="CP38" s="359">
        <f t="shared" ref="CP38:CP44" si="114">IF(CO38="",CN38,CO38)</f>
        <v>0</v>
      </c>
      <c r="CQ38" s="312">
        <f t="shared" ref="CQ38:CQ44" si="115">AW38+BM38+CE38+CH38-CM38-CP38</f>
        <v>0</v>
      </c>
      <c r="CR38" s="315" t="str">
        <f t="shared" si="87"/>
        <v/>
      </c>
      <c r="CS38" s="236"/>
      <c r="CT38" s="316" t="str">
        <f t="shared" ref="CT38:CT44" si="116">IF(CS38="",CR38,CS38)</f>
        <v/>
      </c>
      <c r="CU38" s="315" t="str">
        <f t="shared" si="88"/>
        <v/>
      </c>
      <c r="CV38" s="236"/>
      <c r="CW38" s="316" t="str">
        <f t="shared" ref="CW38:CW44" si="117">IF(CV38="",CU38,CV38)</f>
        <v/>
      </c>
      <c r="CX38" s="328" t="str">
        <f t="shared" ref="CX38:CX44" si="118">IF(DD38=0,"",DD38)</f>
        <v/>
      </c>
      <c r="CY38" s="530"/>
      <c r="DA38" s="6">
        <f>IF(AND(CT38&lt;&gt;"",OR(CT38&lt;EXPEDIENTE!$I$25,CT38&gt;EXPEDIENTE!$I$29)),1,0)</f>
        <v>0</v>
      </c>
      <c r="DB38" s="6">
        <f>IF(AND(CW38&lt;&gt;"",OR(CW38&lt;EXPEDIENTE!$I$25,CW38&gt;EXPEDIENTE!$I$29)),1,0)</f>
        <v>0</v>
      </c>
      <c r="DD38" s="88">
        <f t="shared" si="89"/>
        <v>0</v>
      </c>
      <c r="DE38" s="88">
        <f t="shared" ref="DE38:DE44" si="119">IF(AS38="",0,1)</f>
        <v>0</v>
      </c>
      <c r="DF38" s="88">
        <f t="shared" ref="DF38:DF44" si="120">IF(AV38="",0,1)</f>
        <v>0</v>
      </c>
      <c r="DG38" s="88">
        <f t="shared" ref="DG38:DG44" si="121">IF(AY38="",0,1)</f>
        <v>0</v>
      </c>
      <c r="DH38" s="88">
        <f t="shared" ref="DH38:DH44" si="122">IF(BB38="",0,1)</f>
        <v>0</v>
      </c>
      <c r="DI38" s="88">
        <f t="shared" ref="DI38:DI44" si="123">IF(BE38="",0,1)</f>
        <v>0</v>
      </c>
      <c r="DJ38" s="88">
        <f t="shared" ref="DJ38:DJ44" si="124">IF(BH38="",0,1)</f>
        <v>0</v>
      </c>
      <c r="DK38" s="88">
        <f t="shared" ref="DK38:DK44" si="125">IF(BK38="",0,1)</f>
        <v>0</v>
      </c>
      <c r="DL38" s="88">
        <f t="shared" ref="DL38:DL44" si="126">IF(BQ38="",0,1)</f>
        <v>0</v>
      </c>
      <c r="DM38" s="88">
        <f t="shared" ref="DM38:DM44" si="127">IF(BT38="",0,1)</f>
        <v>0</v>
      </c>
      <c r="DN38" s="88">
        <f t="shared" ref="DN38:DN44" si="128">IF(BW38="",0,1)</f>
        <v>0</v>
      </c>
      <c r="DO38" s="88">
        <f t="shared" ref="DO38:DO44" si="129">IF(BZ38="",0,1)</f>
        <v>0</v>
      </c>
      <c r="DP38" s="88">
        <f t="shared" ref="DP38:DP44" si="130">IF(CC38="",0,1)</f>
        <v>0</v>
      </c>
      <c r="DQ38" s="88">
        <f t="shared" ref="DQ38:DQ44" si="131">IF(CG38="",0,1)</f>
        <v>0</v>
      </c>
      <c r="DR38" s="88">
        <f t="shared" ref="DR38:DR44" si="132">IF(CL38="",0,1)</f>
        <v>0</v>
      </c>
      <c r="DS38" s="88">
        <f t="shared" ref="DS38:DS44" si="133">IF(CO38="",0,1)</f>
        <v>0</v>
      </c>
      <c r="DT38" s="88">
        <f t="shared" ref="DT38:DT44" si="134">IF(CS38="",0,1)</f>
        <v>0</v>
      </c>
      <c r="DU38" s="88">
        <f t="shared" ref="DU38:DU44" si="135">IF(CV38="",0,1)</f>
        <v>0</v>
      </c>
      <c r="DW38" s="88">
        <f>IF(CY38&lt;&gt;"",MAX($DW$9:DW37)+1,0)</f>
        <v>0</v>
      </c>
      <c r="DX38" s="182" t="str">
        <f t="shared" si="90"/>
        <v/>
      </c>
    </row>
    <row r="39" spans="2:128" ht="30" customHeight="1" x14ac:dyDescent="0.25">
      <c r="B39" s="875"/>
      <c r="C39" s="76"/>
      <c r="D39" s="64"/>
      <c r="E39" s="65"/>
      <c r="F39" s="53"/>
      <c r="G39" s="54"/>
      <c r="H39" s="54"/>
      <c r="I39" s="54"/>
      <c r="J39" s="54"/>
      <c r="K39" s="54"/>
      <c r="L39" s="23">
        <f t="shared" ref="L39:L44" si="136">SUM(G39:K39)</f>
        <v>0</v>
      </c>
      <c r="M39" s="42">
        <f t="shared" si="91"/>
        <v>0</v>
      </c>
      <c r="N39" s="40"/>
      <c r="O39" s="53"/>
      <c r="P39" s="54"/>
      <c r="Q39" s="54"/>
      <c r="R39" s="54"/>
      <c r="S39" s="54"/>
      <c r="T39" s="23">
        <f t="shared" si="92"/>
        <v>0</v>
      </c>
      <c r="U39" s="80"/>
      <c r="V39" s="27"/>
      <c r="W39" s="43">
        <f t="shared" si="93"/>
        <v>0</v>
      </c>
      <c r="X39" s="53"/>
      <c r="Y39" s="54"/>
      <c r="Z39" s="26">
        <f t="shared" si="94"/>
        <v>0</v>
      </c>
      <c r="AA39" s="62"/>
      <c r="AB39" s="63"/>
      <c r="AC39" s="69"/>
      <c r="AD39" s="70"/>
      <c r="AE39" s="104"/>
      <c r="AG39" s="6">
        <f>IF(AND(AA39&lt;&gt;"",OR(AA39&lt;EXPEDIENTE!$I$25,AA39&gt;EXPEDIENTE!$I$29)),1,0)</f>
        <v>0</v>
      </c>
      <c r="AH39" s="6">
        <f>IF(AND(AB39&lt;&gt;"",OR(AB39&lt;EXPEDIENTE!$I$25,AB39&gt;EXPEDIENTE!$I$29)),1,0)</f>
        <v>0</v>
      </c>
      <c r="AM39" s="728"/>
      <c r="AN39" s="358" t="str">
        <f t="shared" si="71"/>
        <v/>
      </c>
      <c r="AO39" s="315" t="str">
        <f t="shared" si="71"/>
        <v/>
      </c>
      <c r="AP39" s="236"/>
      <c r="AQ39" s="316" t="str">
        <f t="shared" si="95"/>
        <v/>
      </c>
      <c r="AR39" s="315" t="str">
        <f t="shared" si="72"/>
        <v/>
      </c>
      <c r="AS39" s="236"/>
      <c r="AT39" s="316" t="str">
        <f t="shared" si="96"/>
        <v/>
      </c>
      <c r="AU39" s="301">
        <f t="shared" si="73"/>
        <v>0</v>
      </c>
      <c r="AV39" s="528"/>
      <c r="AW39" s="322">
        <f t="shared" si="97"/>
        <v>0</v>
      </c>
      <c r="AX39" s="321">
        <f t="shared" si="74"/>
        <v>0</v>
      </c>
      <c r="AY39" s="529"/>
      <c r="AZ39" s="323">
        <f t="shared" si="98"/>
        <v>0</v>
      </c>
      <c r="BA39" s="323">
        <f t="shared" si="75"/>
        <v>0</v>
      </c>
      <c r="BB39" s="529"/>
      <c r="BC39" s="323">
        <f t="shared" si="99"/>
        <v>0</v>
      </c>
      <c r="BD39" s="323">
        <f t="shared" si="76"/>
        <v>0</v>
      </c>
      <c r="BE39" s="529"/>
      <c r="BF39" s="323">
        <f t="shared" si="100"/>
        <v>0</v>
      </c>
      <c r="BG39" s="323">
        <f t="shared" si="77"/>
        <v>0</v>
      </c>
      <c r="BH39" s="529"/>
      <c r="BI39" s="323">
        <f t="shared" si="101"/>
        <v>0</v>
      </c>
      <c r="BJ39" s="323">
        <f t="shared" si="78"/>
        <v>0</v>
      </c>
      <c r="BK39" s="529"/>
      <c r="BL39" s="323">
        <f t="shared" si="102"/>
        <v>0</v>
      </c>
      <c r="BM39" s="304">
        <f t="shared" si="103"/>
        <v>0</v>
      </c>
      <c r="BN39" s="324">
        <f t="shared" si="104"/>
        <v>0</v>
      </c>
      <c r="BO39" s="355"/>
      <c r="BP39" s="321">
        <f t="shared" si="79"/>
        <v>0</v>
      </c>
      <c r="BQ39" s="528"/>
      <c r="BR39" s="325">
        <f t="shared" si="105"/>
        <v>0</v>
      </c>
      <c r="BS39" s="323">
        <f t="shared" si="80"/>
        <v>0</v>
      </c>
      <c r="BT39" s="529"/>
      <c r="BU39" s="323">
        <f t="shared" si="106"/>
        <v>0</v>
      </c>
      <c r="BV39" s="323">
        <f t="shared" si="81"/>
        <v>0</v>
      </c>
      <c r="BW39" s="529"/>
      <c r="BX39" s="323">
        <f t="shared" si="107"/>
        <v>0</v>
      </c>
      <c r="BY39" s="323">
        <f t="shared" si="82"/>
        <v>0</v>
      </c>
      <c r="BZ39" s="529"/>
      <c r="CA39" s="323">
        <f t="shared" si="108"/>
        <v>0</v>
      </c>
      <c r="CB39" s="323">
        <f t="shared" si="83"/>
        <v>0</v>
      </c>
      <c r="CC39" s="529"/>
      <c r="CD39" s="323">
        <f t="shared" si="109"/>
        <v>0</v>
      </c>
      <c r="CE39" s="304">
        <f t="shared" si="110"/>
        <v>0</v>
      </c>
      <c r="CF39" s="321">
        <f t="shared" si="84"/>
        <v>0</v>
      </c>
      <c r="CG39" s="529"/>
      <c r="CH39" s="326">
        <f t="shared" si="111"/>
        <v>0</v>
      </c>
      <c r="CI39" s="310"/>
      <c r="CJ39" s="327">
        <f t="shared" si="112"/>
        <v>0</v>
      </c>
      <c r="CK39" s="321">
        <f t="shared" si="85"/>
        <v>0</v>
      </c>
      <c r="CL39" s="528"/>
      <c r="CM39" s="322">
        <f t="shared" si="113"/>
        <v>0</v>
      </c>
      <c r="CN39" s="321">
        <f t="shared" si="86"/>
        <v>0</v>
      </c>
      <c r="CO39" s="524"/>
      <c r="CP39" s="359">
        <f t="shared" si="114"/>
        <v>0</v>
      </c>
      <c r="CQ39" s="312">
        <f t="shared" si="115"/>
        <v>0</v>
      </c>
      <c r="CR39" s="315" t="str">
        <f t="shared" si="87"/>
        <v/>
      </c>
      <c r="CS39" s="236"/>
      <c r="CT39" s="316" t="str">
        <f t="shared" si="116"/>
        <v/>
      </c>
      <c r="CU39" s="315" t="str">
        <f t="shared" si="88"/>
        <v/>
      </c>
      <c r="CV39" s="236"/>
      <c r="CW39" s="316" t="str">
        <f t="shared" si="117"/>
        <v/>
      </c>
      <c r="CX39" s="328" t="str">
        <f t="shared" si="118"/>
        <v/>
      </c>
      <c r="CY39" s="530"/>
      <c r="DA39" s="6">
        <f>IF(AND(CT39&lt;&gt;"",OR(CT39&lt;EXPEDIENTE!$I$25,CT39&gt;EXPEDIENTE!$I$29)),1,0)</f>
        <v>0</v>
      </c>
      <c r="DB39" s="6">
        <f>IF(AND(CW39&lt;&gt;"",OR(CW39&lt;EXPEDIENTE!$I$25,CW39&gt;EXPEDIENTE!$I$29)),1,0)</f>
        <v>0</v>
      </c>
      <c r="DD39" s="88">
        <f t="shared" si="89"/>
        <v>0</v>
      </c>
      <c r="DE39" s="88">
        <f t="shared" si="119"/>
        <v>0</v>
      </c>
      <c r="DF39" s="88">
        <f t="shared" si="120"/>
        <v>0</v>
      </c>
      <c r="DG39" s="88">
        <f t="shared" si="121"/>
        <v>0</v>
      </c>
      <c r="DH39" s="88">
        <f t="shared" si="122"/>
        <v>0</v>
      </c>
      <c r="DI39" s="88">
        <f t="shared" si="123"/>
        <v>0</v>
      </c>
      <c r="DJ39" s="88">
        <f t="shared" si="124"/>
        <v>0</v>
      </c>
      <c r="DK39" s="88">
        <f t="shared" si="125"/>
        <v>0</v>
      </c>
      <c r="DL39" s="88">
        <f t="shared" si="126"/>
        <v>0</v>
      </c>
      <c r="DM39" s="88">
        <f t="shared" si="127"/>
        <v>0</v>
      </c>
      <c r="DN39" s="88">
        <f t="shared" si="128"/>
        <v>0</v>
      </c>
      <c r="DO39" s="88">
        <f t="shared" si="129"/>
        <v>0</v>
      </c>
      <c r="DP39" s="88">
        <f t="shared" si="130"/>
        <v>0</v>
      </c>
      <c r="DQ39" s="88">
        <f t="shared" si="131"/>
        <v>0</v>
      </c>
      <c r="DR39" s="88">
        <f t="shared" si="132"/>
        <v>0</v>
      </c>
      <c r="DS39" s="88">
        <f t="shared" si="133"/>
        <v>0</v>
      </c>
      <c r="DT39" s="88">
        <f t="shared" si="134"/>
        <v>0</v>
      </c>
      <c r="DU39" s="88">
        <f t="shared" si="135"/>
        <v>0</v>
      </c>
      <c r="DW39" s="88">
        <f>IF(CY39&lt;&gt;"",MAX($DW$9:DW38)+1,0)</f>
        <v>0</v>
      </c>
      <c r="DX39" s="182" t="str">
        <f t="shared" si="90"/>
        <v/>
      </c>
    </row>
    <row r="40" spans="2:128" ht="30" customHeight="1" x14ac:dyDescent="0.25">
      <c r="B40" s="875"/>
      <c r="C40" s="76"/>
      <c r="D40" s="64"/>
      <c r="E40" s="65"/>
      <c r="F40" s="53"/>
      <c r="G40" s="54"/>
      <c r="H40" s="54"/>
      <c r="I40" s="54"/>
      <c r="J40" s="54"/>
      <c r="K40" s="54"/>
      <c r="L40" s="23">
        <f t="shared" ref="L40:L42" si="137">SUM(G40:K40)</f>
        <v>0</v>
      </c>
      <c r="M40" s="42">
        <f t="shared" ref="M40:M42" si="138">F40+L40</f>
        <v>0</v>
      </c>
      <c r="N40" s="40"/>
      <c r="O40" s="53"/>
      <c r="P40" s="54"/>
      <c r="Q40" s="54"/>
      <c r="R40" s="54"/>
      <c r="S40" s="54"/>
      <c r="T40" s="23">
        <f t="shared" si="92"/>
        <v>0</v>
      </c>
      <c r="U40" s="80"/>
      <c r="V40" s="27"/>
      <c r="W40" s="43">
        <f t="shared" si="93"/>
        <v>0</v>
      </c>
      <c r="X40" s="53"/>
      <c r="Y40" s="54"/>
      <c r="Z40" s="26">
        <f t="shared" si="94"/>
        <v>0</v>
      </c>
      <c r="AA40" s="62"/>
      <c r="AB40" s="63"/>
      <c r="AC40" s="69"/>
      <c r="AD40" s="70"/>
      <c r="AE40" s="104"/>
      <c r="AG40" s="6">
        <f>IF(AND(AA40&lt;&gt;"",OR(AA40&lt;EXPEDIENTE!$I$25,AA40&gt;EXPEDIENTE!$I$29)),1,0)</f>
        <v>0</v>
      </c>
      <c r="AH40" s="6">
        <f>IF(AND(AB40&lt;&gt;"",OR(AB40&lt;EXPEDIENTE!$I$25,AB40&gt;EXPEDIENTE!$I$29)),1,0)</f>
        <v>0</v>
      </c>
      <c r="AM40" s="728"/>
      <c r="AN40" s="358" t="str">
        <f t="shared" si="71"/>
        <v/>
      </c>
      <c r="AO40" s="315" t="str">
        <f t="shared" si="71"/>
        <v/>
      </c>
      <c r="AP40" s="236"/>
      <c r="AQ40" s="316" t="str">
        <f t="shared" si="95"/>
        <v/>
      </c>
      <c r="AR40" s="315" t="str">
        <f t="shared" si="72"/>
        <v/>
      </c>
      <c r="AS40" s="236"/>
      <c r="AT40" s="316" t="str">
        <f t="shared" si="96"/>
        <v/>
      </c>
      <c r="AU40" s="301">
        <f t="shared" si="73"/>
        <v>0</v>
      </c>
      <c r="AV40" s="528"/>
      <c r="AW40" s="322">
        <f t="shared" si="97"/>
        <v>0</v>
      </c>
      <c r="AX40" s="321">
        <f t="shared" si="74"/>
        <v>0</v>
      </c>
      <c r="AY40" s="529"/>
      <c r="AZ40" s="323">
        <f t="shared" si="98"/>
        <v>0</v>
      </c>
      <c r="BA40" s="323">
        <f t="shared" si="75"/>
        <v>0</v>
      </c>
      <c r="BB40" s="529"/>
      <c r="BC40" s="323">
        <f t="shared" si="99"/>
        <v>0</v>
      </c>
      <c r="BD40" s="323">
        <f t="shared" si="76"/>
        <v>0</v>
      </c>
      <c r="BE40" s="529"/>
      <c r="BF40" s="323">
        <f t="shared" si="100"/>
        <v>0</v>
      </c>
      <c r="BG40" s="323">
        <f t="shared" si="77"/>
        <v>0</v>
      </c>
      <c r="BH40" s="529"/>
      <c r="BI40" s="323">
        <f t="shared" si="101"/>
        <v>0</v>
      </c>
      <c r="BJ40" s="323">
        <f t="shared" si="78"/>
        <v>0</v>
      </c>
      <c r="BK40" s="529"/>
      <c r="BL40" s="323">
        <f t="shared" si="102"/>
        <v>0</v>
      </c>
      <c r="BM40" s="304">
        <f t="shared" si="103"/>
        <v>0</v>
      </c>
      <c r="BN40" s="324">
        <f t="shared" si="104"/>
        <v>0</v>
      </c>
      <c r="BO40" s="355"/>
      <c r="BP40" s="321">
        <f t="shared" si="79"/>
        <v>0</v>
      </c>
      <c r="BQ40" s="528"/>
      <c r="BR40" s="325">
        <f t="shared" si="105"/>
        <v>0</v>
      </c>
      <c r="BS40" s="323">
        <f t="shared" si="80"/>
        <v>0</v>
      </c>
      <c r="BT40" s="529"/>
      <c r="BU40" s="323">
        <f t="shared" si="106"/>
        <v>0</v>
      </c>
      <c r="BV40" s="323">
        <f t="shared" si="81"/>
        <v>0</v>
      </c>
      <c r="BW40" s="529"/>
      <c r="BX40" s="323">
        <f t="shared" si="107"/>
        <v>0</v>
      </c>
      <c r="BY40" s="323">
        <f t="shared" si="82"/>
        <v>0</v>
      </c>
      <c r="BZ40" s="529"/>
      <c r="CA40" s="323">
        <f t="shared" si="108"/>
        <v>0</v>
      </c>
      <c r="CB40" s="323">
        <f t="shared" si="83"/>
        <v>0</v>
      </c>
      <c r="CC40" s="529"/>
      <c r="CD40" s="323">
        <f t="shared" si="109"/>
        <v>0</v>
      </c>
      <c r="CE40" s="304">
        <f t="shared" si="110"/>
        <v>0</v>
      </c>
      <c r="CF40" s="321">
        <f t="shared" si="84"/>
        <v>0</v>
      </c>
      <c r="CG40" s="529"/>
      <c r="CH40" s="326">
        <f t="shared" si="111"/>
        <v>0</v>
      </c>
      <c r="CI40" s="310"/>
      <c r="CJ40" s="327">
        <f t="shared" si="112"/>
        <v>0</v>
      </c>
      <c r="CK40" s="321">
        <f t="shared" si="85"/>
        <v>0</v>
      </c>
      <c r="CL40" s="528"/>
      <c r="CM40" s="322">
        <f t="shared" si="113"/>
        <v>0</v>
      </c>
      <c r="CN40" s="321">
        <f t="shared" si="86"/>
        <v>0</v>
      </c>
      <c r="CO40" s="524"/>
      <c r="CP40" s="359">
        <f t="shared" si="114"/>
        <v>0</v>
      </c>
      <c r="CQ40" s="312">
        <f t="shared" si="115"/>
        <v>0</v>
      </c>
      <c r="CR40" s="315" t="str">
        <f t="shared" si="87"/>
        <v/>
      </c>
      <c r="CS40" s="236"/>
      <c r="CT40" s="316" t="str">
        <f t="shared" si="116"/>
        <v/>
      </c>
      <c r="CU40" s="315" t="str">
        <f t="shared" si="88"/>
        <v/>
      </c>
      <c r="CV40" s="236"/>
      <c r="CW40" s="316" t="str">
        <f t="shared" si="117"/>
        <v/>
      </c>
      <c r="CX40" s="328" t="str">
        <f t="shared" si="118"/>
        <v/>
      </c>
      <c r="CY40" s="530"/>
      <c r="DA40" s="6">
        <f>IF(AND(CT40&lt;&gt;"",OR(CT40&lt;EXPEDIENTE!$I$25,CT40&gt;EXPEDIENTE!$I$29)),1,0)</f>
        <v>0</v>
      </c>
      <c r="DB40" s="6">
        <f>IF(AND(CW40&lt;&gt;"",OR(CW40&lt;EXPEDIENTE!$I$25,CW40&gt;EXPEDIENTE!$I$29)),1,0)</f>
        <v>0</v>
      </c>
      <c r="DD40" s="88">
        <f t="shared" si="89"/>
        <v>0</v>
      </c>
      <c r="DE40" s="88">
        <f t="shared" si="119"/>
        <v>0</v>
      </c>
      <c r="DF40" s="88">
        <f t="shared" si="120"/>
        <v>0</v>
      </c>
      <c r="DG40" s="88">
        <f t="shared" si="121"/>
        <v>0</v>
      </c>
      <c r="DH40" s="88">
        <f t="shared" si="122"/>
        <v>0</v>
      </c>
      <c r="DI40" s="88">
        <f t="shared" si="123"/>
        <v>0</v>
      </c>
      <c r="DJ40" s="88">
        <f t="shared" si="124"/>
        <v>0</v>
      </c>
      <c r="DK40" s="88">
        <f t="shared" si="125"/>
        <v>0</v>
      </c>
      <c r="DL40" s="88">
        <f t="shared" si="126"/>
        <v>0</v>
      </c>
      <c r="DM40" s="88">
        <f t="shared" si="127"/>
        <v>0</v>
      </c>
      <c r="DN40" s="88">
        <f t="shared" si="128"/>
        <v>0</v>
      </c>
      <c r="DO40" s="88">
        <f t="shared" si="129"/>
        <v>0</v>
      </c>
      <c r="DP40" s="88">
        <f t="shared" si="130"/>
        <v>0</v>
      </c>
      <c r="DQ40" s="88">
        <f t="shared" si="131"/>
        <v>0</v>
      </c>
      <c r="DR40" s="88">
        <f t="shared" si="132"/>
        <v>0</v>
      </c>
      <c r="DS40" s="88">
        <f t="shared" si="133"/>
        <v>0</v>
      </c>
      <c r="DT40" s="88">
        <f t="shared" si="134"/>
        <v>0</v>
      </c>
      <c r="DU40" s="88">
        <f t="shared" si="135"/>
        <v>0</v>
      </c>
      <c r="DW40" s="88">
        <f>IF(CY40&lt;&gt;"",MAX($DW$9:DW39)+1,0)</f>
        <v>0</v>
      </c>
      <c r="DX40" s="182" t="str">
        <f t="shared" si="90"/>
        <v/>
      </c>
    </row>
    <row r="41" spans="2:128" ht="30" customHeight="1" x14ac:dyDescent="0.25">
      <c r="B41" s="875"/>
      <c r="C41" s="76"/>
      <c r="D41" s="64"/>
      <c r="E41" s="65"/>
      <c r="F41" s="53"/>
      <c r="G41" s="54"/>
      <c r="H41" s="54"/>
      <c r="I41" s="54"/>
      <c r="J41" s="54"/>
      <c r="K41" s="54"/>
      <c r="L41" s="23">
        <f t="shared" si="137"/>
        <v>0</v>
      </c>
      <c r="M41" s="42">
        <f t="shared" si="138"/>
        <v>0</v>
      </c>
      <c r="N41" s="40"/>
      <c r="O41" s="53"/>
      <c r="P41" s="54"/>
      <c r="Q41" s="54"/>
      <c r="R41" s="54"/>
      <c r="S41" s="54"/>
      <c r="T41" s="23">
        <f t="shared" si="92"/>
        <v>0</v>
      </c>
      <c r="U41" s="80"/>
      <c r="V41" s="27"/>
      <c r="W41" s="43">
        <f t="shared" si="93"/>
        <v>0</v>
      </c>
      <c r="X41" s="53"/>
      <c r="Y41" s="54"/>
      <c r="Z41" s="26">
        <f t="shared" si="94"/>
        <v>0</v>
      </c>
      <c r="AA41" s="62"/>
      <c r="AB41" s="63"/>
      <c r="AC41" s="69"/>
      <c r="AD41" s="70"/>
      <c r="AE41" s="104"/>
      <c r="AG41" s="6">
        <f>IF(AND(AA41&lt;&gt;"",OR(AA41&lt;EXPEDIENTE!$I$25,AA41&gt;EXPEDIENTE!$I$29)),1,0)</f>
        <v>0</v>
      </c>
      <c r="AH41" s="6">
        <f>IF(AND(AB41&lt;&gt;"",OR(AB41&lt;EXPEDIENTE!$I$25,AB41&gt;EXPEDIENTE!$I$29)),1,0)</f>
        <v>0</v>
      </c>
      <c r="AM41" s="728"/>
      <c r="AN41" s="358" t="str">
        <f t="shared" si="71"/>
        <v/>
      </c>
      <c r="AO41" s="315" t="str">
        <f t="shared" si="71"/>
        <v/>
      </c>
      <c r="AP41" s="236"/>
      <c r="AQ41" s="316" t="str">
        <f t="shared" si="95"/>
        <v/>
      </c>
      <c r="AR41" s="315" t="str">
        <f t="shared" si="72"/>
        <v/>
      </c>
      <c r="AS41" s="236"/>
      <c r="AT41" s="316" t="str">
        <f t="shared" si="96"/>
        <v/>
      </c>
      <c r="AU41" s="301">
        <f t="shared" si="73"/>
        <v>0</v>
      </c>
      <c r="AV41" s="528"/>
      <c r="AW41" s="322">
        <f t="shared" si="97"/>
        <v>0</v>
      </c>
      <c r="AX41" s="321">
        <f t="shared" si="74"/>
        <v>0</v>
      </c>
      <c r="AY41" s="529"/>
      <c r="AZ41" s="323">
        <f t="shared" si="98"/>
        <v>0</v>
      </c>
      <c r="BA41" s="323">
        <f t="shared" si="75"/>
        <v>0</v>
      </c>
      <c r="BB41" s="529"/>
      <c r="BC41" s="323">
        <f t="shared" si="99"/>
        <v>0</v>
      </c>
      <c r="BD41" s="323">
        <f t="shared" si="76"/>
        <v>0</v>
      </c>
      <c r="BE41" s="529"/>
      <c r="BF41" s="323">
        <f t="shared" si="100"/>
        <v>0</v>
      </c>
      <c r="BG41" s="323">
        <f t="shared" si="77"/>
        <v>0</v>
      </c>
      <c r="BH41" s="529"/>
      <c r="BI41" s="323">
        <f t="shared" si="101"/>
        <v>0</v>
      </c>
      <c r="BJ41" s="323">
        <f t="shared" si="78"/>
        <v>0</v>
      </c>
      <c r="BK41" s="529"/>
      <c r="BL41" s="323">
        <f t="shared" si="102"/>
        <v>0</v>
      </c>
      <c r="BM41" s="304">
        <f t="shared" si="103"/>
        <v>0</v>
      </c>
      <c r="BN41" s="324">
        <f t="shared" si="104"/>
        <v>0</v>
      </c>
      <c r="BO41" s="355"/>
      <c r="BP41" s="360">
        <f t="shared" si="79"/>
        <v>0</v>
      </c>
      <c r="BQ41" s="538"/>
      <c r="BR41" s="361">
        <f t="shared" si="105"/>
        <v>0</v>
      </c>
      <c r="BS41" s="362">
        <f t="shared" si="80"/>
        <v>0</v>
      </c>
      <c r="BT41" s="539"/>
      <c r="BU41" s="362">
        <f t="shared" si="106"/>
        <v>0</v>
      </c>
      <c r="BV41" s="362">
        <f t="shared" si="81"/>
        <v>0</v>
      </c>
      <c r="BW41" s="539"/>
      <c r="BX41" s="362">
        <f t="shared" si="107"/>
        <v>0</v>
      </c>
      <c r="BY41" s="362">
        <f t="shared" si="82"/>
        <v>0</v>
      </c>
      <c r="BZ41" s="539"/>
      <c r="CA41" s="362">
        <f t="shared" si="108"/>
        <v>0</v>
      </c>
      <c r="CB41" s="362">
        <f t="shared" si="83"/>
        <v>0</v>
      </c>
      <c r="CC41" s="539"/>
      <c r="CD41" s="362">
        <f t="shared" si="109"/>
        <v>0</v>
      </c>
      <c r="CE41" s="304">
        <f t="shared" si="110"/>
        <v>0</v>
      </c>
      <c r="CF41" s="321">
        <f t="shared" si="84"/>
        <v>0</v>
      </c>
      <c r="CG41" s="529"/>
      <c r="CH41" s="326">
        <f t="shared" si="111"/>
        <v>0</v>
      </c>
      <c r="CI41" s="310"/>
      <c r="CJ41" s="327">
        <f t="shared" si="112"/>
        <v>0</v>
      </c>
      <c r="CK41" s="321">
        <f t="shared" si="85"/>
        <v>0</v>
      </c>
      <c r="CL41" s="528"/>
      <c r="CM41" s="322">
        <f t="shared" si="113"/>
        <v>0</v>
      </c>
      <c r="CN41" s="321">
        <f t="shared" si="86"/>
        <v>0</v>
      </c>
      <c r="CO41" s="524"/>
      <c r="CP41" s="359">
        <f t="shared" si="114"/>
        <v>0</v>
      </c>
      <c r="CQ41" s="312">
        <f t="shared" si="115"/>
        <v>0</v>
      </c>
      <c r="CR41" s="315" t="str">
        <f t="shared" si="87"/>
        <v/>
      </c>
      <c r="CS41" s="236"/>
      <c r="CT41" s="316" t="str">
        <f t="shared" si="116"/>
        <v/>
      </c>
      <c r="CU41" s="315" t="str">
        <f t="shared" si="88"/>
        <v/>
      </c>
      <c r="CV41" s="236"/>
      <c r="CW41" s="316" t="str">
        <f t="shared" si="117"/>
        <v/>
      </c>
      <c r="CX41" s="328" t="str">
        <f t="shared" si="118"/>
        <v/>
      </c>
      <c r="CY41" s="530"/>
      <c r="DA41" s="6">
        <f>IF(AND(CT41&lt;&gt;"",OR(CT41&lt;EXPEDIENTE!$I$25,CT41&gt;EXPEDIENTE!$I$29)),1,0)</f>
        <v>0</v>
      </c>
      <c r="DB41" s="6">
        <f>IF(AND(CW41&lt;&gt;"",OR(CW41&lt;EXPEDIENTE!$I$25,CW41&gt;EXPEDIENTE!$I$29)),1,0)</f>
        <v>0</v>
      </c>
      <c r="DD41" s="88">
        <f t="shared" si="89"/>
        <v>0</v>
      </c>
      <c r="DE41" s="88">
        <f t="shared" si="119"/>
        <v>0</v>
      </c>
      <c r="DF41" s="88">
        <f t="shared" si="120"/>
        <v>0</v>
      </c>
      <c r="DG41" s="88">
        <f t="shared" si="121"/>
        <v>0</v>
      </c>
      <c r="DH41" s="88">
        <f t="shared" si="122"/>
        <v>0</v>
      </c>
      <c r="DI41" s="88">
        <f t="shared" si="123"/>
        <v>0</v>
      </c>
      <c r="DJ41" s="88">
        <f t="shared" si="124"/>
        <v>0</v>
      </c>
      <c r="DK41" s="88">
        <f t="shared" si="125"/>
        <v>0</v>
      </c>
      <c r="DL41" s="88">
        <f t="shared" si="126"/>
        <v>0</v>
      </c>
      <c r="DM41" s="88">
        <f t="shared" si="127"/>
        <v>0</v>
      </c>
      <c r="DN41" s="88">
        <f t="shared" si="128"/>
        <v>0</v>
      </c>
      <c r="DO41" s="88">
        <f t="shared" si="129"/>
        <v>0</v>
      </c>
      <c r="DP41" s="88">
        <f t="shared" si="130"/>
        <v>0</v>
      </c>
      <c r="DQ41" s="88">
        <f t="shared" si="131"/>
        <v>0</v>
      </c>
      <c r="DR41" s="88">
        <f t="shared" si="132"/>
        <v>0</v>
      </c>
      <c r="DS41" s="88">
        <f t="shared" si="133"/>
        <v>0</v>
      </c>
      <c r="DT41" s="88">
        <f t="shared" si="134"/>
        <v>0</v>
      </c>
      <c r="DU41" s="88">
        <f t="shared" si="135"/>
        <v>0</v>
      </c>
      <c r="DW41" s="88">
        <f>IF(CY41&lt;&gt;"",MAX($DW$9:DW40)+1,0)</f>
        <v>0</v>
      </c>
      <c r="DX41" s="182" t="str">
        <f t="shared" si="90"/>
        <v/>
      </c>
    </row>
    <row r="42" spans="2:128" ht="30" customHeight="1" x14ac:dyDescent="0.25">
      <c r="B42" s="875"/>
      <c r="C42" s="76"/>
      <c r="D42" s="64"/>
      <c r="E42" s="65"/>
      <c r="F42" s="53"/>
      <c r="G42" s="54"/>
      <c r="H42" s="54"/>
      <c r="I42" s="54"/>
      <c r="J42" s="54"/>
      <c r="K42" s="54"/>
      <c r="L42" s="23">
        <f t="shared" si="137"/>
        <v>0</v>
      </c>
      <c r="M42" s="42">
        <f t="shared" si="138"/>
        <v>0</v>
      </c>
      <c r="N42" s="40"/>
      <c r="O42" s="53"/>
      <c r="P42" s="54"/>
      <c r="Q42" s="54"/>
      <c r="R42" s="54"/>
      <c r="S42" s="54"/>
      <c r="T42" s="23">
        <f t="shared" si="92"/>
        <v>0</v>
      </c>
      <c r="U42" s="80"/>
      <c r="V42" s="27"/>
      <c r="W42" s="43">
        <f t="shared" si="93"/>
        <v>0</v>
      </c>
      <c r="X42" s="53"/>
      <c r="Y42" s="54"/>
      <c r="Z42" s="26">
        <f t="shared" si="94"/>
        <v>0</v>
      </c>
      <c r="AA42" s="62"/>
      <c r="AB42" s="63"/>
      <c r="AC42" s="69"/>
      <c r="AD42" s="70"/>
      <c r="AE42" s="104"/>
      <c r="AG42" s="6">
        <f>IF(AND(AA42&lt;&gt;"",OR(AA42&lt;EXPEDIENTE!$I$25,AA42&gt;EXPEDIENTE!$I$29)),1,0)</f>
        <v>0</v>
      </c>
      <c r="AH42" s="6">
        <f>IF(AND(AB42&lt;&gt;"",OR(AB42&lt;EXPEDIENTE!$I$25,AB42&gt;EXPEDIENTE!$I$29)),1,0)</f>
        <v>0</v>
      </c>
      <c r="AM42" s="728"/>
      <c r="AN42" s="358" t="str">
        <f t="shared" si="71"/>
        <v/>
      </c>
      <c r="AO42" s="315" t="str">
        <f t="shared" si="71"/>
        <v/>
      </c>
      <c r="AP42" s="236"/>
      <c r="AQ42" s="316" t="str">
        <f t="shared" si="95"/>
        <v/>
      </c>
      <c r="AR42" s="315" t="str">
        <f t="shared" si="72"/>
        <v/>
      </c>
      <c r="AS42" s="236"/>
      <c r="AT42" s="316" t="str">
        <f t="shared" si="96"/>
        <v/>
      </c>
      <c r="AU42" s="301">
        <f t="shared" si="73"/>
        <v>0</v>
      </c>
      <c r="AV42" s="528"/>
      <c r="AW42" s="322">
        <f t="shared" si="97"/>
        <v>0</v>
      </c>
      <c r="AX42" s="321">
        <f t="shared" si="74"/>
        <v>0</v>
      </c>
      <c r="AY42" s="529"/>
      <c r="AZ42" s="323">
        <f t="shared" si="98"/>
        <v>0</v>
      </c>
      <c r="BA42" s="323">
        <f t="shared" si="75"/>
        <v>0</v>
      </c>
      <c r="BB42" s="529"/>
      <c r="BC42" s="323">
        <f t="shared" si="99"/>
        <v>0</v>
      </c>
      <c r="BD42" s="323">
        <f t="shared" si="76"/>
        <v>0</v>
      </c>
      <c r="BE42" s="529"/>
      <c r="BF42" s="323">
        <f t="shared" si="100"/>
        <v>0</v>
      </c>
      <c r="BG42" s="323">
        <f t="shared" si="77"/>
        <v>0</v>
      </c>
      <c r="BH42" s="529"/>
      <c r="BI42" s="323">
        <f t="shared" si="101"/>
        <v>0</v>
      </c>
      <c r="BJ42" s="323">
        <f t="shared" si="78"/>
        <v>0</v>
      </c>
      <c r="BK42" s="529"/>
      <c r="BL42" s="323">
        <f t="shared" si="102"/>
        <v>0</v>
      </c>
      <c r="BM42" s="304">
        <f t="shared" si="103"/>
        <v>0</v>
      </c>
      <c r="BN42" s="324">
        <f t="shared" si="104"/>
        <v>0</v>
      </c>
      <c r="BO42" s="355"/>
      <c r="BP42" s="360">
        <f t="shared" si="79"/>
        <v>0</v>
      </c>
      <c r="BQ42" s="538"/>
      <c r="BR42" s="361">
        <f t="shared" si="105"/>
        <v>0</v>
      </c>
      <c r="BS42" s="362">
        <f t="shared" si="80"/>
        <v>0</v>
      </c>
      <c r="BT42" s="539"/>
      <c r="BU42" s="362">
        <f t="shared" si="106"/>
        <v>0</v>
      </c>
      <c r="BV42" s="362">
        <f t="shared" si="81"/>
        <v>0</v>
      </c>
      <c r="BW42" s="539"/>
      <c r="BX42" s="362">
        <f t="shared" si="107"/>
        <v>0</v>
      </c>
      <c r="BY42" s="362">
        <f t="shared" si="82"/>
        <v>0</v>
      </c>
      <c r="BZ42" s="539"/>
      <c r="CA42" s="362">
        <f t="shared" si="108"/>
        <v>0</v>
      </c>
      <c r="CB42" s="362">
        <f t="shared" si="83"/>
        <v>0</v>
      </c>
      <c r="CC42" s="539"/>
      <c r="CD42" s="362">
        <f t="shared" si="109"/>
        <v>0</v>
      </c>
      <c r="CE42" s="304">
        <f t="shared" si="110"/>
        <v>0</v>
      </c>
      <c r="CF42" s="321">
        <f t="shared" si="84"/>
        <v>0</v>
      </c>
      <c r="CG42" s="529"/>
      <c r="CH42" s="326">
        <f t="shared" si="111"/>
        <v>0</v>
      </c>
      <c r="CI42" s="310"/>
      <c r="CJ42" s="327">
        <f t="shared" si="112"/>
        <v>0</v>
      </c>
      <c r="CK42" s="321">
        <f t="shared" si="85"/>
        <v>0</v>
      </c>
      <c r="CL42" s="528"/>
      <c r="CM42" s="322">
        <f t="shared" si="113"/>
        <v>0</v>
      </c>
      <c r="CN42" s="321">
        <f t="shared" si="86"/>
        <v>0</v>
      </c>
      <c r="CO42" s="524"/>
      <c r="CP42" s="359">
        <f t="shared" si="114"/>
        <v>0</v>
      </c>
      <c r="CQ42" s="312">
        <f t="shared" si="115"/>
        <v>0</v>
      </c>
      <c r="CR42" s="315" t="str">
        <f t="shared" si="87"/>
        <v/>
      </c>
      <c r="CS42" s="236"/>
      <c r="CT42" s="316" t="str">
        <f t="shared" si="116"/>
        <v/>
      </c>
      <c r="CU42" s="315" t="str">
        <f t="shared" si="88"/>
        <v/>
      </c>
      <c r="CV42" s="236"/>
      <c r="CW42" s="316" t="str">
        <f t="shared" si="117"/>
        <v/>
      </c>
      <c r="CX42" s="328" t="str">
        <f t="shared" si="118"/>
        <v/>
      </c>
      <c r="CY42" s="530"/>
      <c r="DA42" s="6">
        <f>IF(AND(CT42&lt;&gt;"",OR(CT42&lt;EXPEDIENTE!$I$25,CT42&gt;EXPEDIENTE!$I$29)),1,0)</f>
        <v>0</v>
      </c>
      <c r="DB42" s="6">
        <f>IF(AND(CW42&lt;&gt;"",OR(CW42&lt;EXPEDIENTE!$I$25,CW42&gt;EXPEDIENTE!$I$29)),1,0)</f>
        <v>0</v>
      </c>
      <c r="DD42" s="88">
        <f t="shared" si="89"/>
        <v>0</v>
      </c>
      <c r="DE42" s="88">
        <f t="shared" si="119"/>
        <v>0</v>
      </c>
      <c r="DF42" s="88">
        <f t="shared" si="120"/>
        <v>0</v>
      </c>
      <c r="DG42" s="88">
        <f t="shared" si="121"/>
        <v>0</v>
      </c>
      <c r="DH42" s="88">
        <f t="shared" si="122"/>
        <v>0</v>
      </c>
      <c r="DI42" s="88">
        <f t="shared" si="123"/>
        <v>0</v>
      </c>
      <c r="DJ42" s="88">
        <f t="shared" si="124"/>
        <v>0</v>
      </c>
      <c r="DK42" s="88">
        <f t="shared" si="125"/>
        <v>0</v>
      </c>
      <c r="DL42" s="88">
        <f t="shared" si="126"/>
        <v>0</v>
      </c>
      <c r="DM42" s="88">
        <f t="shared" si="127"/>
        <v>0</v>
      </c>
      <c r="DN42" s="88">
        <f t="shared" si="128"/>
        <v>0</v>
      </c>
      <c r="DO42" s="88">
        <f t="shared" si="129"/>
        <v>0</v>
      </c>
      <c r="DP42" s="88">
        <f t="shared" si="130"/>
        <v>0</v>
      </c>
      <c r="DQ42" s="88">
        <f t="shared" si="131"/>
        <v>0</v>
      </c>
      <c r="DR42" s="88">
        <f t="shared" si="132"/>
        <v>0</v>
      </c>
      <c r="DS42" s="88">
        <f t="shared" si="133"/>
        <v>0</v>
      </c>
      <c r="DT42" s="88">
        <f t="shared" si="134"/>
        <v>0</v>
      </c>
      <c r="DU42" s="88">
        <f t="shared" si="135"/>
        <v>0</v>
      </c>
      <c r="DW42" s="88">
        <f>IF(CY42&lt;&gt;"",MAX($DW$9:DW41)+1,0)</f>
        <v>0</v>
      </c>
      <c r="DX42" s="182" t="str">
        <f t="shared" si="90"/>
        <v/>
      </c>
    </row>
    <row r="43" spans="2:128" ht="30" customHeight="1" x14ac:dyDescent="0.25">
      <c r="B43" s="875"/>
      <c r="C43" s="76"/>
      <c r="D43" s="64"/>
      <c r="E43" s="65"/>
      <c r="F43" s="53"/>
      <c r="G43" s="54"/>
      <c r="H43" s="54"/>
      <c r="I43" s="54"/>
      <c r="J43" s="54"/>
      <c r="K43" s="54"/>
      <c r="L43" s="23">
        <f t="shared" si="136"/>
        <v>0</v>
      </c>
      <c r="M43" s="42">
        <f t="shared" si="91"/>
        <v>0</v>
      </c>
      <c r="N43" s="40"/>
      <c r="O43" s="53"/>
      <c r="P43" s="54"/>
      <c r="Q43" s="54"/>
      <c r="R43" s="54"/>
      <c r="S43" s="54"/>
      <c r="T43" s="23">
        <f t="shared" si="92"/>
        <v>0</v>
      </c>
      <c r="U43" s="80"/>
      <c r="V43" s="27"/>
      <c r="W43" s="43">
        <f t="shared" si="93"/>
        <v>0</v>
      </c>
      <c r="X43" s="53"/>
      <c r="Y43" s="54"/>
      <c r="Z43" s="26">
        <f t="shared" si="94"/>
        <v>0</v>
      </c>
      <c r="AA43" s="62"/>
      <c r="AB43" s="63"/>
      <c r="AC43" s="69"/>
      <c r="AD43" s="70"/>
      <c r="AE43" s="104"/>
      <c r="AG43" s="6">
        <f>IF(AND(AA43&lt;&gt;"",OR(AA43&lt;EXPEDIENTE!$I$25,AA43&gt;EXPEDIENTE!$I$29)),1,0)</f>
        <v>0</v>
      </c>
      <c r="AH43" s="6">
        <f>IF(AND(AB43&lt;&gt;"",OR(AB43&lt;EXPEDIENTE!$I$25,AB43&gt;EXPEDIENTE!$I$29)),1,0)</f>
        <v>0</v>
      </c>
      <c r="AM43" s="728"/>
      <c r="AN43" s="358" t="str">
        <f t="shared" si="71"/>
        <v/>
      </c>
      <c r="AO43" s="315" t="str">
        <f t="shared" si="71"/>
        <v/>
      </c>
      <c r="AP43" s="236"/>
      <c r="AQ43" s="316" t="str">
        <f t="shared" si="95"/>
        <v/>
      </c>
      <c r="AR43" s="315" t="str">
        <f t="shared" si="72"/>
        <v/>
      </c>
      <c r="AS43" s="236"/>
      <c r="AT43" s="316" t="str">
        <f t="shared" si="96"/>
        <v/>
      </c>
      <c r="AU43" s="301">
        <f t="shared" si="73"/>
        <v>0</v>
      </c>
      <c r="AV43" s="528"/>
      <c r="AW43" s="322">
        <f t="shared" si="97"/>
        <v>0</v>
      </c>
      <c r="AX43" s="321">
        <f t="shared" si="74"/>
        <v>0</v>
      </c>
      <c r="AY43" s="529"/>
      <c r="AZ43" s="323">
        <f t="shared" si="98"/>
        <v>0</v>
      </c>
      <c r="BA43" s="323">
        <f t="shared" si="75"/>
        <v>0</v>
      </c>
      <c r="BB43" s="529"/>
      <c r="BC43" s="323">
        <f t="shared" si="99"/>
        <v>0</v>
      </c>
      <c r="BD43" s="323">
        <f t="shared" si="76"/>
        <v>0</v>
      </c>
      <c r="BE43" s="529"/>
      <c r="BF43" s="323">
        <f t="shared" si="100"/>
        <v>0</v>
      </c>
      <c r="BG43" s="323">
        <f t="shared" si="77"/>
        <v>0</v>
      </c>
      <c r="BH43" s="529"/>
      <c r="BI43" s="323">
        <f t="shared" si="101"/>
        <v>0</v>
      </c>
      <c r="BJ43" s="323">
        <f t="shared" si="78"/>
        <v>0</v>
      </c>
      <c r="BK43" s="529"/>
      <c r="BL43" s="323">
        <f t="shared" si="102"/>
        <v>0</v>
      </c>
      <c r="BM43" s="304">
        <f t="shared" si="103"/>
        <v>0</v>
      </c>
      <c r="BN43" s="324">
        <f t="shared" si="104"/>
        <v>0</v>
      </c>
      <c r="BO43" s="355"/>
      <c r="BP43" s="360">
        <f t="shared" si="79"/>
        <v>0</v>
      </c>
      <c r="BQ43" s="538"/>
      <c r="BR43" s="361">
        <f t="shared" si="105"/>
        <v>0</v>
      </c>
      <c r="BS43" s="362">
        <f t="shared" si="80"/>
        <v>0</v>
      </c>
      <c r="BT43" s="539"/>
      <c r="BU43" s="362">
        <f t="shared" si="106"/>
        <v>0</v>
      </c>
      <c r="BV43" s="362">
        <f t="shared" si="81"/>
        <v>0</v>
      </c>
      <c r="BW43" s="539"/>
      <c r="BX43" s="362">
        <f t="shared" si="107"/>
        <v>0</v>
      </c>
      <c r="BY43" s="362">
        <f t="shared" si="82"/>
        <v>0</v>
      </c>
      <c r="BZ43" s="539"/>
      <c r="CA43" s="362">
        <f t="shared" si="108"/>
        <v>0</v>
      </c>
      <c r="CB43" s="362">
        <f t="shared" si="83"/>
        <v>0</v>
      </c>
      <c r="CC43" s="539"/>
      <c r="CD43" s="362">
        <f t="shared" si="109"/>
        <v>0</v>
      </c>
      <c r="CE43" s="304">
        <f t="shared" si="110"/>
        <v>0</v>
      </c>
      <c r="CF43" s="321">
        <f t="shared" si="84"/>
        <v>0</v>
      </c>
      <c r="CG43" s="529"/>
      <c r="CH43" s="326">
        <f t="shared" si="111"/>
        <v>0</v>
      </c>
      <c r="CI43" s="310"/>
      <c r="CJ43" s="327">
        <f t="shared" si="112"/>
        <v>0</v>
      </c>
      <c r="CK43" s="321">
        <f t="shared" si="85"/>
        <v>0</v>
      </c>
      <c r="CL43" s="528"/>
      <c r="CM43" s="322">
        <f t="shared" si="113"/>
        <v>0</v>
      </c>
      <c r="CN43" s="321">
        <f t="shared" si="86"/>
        <v>0</v>
      </c>
      <c r="CO43" s="524"/>
      <c r="CP43" s="359">
        <f t="shared" si="114"/>
        <v>0</v>
      </c>
      <c r="CQ43" s="312">
        <f t="shared" si="115"/>
        <v>0</v>
      </c>
      <c r="CR43" s="315" t="str">
        <f t="shared" si="87"/>
        <v/>
      </c>
      <c r="CS43" s="236"/>
      <c r="CT43" s="316" t="str">
        <f t="shared" si="116"/>
        <v/>
      </c>
      <c r="CU43" s="315" t="str">
        <f t="shared" si="88"/>
        <v/>
      </c>
      <c r="CV43" s="236"/>
      <c r="CW43" s="316" t="str">
        <f t="shared" si="117"/>
        <v/>
      </c>
      <c r="CX43" s="328" t="str">
        <f t="shared" si="118"/>
        <v/>
      </c>
      <c r="CY43" s="530"/>
      <c r="DA43" s="6">
        <f>IF(AND(CT43&lt;&gt;"",OR(CT43&lt;EXPEDIENTE!$I$25,CT43&gt;EXPEDIENTE!$I$29)),1,0)</f>
        <v>0</v>
      </c>
      <c r="DB43" s="6">
        <f>IF(AND(CW43&lt;&gt;"",OR(CW43&lt;EXPEDIENTE!$I$25,CW43&gt;EXPEDIENTE!$I$29)),1,0)</f>
        <v>0</v>
      </c>
      <c r="DD43" s="88">
        <f t="shared" si="89"/>
        <v>0</v>
      </c>
      <c r="DE43" s="88">
        <f t="shared" si="119"/>
        <v>0</v>
      </c>
      <c r="DF43" s="88">
        <f t="shared" si="120"/>
        <v>0</v>
      </c>
      <c r="DG43" s="88">
        <f t="shared" si="121"/>
        <v>0</v>
      </c>
      <c r="DH43" s="88">
        <f t="shared" si="122"/>
        <v>0</v>
      </c>
      <c r="DI43" s="88">
        <f t="shared" si="123"/>
        <v>0</v>
      </c>
      <c r="DJ43" s="88">
        <f t="shared" si="124"/>
        <v>0</v>
      </c>
      <c r="DK43" s="88">
        <f t="shared" si="125"/>
        <v>0</v>
      </c>
      <c r="DL43" s="88">
        <f t="shared" si="126"/>
        <v>0</v>
      </c>
      <c r="DM43" s="88">
        <f t="shared" si="127"/>
        <v>0</v>
      </c>
      <c r="DN43" s="88">
        <f t="shared" si="128"/>
        <v>0</v>
      </c>
      <c r="DO43" s="88">
        <f t="shared" si="129"/>
        <v>0</v>
      </c>
      <c r="DP43" s="88">
        <f t="shared" si="130"/>
        <v>0</v>
      </c>
      <c r="DQ43" s="88">
        <f t="shared" si="131"/>
        <v>0</v>
      </c>
      <c r="DR43" s="88">
        <f t="shared" si="132"/>
        <v>0</v>
      </c>
      <c r="DS43" s="88">
        <f t="shared" si="133"/>
        <v>0</v>
      </c>
      <c r="DT43" s="88">
        <f t="shared" si="134"/>
        <v>0</v>
      </c>
      <c r="DU43" s="88">
        <f t="shared" si="135"/>
        <v>0</v>
      </c>
      <c r="DW43" s="88">
        <f>IF(CY43&lt;&gt;"",MAX($DW$9:DW42)+1,0)</f>
        <v>0</v>
      </c>
      <c r="DX43" s="182" t="str">
        <f t="shared" si="90"/>
        <v/>
      </c>
    </row>
    <row r="44" spans="2:128" ht="30" customHeight="1" thickBot="1" x14ac:dyDescent="0.3">
      <c r="B44" s="875"/>
      <c r="C44" s="183"/>
      <c r="D44" s="184"/>
      <c r="E44" s="185"/>
      <c r="F44" s="55"/>
      <c r="G44" s="56"/>
      <c r="H44" s="56"/>
      <c r="I44" s="56"/>
      <c r="J44" s="56"/>
      <c r="K44" s="56"/>
      <c r="L44" s="30">
        <f t="shared" si="136"/>
        <v>0</v>
      </c>
      <c r="M44" s="186">
        <f t="shared" si="91"/>
        <v>0</v>
      </c>
      <c r="N44" s="40"/>
      <c r="O44" s="57"/>
      <c r="P44" s="58"/>
      <c r="Q44" s="58"/>
      <c r="R44" s="58"/>
      <c r="S44" s="58"/>
      <c r="T44" s="29">
        <f t="shared" si="92"/>
        <v>0</v>
      </c>
      <c r="U44" s="81"/>
      <c r="V44" s="27"/>
      <c r="W44" s="187">
        <f t="shared" si="93"/>
        <v>0</v>
      </c>
      <c r="X44" s="55"/>
      <c r="Y44" s="56"/>
      <c r="Z44" s="188">
        <f t="shared" si="94"/>
        <v>0</v>
      </c>
      <c r="AA44" s="175"/>
      <c r="AB44" s="173"/>
      <c r="AC44" s="72"/>
      <c r="AD44" s="73"/>
      <c r="AE44" s="189"/>
      <c r="AG44" s="6">
        <f>IF(AND(AA44&lt;&gt;"",OR(AA44&lt;EXPEDIENTE!$I$25,AA44&gt;EXPEDIENTE!$I$29)),1,0)</f>
        <v>0</v>
      </c>
      <c r="AH44" s="6">
        <f>IF(AND(AB44&lt;&gt;"",OR(AB44&lt;EXPEDIENTE!$I$25,AB44&gt;EXPEDIENTE!$I$29)),1,0)</f>
        <v>0</v>
      </c>
      <c r="AM44" s="728"/>
      <c r="AN44" s="363" t="str">
        <f t="shared" si="71"/>
        <v/>
      </c>
      <c r="AO44" s="340" t="str">
        <f t="shared" si="71"/>
        <v/>
      </c>
      <c r="AP44" s="248"/>
      <c r="AQ44" s="341" t="str">
        <f t="shared" si="95"/>
        <v/>
      </c>
      <c r="AR44" s="340" t="str">
        <f t="shared" si="72"/>
        <v/>
      </c>
      <c r="AS44" s="248"/>
      <c r="AT44" s="341" t="str">
        <f t="shared" si="96"/>
        <v/>
      </c>
      <c r="AU44" s="364">
        <f t="shared" si="73"/>
        <v>0</v>
      </c>
      <c r="AV44" s="532"/>
      <c r="AW44" s="332">
        <f t="shared" si="97"/>
        <v>0</v>
      </c>
      <c r="AX44" s="331">
        <f t="shared" si="74"/>
        <v>0</v>
      </c>
      <c r="AY44" s="533"/>
      <c r="AZ44" s="333">
        <f t="shared" si="98"/>
        <v>0</v>
      </c>
      <c r="BA44" s="333">
        <f t="shared" si="75"/>
        <v>0</v>
      </c>
      <c r="BB44" s="533"/>
      <c r="BC44" s="333">
        <f t="shared" si="99"/>
        <v>0</v>
      </c>
      <c r="BD44" s="333">
        <f t="shared" si="76"/>
        <v>0</v>
      </c>
      <c r="BE44" s="533"/>
      <c r="BF44" s="333">
        <f t="shared" si="100"/>
        <v>0</v>
      </c>
      <c r="BG44" s="333">
        <f t="shared" si="77"/>
        <v>0</v>
      </c>
      <c r="BH44" s="533"/>
      <c r="BI44" s="333">
        <f t="shared" si="101"/>
        <v>0</v>
      </c>
      <c r="BJ44" s="333">
        <f t="shared" si="78"/>
        <v>0</v>
      </c>
      <c r="BK44" s="533"/>
      <c r="BL44" s="333">
        <f t="shared" si="102"/>
        <v>0</v>
      </c>
      <c r="BM44" s="334">
        <f t="shared" si="103"/>
        <v>0</v>
      </c>
      <c r="BN44" s="335">
        <f t="shared" si="104"/>
        <v>0</v>
      </c>
      <c r="BO44" s="355"/>
      <c r="BP44" s="331">
        <f t="shared" si="79"/>
        <v>0</v>
      </c>
      <c r="BQ44" s="532"/>
      <c r="BR44" s="336">
        <f t="shared" si="105"/>
        <v>0</v>
      </c>
      <c r="BS44" s="333">
        <f t="shared" si="80"/>
        <v>0</v>
      </c>
      <c r="BT44" s="533"/>
      <c r="BU44" s="333">
        <f t="shared" si="106"/>
        <v>0</v>
      </c>
      <c r="BV44" s="333">
        <f t="shared" si="81"/>
        <v>0</v>
      </c>
      <c r="BW44" s="533"/>
      <c r="BX44" s="333">
        <f t="shared" si="107"/>
        <v>0</v>
      </c>
      <c r="BY44" s="333">
        <f t="shared" si="82"/>
        <v>0</v>
      </c>
      <c r="BZ44" s="533"/>
      <c r="CA44" s="333">
        <f t="shared" si="108"/>
        <v>0</v>
      </c>
      <c r="CB44" s="333">
        <f t="shared" si="83"/>
        <v>0</v>
      </c>
      <c r="CC44" s="533"/>
      <c r="CD44" s="333">
        <f t="shared" si="109"/>
        <v>0</v>
      </c>
      <c r="CE44" s="334">
        <f t="shared" si="110"/>
        <v>0</v>
      </c>
      <c r="CF44" s="331">
        <f t="shared" si="84"/>
        <v>0</v>
      </c>
      <c r="CG44" s="533"/>
      <c r="CH44" s="337">
        <f t="shared" si="111"/>
        <v>0</v>
      </c>
      <c r="CI44" s="310"/>
      <c r="CJ44" s="335">
        <f t="shared" si="112"/>
        <v>0</v>
      </c>
      <c r="CK44" s="331">
        <f t="shared" si="85"/>
        <v>0</v>
      </c>
      <c r="CL44" s="532"/>
      <c r="CM44" s="332">
        <f t="shared" si="113"/>
        <v>0</v>
      </c>
      <c r="CN44" s="331">
        <f t="shared" si="86"/>
        <v>0</v>
      </c>
      <c r="CO44" s="540"/>
      <c r="CP44" s="365">
        <f t="shared" si="114"/>
        <v>0</v>
      </c>
      <c r="CQ44" s="366">
        <f t="shared" si="115"/>
        <v>0</v>
      </c>
      <c r="CR44" s="340" t="str">
        <f t="shared" si="87"/>
        <v/>
      </c>
      <c r="CS44" s="248"/>
      <c r="CT44" s="341" t="str">
        <f t="shared" si="116"/>
        <v/>
      </c>
      <c r="CU44" s="340" t="str">
        <f t="shared" si="88"/>
        <v/>
      </c>
      <c r="CV44" s="248"/>
      <c r="CW44" s="341" t="str">
        <f t="shared" si="117"/>
        <v/>
      </c>
      <c r="CX44" s="342" t="str">
        <f t="shared" si="118"/>
        <v/>
      </c>
      <c r="CY44" s="535"/>
      <c r="DA44" s="6">
        <f>IF(AND(CT44&lt;&gt;"",OR(CT44&lt;EXPEDIENTE!$I$25,CT44&gt;EXPEDIENTE!$I$29)),1,0)</f>
        <v>0</v>
      </c>
      <c r="DB44" s="6">
        <f>IF(AND(CW44&lt;&gt;"",OR(CW44&lt;EXPEDIENTE!$I$25,CW44&gt;EXPEDIENTE!$I$29)),1,0)</f>
        <v>0</v>
      </c>
      <c r="DD44" s="88">
        <f t="shared" si="89"/>
        <v>0</v>
      </c>
      <c r="DE44" s="88">
        <f t="shared" si="119"/>
        <v>0</v>
      </c>
      <c r="DF44" s="88">
        <f t="shared" si="120"/>
        <v>0</v>
      </c>
      <c r="DG44" s="88">
        <f t="shared" si="121"/>
        <v>0</v>
      </c>
      <c r="DH44" s="88">
        <f t="shared" si="122"/>
        <v>0</v>
      </c>
      <c r="DI44" s="88">
        <f t="shared" si="123"/>
        <v>0</v>
      </c>
      <c r="DJ44" s="88">
        <f t="shared" si="124"/>
        <v>0</v>
      </c>
      <c r="DK44" s="88">
        <f t="shared" si="125"/>
        <v>0</v>
      </c>
      <c r="DL44" s="88">
        <f t="shared" si="126"/>
        <v>0</v>
      </c>
      <c r="DM44" s="88">
        <f t="shared" si="127"/>
        <v>0</v>
      </c>
      <c r="DN44" s="88">
        <f t="shared" si="128"/>
        <v>0</v>
      </c>
      <c r="DO44" s="88">
        <f t="shared" si="129"/>
        <v>0</v>
      </c>
      <c r="DP44" s="88">
        <f t="shared" si="130"/>
        <v>0</v>
      </c>
      <c r="DQ44" s="88">
        <f t="shared" si="131"/>
        <v>0</v>
      </c>
      <c r="DR44" s="88">
        <f t="shared" si="132"/>
        <v>0</v>
      </c>
      <c r="DS44" s="88">
        <f t="shared" si="133"/>
        <v>0</v>
      </c>
      <c r="DT44" s="88">
        <f t="shared" si="134"/>
        <v>0</v>
      </c>
      <c r="DU44" s="88">
        <f t="shared" si="135"/>
        <v>0</v>
      </c>
      <c r="DW44" s="88">
        <f>IF(CY44&lt;&gt;"",MAX($DW$9:DW43)+1,0)</f>
        <v>0</v>
      </c>
      <c r="DX44" s="182" t="str">
        <f t="shared" si="90"/>
        <v/>
      </c>
    </row>
    <row r="45" spans="2:128" ht="9.9499999999999993" customHeight="1" thickBot="1" x14ac:dyDescent="0.3">
      <c r="B45" s="875"/>
      <c r="C45" s="177"/>
      <c r="D45" s="161"/>
      <c r="E45" s="161"/>
      <c r="F45" s="161"/>
      <c r="G45" s="161"/>
      <c r="H45" s="161"/>
      <c r="I45" s="161"/>
      <c r="J45" s="161"/>
      <c r="K45" s="161"/>
      <c r="L45" s="161"/>
      <c r="M45" s="178"/>
      <c r="N45" s="32"/>
      <c r="O45" s="44"/>
      <c r="P45" s="44"/>
      <c r="Q45" s="44"/>
      <c r="R45" s="44"/>
      <c r="S45" s="44"/>
      <c r="T45" s="44"/>
      <c r="U45" s="44"/>
      <c r="V45" s="34"/>
      <c r="W45" s="159"/>
      <c r="X45" s="161"/>
      <c r="Y45" s="161"/>
      <c r="Z45" s="161"/>
      <c r="AA45" s="161"/>
      <c r="AB45" s="161"/>
      <c r="AC45" s="161"/>
      <c r="AD45" s="161"/>
      <c r="AE45" s="164"/>
      <c r="AM45" s="728"/>
      <c r="AN45" s="277"/>
      <c r="AO45" s="278"/>
      <c r="AP45" s="278"/>
      <c r="AQ45" s="278"/>
      <c r="AR45" s="278"/>
      <c r="AS45" s="278"/>
      <c r="AT45" s="278"/>
      <c r="AU45" s="278"/>
      <c r="AV45" s="278"/>
      <c r="AW45" s="278"/>
      <c r="AX45" s="278"/>
      <c r="AY45" s="278"/>
      <c r="AZ45" s="278"/>
      <c r="BA45" s="278"/>
      <c r="BB45" s="278"/>
      <c r="BC45" s="278"/>
      <c r="BD45" s="278"/>
      <c r="BE45" s="278"/>
      <c r="BF45" s="278"/>
      <c r="BG45" s="278"/>
      <c r="BH45" s="278"/>
      <c r="BI45" s="278"/>
      <c r="BJ45" s="278"/>
      <c r="BK45" s="278"/>
      <c r="BL45" s="278"/>
      <c r="BM45" s="278"/>
      <c r="BN45" s="343"/>
      <c r="BO45" s="344"/>
      <c r="BP45" s="368"/>
      <c r="BQ45" s="368"/>
      <c r="BR45" s="368"/>
      <c r="BS45" s="368"/>
      <c r="BT45" s="368"/>
      <c r="BU45" s="368"/>
      <c r="BV45" s="368"/>
      <c r="BW45" s="368"/>
      <c r="BX45" s="368"/>
      <c r="BY45" s="368"/>
      <c r="BZ45" s="368"/>
      <c r="CA45" s="368"/>
      <c r="CB45" s="368"/>
      <c r="CC45" s="368"/>
      <c r="CD45" s="368"/>
      <c r="CE45" s="368"/>
      <c r="CF45" s="345"/>
      <c r="CG45" s="345"/>
      <c r="CH45" s="345"/>
      <c r="CI45" s="346"/>
      <c r="CJ45" s="369"/>
      <c r="CK45" s="278"/>
      <c r="CL45" s="278"/>
      <c r="CM45" s="278"/>
      <c r="CN45" s="278"/>
      <c r="CO45" s="278"/>
      <c r="CP45" s="278"/>
      <c r="CQ45" s="278"/>
      <c r="CR45" s="278"/>
      <c r="CS45" s="278"/>
      <c r="CT45" s="278"/>
      <c r="CU45" s="278"/>
      <c r="CV45" s="278"/>
      <c r="CW45" s="278"/>
      <c r="CX45" s="278"/>
      <c r="CY45" s="279"/>
    </row>
    <row r="46" spans="2:128" ht="30" customHeight="1" thickTop="1" thickBot="1" x14ac:dyDescent="0.3">
      <c r="B46" s="875"/>
      <c r="C46" s="833" t="str">
        <f>CONCATENATE("SEGURIDAD SOCIAL EMPRESA EJERCICIO ",YEAR(EXPEDIENTE!F25)+3)</f>
        <v>SEGURIDAD SOCIAL EMPRESA EJERCICIO 2026</v>
      </c>
      <c r="D46" s="833"/>
      <c r="E46" s="833"/>
      <c r="F46" s="833"/>
      <c r="G46" s="833"/>
      <c r="H46" s="833"/>
      <c r="I46" s="833"/>
      <c r="J46" s="833"/>
      <c r="K46" s="833"/>
      <c r="L46" s="833"/>
      <c r="M46" s="834"/>
      <c r="AM46" s="728"/>
      <c r="AN46" s="808" t="str">
        <f>CONCATENATE("SEGURIDAD SOCIAL EMPRESA EJERCICIO ",YEAR(EXPEDIENTE!$F$25)+3)</f>
        <v>SEGURIDAD SOCIAL EMPRESA EJERCICIO 2026</v>
      </c>
      <c r="AO46" s="808"/>
      <c r="AP46" s="808"/>
      <c r="AQ46" s="808"/>
      <c r="AR46" s="808"/>
      <c r="AS46" s="808"/>
      <c r="AT46" s="808"/>
      <c r="AU46" s="808"/>
      <c r="AV46" s="808"/>
      <c r="AW46" s="808"/>
      <c r="AX46" s="808"/>
      <c r="AY46" s="808"/>
      <c r="AZ46" s="808"/>
      <c r="BA46" s="808"/>
      <c r="BB46" s="808"/>
      <c r="BC46" s="808"/>
      <c r="BD46" s="808"/>
      <c r="BE46" s="808"/>
      <c r="BF46" s="808"/>
      <c r="BG46" s="808"/>
      <c r="BH46" s="808"/>
      <c r="BI46" s="808"/>
      <c r="BJ46" s="808"/>
      <c r="BK46" s="808"/>
      <c r="BL46" s="808"/>
      <c r="BM46" s="808"/>
      <c r="BN46" s="808"/>
      <c r="BO46" s="808"/>
      <c r="BP46" s="808"/>
      <c r="BQ46" s="808"/>
      <c r="BR46" s="808"/>
      <c r="BS46" s="896"/>
      <c r="CY46" s="123"/>
      <c r="CZ46" s="6"/>
      <c r="DB46" s="4"/>
    </row>
    <row r="47" spans="2:128" ht="20.100000000000001" customHeight="1" thickTop="1" thickBot="1" x14ac:dyDescent="0.3">
      <c r="B47" s="875"/>
      <c r="C47" s="839" t="s">
        <v>76</v>
      </c>
      <c r="D47" s="743" t="str">
        <f>IF(OR(SUM(T20:T31)&gt;0,SUM(T37:T44)&gt;0),"BASE
COTIZACIÓN
SUBVENCIO.","BASE
COTIZACIÓN")</f>
        <v>BASE
COTIZACIÓN</v>
      </c>
      <c r="E47" s="743" t="s">
        <v>186</v>
      </c>
      <c r="F47" s="743" t="s">
        <v>187</v>
      </c>
      <c r="G47" s="743" t="s">
        <v>74</v>
      </c>
      <c r="H47" s="743" t="s">
        <v>188</v>
      </c>
      <c r="I47" s="841" t="s">
        <v>75</v>
      </c>
      <c r="J47" s="844" t="s">
        <v>67</v>
      </c>
      <c r="K47" s="844"/>
      <c r="L47" s="844"/>
      <c r="M47" s="845"/>
      <c r="AM47" s="728"/>
      <c r="AN47" s="717" t="s">
        <v>76</v>
      </c>
      <c r="AO47" s="735" t="s">
        <v>309</v>
      </c>
      <c r="AP47" s="736"/>
      <c r="AQ47" s="737"/>
      <c r="AR47" s="738" t="s">
        <v>186</v>
      </c>
      <c r="AS47" s="719"/>
      <c r="AT47" s="720"/>
      <c r="AU47" s="897" t="s">
        <v>313</v>
      </c>
      <c r="AV47" s="898"/>
      <c r="AW47" s="899"/>
      <c r="AX47" s="900" t="s">
        <v>314</v>
      </c>
      <c r="AY47" s="901"/>
      <c r="AZ47" s="902"/>
      <c r="BA47" s="738" t="s">
        <v>188</v>
      </c>
      <c r="BB47" s="719"/>
      <c r="BC47" s="720"/>
      <c r="BD47" s="913" t="s">
        <v>315</v>
      </c>
      <c r="BE47" s="914"/>
      <c r="BF47" s="915"/>
      <c r="BG47" s="370"/>
      <c r="BH47" s="765"/>
      <c r="BI47" s="765"/>
      <c r="BJ47" s="765"/>
      <c r="BK47" s="765"/>
      <c r="BL47" s="765"/>
      <c r="BM47" s="765"/>
      <c r="BN47" s="765"/>
      <c r="BO47" s="765"/>
      <c r="BP47" s="765"/>
      <c r="BQ47" s="765"/>
      <c r="BR47" s="765"/>
      <c r="BS47" s="903"/>
      <c r="DA47" s="4"/>
      <c r="DB47" s="4"/>
      <c r="DC47" s="6"/>
    </row>
    <row r="48" spans="2:128" ht="50.1" customHeight="1" thickBot="1" x14ac:dyDescent="0.3">
      <c r="B48" s="875"/>
      <c r="C48" s="840"/>
      <c r="D48" s="745"/>
      <c r="E48" s="745"/>
      <c r="F48" s="745"/>
      <c r="G48" s="745"/>
      <c r="H48" s="745"/>
      <c r="I48" s="842"/>
      <c r="J48" s="847"/>
      <c r="K48" s="847"/>
      <c r="L48" s="847"/>
      <c r="M48" s="848"/>
      <c r="AM48" s="728"/>
      <c r="AN48" s="718"/>
      <c r="AO48" s="284" t="s">
        <v>270</v>
      </c>
      <c r="AP48" s="351" t="s">
        <v>245</v>
      </c>
      <c r="AQ48" s="286" t="s">
        <v>271</v>
      </c>
      <c r="AR48" s="739"/>
      <c r="AS48" s="719"/>
      <c r="AT48" s="720"/>
      <c r="AU48" s="371" t="s">
        <v>270</v>
      </c>
      <c r="AV48" s="372" t="s">
        <v>245</v>
      </c>
      <c r="AW48" s="373" t="s">
        <v>271</v>
      </c>
      <c r="AX48" s="371" t="s">
        <v>270</v>
      </c>
      <c r="AY48" s="374" t="s">
        <v>245</v>
      </c>
      <c r="AZ48" s="373" t="s">
        <v>271</v>
      </c>
      <c r="BA48" s="739"/>
      <c r="BB48" s="719"/>
      <c r="BC48" s="720"/>
      <c r="BD48" s="371" t="s">
        <v>270</v>
      </c>
      <c r="BE48" s="374" t="s">
        <v>245</v>
      </c>
      <c r="BF48" s="373" t="s">
        <v>271</v>
      </c>
      <c r="BG48" s="296" t="s">
        <v>321</v>
      </c>
      <c r="BH48" s="904" t="s">
        <v>343</v>
      </c>
      <c r="BI48" s="905"/>
      <c r="BJ48" s="905"/>
      <c r="BK48" s="905"/>
      <c r="BL48" s="905"/>
      <c r="BM48" s="905"/>
      <c r="BN48" s="905"/>
      <c r="BO48" s="905"/>
      <c r="BP48" s="905"/>
      <c r="BQ48" s="905"/>
      <c r="BR48" s="905"/>
      <c r="BS48" s="906"/>
      <c r="DA48" s="4"/>
      <c r="DB48" s="4"/>
      <c r="DD48" s="88" t="s">
        <v>322</v>
      </c>
      <c r="DE48" s="88" t="s">
        <v>340</v>
      </c>
      <c r="DF48" s="88" t="s">
        <v>324</v>
      </c>
      <c r="DG48" s="88" t="s">
        <v>325</v>
      </c>
      <c r="DH48" s="88" t="s">
        <v>327</v>
      </c>
      <c r="DU48" s="4"/>
    </row>
    <row r="49" spans="2:128" ht="30" customHeight="1" x14ac:dyDescent="0.25">
      <c r="B49" s="875"/>
      <c r="C49" s="45" t="s">
        <v>45</v>
      </c>
      <c r="D49" s="51"/>
      <c r="E49" s="23">
        <f>ROUND(D49*$F$14,2)</f>
        <v>0</v>
      </c>
      <c r="F49" s="51"/>
      <c r="G49" s="51"/>
      <c r="H49" s="106">
        <f>E49+F49-G49</f>
        <v>0</v>
      </c>
      <c r="I49" s="108"/>
      <c r="J49" s="920"/>
      <c r="K49" s="836"/>
      <c r="L49" s="836"/>
      <c r="M49" s="837"/>
      <c r="N49" s="730" t="str">
        <f>IF(OR(SUM(T20:T31)&gt;0,SUM(T37:T44)&gt;0),"NOTA:
Se ha minorado el importe subvencionable de alguna de las nóminas del ejercicio.
En consecuencia, en la columna:
''BASE
COTIZACIÓN
SUBVENCIO.''
se deberá reflejar la base de cotización mensual restándole dicha minoración.","")</f>
        <v/>
      </c>
      <c r="O49" s="731"/>
      <c r="P49" s="731"/>
      <c r="AG49" s="6">
        <f>IF(AND(I49&lt;&gt;"",OR(I49&lt;EXPEDIENTE!$I$25,I49&gt;EXPEDIENTE!$I$29)),1,0)</f>
        <v>0</v>
      </c>
      <c r="AI49" s="6">
        <f>IF(DATE(YEAR(EXPEDIENTE!$I$25)+3,MONTH(DATEVALUE($C49&amp;"1")),1)&gt;=DATE(YEAR(EXPEDIENTE!$I$25),MONTH(EXPEDIENTE!$I$25),1),0,1)</f>
        <v>0</v>
      </c>
      <c r="AJ49" s="6" t="e">
        <f>IF(DATE(YEAR(EXPEDIENTE!$I$25)+3,MONTH(DATEVALUE($C49&amp;"1")),1)&lt;=DATE(YEAR(EXPEDIENTE!$I$27),MONTH(EXPEDIENTE!$I$27),1),0,1)</f>
        <v>#VALUE!</v>
      </c>
      <c r="AK49" s="6" t="e">
        <f>SUM(AI49:AJ49)</f>
        <v>#VALUE!</v>
      </c>
      <c r="AM49" s="728"/>
      <c r="AN49" s="298" t="s">
        <v>45</v>
      </c>
      <c r="AO49" s="308">
        <f>IF(D49="",0,D49)</f>
        <v>0</v>
      </c>
      <c r="AP49" s="525"/>
      <c r="AQ49" s="309">
        <f>IF(AP49="",AO49,AP49)</f>
        <v>0</v>
      </c>
      <c r="AR49" s="311">
        <f t="shared" ref="AR49:AR60" si="139">IFERROR(ROUND(AQ49*$AT$14,2),0)</f>
        <v>0</v>
      </c>
      <c r="AS49" s="719"/>
      <c r="AT49" s="720"/>
      <c r="AU49" s="308">
        <f>IF(F49="",0,F49)</f>
        <v>0</v>
      </c>
      <c r="AV49" s="525"/>
      <c r="AW49" s="309">
        <f>IF(AV49="",AU49,AV49)</f>
        <v>0</v>
      </c>
      <c r="AX49" s="301">
        <f>IF(G49="",0,G49)</f>
        <v>0</v>
      </c>
      <c r="AY49" s="524"/>
      <c r="AZ49" s="359">
        <f>IF(AY49="",AX49,AY49)</f>
        <v>0</v>
      </c>
      <c r="BA49" s="375">
        <f t="shared" ref="BA49:BA60" si="140">IFERROR(AR49+AW49-AZ49,0)</f>
        <v>0</v>
      </c>
      <c r="BB49" s="719"/>
      <c r="BC49" s="720"/>
      <c r="BD49" s="353" t="str">
        <f t="shared" ref="BD49:BD60" si="141">IF(I49="","",I49)</f>
        <v/>
      </c>
      <c r="BE49" s="227"/>
      <c r="BF49" s="354" t="str">
        <f>IF(BE49="",BD49,BE49)</f>
        <v/>
      </c>
      <c r="BG49" s="317" t="str">
        <f>IF(DD49=0,"",DD49)</f>
        <v/>
      </c>
      <c r="BH49" s="907"/>
      <c r="BI49" s="908"/>
      <c r="BJ49" s="908"/>
      <c r="BK49" s="908"/>
      <c r="BL49" s="908"/>
      <c r="BM49" s="908"/>
      <c r="BN49" s="908"/>
      <c r="BO49" s="908"/>
      <c r="BP49" s="908"/>
      <c r="BQ49" s="908"/>
      <c r="BR49" s="908"/>
      <c r="BS49" s="909"/>
      <c r="DA49" s="6">
        <f>IF(AND(BE49&lt;&gt;"",OR(BE49&lt;EXPEDIENTE!$I$25,BE49&gt;EXPEDIENTE!$I$29)),1,0)</f>
        <v>0</v>
      </c>
      <c r="DB49" s="4"/>
      <c r="DD49" s="88">
        <f t="shared" ref="DD49:DD60" si="142">SUM(DE49:DT49)</f>
        <v>0</v>
      </c>
      <c r="DE49" s="88">
        <f>IF(AP49="",0,1)</f>
        <v>0</v>
      </c>
      <c r="DF49" s="88">
        <f>IF(AV49="",0,1)</f>
        <v>0</v>
      </c>
      <c r="DG49" s="88">
        <f>IF(AY49="",0,1)</f>
        <v>0</v>
      </c>
      <c r="DH49" s="88">
        <f t="shared" ref="DH49:DH60" si="143">IF(BE49="",0,1)</f>
        <v>0</v>
      </c>
      <c r="DU49" s="4"/>
      <c r="DW49" s="88">
        <f>IF(BH49&lt;&gt;"",MAX($DW$9:DW48)+1,0)</f>
        <v>0</v>
      </c>
      <c r="DX49" s="182" t="str">
        <f>IF(DW49=0,"",BH49)</f>
        <v/>
      </c>
    </row>
    <row r="50" spans="2:128" ht="30" customHeight="1" x14ac:dyDescent="0.25">
      <c r="B50" s="875"/>
      <c r="C50" s="46" t="s">
        <v>46</v>
      </c>
      <c r="D50" s="54"/>
      <c r="E50" s="23">
        <f t="shared" ref="E50:E60" si="144">ROUND(D50*$F$14,2)</f>
        <v>0</v>
      </c>
      <c r="F50" s="54"/>
      <c r="G50" s="54"/>
      <c r="H50" s="107">
        <f t="shared" ref="H50:H60" si="145">E50+F50-G50</f>
        <v>0</v>
      </c>
      <c r="I50" s="82"/>
      <c r="J50" s="916"/>
      <c r="K50" s="725"/>
      <c r="L50" s="725"/>
      <c r="M50" s="726"/>
      <c r="N50" s="730"/>
      <c r="O50" s="731"/>
      <c r="P50" s="731"/>
      <c r="AG50" s="6">
        <f>IF(AND(I50&lt;&gt;"",OR(I50&lt;EXPEDIENTE!$I$25,I50&gt;EXPEDIENTE!$I$29)),1,0)</f>
        <v>0</v>
      </c>
      <c r="AI50" s="6">
        <f>IF(DATE(YEAR(EXPEDIENTE!$I$25)+3,MONTH(DATEVALUE($C50&amp;"1")),1)&gt;=DATE(YEAR(EXPEDIENTE!$I$25),MONTH(EXPEDIENTE!$I$25),1),0,1)</f>
        <v>0</v>
      </c>
      <c r="AJ50" s="6" t="e">
        <f>IF(DATE(YEAR(EXPEDIENTE!$I$25)+3,MONTH(DATEVALUE($C50&amp;"1")),1)&lt;=DATE(YEAR(EXPEDIENTE!$I$27),MONTH(EXPEDIENTE!$I$27),1),0,1)</f>
        <v>#VALUE!</v>
      </c>
      <c r="AK50" s="6" t="e">
        <f t="shared" ref="AK50:AK60" si="146">SUM(AI50:AJ50)</f>
        <v>#VALUE!</v>
      </c>
      <c r="AM50" s="728"/>
      <c r="AN50" s="318" t="s">
        <v>46</v>
      </c>
      <c r="AO50" s="321">
        <f t="shared" ref="AO50:AO60" si="147">IF(D50="",0,D50)</f>
        <v>0</v>
      </c>
      <c r="AP50" s="529"/>
      <c r="AQ50" s="326">
        <f t="shared" ref="AQ50:AQ60" si="148">IF(AP50="",AO50,AP50)</f>
        <v>0</v>
      </c>
      <c r="AR50" s="327">
        <f t="shared" si="139"/>
        <v>0</v>
      </c>
      <c r="AS50" s="719"/>
      <c r="AT50" s="720"/>
      <c r="AU50" s="321">
        <f t="shared" ref="AU50:AU60" si="149">IF(F50="",0,F50)</f>
        <v>0</v>
      </c>
      <c r="AV50" s="529"/>
      <c r="AW50" s="326">
        <f t="shared" ref="AW50:AW60" si="150">IF(AV50="",AU50,AV50)</f>
        <v>0</v>
      </c>
      <c r="AX50" s="321">
        <f t="shared" ref="AX50:AX60" si="151">IF(G50="",0,G50)</f>
        <v>0</v>
      </c>
      <c r="AY50" s="529"/>
      <c r="AZ50" s="326">
        <f t="shared" ref="AZ50:AZ60" si="152">IF(AY50="",AX50,AY50)</f>
        <v>0</v>
      </c>
      <c r="BA50" s="376">
        <f t="shared" si="140"/>
        <v>0</v>
      </c>
      <c r="BB50" s="719"/>
      <c r="BC50" s="720"/>
      <c r="BD50" s="313" t="str">
        <f t="shared" si="141"/>
        <v/>
      </c>
      <c r="BE50" s="536"/>
      <c r="BF50" s="314" t="str">
        <f t="shared" ref="BF50:BF60" si="153">IF(BE50="",BD50,BE50)</f>
        <v/>
      </c>
      <c r="BG50" s="377" t="str">
        <f t="shared" ref="BG50:BG60" si="154">IF(DD50=0,"",DD50)</f>
        <v/>
      </c>
      <c r="BH50" s="892"/>
      <c r="BI50" s="786"/>
      <c r="BJ50" s="786"/>
      <c r="BK50" s="786"/>
      <c r="BL50" s="786"/>
      <c r="BM50" s="786"/>
      <c r="BN50" s="786"/>
      <c r="BO50" s="786"/>
      <c r="BP50" s="786"/>
      <c r="BQ50" s="786"/>
      <c r="BR50" s="786"/>
      <c r="BS50" s="787"/>
      <c r="DA50" s="6">
        <f>IF(AND(BE50&lt;&gt;"",OR(BE50&lt;EXPEDIENTE!$I$25,BE50&gt;EXPEDIENTE!$I$29)),1,0)</f>
        <v>0</v>
      </c>
      <c r="DB50" s="4"/>
      <c r="DD50" s="88">
        <f t="shared" si="142"/>
        <v>0</v>
      </c>
      <c r="DE50" s="88">
        <f t="shared" ref="DE50:DE60" si="155">IF(AP50="",0,1)</f>
        <v>0</v>
      </c>
      <c r="DF50" s="88">
        <f t="shared" ref="DF50:DF60" si="156">IF(AV50="",0,1)</f>
        <v>0</v>
      </c>
      <c r="DG50" s="88">
        <f t="shared" ref="DG50:DG60" si="157">IF(AY50="",0,1)</f>
        <v>0</v>
      </c>
      <c r="DH50" s="88">
        <f t="shared" si="143"/>
        <v>0</v>
      </c>
      <c r="DU50" s="4"/>
      <c r="DW50" s="88">
        <f>IF(BH50&lt;&gt;"",MAX($DW$9:DW49)+1,0)</f>
        <v>0</v>
      </c>
      <c r="DX50" s="182" t="str">
        <f t="shared" ref="DX50:DX60" si="158">IF(DW50=0,"",BH50)</f>
        <v/>
      </c>
    </row>
    <row r="51" spans="2:128" ht="30" customHeight="1" x14ac:dyDescent="0.25">
      <c r="B51" s="875"/>
      <c r="C51" s="46" t="s">
        <v>47</v>
      </c>
      <c r="D51" s="54"/>
      <c r="E51" s="23">
        <f t="shared" si="144"/>
        <v>0</v>
      </c>
      <c r="F51" s="54"/>
      <c r="G51" s="54"/>
      <c r="H51" s="107">
        <f t="shared" si="145"/>
        <v>0</v>
      </c>
      <c r="I51" s="82"/>
      <c r="J51" s="916"/>
      <c r="K51" s="725"/>
      <c r="L51" s="725"/>
      <c r="M51" s="726"/>
      <c r="N51" s="730"/>
      <c r="O51" s="731"/>
      <c r="P51" s="731"/>
      <c r="AG51" s="6">
        <f>IF(AND(I51&lt;&gt;"",OR(I51&lt;EXPEDIENTE!$I$25,I51&gt;EXPEDIENTE!$I$29)),1,0)</f>
        <v>0</v>
      </c>
      <c r="AI51" s="6">
        <f>IF(DATE(YEAR(EXPEDIENTE!$I$25)+3,MONTH(DATEVALUE($C51&amp;"1")),1)&gt;=DATE(YEAR(EXPEDIENTE!$I$25),MONTH(EXPEDIENTE!$I$25),1),0,1)</f>
        <v>0</v>
      </c>
      <c r="AJ51" s="6" t="e">
        <f>IF(DATE(YEAR(EXPEDIENTE!$I$25)+3,MONTH(DATEVALUE($C51&amp;"1")),1)&lt;=DATE(YEAR(EXPEDIENTE!$I$27),MONTH(EXPEDIENTE!$I$27),1),0,1)</f>
        <v>#VALUE!</v>
      </c>
      <c r="AK51" s="6" t="e">
        <f t="shared" si="146"/>
        <v>#VALUE!</v>
      </c>
      <c r="AM51" s="728"/>
      <c r="AN51" s="318" t="s">
        <v>47</v>
      </c>
      <c r="AO51" s="321">
        <f t="shared" si="147"/>
        <v>0</v>
      </c>
      <c r="AP51" s="529"/>
      <c r="AQ51" s="326">
        <f t="shared" si="148"/>
        <v>0</v>
      </c>
      <c r="AR51" s="327">
        <f t="shared" si="139"/>
        <v>0</v>
      </c>
      <c r="AS51" s="719"/>
      <c r="AT51" s="720"/>
      <c r="AU51" s="321">
        <f t="shared" si="149"/>
        <v>0</v>
      </c>
      <c r="AV51" s="529"/>
      <c r="AW51" s="326">
        <f t="shared" si="150"/>
        <v>0</v>
      </c>
      <c r="AX51" s="321">
        <f t="shared" si="151"/>
        <v>0</v>
      </c>
      <c r="AY51" s="529"/>
      <c r="AZ51" s="326">
        <f t="shared" si="152"/>
        <v>0</v>
      </c>
      <c r="BA51" s="376">
        <f t="shared" si="140"/>
        <v>0</v>
      </c>
      <c r="BB51" s="719"/>
      <c r="BC51" s="720"/>
      <c r="BD51" s="313" t="str">
        <f t="shared" si="141"/>
        <v/>
      </c>
      <c r="BE51" s="536"/>
      <c r="BF51" s="314" t="str">
        <f t="shared" si="153"/>
        <v/>
      </c>
      <c r="BG51" s="377" t="str">
        <f t="shared" si="154"/>
        <v/>
      </c>
      <c r="BH51" s="892"/>
      <c r="BI51" s="786"/>
      <c r="BJ51" s="786"/>
      <c r="BK51" s="786"/>
      <c r="BL51" s="786"/>
      <c r="BM51" s="786"/>
      <c r="BN51" s="786"/>
      <c r="BO51" s="786"/>
      <c r="BP51" s="786"/>
      <c r="BQ51" s="786"/>
      <c r="BR51" s="786"/>
      <c r="BS51" s="787"/>
      <c r="DA51" s="6">
        <f>IF(AND(BE51&lt;&gt;"",OR(BE51&lt;EXPEDIENTE!$I$25,BE51&gt;EXPEDIENTE!$I$29)),1,0)</f>
        <v>0</v>
      </c>
      <c r="DB51" s="4"/>
      <c r="DD51" s="88">
        <f t="shared" si="142"/>
        <v>0</v>
      </c>
      <c r="DE51" s="88">
        <f t="shared" si="155"/>
        <v>0</v>
      </c>
      <c r="DF51" s="88">
        <f t="shared" si="156"/>
        <v>0</v>
      </c>
      <c r="DG51" s="88">
        <f t="shared" si="157"/>
        <v>0</v>
      </c>
      <c r="DH51" s="88">
        <f t="shared" si="143"/>
        <v>0</v>
      </c>
      <c r="DU51" s="4"/>
      <c r="DW51" s="88">
        <f>IF(BH51&lt;&gt;"",MAX($DW$9:DW50)+1,0)</f>
        <v>0</v>
      </c>
      <c r="DX51" s="182" t="str">
        <f t="shared" si="158"/>
        <v/>
      </c>
    </row>
    <row r="52" spans="2:128" ht="30" customHeight="1" x14ac:dyDescent="0.25">
      <c r="B52" s="875"/>
      <c r="C52" s="46" t="s">
        <v>48</v>
      </c>
      <c r="D52" s="54"/>
      <c r="E52" s="23">
        <f t="shared" si="144"/>
        <v>0</v>
      </c>
      <c r="F52" s="54"/>
      <c r="G52" s="54"/>
      <c r="H52" s="107">
        <f t="shared" si="145"/>
        <v>0</v>
      </c>
      <c r="I52" s="82"/>
      <c r="J52" s="916"/>
      <c r="K52" s="725"/>
      <c r="L52" s="725"/>
      <c r="M52" s="726"/>
      <c r="N52" s="730"/>
      <c r="O52" s="731"/>
      <c r="P52" s="731"/>
      <c r="AG52" s="6">
        <f>IF(AND(I52&lt;&gt;"",OR(I52&lt;EXPEDIENTE!$I$25,I52&gt;EXPEDIENTE!$I$29)),1,0)</f>
        <v>0</v>
      </c>
      <c r="AI52" s="6">
        <f>IF(DATE(YEAR(EXPEDIENTE!$I$25)+3,MONTH(DATEVALUE($C52&amp;"1")),1)&gt;=DATE(YEAR(EXPEDIENTE!$I$25),MONTH(EXPEDIENTE!$I$25),1),0,1)</f>
        <v>0</v>
      </c>
      <c r="AJ52" s="6" t="e">
        <f>IF(DATE(YEAR(EXPEDIENTE!$I$25)+3,MONTH(DATEVALUE($C52&amp;"1")),1)&lt;=DATE(YEAR(EXPEDIENTE!$I$27),MONTH(EXPEDIENTE!$I$27),1),0,1)</f>
        <v>#VALUE!</v>
      </c>
      <c r="AK52" s="6" t="e">
        <f t="shared" si="146"/>
        <v>#VALUE!</v>
      </c>
      <c r="AM52" s="728"/>
      <c r="AN52" s="318" t="s">
        <v>48</v>
      </c>
      <c r="AO52" s="321">
        <f t="shared" si="147"/>
        <v>0</v>
      </c>
      <c r="AP52" s="529"/>
      <c r="AQ52" s="326">
        <f t="shared" si="148"/>
        <v>0</v>
      </c>
      <c r="AR52" s="327">
        <f t="shared" si="139"/>
        <v>0</v>
      </c>
      <c r="AS52" s="719"/>
      <c r="AT52" s="720"/>
      <c r="AU52" s="321">
        <f t="shared" si="149"/>
        <v>0</v>
      </c>
      <c r="AV52" s="529"/>
      <c r="AW52" s="326">
        <f t="shared" si="150"/>
        <v>0</v>
      </c>
      <c r="AX52" s="321">
        <f t="shared" si="151"/>
        <v>0</v>
      </c>
      <c r="AY52" s="529"/>
      <c r="AZ52" s="326">
        <f t="shared" si="152"/>
        <v>0</v>
      </c>
      <c r="BA52" s="376">
        <f t="shared" si="140"/>
        <v>0</v>
      </c>
      <c r="BB52" s="719"/>
      <c r="BC52" s="720"/>
      <c r="BD52" s="313" t="str">
        <f t="shared" si="141"/>
        <v/>
      </c>
      <c r="BE52" s="536"/>
      <c r="BF52" s="314" t="str">
        <f t="shared" si="153"/>
        <v/>
      </c>
      <c r="BG52" s="377" t="str">
        <f t="shared" si="154"/>
        <v/>
      </c>
      <c r="BH52" s="892"/>
      <c r="BI52" s="786"/>
      <c r="BJ52" s="786"/>
      <c r="BK52" s="786"/>
      <c r="BL52" s="786"/>
      <c r="BM52" s="786"/>
      <c r="BN52" s="786"/>
      <c r="BO52" s="786"/>
      <c r="BP52" s="786"/>
      <c r="BQ52" s="786"/>
      <c r="BR52" s="786"/>
      <c r="BS52" s="787"/>
      <c r="DA52" s="6">
        <f>IF(AND(BE52&lt;&gt;"",OR(BE52&lt;EXPEDIENTE!$I$25,BE52&gt;EXPEDIENTE!$I$29)),1,0)</f>
        <v>0</v>
      </c>
      <c r="DB52" s="4"/>
      <c r="DD52" s="88">
        <f t="shared" si="142"/>
        <v>0</v>
      </c>
      <c r="DE52" s="88">
        <f t="shared" si="155"/>
        <v>0</v>
      </c>
      <c r="DF52" s="88">
        <f t="shared" si="156"/>
        <v>0</v>
      </c>
      <c r="DG52" s="88">
        <f t="shared" si="157"/>
        <v>0</v>
      </c>
      <c r="DH52" s="88">
        <f t="shared" si="143"/>
        <v>0</v>
      </c>
      <c r="DU52" s="4"/>
      <c r="DW52" s="88">
        <f>IF(BH52&lt;&gt;"",MAX($DW$9:DW51)+1,0)</f>
        <v>0</v>
      </c>
      <c r="DX52" s="182" t="str">
        <f t="shared" si="158"/>
        <v/>
      </c>
    </row>
    <row r="53" spans="2:128" ht="30" customHeight="1" x14ac:dyDescent="0.25">
      <c r="B53" s="875"/>
      <c r="C53" s="46" t="s">
        <v>49</v>
      </c>
      <c r="D53" s="54"/>
      <c r="E53" s="23">
        <f t="shared" si="144"/>
        <v>0</v>
      </c>
      <c r="F53" s="54"/>
      <c r="G53" s="54"/>
      <c r="H53" s="107">
        <f t="shared" si="145"/>
        <v>0</v>
      </c>
      <c r="I53" s="82"/>
      <c r="J53" s="916"/>
      <c r="K53" s="725"/>
      <c r="L53" s="725"/>
      <c r="M53" s="726"/>
      <c r="N53" s="730"/>
      <c r="O53" s="731"/>
      <c r="P53" s="731"/>
      <c r="AG53" s="6">
        <f>IF(AND(I53&lt;&gt;"",OR(I53&lt;EXPEDIENTE!$I$25,I53&gt;EXPEDIENTE!$I$29)),1,0)</f>
        <v>0</v>
      </c>
      <c r="AI53" s="6">
        <f>IF(DATE(YEAR(EXPEDIENTE!$I$25)+3,MONTH(DATEVALUE($C53&amp;"1")),1)&gt;=DATE(YEAR(EXPEDIENTE!$I$25),MONTH(EXPEDIENTE!$I$25),1),0,1)</f>
        <v>0</v>
      </c>
      <c r="AJ53" s="6" t="e">
        <f>IF(DATE(YEAR(EXPEDIENTE!$I$25)+3,MONTH(DATEVALUE($C53&amp;"1")),1)&lt;=DATE(YEAR(EXPEDIENTE!$I$27),MONTH(EXPEDIENTE!$I$27),1),0,1)</f>
        <v>#VALUE!</v>
      </c>
      <c r="AK53" s="6" t="e">
        <f t="shared" si="146"/>
        <v>#VALUE!</v>
      </c>
      <c r="AM53" s="728"/>
      <c r="AN53" s="318" t="s">
        <v>49</v>
      </c>
      <c r="AO53" s="321">
        <f t="shared" si="147"/>
        <v>0</v>
      </c>
      <c r="AP53" s="529"/>
      <c r="AQ53" s="326">
        <f t="shared" si="148"/>
        <v>0</v>
      </c>
      <c r="AR53" s="327">
        <f t="shared" si="139"/>
        <v>0</v>
      </c>
      <c r="AS53" s="719"/>
      <c r="AT53" s="720"/>
      <c r="AU53" s="321">
        <f t="shared" si="149"/>
        <v>0</v>
      </c>
      <c r="AV53" s="529"/>
      <c r="AW53" s="326">
        <f t="shared" si="150"/>
        <v>0</v>
      </c>
      <c r="AX53" s="321">
        <f t="shared" si="151"/>
        <v>0</v>
      </c>
      <c r="AY53" s="529"/>
      <c r="AZ53" s="326">
        <f t="shared" si="152"/>
        <v>0</v>
      </c>
      <c r="BA53" s="376">
        <f t="shared" si="140"/>
        <v>0</v>
      </c>
      <c r="BB53" s="719"/>
      <c r="BC53" s="720"/>
      <c r="BD53" s="313" t="str">
        <f t="shared" si="141"/>
        <v/>
      </c>
      <c r="BE53" s="536"/>
      <c r="BF53" s="314" t="str">
        <f t="shared" si="153"/>
        <v/>
      </c>
      <c r="BG53" s="377" t="str">
        <f t="shared" si="154"/>
        <v/>
      </c>
      <c r="BH53" s="892"/>
      <c r="BI53" s="786"/>
      <c r="BJ53" s="786"/>
      <c r="BK53" s="786"/>
      <c r="BL53" s="786"/>
      <c r="BM53" s="786"/>
      <c r="BN53" s="786"/>
      <c r="BO53" s="786"/>
      <c r="BP53" s="786"/>
      <c r="BQ53" s="786"/>
      <c r="BR53" s="786"/>
      <c r="BS53" s="787"/>
      <c r="DA53" s="6">
        <f>IF(AND(BE53&lt;&gt;"",OR(BE53&lt;EXPEDIENTE!$I$25,BE53&gt;EXPEDIENTE!$I$29)),1,0)</f>
        <v>0</v>
      </c>
      <c r="DB53" s="4"/>
      <c r="DD53" s="88">
        <f t="shared" si="142"/>
        <v>0</v>
      </c>
      <c r="DE53" s="88">
        <f t="shared" si="155"/>
        <v>0</v>
      </c>
      <c r="DF53" s="88">
        <f t="shared" si="156"/>
        <v>0</v>
      </c>
      <c r="DG53" s="88">
        <f t="shared" si="157"/>
        <v>0</v>
      </c>
      <c r="DH53" s="88">
        <f t="shared" si="143"/>
        <v>0</v>
      </c>
      <c r="DU53" s="4"/>
      <c r="DW53" s="88">
        <f>IF(BH53&lt;&gt;"",MAX($DW$9:DW52)+1,0)</f>
        <v>0</v>
      </c>
      <c r="DX53" s="182" t="str">
        <f t="shared" si="158"/>
        <v/>
      </c>
    </row>
    <row r="54" spans="2:128" ht="30" customHeight="1" x14ac:dyDescent="0.25">
      <c r="B54" s="875"/>
      <c r="C54" s="46" t="s">
        <v>50</v>
      </c>
      <c r="D54" s="54"/>
      <c r="E54" s="23">
        <f t="shared" si="144"/>
        <v>0</v>
      </c>
      <c r="F54" s="54"/>
      <c r="G54" s="54"/>
      <c r="H54" s="107">
        <f t="shared" si="145"/>
        <v>0</v>
      </c>
      <c r="I54" s="82"/>
      <c r="J54" s="916"/>
      <c r="K54" s="725"/>
      <c r="L54" s="725"/>
      <c r="M54" s="726"/>
      <c r="N54" s="730"/>
      <c r="O54" s="731"/>
      <c r="P54" s="731"/>
      <c r="AG54" s="6">
        <f>IF(AND(I54&lt;&gt;"",OR(I54&lt;EXPEDIENTE!$I$25,I54&gt;EXPEDIENTE!$I$29)),1,0)</f>
        <v>0</v>
      </c>
      <c r="AI54" s="6">
        <f>IF(DATE(YEAR(EXPEDIENTE!$I$25)+3,MONTH(DATEVALUE($C54&amp;"1")),1)&gt;=DATE(YEAR(EXPEDIENTE!$I$25),MONTH(EXPEDIENTE!$I$25),1),0,1)</f>
        <v>0</v>
      </c>
      <c r="AJ54" s="6" t="e">
        <f>IF(DATE(YEAR(EXPEDIENTE!$I$25)+3,MONTH(DATEVALUE($C54&amp;"1")),1)&lt;=DATE(YEAR(EXPEDIENTE!$I$27),MONTH(EXPEDIENTE!$I$27),1),0,1)</f>
        <v>#VALUE!</v>
      </c>
      <c r="AK54" s="6" t="e">
        <f t="shared" si="146"/>
        <v>#VALUE!</v>
      </c>
      <c r="AM54" s="728"/>
      <c r="AN54" s="318" t="s">
        <v>50</v>
      </c>
      <c r="AO54" s="321">
        <f t="shared" si="147"/>
        <v>0</v>
      </c>
      <c r="AP54" s="529"/>
      <c r="AQ54" s="326">
        <f t="shared" si="148"/>
        <v>0</v>
      </c>
      <c r="AR54" s="327">
        <f t="shared" si="139"/>
        <v>0</v>
      </c>
      <c r="AS54" s="719"/>
      <c r="AT54" s="720"/>
      <c r="AU54" s="321">
        <f t="shared" si="149"/>
        <v>0</v>
      </c>
      <c r="AV54" s="529"/>
      <c r="AW54" s="326">
        <f t="shared" si="150"/>
        <v>0</v>
      </c>
      <c r="AX54" s="321">
        <f t="shared" si="151"/>
        <v>0</v>
      </c>
      <c r="AY54" s="529"/>
      <c r="AZ54" s="326">
        <f t="shared" si="152"/>
        <v>0</v>
      </c>
      <c r="BA54" s="376">
        <f t="shared" si="140"/>
        <v>0</v>
      </c>
      <c r="BB54" s="719"/>
      <c r="BC54" s="720"/>
      <c r="BD54" s="313" t="str">
        <f t="shared" si="141"/>
        <v/>
      </c>
      <c r="BE54" s="536"/>
      <c r="BF54" s="314" t="str">
        <f t="shared" si="153"/>
        <v/>
      </c>
      <c r="BG54" s="377" t="str">
        <f t="shared" si="154"/>
        <v/>
      </c>
      <c r="BH54" s="892"/>
      <c r="BI54" s="786"/>
      <c r="BJ54" s="786"/>
      <c r="BK54" s="786"/>
      <c r="BL54" s="786"/>
      <c r="BM54" s="786"/>
      <c r="BN54" s="786"/>
      <c r="BO54" s="786"/>
      <c r="BP54" s="786"/>
      <c r="BQ54" s="786"/>
      <c r="BR54" s="786"/>
      <c r="BS54" s="787"/>
      <c r="DA54" s="6">
        <f>IF(AND(BE54&lt;&gt;"",OR(BE54&lt;EXPEDIENTE!$I$25,BE54&gt;EXPEDIENTE!$I$29)),1,0)</f>
        <v>0</v>
      </c>
      <c r="DB54" s="4"/>
      <c r="DD54" s="88">
        <f t="shared" si="142"/>
        <v>0</v>
      </c>
      <c r="DE54" s="88">
        <f t="shared" si="155"/>
        <v>0</v>
      </c>
      <c r="DF54" s="88">
        <f t="shared" si="156"/>
        <v>0</v>
      </c>
      <c r="DG54" s="88">
        <f t="shared" si="157"/>
        <v>0</v>
      </c>
      <c r="DH54" s="88">
        <f t="shared" si="143"/>
        <v>0</v>
      </c>
      <c r="DU54" s="4"/>
      <c r="DW54" s="88">
        <f>IF(BH54&lt;&gt;"",MAX($DW$9:DW53)+1,0)</f>
        <v>0</v>
      </c>
      <c r="DX54" s="182" t="str">
        <f t="shared" si="158"/>
        <v/>
      </c>
    </row>
    <row r="55" spans="2:128" ht="30" customHeight="1" x14ac:dyDescent="0.25">
      <c r="B55" s="875"/>
      <c r="C55" s="46" t="s">
        <v>51</v>
      </c>
      <c r="D55" s="54"/>
      <c r="E55" s="23">
        <f t="shared" si="144"/>
        <v>0</v>
      </c>
      <c r="F55" s="54"/>
      <c r="G55" s="54"/>
      <c r="H55" s="107">
        <f t="shared" si="145"/>
        <v>0</v>
      </c>
      <c r="I55" s="82"/>
      <c r="J55" s="916"/>
      <c r="K55" s="725"/>
      <c r="L55" s="725"/>
      <c r="M55" s="726"/>
      <c r="N55" s="730"/>
      <c r="O55" s="731"/>
      <c r="P55" s="731"/>
      <c r="AG55" s="6">
        <f>IF(AND(I55&lt;&gt;"",OR(I55&lt;EXPEDIENTE!$I$25,I55&gt;EXPEDIENTE!$I$29)),1,0)</f>
        <v>0</v>
      </c>
      <c r="AI55" s="6">
        <f>IF(DATE(YEAR(EXPEDIENTE!$I$25)+3,MONTH(DATEVALUE($C55&amp;"1")),1)&gt;=DATE(YEAR(EXPEDIENTE!$I$25),MONTH(EXPEDIENTE!$I$25),1),0,1)</f>
        <v>0</v>
      </c>
      <c r="AJ55" s="6" t="e">
        <f>IF(DATE(YEAR(EXPEDIENTE!$I$25)+3,MONTH(DATEVALUE($C55&amp;"1")),1)&lt;=DATE(YEAR(EXPEDIENTE!$I$27),MONTH(EXPEDIENTE!$I$27),1),0,1)</f>
        <v>#VALUE!</v>
      </c>
      <c r="AK55" s="6" t="e">
        <f t="shared" si="146"/>
        <v>#VALUE!</v>
      </c>
      <c r="AM55" s="728"/>
      <c r="AN55" s="318" t="s">
        <v>51</v>
      </c>
      <c r="AO55" s="321">
        <f t="shared" si="147"/>
        <v>0</v>
      </c>
      <c r="AP55" s="529"/>
      <c r="AQ55" s="326">
        <f t="shared" si="148"/>
        <v>0</v>
      </c>
      <c r="AR55" s="327">
        <f t="shared" si="139"/>
        <v>0</v>
      </c>
      <c r="AS55" s="719"/>
      <c r="AT55" s="720"/>
      <c r="AU55" s="321">
        <f t="shared" si="149"/>
        <v>0</v>
      </c>
      <c r="AV55" s="529"/>
      <c r="AW55" s="326">
        <f t="shared" si="150"/>
        <v>0</v>
      </c>
      <c r="AX55" s="321">
        <f t="shared" si="151"/>
        <v>0</v>
      </c>
      <c r="AY55" s="529"/>
      <c r="AZ55" s="326">
        <f t="shared" si="152"/>
        <v>0</v>
      </c>
      <c r="BA55" s="376">
        <f t="shared" si="140"/>
        <v>0</v>
      </c>
      <c r="BB55" s="719"/>
      <c r="BC55" s="720"/>
      <c r="BD55" s="313" t="str">
        <f t="shared" si="141"/>
        <v/>
      </c>
      <c r="BE55" s="536"/>
      <c r="BF55" s="314" t="str">
        <f t="shared" si="153"/>
        <v/>
      </c>
      <c r="BG55" s="377" t="str">
        <f t="shared" si="154"/>
        <v/>
      </c>
      <c r="BH55" s="892"/>
      <c r="BI55" s="786"/>
      <c r="BJ55" s="786"/>
      <c r="BK55" s="786"/>
      <c r="BL55" s="786"/>
      <c r="BM55" s="786"/>
      <c r="BN55" s="786"/>
      <c r="BO55" s="786"/>
      <c r="BP55" s="786"/>
      <c r="BQ55" s="786"/>
      <c r="BR55" s="786"/>
      <c r="BS55" s="787"/>
      <c r="DA55" s="6">
        <f>IF(AND(BE55&lt;&gt;"",OR(BE55&lt;EXPEDIENTE!$I$25,BE55&gt;EXPEDIENTE!$I$29)),1,0)</f>
        <v>0</v>
      </c>
      <c r="DB55" s="4"/>
      <c r="DD55" s="88">
        <f t="shared" si="142"/>
        <v>0</v>
      </c>
      <c r="DE55" s="88">
        <f t="shared" si="155"/>
        <v>0</v>
      </c>
      <c r="DF55" s="88">
        <f t="shared" si="156"/>
        <v>0</v>
      </c>
      <c r="DG55" s="88">
        <f t="shared" si="157"/>
        <v>0</v>
      </c>
      <c r="DH55" s="88">
        <f t="shared" si="143"/>
        <v>0</v>
      </c>
      <c r="DU55" s="4"/>
      <c r="DW55" s="88">
        <f>IF(BH55&lt;&gt;"",MAX($DW$9:DW54)+1,0)</f>
        <v>0</v>
      </c>
      <c r="DX55" s="182" t="str">
        <f t="shared" si="158"/>
        <v/>
      </c>
    </row>
    <row r="56" spans="2:128" ht="30" customHeight="1" x14ac:dyDescent="0.25">
      <c r="B56" s="875"/>
      <c r="C56" s="46" t="s">
        <v>52</v>
      </c>
      <c r="D56" s="54"/>
      <c r="E56" s="23">
        <f t="shared" si="144"/>
        <v>0</v>
      </c>
      <c r="F56" s="54"/>
      <c r="G56" s="54"/>
      <c r="H56" s="107">
        <f t="shared" si="145"/>
        <v>0</v>
      </c>
      <c r="I56" s="82"/>
      <c r="J56" s="916"/>
      <c r="K56" s="725"/>
      <c r="L56" s="725"/>
      <c r="M56" s="726"/>
      <c r="N56" s="730"/>
      <c r="O56" s="731"/>
      <c r="P56" s="731"/>
      <c r="AG56" s="6">
        <f>IF(AND(I56&lt;&gt;"",OR(I56&lt;EXPEDIENTE!$I$25,I56&gt;EXPEDIENTE!$I$29)),1,0)</f>
        <v>0</v>
      </c>
      <c r="AI56" s="6">
        <f>IF(DATE(YEAR(EXPEDIENTE!$I$25)+3,MONTH(DATEVALUE($C56&amp;"1")),1)&gt;=DATE(YEAR(EXPEDIENTE!$I$25),MONTH(EXPEDIENTE!$I$25),1),0,1)</f>
        <v>0</v>
      </c>
      <c r="AJ56" s="6" t="e">
        <f>IF(DATE(YEAR(EXPEDIENTE!$I$25)+3,MONTH(DATEVALUE($C56&amp;"1")),1)&lt;=DATE(YEAR(EXPEDIENTE!$I$27),MONTH(EXPEDIENTE!$I$27),1),0,1)</f>
        <v>#VALUE!</v>
      </c>
      <c r="AK56" s="6" t="e">
        <f t="shared" si="146"/>
        <v>#VALUE!</v>
      </c>
      <c r="AM56" s="728"/>
      <c r="AN56" s="318" t="s">
        <v>52</v>
      </c>
      <c r="AO56" s="321">
        <f t="shared" si="147"/>
        <v>0</v>
      </c>
      <c r="AP56" s="529"/>
      <c r="AQ56" s="326">
        <f t="shared" si="148"/>
        <v>0</v>
      </c>
      <c r="AR56" s="327">
        <f t="shared" si="139"/>
        <v>0</v>
      </c>
      <c r="AS56" s="719"/>
      <c r="AT56" s="720"/>
      <c r="AU56" s="321">
        <f t="shared" si="149"/>
        <v>0</v>
      </c>
      <c r="AV56" s="529"/>
      <c r="AW56" s="326">
        <f t="shared" si="150"/>
        <v>0</v>
      </c>
      <c r="AX56" s="321">
        <f t="shared" si="151"/>
        <v>0</v>
      </c>
      <c r="AY56" s="529"/>
      <c r="AZ56" s="326">
        <f t="shared" si="152"/>
        <v>0</v>
      </c>
      <c r="BA56" s="376">
        <f t="shared" si="140"/>
        <v>0</v>
      </c>
      <c r="BB56" s="719"/>
      <c r="BC56" s="720"/>
      <c r="BD56" s="313" t="str">
        <f t="shared" si="141"/>
        <v/>
      </c>
      <c r="BE56" s="536"/>
      <c r="BF56" s="314" t="str">
        <f t="shared" si="153"/>
        <v/>
      </c>
      <c r="BG56" s="377" t="str">
        <f t="shared" si="154"/>
        <v/>
      </c>
      <c r="BH56" s="892"/>
      <c r="BI56" s="786"/>
      <c r="BJ56" s="786"/>
      <c r="BK56" s="786"/>
      <c r="BL56" s="786"/>
      <c r="BM56" s="786"/>
      <c r="BN56" s="786"/>
      <c r="BO56" s="786"/>
      <c r="BP56" s="786"/>
      <c r="BQ56" s="786"/>
      <c r="BR56" s="786"/>
      <c r="BS56" s="787"/>
      <c r="DA56" s="6">
        <f>IF(AND(BE56&lt;&gt;"",OR(BE56&lt;EXPEDIENTE!$I$25,BE56&gt;EXPEDIENTE!$I$29)),1,0)</f>
        <v>0</v>
      </c>
      <c r="DB56" s="4"/>
      <c r="DD56" s="88">
        <f t="shared" si="142"/>
        <v>0</v>
      </c>
      <c r="DE56" s="88">
        <f t="shared" si="155"/>
        <v>0</v>
      </c>
      <c r="DF56" s="88">
        <f t="shared" si="156"/>
        <v>0</v>
      </c>
      <c r="DG56" s="88">
        <f t="shared" si="157"/>
        <v>0</v>
      </c>
      <c r="DH56" s="88">
        <f t="shared" si="143"/>
        <v>0</v>
      </c>
      <c r="DU56" s="4"/>
      <c r="DW56" s="88">
        <f>IF(BH56&lt;&gt;"",MAX($DW$9:DW55)+1,0)</f>
        <v>0</v>
      </c>
      <c r="DX56" s="182" t="str">
        <f t="shared" si="158"/>
        <v/>
      </c>
    </row>
    <row r="57" spans="2:128" ht="30" customHeight="1" x14ac:dyDescent="0.25">
      <c r="B57" s="875"/>
      <c r="C57" s="46" t="s">
        <v>53</v>
      </c>
      <c r="D57" s="54"/>
      <c r="E57" s="23">
        <f t="shared" si="144"/>
        <v>0</v>
      </c>
      <c r="F57" s="54"/>
      <c r="G57" s="54"/>
      <c r="H57" s="107">
        <f t="shared" si="145"/>
        <v>0</v>
      </c>
      <c r="I57" s="82"/>
      <c r="J57" s="916"/>
      <c r="K57" s="725"/>
      <c r="L57" s="725"/>
      <c r="M57" s="726"/>
      <c r="N57" s="730"/>
      <c r="O57" s="731"/>
      <c r="P57" s="731"/>
      <c r="AG57" s="6">
        <f>IF(AND(I57&lt;&gt;"",OR(I57&lt;EXPEDIENTE!$I$25,I57&gt;EXPEDIENTE!$I$29)),1,0)</f>
        <v>0</v>
      </c>
      <c r="AI57" s="6">
        <f>IF(DATE(YEAR(EXPEDIENTE!$I$25)+3,MONTH(DATEVALUE($C57&amp;"1")),1)&gt;=DATE(YEAR(EXPEDIENTE!$I$25),MONTH(EXPEDIENTE!$I$25),1),0,1)</f>
        <v>0</v>
      </c>
      <c r="AJ57" s="6" t="e">
        <f>IF(DATE(YEAR(EXPEDIENTE!$I$25)+3,MONTH(DATEVALUE($C57&amp;"1")),1)&lt;=DATE(YEAR(EXPEDIENTE!$I$27),MONTH(EXPEDIENTE!$I$27),1),0,1)</f>
        <v>#VALUE!</v>
      </c>
      <c r="AK57" s="6" t="e">
        <f t="shared" si="146"/>
        <v>#VALUE!</v>
      </c>
      <c r="AM57" s="728"/>
      <c r="AN57" s="318" t="s">
        <v>53</v>
      </c>
      <c r="AO57" s="321">
        <f t="shared" si="147"/>
        <v>0</v>
      </c>
      <c r="AP57" s="529"/>
      <c r="AQ57" s="326">
        <f t="shared" si="148"/>
        <v>0</v>
      </c>
      <c r="AR57" s="327">
        <f t="shared" si="139"/>
        <v>0</v>
      </c>
      <c r="AS57" s="719"/>
      <c r="AT57" s="720"/>
      <c r="AU57" s="321">
        <f t="shared" si="149"/>
        <v>0</v>
      </c>
      <c r="AV57" s="529"/>
      <c r="AW57" s="326">
        <f t="shared" si="150"/>
        <v>0</v>
      </c>
      <c r="AX57" s="321">
        <f t="shared" si="151"/>
        <v>0</v>
      </c>
      <c r="AY57" s="529"/>
      <c r="AZ57" s="326">
        <f t="shared" si="152"/>
        <v>0</v>
      </c>
      <c r="BA57" s="376">
        <f t="shared" si="140"/>
        <v>0</v>
      </c>
      <c r="BB57" s="719"/>
      <c r="BC57" s="720"/>
      <c r="BD57" s="313" t="str">
        <f t="shared" si="141"/>
        <v/>
      </c>
      <c r="BE57" s="536"/>
      <c r="BF57" s="314" t="str">
        <f t="shared" si="153"/>
        <v/>
      </c>
      <c r="BG57" s="377" t="str">
        <f t="shared" si="154"/>
        <v/>
      </c>
      <c r="BH57" s="892"/>
      <c r="BI57" s="786"/>
      <c r="BJ57" s="786"/>
      <c r="BK57" s="786"/>
      <c r="BL57" s="786"/>
      <c r="BM57" s="786"/>
      <c r="BN57" s="786"/>
      <c r="BO57" s="786"/>
      <c r="BP57" s="786"/>
      <c r="BQ57" s="786"/>
      <c r="BR57" s="786"/>
      <c r="BS57" s="787"/>
      <c r="DA57" s="6">
        <f>IF(AND(BE57&lt;&gt;"",OR(BE57&lt;EXPEDIENTE!$I$25,BE57&gt;EXPEDIENTE!$I$29)),1,0)</f>
        <v>0</v>
      </c>
      <c r="DB57" s="4"/>
      <c r="DD57" s="88">
        <f t="shared" si="142"/>
        <v>0</v>
      </c>
      <c r="DE57" s="88">
        <f t="shared" si="155"/>
        <v>0</v>
      </c>
      <c r="DF57" s="88">
        <f t="shared" si="156"/>
        <v>0</v>
      </c>
      <c r="DG57" s="88">
        <f t="shared" si="157"/>
        <v>0</v>
      </c>
      <c r="DH57" s="88">
        <f t="shared" si="143"/>
        <v>0</v>
      </c>
      <c r="DU57" s="4"/>
      <c r="DW57" s="88">
        <f>IF(BH57&lt;&gt;"",MAX($DW$9:DW56)+1,0)</f>
        <v>0</v>
      </c>
      <c r="DX57" s="182" t="str">
        <f t="shared" si="158"/>
        <v/>
      </c>
    </row>
    <row r="58" spans="2:128" ht="30" customHeight="1" x14ac:dyDescent="0.25">
      <c r="B58" s="875"/>
      <c r="C58" s="46" t="s">
        <v>54</v>
      </c>
      <c r="D58" s="54"/>
      <c r="E58" s="23">
        <f t="shared" si="144"/>
        <v>0</v>
      </c>
      <c r="F58" s="54"/>
      <c r="G58" s="54"/>
      <c r="H58" s="107">
        <f t="shared" si="145"/>
        <v>0</v>
      </c>
      <c r="I58" s="82"/>
      <c r="J58" s="916"/>
      <c r="K58" s="725"/>
      <c r="L58" s="725"/>
      <c r="M58" s="726"/>
      <c r="N58" s="730"/>
      <c r="O58" s="731"/>
      <c r="P58" s="731"/>
      <c r="AG58" s="6">
        <f>IF(AND(I58&lt;&gt;"",OR(I58&lt;EXPEDIENTE!$I$25,I58&gt;EXPEDIENTE!$I$29)),1,0)</f>
        <v>0</v>
      </c>
      <c r="AI58" s="6">
        <f>IF(DATE(YEAR(EXPEDIENTE!$I$25)+3,MONTH(DATEVALUE($C58&amp;"1")),1)&gt;=DATE(YEAR(EXPEDIENTE!$I$25),MONTH(EXPEDIENTE!$I$25),1),0,1)</f>
        <v>0</v>
      </c>
      <c r="AJ58" s="6" t="e">
        <f>IF(DATE(YEAR(EXPEDIENTE!$I$25)+3,MONTH(DATEVALUE($C58&amp;"1")),1)&lt;=DATE(YEAR(EXPEDIENTE!$I$27),MONTH(EXPEDIENTE!$I$27),1),0,1)</f>
        <v>#VALUE!</v>
      </c>
      <c r="AK58" s="6" t="e">
        <f t="shared" si="146"/>
        <v>#VALUE!</v>
      </c>
      <c r="AM58" s="728"/>
      <c r="AN58" s="318" t="s">
        <v>54</v>
      </c>
      <c r="AO58" s="321">
        <f t="shared" si="147"/>
        <v>0</v>
      </c>
      <c r="AP58" s="529"/>
      <c r="AQ58" s="326">
        <f t="shared" si="148"/>
        <v>0</v>
      </c>
      <c r="AR58" s="327">
        <f t="shared" si="139"/>
        <v>0</v>
      </c>
      <c r="AS58" s="719"/>
      <c r="AT58" s="720"/>
      <c r="AU58" s="321">
        <f t="shared" si="149"/>
        <v>0</v>
      </c>
      <c r="AV58" s="529"/>
      <c r="AW58" s="326">
        <f t="shared" si="150"/>
        <v>0</v>
      </c>
      <c r="AX58" s="321">
        <f t="shared" si="151"/>
        <v>0</v>
      </c>
      <c r="AY58" s="529"/>
      <c r="AZ58" s="326">
        <f t="shared" si="152"/>
        <v>0</v>
      </c>
      <c r="BA58" s="376">
        <f t="shared" si="140"/>
        <v>0</v>
      </c>
      <c r="BB58" s="719"/>
      <c r="BC58" s="720"/>
      <c r="BD58" s="313" t="str">
        <f t="shared" si="141"/>
        <v/>
      </c>
      <c r="BE58" s="536"/>
      <c r="BF58" s="314" t="str">
        <f t="shared" si="153"/>
        <v/>
      </c>
      <c r="BG58" s="377" t="str">
        <f t="shared" si="154"/>
        <v/>
      </c>
      <c r="BH58" s="892"/>
      <c r="BI58" s="786"/>
      <c r="BJ58" s="786"/>
      <c r="BK58" s="786"/>
      <c r="BL58" s="786"/>
      <c r="BM58" s="786"/>
      <c r="BN58" s="786"/>
      <c r="BO58" s="786"/>
      <c r="BP58" s="786"/>
      <c r="BQ58" s="786"/>
      <c r="BR58" s="786"/>
      <c r="BS58" s="787"/>
      <c r="DA58" s="6">
        <f>IF(AND(BE58&lt;&gt;"",OR(BE58&lt;EXPEDIENTE!$I$25,BE58&gt;EXPEDIENTE!$I$29)),1,0)</f>
        <v>0</v>
      </c>
      <c r="DB58" s="4"/>
      <c r="DD58" s="88">
        <f t="shared" si="142"/>
        <v>0</v>
      </c>
      <c r="DE58" s="88">
        <f t="shared" si="155"/>
        <v>0</v>
      </c>
      <c r="DF58" s="88">
        <f t="shared" si="156"/>
        <v>0</v>
      </c>
      <c r="DG58" s="88">
        <f t="shared" si="157"/>
        <v>0</v>
      </c>
      <c r="DH58" s="88">
        <f t="shared" si="143"/>
        <v>0</v>
      </c>
      <c r="DU58" s="4"/>
      <c r="DW58" s="88">
        <f>IF(BH58&lt;&gt;"",MAX($DW$9:DW57)+1,0)</f>
        <v>0</v>
      </c>
      <c r="DX58" s="182" t="str">
        <f t="shared" si="158"/>
        <v/>
      </c>
    </row>
    <row r="59" spans="2:128" ht="30" customHeight="1" x14ac:dyDescent="0.25">
      <c r="B59" s="875"/>
      <c r="C59" s="46" t="s">
        <v>55</v>
      </c>
      <c r="D59" s="54"/>
      <c r="E59" s="23">
        <f t="shared" si="144"/>
        <v>0</v>
      </c>
      <c r="F59" s="54"/>
      <c r="G59" s="54"/>
      <c r="H59" s="107">
        <f t="shared" si="145"/>
        <v>0</v>
      </c>
      <c r="I59" s="82"/>
      <c r="J59" s="916"/>
      <c r="K59" s="725"/>
      <c r="L59" s="725"/>
      <c r="M59" s="726"/>
      <c r="N59" s="730"/>
      <c r="O59" s="731"/>
      <c r="P59" s="731"/>
      <c r="AG59" s="6">
        <f>IF(AND(I59&lt;&gt;"",OR(I59&lt;EXPEDIENTE!$I$25,I59&gt;EXPEDIENTE!$I$29)),1,0)</f>
        <v>0</v>
      </c>
      <c r="AI59" s="6">
        <f>IF(DATE(YEAR(EXPEDIENTE!$I$25)+3,MONTH(DATEVALUE($C59&amp;"1")),1)&gt;=DATE(YEAR(EXPEDIENTE!$I$25),MONTH(EXPEDIENTE!$I$25),1),0,1)</f>
        <v>0</v>
      </c>
      <c r="AJ59" s="6" t="e">
        <f>IF(DATE(YEAR(EXPEDIENTE!$I$25)+3,MONTH(DATEVALUE($C59&amp;"1")),1)&lt;=DATE(YEAR(EXPEDIENTE!$I$27),MONTH(EXPEDIENTE!$I$27),1),0,1)</f>
        <v>#VALUE!</v>
      </c>
      <c r="AK59" s="6" t="e">
        <f t="shared" si="146"/>
        <v>#VALUE!</v>
      </c>
      <c r="AM59" s="728"/>
      <c r="AN59" s="318" t="s">
        <v>55</v>
      </c>
      <c r="AO59" s="321">
        <f t="shared" si="147"/>
        <v>0</v>
      </c>
      <c r="AP59" s="529"/>
      <c r="AQ59" s="326">
        <f t="shared" si="148"/>
        <v>0</v>
      </c>
      <c r="AR59" s="327">
        <f t="shared" si="139"/>
        <v>0</v>
      </c>
      <c r="AS59" s="719"/>
      <c r="AT59" s="720"/>
      <c r="AU59" s="321">
        <f t="shared" si="149"/>
        <v>0</v>
      </c>
      <c r="AV59" s="529"/>
      <c r="AW59" s="326">
        <f t="shared" si="150"/>
        <v>0</v>
      </c>
      <c r="AX59" s="321">
        <f t="shared" si="151"/>
        <v>0</v>
      </c>
      <c r="AY59" s="529"/>
      <c r="AZ59" s="326">
        <f t="shared" si="152"/>
        <v>0</v>
      </c>
      <c r="BA59" s="376">
        <f t="shared" si="140"/>
        <v>0</v>
      </c>
      <c r="BB59" s="719"/>
      <c r="BC59" s="720"/>
      <c r="BD59" s="313" t="str">
        <f t="shared" si="141"/>
        <v/>
      </c>
      <c r="BE59" s="536"/>
      <c r="BF59" s="314" t="str">
        <f t="shared" si="153"/>
        <v/>
      </c>
      <c r="BG59" s="377" t="str">
        <f t="shared" si="154"/>
        <v/>
      </c>
      <c r="BH59" s="892"/>
      <c r="BI59" s="786"/>
      <c r="BJ59" s="786"/>
      <c r="BK59" s="786"/>
      <c r="BL59" s="786"/>
      <c r="BM59" s="786"/>
      <c r="BN59" s="786"/>
      <c r="BO59" s="786"/>
      <c r="BP59" s="786"/>
      <c r="BQ59" s="786"/>
      <c r="BR59" s="786"/>
      <c r="BS59" s="787"/>
      <c r="DA59" s="6">
        <f>IF(AND(BE59&lt;&gt;"",OR(BE59&lt;EXPEDIENTE!$I$25,BE59&gt;EXPEDIENTE!$I$29)),1,0)</f>
        <v>0</v>
      </c>
      <c r="DB59" s="4"/>
      <c r="DD59" s="88">
        <f t="shared" si="142"/>
        <v>0</v>
      </c>
      <c r="DE59" s="88">
        <f t="shared" si="155"/>
        <v>0</v>
      </c>
      <c r="DF59" s="88">
        <f t="shared" si="156"/>
        <v>0</v>
      </c>
      <c r="DG59" s="88">
        <f t="shared" si="157"/>
        <v>0</v>
      </c>
      <c r="DH59" s="88">
        <f t="shared" si="143"/>
        <v>0</v>
      </c>
      <c r="DU59" s="4"/>
      <c r="DW59" s="88">
        <f>IF(BH59&lt;&gt;"",MAX($DW$9:DW58)+1,0)</f>
        <v>0</v>
      </c>
      <c r="DX59" s="182" t="str">
        <f t="shared" si="158"/>
        <v/>
      </c>
    </row>
    <row r="60" spans="2:128" ht="30" customHeight="1" thickBot="1" x14ac:dyDescent="0.3">
      <c r="B60" s="875"/>
      <c r="C60" s="191" t="s">
        <v>56</v>
      </c>
      <c r="D60" s="192"/>
      <c r="E60" s="30">
        <f t="shared" si="144"/>
        <v>0</v>
      </c>
      <c r="F60" s="56"/>
      <c r="G60" s="56"/>
      <c r="H60" s="193">
        <f t="shared" si="145"/>
        <v>0</v>
      </c>
      <c r="I60" s="194"/>
      <c r="J60" s="917"/>
      <c r="K60" s="918"/>
      <c r="L60" s="918"/>
      <c r="M60" s="919"/>
      <c r="N60" s="730"/>
      <c r="O60" s="731"/>
      <c r="P60" s="731"/>
      <c r="AG60" s="6">
        <f>IF(AND(I60&lt;&gt;"",OR(I60&lt;EXPEDIENTE!$I$25,I60&gt;EXPEDIENTE!$I$29)),1,0)</f>
        <v>0</v>
      </c>
      <c r="AI60" s="6">
        <f>IF(DATE(YEAR(EXPEDIENTE!$I$25)+3,MONTH(DATEVALUE($C60&amp;"1")),1)&gt;=DATE(YEAR(EXPEDIENTE!$I$25),MONTH(EXPEDIENTE!$I$25),1),0,1)</f>
        <v>0</v>
      </c>
      <c r="AJ60" s="6" t="e">
        <f>IF(DATE(YEAR(EXPEDIENTE!$I$25)+3,MONTH(DATEVALUE($C60&amp;"1")),1)&lt;=DATE(YEAR(EXPEDIENTE!$I$27),MONTH(EXPEDIENTE!$I$27),1),0,1)</f>
        <v>#VALUE!</v>
      </c>
      <c r="AK60" s="6" t="e">
        <f t="shared" si="146"/>
        <v>#VALUE!</v>
      </c>
      <c r="AM60" s="728"/>
      <c r="AN60" s="378" t="s">
        <v>56</v>
      </c>
      <c r="AO60" s="379">
        <f t="shared" si="147"/>
        <v>0</v>
      </c>
      <c r="AP60" s="541"/>
      <c r="AQ60" s="380">
        <f t="shared" si="148"/>
        <v>0</v>
      </c>
      <c r="AR60" s="335">
        <f t="shared" si="139"/>
        <v>0</v>
      </c>
      <c r="AS60" s="721"/>
      <c r="AT60" s="722"/>
      <c r="AU60" s="331">
        <f t="shared" si="149"/>
        <v>0</v>
      </c>
      <c r="AV60" s="533"/>
      <c r="AW60" s="337">
        <f t="shared" si="150"/>
        <v>0</v>
      </c>
      <c r="AX60" s="331">
        <f t="shared" si="151"/>
        <v>0</v>
      </c>
      <c r="AY60" s="533"/>
      <c r="AZ60" s="337">
        <f t="shared" si="152"/>
        <v>0</v>
      </c>
      <c r="BA60" s="381">
        <f t="shared" si="140"/>
        <v>0</v>
      </c>
      <c r="BB60" s="721"/>
      <c r="BC60" s="722"/>
      <c r="BD60" s="338" t="str">
        <f t="shared" si="141"/>
        <v/>
      </c>
      <c r="BE60" s="542"/>
      <c r="BF60" s="339" t="str">
        <f t="shared" si="153"/>
        <v/>
      </c>
      <c r="BG60" s="382" t="str">
        <f t="shared" si="154"/>
        <v/>
      </c>
      <c r="BH60" s="893"/>
      <c r="BI60" s="894"/>
      <c r="BJ60" s="894"/>
      <c r="BK60" s="894"/>
      <c r="BL60" s="894"/>
      <c r="BM60" s="894"/>
      <c r="BN60" s="894"/>
      <c r="BO60" s="894"/>
      <c r="BP60" s="894"/>
      <c r="BQ60" s="894"/>
      <c r="BR60" s="894"/>
      <c r="BS60" s="895"/>
      <c r="DA60" s="6">
        <f>IF(AND(BE60&lt;&gt;"",OR(BE60&lt;EXPEDIENTE!$I$25,BE60&gt;EXPEDIENTE!$I$29)),1,0)</f>
        <v>0</v>
      </c>
      <c r="DB60" s="4"/>
      <c r="DD60" s="88">
        <f t="shared" si="142"/>
        <v>0</v>
      </c>
      <c r="DE60" s="88">
        <f t="shared" si="155"/>
        <v>0</v>
      </c>
      <c r="DF60" s="88">
        <f t="shared" si="156"/>
        <v>0</v>
      </c>
      <c r="DG60" s="88">
        <f t="shared" si="157"/>
        <v>0</v>
      </c>
      <c r="DH60" s="88">
        <f t="shared" si="143"/>
        <v>0</v>
      </c>
      <c r="DU60" s="4"/>
      <c r="DW60" s="88">
        <f>IF(BH60&lt;&gt;"",MAX($DW$9:DW59)+1,0)</f>
        <v>0</v>
      </c>
      <c r="DX60" s="182" t="str">
        <f t="shared" si="158"/>
        <v/>
      </c>
    </row>
    <row r="61" spans="2:128" ht="9.9499999999999993" customHeight="1" thickBot="1" x14ac:dyDescent="0.3">
      <c r="B61" s="876"/>
      <c r="C61" s="181"/>
      <c r="D61" s="181"/>
      <c r="E61" s="181"/>
      <c r="F61" s="181"/>
      <c r="G61" s="181"/>
      <c r="H61" s="181"/>
      <c r="I61" s="181"/>
      <c r="J61" s="181"/>
      <c r="K61" s="181"/>
      <c r="L61" s="181"/>
      <c r="M61" s="190"/>
      <c r="AM61" s="729"/>
      <c r="AN61" s="383"/>
      <c r="AO61" s="384"/>
      <c r="AP61" s="384"/>
      <c r="AQ61" s="384"/>
      <c r="AR61" s="384"/>
      <c r="AS61" s="384"/>
      <c r="AT61" s="384"/>
      <c r="AU61" s="384"/>
      <c r="AV61" s="384"/>
      <c r="AW61" s="384"/>
      <c r="AX61" s="384"/>
      <c r="AY61" s="384"/>
      <c r="AZ61" s="384"/>
      <c r="BA61" s="384"/>
      <c r="BB61" s="384"/>
      <c r="BC61" s="384"/>
      <c r="BD61" s="384"/>
      <c r="BE61" s="384"/>
      <c r="BF61" s="384"/>
      <c r="BG61" s="384"/>
      <c r="BH61" s="384"/>
      <c r="BI61" s="384"/>
      <c r="BJ61" s="384"/>
      <c r="BK61" s="384"/>
      <c r="BL61" s="384"/>
      <c r="BM61" s="384"/>
      <c r="BN61" s="384"/>
      <c r="BO61" s="384"/>
      <c r="BP61" s="384"/>
      <c r="BQ61" s="384"/>
      <c r="BR61" s="384"/>
      <c r="BS61" s="385"/>
      <c r="DA61" s="4"/>
    </row>
    <row r="62" spans="2:128" ht="14.25" thickTop="1" x14ac:dyDescent="0.25"/>
  </sheetData>
  <sheetProtection algorithmName="SHA-512" hashValue="ygEm1P92rUzwxtaxaZhtVwyfZF5mR41mAK9L7erhmw41qQC4WEG3PoJCwieeUK8WOINsEY5fjI8/GtFiV1v5pQ==" saltValue="BgIO/orM98xuoGVP9vDDKw==" spinCount="100000" sheet="1" formatColumns="0"/>
  <protectedRanges>
    <protectedRange algorithmName="SHA-512" hashValue="65XaVV7seiDpmxzawWfsPJ83iI7G883yvVbxv2ldAlFotSTBDaBZClGnW5ov41Mb1akaivcyVdFWoFDxjYQm9w==" saltValue="D4se3LmkXyJURfysentQ9A==" spinCount="100000" sqref="CY37:CY44" name="Rango5"/>
    <protectedRange algorithmName="SHA-512" hashValue="W6mdsfDmfkHuddg3lknSF1LA4ubkxMyMeR+x2eEQIkySqD40KcMwG7mr7zz0x6jb9kH7YD0EZo6FMEKTB1TnWw==" saltValue="ZuTsYBlfooqbvZmJIec8gQ==" spinCount="100000" sqref="AP37:AP44 AS37:AS44 AV37:AV44 AY37:AY44 BB37:BB44 BE37:BE44 BH37:BH44 BK37:BK44 BQ37:BQ44 BT37:BT44 BW37:BW44 BZ37:BZ44 CC37:CC44 CG37:CG44 CL37:CL44 CO37:CO44 CS37:CS44 CV37:CV44 CY37:CY44" name="Rango3"/>
    <protectedRange algorithmName="SHA-512" hashValue="6L2UzX7jWM7YIBLL0oaFfPIhU+UKOHZnzogbyXhArcPQtmH8pg/aHKdRtYo2fXI59hAe47V1rL0TImWJHnFRmw==" saltValue="EraKTUUYeu2vMzyLqZV7+A==" spinCount="100000" sqref="AS9:AS13 AU9:BG14" name="Rango1"/>
    <protectedRange algorithmName="SHA-512" hashValue="ixDndEnii2xyEiCtsRNvYoWbowMfBsDLo67JQUkDKn8XcnL01n/iHqOrzdqrWJiwUeTbN+2NqpaaFvoymDiSTw==" saltValue="PprcyM42Z3O7gpCbwCgqWQ==" spinCount="100000" sqref="AS20:AS31 AV20:AV31 AY20:AY31 BB20:BB31 BE20:BE31 BH20:BH31 BK20:BK31 BQ20:BQ31 BT20:BT31 BW20:BW31 BZ20:BZ31 CC20:CC31 CG20:CG31 CL20:CL31 CO20:CO31 CS20:CS31 CV20:CV31 CY20:CY31" name="Rango2"/>
    <protectedRange algorithmName="SHA-512" hashValue="QoAada0PkVHWS7AaNTnxB+R77YVaeNZlKtiBWNWJmfL9BT6vkrLAhlD6c9tmYPbJ4kYwCHgF4FoNfiwn+IXIWg==" saltValue="2CchFXpVLqchzJLbJ6wFsw==" spinCount="100000" sqref="AP49:AP60 AV49:AV60 AY49:AY60 BE49:BE60 BH49:BS60" name="Rango4"/>
  </protectedRanges>
  <mergeCells count="210">
    <mergeCell ref="CN35:CN36"/>
    <mergeCell ref="CO35:CO36"/>
    <mergeCell ref="CP35:CP36"/>
    <mergeCell ref="AX35:BM35"/>
    <mergeCell ref="BH58:BS58"/>
    <mergeCell ref="CK35:CK36"/>
    <mergeCell ref="CL35:CL36"/>
    <mergeCell ref="BH47:BS47"/>
    <mergeCell ref="BH48:BS48"/>
    <mergeCell ref="BH49:BS49"/>
    <mergeCell ref="BH50:BS50"/>
    <mergeCell ref="BH51:BS51"/>
    <mergeCell ref="BH52:BS52"/>
    <mergeCell ref="CS35:CS36"/>
    <mergeCell ref="CT35:CT36"/>
    <mergeCell ref="CU35:CU36"/>
    <mergeCell ref="CV35:CV36"/>
    <mergeCell ref="CW35:CW36"/>
    <mergeCell ref="CM35:CM36"/>
    <mergeCell ref="BH59:BS59"/>
    <mergeCell ref="BH60:BS60"/>
    <mergeCell ref="BH53:BS53"/>
    <mergeCell ref="BH54:BS54"/>
    <mergeCell ref="BH55:BS55"/>
    <mergeCell ref="BH56:BS56"/>
    <mergeCell ref="BH57:BS57"/>
    <mergeCell ref="AN46:BS46"/>
    <mergeCell ref="AN47:AN48"/>
    <mergeCell ref="AO47:AQ47"/>
    <mergeCell ref="AR47:AR48"/>
    <mergeCell ref="AS47:AT60"/>
    <mergeCell ref="AU47:AW47"/>
    <mergeCell ref="AX47:AZ47"/>
    <mergeCell ref="BA47:BA48"/>
    <mergeCell ref="BB47:BC60"/>
    <mergeCell ref="BD47:BF47"/>
    <mergeCell ref="CR35:CR36"/>
    <mergeCell ref="BP18:CE18"/>
    <mergeCell ref="CF18:CH18"/>
    <mergeCell ref="AN18:AO19"/>
    <mergeCell ref="AP18:AQ31"/>
    <mergeCell ref="AR18:AR19"/>
    <mergeCell ref="AS18:AS19"/>
    <mergeCell ref="BN35:BN36"/>
    <mergeCell ref="BP35:CE35"/>
    <mergeCell ref="CF35:CH35"/>
    <mergeCell ref="AN33:CY33"/>
    <mergeCell ref="AN34:AT34"/>
    <mergeCell ref="AU34:BN34"/>
    <mergeCell ref="BO34:CI34"/>
    <mergeCell ref="CJ34:CJ36"/>
    <mergeCell ref="CK34:CM34"/>
    <mergeCell ref="CN34:CP34"/>
    <mergeCell ref="CQ34:CQ36"/>
    <mergeCell ref="CR34:CT34"/>
    <mergeCell ref="CU34:CW34"/>
    <mergeCell ref="CY34:CY35"/>
    <mergeCell ref="AN35:AN36"/>
    <mergeCell ref="AO35:AQ35"/>
    <mergeCell ref="AR35:AT35"/>
    <mergeCell ref="AU35:AW35"/>
    <mergeCell ref="CK17:CM17"/>
    <mergeCell ref="CN17:CP17"/>
    <mergeCell ref="CQ17:CQ19"/>
    <mergeCell ref="CR17:CT17"/>
    <mergeCell ref="CU17:CW17"/>
    <mergeCell ref="CY17:CY18"/>
    <mergeCell ref="DA17:DA18"/>
    <mergeCell ref="DB17:DB18"/>
    <mergeCell ref="AT18:AT19"/>
    <mergeCell ref="CV18:CV19"/>
    <mergeCell ref="CW18:CW19"/>
    <mergeCell ref="CP18:CP19"/>
    <mergeCell ref="CR18:CR19"/>
    <mergeCell ref="CS18:CS19"/>
    <mergeCell ref="CT18:CT19"/>
    <mergeCell ref="CU18:CU19"/>
    <mergeCell ref="CK18:CK19"/>
    <mergeCell ref="CL18:CL19"/>
    <mergeCell ref="CM18:CM19"/>
    <mergeCell ref="CN18:CN19"/>
    <mergeCell ref="CO18:CO19"/>
    <mergeCell ref="AU18:AW18"/>
    <mergeCell ref="AX18:BM18"/>
    <mergeCell ref="BN18:BN19"/>
    <mergeCell ref="DD7:DU7"/>
    <mergeCell ref="DW7:DX7"/>
    <mergeCell ref="AM8:AM61"/>
    <mergeCell ref="AN8:AP8"/>
    <mergeCell ref="AU8:BG8"/>
    <mergeCell ref="AN9:AP9"/>
    <mergeCell ref="AU9:BG9"/>
    <mergeCell ref="AN10:AP10"/>
    <mergeCell ref="AU10:BG10"/>
    <mergeCell ref="AN11:AP11"/>
    <mergeCell ref="AU11:BG11"/>
    <mergeCell ref="AN12:AP12"/>
    <mergeCell ref="AU12:BG12"/>
    <mergeCell ref="AN13:AP13"/>
    <mergeCell ref="AU13:BG13"/>
    <mergeCell ref="AN31:AO31"/>
    <mergeCell ref="AN14:AP14"/>
    <mergeCell ref="DA15:DB16"/>
    <mergeCell ref="AN16:CY16"/>
    <mergeCell ref="AN17:AQ17"/>
    <mergeCell ref="AR17:AT17"/>
    <mergeCell ref="AU17:BN17"/>
    <mergeCell ref="BO17:CI17"/>
    <mergeCell ref="CJ17:CJ19"/>
    <mergeCell ref="C33:AE33"/>
    <mergeCell ref="C34:E34"/>
    <mergeCell ref="F34:M34"/>
    <mergeCell ref="N34:V34"/>
    <mergeCell ref="W34:W36"/>
    <mergeCell ref="X34:X36"/>
    <mergeCell ref="Y34:Y36"/>
    <mergeCell ref="Z34:Z36"/>
    <mergeCell ref="AR4:AU4"/>
    <mergeCell ref="AN23:AO23"/>
    <mergeCell ref="AN24:AO24"/>
    <mergeCell ref="AN25:AO25"/>
    <mergeCell ref="AN26:AO26"/>
    <mergeCell ref="AN27:AO27"/>
    <mergeCell ref="AN28:AO28"/>
    <mergeCell ref="AN29:AO29"/>
    <mergeCell ref="AN30:AO30"/>
    <mergeCell ref="AN20:AO20"/>
    <mergeCell ref="AN21:AO21"/>
    <mergeCell ref="AN22:AO22"/>
    <mergeCell ref="AI15:AI16"/>
    <mergeCell ref="AJ15:AJ16"/>
    <mergeCell ref="AK15:AK16"/>
    <mergeCell ref="H12:H13"/>
    <mergeCell ref="I12:T13"/>
    <mergeCell ref="AG15:AH16"/>
    <mergeCell ref="AG17:AG18"/>
    <mergeCell ref="AH17:AH18"/>
    <mergeCell ref="N17:V17"/>
    <mergeCell ref="W17:W19"/>
    <mergeCell ref="X17:X19"/>
    <mergeCell ref="E4:F4"/>
    <mergeCell ref="B8:B61"/>
    <mergeCell ref="C8:F8"/>
    <mergeCell ref="I8:T8"/>
    <mergeCell ref="I9:T9"/>
    <mergeCell ref="I10:T10"/>
    <mergeCell ref="I11:T11"/>
    <mergeCell ref="C16:AE16"/>
    <mergeCell ref="C17:E17"/>
    <mergeCell ref="F17:M17"/>
    <mergeCell ref="AB17:AB19"/>
    <mergeCell ref="AC17:AC19"/>
    <mergeCell ref="AD17:AD19"/>
    <mergeCell ref="AE17:AE19"/>
    <mergeCell ref="C18:D19"/>
    <mergeCell ref="Y17:Y19"/>
    <mergeCell ref="Z17:Z19"/>
    <mergeCell ref="E18:E19"/>
    <mergeCell ref="F18:F19"/>
    <mergeCell ref="G18:L18"/>
    <mergeCell ref="M18:M19"/>
    <mergeCell ref="O18:T18"/>
    <mergeCell ref="U18:U19"/>
    <mergeCell ref="AA17:AA19"/>
    <mergeCell ref="C31:D31"/>
    <mergeCell ref="C20:D20"/>
    <mergeCell ref="C21:D21"/>
    <mergeCell ref="C22:D22"/>
    <mergeCell ref="C23:D23"/>
    <mergeCell ref="C24:D24"/>
    <mergeCell ref="C25:D25"/>
    <mergeCell ref="C26:D26"/>
    <mergeCell ref="C27:D27"/>
    <mergeCell ref="C28:D28"/>
    <mergeCell ref="C29:D29"/>
    <mergeCell ref="C30:D30"/>
    <mergeCell ref="AA34:AA36"/>
    <mergeCell ref="AB34:AB36"/>
    <mergeCell ref="AD34:AD36"/>
    <mergeCell ref="AE34:AE36"/>
    <mergeCell ref="AC34:AC36"/>
    <mergeCell ref="C35:C36"/>
    <mergeCell ref="D35:E35"/>
    <mergeCell ref="F35:F36"/>
    <mergeCell ref="G35:L35"/>
    <mergeCell ref="M35:M36"/>
    <mergeCell ref="O35:T35"/>
    <mergeCell ref="U35:U36"/>
    <mergeCell ref="N49:P60"/>
    <mergeCell ref="J58:M58"/>
    <mergeCell ref="J59:M59"/>
    <mergeCell ref="J60:M60"/>
    <mergeCell ref="C46:M46"/>
    <mergeCell ref="J53:M53"/>
    <mergeCell ref="J54:M54"/>
    <mergeCell ref="J55:M55"/>
    <mergeCell ref="J56:M56"/>
    <mergeCell ref="J57:M57"/>
    <mergeCell ref="J49:M49"/>
    <mergeCell ref="J50:M50"/>
    <mergeCell ref="J51:M51"/>
    <mergeCell ref="J52:M52"/>
    <mergeCell ref="C47:C48"/>
    <mergeCell ref="D47:D48"/>
    <mergeCell ref="E47:E48"/>
    <mergeCell ref="F47:F48"/>
    <mergeCell ref="G47:G48"/>
    <mergeCell ref="H47:H48"/>
    <mergeCell ref="I47:I48"/>
    <mergeCell ref="J47:M48"/>
  </mergeCells>
  <conditionalFormatting sqref="C49:I60">
    <cfRule type="expression" dxfId="152" priority="3">
      <formula>$AK20=1</formula>
    </cfRule>
  </conditionalFormatting>
  <conditionalFormatting sqref="D47:D48">
    <cfRule type="expression" dxfId="151" priority="134">
      <formula>OR(SUM(T20:T31)&gt;0,SUM(T37:T44)&gt;0)</formula>
    </cfRule>
  </conditionalFormatting>
  <conditionalFormatting sqref="H12:T13">
    <cfRule type="expression" dxfId="138" priority="16">
      <formula>OR($AG$19&gt;0,$AH$19&gt;0)</formula>
    </cfRule>
  </conditionalFormatting>
  <conditionalFormatting sqref="I49:I60 AA20:AA31 AA37:AA44">
    <cfRule type="expression" dxfId="137" priority="17" stopIfTrue="1">
      <formula>$AG20&lt;&gt;0</formula>
    </cfRule>
  </conditionalFormatting>
  <conditionalFormatting sqref="N49:P60">
    <cfRule type="cellIs" dxfId="136" priority="133" operator="notEqual">
      <formula>""</formula>
    </cfRule>
  </conditionalFormatting>
  <conditionalFormatting sqref="W20:AD31 C20:M31 O20:U31">
    <cfRule type="expression" dxfId="134" priority="80">
      <formula>$AK20=1</formula>
    </cfRule>
  </conditionalFormatting>
  <conditionalFormatting sqref="AB20:AB31 AB37:AB44">
    <cfRule type="expression" dxfId="122" priority="18" stopIfTrue="1">
      <formula>$AH20&lt;&gt;0</formula>
    </cfRule>
  </conditionalFormatting>
  <conditionalFormatting sqref="AP37:AP44">
    <cfRule type="expression" dxfId="120" priority="44">
      <formula>AND($AP37&lt;&gt;"",$AO37&lt;&gt;$AP37)</formula>
    </cfRule>
  </conditionalFormatting>
  <conditionalFormatting sqref="AP49:AP60">
    <cfRule type="expression" dxfId="119" priority="65">
      <formula>AND($AP49&lt;&gt;"",$AO49&lt;&gt;$AP49)</formula>
    </cfRule>
  </conditionalFormatting>
  <conditionalFormatting sqref="AS9:AS13">
    <cfRule type="expression" dxfId="118" priority="19">
      <formula>AND($AS9&lt;&gt;"",$AR9&lt;&gt;$AS9)</formula>
    </cfRule>
  </conditionalFormatting>
  <conditionalFormatting sqref="AS20:AS31">
    <cfRule type="expression" dxfId="117" priority="24">
      <formula>AND($AS20&lt;&gt;"",$AR20&lt;&gt;$AS20)</formula>
    </cfRule>
  </conditionalFormatting>
  <conditionalFormatting sqref="AS37:AS44">
    <cfRule type="expression" dxfId="116" priority="45">
      <formula>AND($AS37&lt;&gt;"",$AR37&lt;&gt;$AS37)</formula>
    </cfRule>
  </conditionalFormatting>
  <conditionalFormatting sqref="AT14">
    <cfRule type="cellIs" dxfId="115" priority="23" operator="notEqual">
      <formula>$AR$14</formula>
    </cfRule>
  </conditionalFormatting>
  <conditionalFormatting sqref="AU9:AU13">
    <cfRule type="expression" dxfId="114" priority="20" stopIfTrue="1">
      <formula>AND($AR9&lt;&gt;$AT9,$AU9="")</formula>
    </cfRule>
    <cfRule type="expression" dxfId="113" priority="21">
      <formula>AND($AR9=$AT9,$AU9&lt;&gt;"")</formula>
    </cfRule>
    <cfRule type="expression" dxfId="112" priority="22">
      <formula>AND($AR9&lt;&gt;$AS9,$AU9&lt;&gt;"")</formula>
    </cfRule>
  </conditionalFormatting>
  <conditionalFormatting sqref="AV20:AV31">
    <cfRule type="expression" dxfId="111" priority="25">
      <formula>AND($AV20&lt;&gt;"",$AU20&lt;&gt;$AV20)</formula>
    </cfRule>
  </conditionalFormatting>
  <conditionalFormatting sqref="AV37:AV44">
    <cfRule type="expression" dxfId="110" priority="46">
      <formula>AND($AV37&lt;&gt;"",$AU37&lt;&gt;$AV37)</formula>
    </cfRule>
  </conditionalFormatting>
  <conditionalFormatting sqref="AV49:AV60">
    <cfRule type="expression" dxfId="109" priority="66">
      <formula>AND($AV49&lt;&gt;"",$AU49&lt;&gt;$AV49)</formula>
    </cfRule>
  </conditionalFormatting>
  <conditionalFormatting sqref="AY20:AY31">
    <cfRule type="expression" dxfId="108" priority="26">
      <formula>AND($AY20&lt;&gt;"",$AX20&lt;&gt;$AY20)</formula>
    </cfRule>
  </conditionalFormatting>
  <conditionalFormatting sqref="AY37:AY44">
    <cfRule type="expression" dxfId="107" priority="47">
      <formula>AND($AY37&lt;&gt;"",$AX37&lt;&gt;$AY37)</formula>
    </cfRule>
  </conditionalFormatting>
  <conditionalFormatting sqref="AY49:AY60">
    <cfRule type="expression" dxfId="106" priority="67">
      <formula>AND($AY49&lt;&gt;"",$AX49&lt;&gt;$AY49)</formula>
    </cfRule>
  </conditionalFormatting>
  <conditionalFormatting sqref="BB20:BB31">
    <cfRule type="expression" dxfId="105" priority="27">
      <formula>AND($BB20&lt;&gt;"",$BA20&lt;&gt;$BB20)</formula>
    </cfRule>
  </conditionalFormatting>
  <conditionalFormatting sqref="BB37:BB44">
    <cfRule type="expression" dxfId="104" priority="48">
      <formula>AND($BB37&lt;&gt;"",$BA37&lt;&gt;$BB37)</formula>
    </cfRule>
  </conditionalFormatting>
  <conditionalFormatting sqref="BD49:BF60 AU49:BA60 AN49:AR60">
    <cfRule type="expression" dxfId="102" priority="94">
      <formula>$AK49=1</formula>
    </cfRule>
  </conditionalFormatting>
  <conditionalFormatting sqref="BE20:BE31">
    <cfRule type="expression" dxfId="90" priority="28">
      <formula>AND($BE20&lt;&gt;"",$BD20&lt;&gt;$BE20)</formula>
    </cfRule>
  </conditionalFormatting>
  <conditionalFormatting sqref="BE37:BE44">
    <cfRule type="expression" dxfId="89" priority="49">
      <formula>AND($BE37&lt;&gt;"",$BD37&lt;&gt;$BE37)</formula>
    </cfRule>
  </conditionalFormatting>
  <conditionalFormatting sqref="BE49:BE60">
    <cfRule type="expression" dxfId="88" priority="75" stopIfTrue="1">
      <formula>AND($DA49&lt;&gt;0,$BE49&lt;&gt;"")</formula>
    </cfRule>
    <cfRule type="expression" dxfId="87" priority="68">
      <formula>AND($BE49&lt;&gt;"",$BD49&lt;&gt;$BE49)</formula>
    </cfRule>
  </conditionalFormatting>
  <conditionalFormatting sqref="BF49:BF60">
    <cfRule type="expression" dxfId="86" priority="76" stopIfTrue="1">
      <formula>AND($DA49&lt;&gt;0,$BF49&lt;&gt;"")</formula>
    </cfRule>
  </conditionalFormatting>
  <conditionalFormatting sqref="BH20:BH31">
    <cfRule type="expression" dxfId="85" priority="29">
      <formula>AND($BH20&lt;&gt;"",$BG20&lt;&gt;$BH20)</formula>
    </cfRule>
  </conditionalFormatting>
  <conditionalFormatting sqref="BH37:BH44">
    <cfRule type="expression" dxfId="84" priority="50">
      <formula>AND($BH37&lt;&gt;"",$BG37&lt;&gt;$BH37)</formula>
    </cfRule>
  </conditionalFormatting>
  <conditionalFormatting sqref="BH49:BS60">
    <cfRule type="expression" dxfId="83" priority="69" stopIfTrue="1">
      <formula>IF($BG49&lt;&gt;"",$BH49="")</formula>
    </cfRule>
    <cfRule type="expression" dxfId="82" priority="70">
      <formula>IF($BG49="",$BH49&lt;&gt;"")</formula>
    </cfRule>
    <cfRule type="expression" dxfId="81" priority="71">
      <formula>IF($BG49&lt;&gt;"",$BH49&lt;&gt;"")</formula>
    </cfRule>
  </conditionalFormatting>
  <conditionalFormatting sqref="BK20:BK31">
    <cfRule type="expression" dxfId="80" priority="30">
      <formula>AND($BK20&lt;&gt;"",$BJ20&lt;&gt;$BK20)</formula>
    </cfRule>
  </conditionalFormatting>
  <conditionalFormatting sqref="BK37:BK44">
    <cfRule type="expression" dxfId="79" priority="51">
      <formula>IF($BK37&lt;&gt;"",$BJ37&lt;&gt;$BK37)</formula>
    </cfRule>
  </conditionalFormatting>
  <conditionalFormatting sqref="BQ20:BQ31">
    <cfRule type="expression" dxfId="78" priority="31">
      <formula>AND($BQ20&lt;&gt;"",$BP20&lt;&gt;$BQ20)</formula>
    </cfRule>
  </conditionalFormatting>
  <conditionalFormatting sqref="BQ37:BQ44">
    <cfRule type="expression" dxfId="77" priority="52">
      <formula>AND($BQ37&lt;&gt;"",$BP37&lt;&gt;$BQ37)</formula>
    </cfRule>
  </conditionalFormatting>
  <conditionalFormatting sqref="BT20:BT31">
    <cfRule type="expression" dxfId="76" priority="32">
      <formula>AND($BT20&lt;&gt;"",$BS20&lt;&gt;$BT20)</formula>
    </cfRule>
  </conditionalFormatting>
  <conditionalFormatting sqref="BT37:BT44">
    <cfRule type="expression" dxfId="75" priority="53">
      <formula>AND($BT37&lt;&gt;"",$BS37&lt;&gt;$BT37)</formula>
    </cfRule>
  </conditionalFormatting>
  <conditionalFormatting sqref="BW20:BW31">
    <cfRule type="expression" dxfId="74" priority="33">
      <formula>AND($BW20&lt;&gt;"",$BV20&lt;&gt;$BW20)</formula>
    </cfRule>
  </conditionalFormatting>
  <conditionalFormatting sqref="BW37:BW44">
    <cfRule type="expression" dxfId="73" priority="54">
      <formula>AND($BW37&lt;&gt;"",$BV37&lt;&gt;$BW$37)</formula>
    </cfRule>
  </conditionalFormatting>
  <conditionalFormatting sqref="BZ20:BZ31">
    <cfRule type="expression" dxfId="72" priority="34">
      <formula>AND($BZ20&lt;&gt;"",$BY20&lt;&gt;$BZ20)</formula>
    </cfRule>
  </conditionalFormatting>
  <conditionalFormatting sqref="BZ37:BZ44">
    <cfRule type="expression" dxfId="71" priority="55">
      <formula>AND($BZ37&lt;&gt;"",$BY37&lt;&gt;$BZ37)</formula>
    </cfRule>
  </conditionalFormatting>
  <conditionalFormatting sqref="CC20:CC31">
    <cfRule type="expression" dxfId="70" priority="35">
      <formula>AND($CC20&lt;&gt;"",$CB20&lt;&gt;$CC20)</formula>
    </cfRule>
  </conditionalFormatting>
  <conditionalFormatting sqref="CC37:CC44">
    <cfRule type="expression" dxfId="69" priority="56">
      <formula>AND($CC37&lt;&gt;"",$CB37&lt;&gt;$CC37)</formula>
    </cfRule>
  </conditionalFormatting>
  <conditionalFormatting sqref="CG20:CG31">
    <cfRule type="expression" dxfId="68" priority="36">
      <formula>AND($CG20&lt;&gt;"",$CF20&lt;&gt;$CG20)</formula>
    </cfRule>
  </conditionalFormatting>
  <conditionalFormatting sqref="CG37:CG44">
    <cfRule type="expression" dxfId="67" priority="57">
      <formula>AND($CG37&lt;&gt;"",$CF37&lt;&gt;$CG37)</formula>
    </cfRule>
  </conditionalFormatting>
  <conditionalFormatting sqref="CJ20:CW31 BP20:CH31 AR20:BN31 AN20:AO31">
    <cfRule type="expression" dxfId="65" priority="93">
      <formula>$AK20=1</formula>
    </cfRule>
  </conditionalFormatting>
  <conditionalFormatting sqref="CL20:CL31">
    <cfRule type="expression" dxfId="53" priority="37">
      <formula>AND($CL20&lt;&gt;"",$CK20&lt;&gt;$CL20)</formula>
    </cfRule>
  </conditionalFormatting>
  <conditionalFormatting sqref="CL37:CL44">
    <cfRule type="expression" dxfId="52" priority="58">
      <formula>AND($CL37&lt;&gt;"",$CK37&lt;&gt;$CL37)</formula>
    </cfRule>
  </conditionalFormatting>
  <conditionalFormatting sqref="CO20:CO31">
    <cfRule type="expression" dxfId="51" priority="38">
      <formula>AND($CO20&lt;&gt;"",$CN20&lt;&gt;$CO20)</formula>
    </cfRule>
  </conditionalFormatting>
  <conditionalFormatting sqref="CO37:CO44">
    <cfRule type="expression" dxfId="50" priority="59">
      <formula>AND($CO37&lt;&gt;"",$CN37&lt;&gt;$CO37)</formula>
    </cfRule>
  </conditionalFormatting>
  <conditionalFormatting sqref="CR20:CR31 CR37:CR44 BD49:BD60">
    <cfRule type="expression" dxfId="49" priority="72" stopIfTrue="1">
      <formula>$AG20&lt;&gt;0</formula>
    </cfRule>
  </conditionalFormatting>
  <conditionalFormatting sqref="CS20:CS31">
    <cfRule type="expression" dxfId="48" priority="39">
      <formula>AND($CS20&lt;&gt;"",$CR20&lt;&gt;$CS20)</formula>
    </cfRule>
  </conditionalFormatting>
  <conditionalFormatting sqref="CS37:CS44 CS20:CS31">
    <cfRule type="expression" dxfId="47" priority="73" stopIfTrue="1">
      <formula>AND($DA20&lt;&gt;0,$CS20&lt;&gt;"")</formula>
    </cfRule>
  </conditionalFormatting>
  <conditionalFormatting sqref="CS37:CS44">
    <cfRule type="expression" dxfId="46" priority="60">
      <formula>AND($CS37&lt;&gt;"",$CR37&lt;&gt;$CT37)</formula>
    </cfRule>
  </conditionalFormatting>
  <conditionalFormatting sqref="CT20:CT31 CT37:CT44">
    <cfRule type="expression" dxfId="45" priority="74" stopIfTrue="1">
      <formula>AND($DA20&lt;&gt;0,$CT20&lt;&gt;"")</formula>
    </cfRule>
  </conditionalFormatting>
  <conditionalFormatting sqref="CU20:CU31 CU37:CU44">
    <cfRule type="expression" dxfId="44" priority="77" stopIfTrue="1">
      <formula>$AG20&lt;&gt;0</formula>
    </cfRule>
  </conditionalFormatting>
  <conditionalFormatting sqref="CV20:CV31">
    <cfRule type="expression" dxfId="43" priority="40">
      <formula>AND($CV20&lt;&gt;"",$CU20&lt;&gt;$CV20)</formula>
    </cfRule>
  </conditionalFormatting>
  <conditionalFormatting sqref="CV37:CV44 CV20:CV31">
    <cfRule type="expression" dxfId="42" priority="78" stopIfTrue="1">
      <formula>AND($DB20&lt;&gt;0,$CV20&lt;&gt;"")</formula>
    </cfRule>
  </conditionalFormatting>
  <conditionalFormatting sqref="CV37:CV44">
    <cfRule type="expression" dxfId="41" priority="61">
      <formula>AND($CV37&lt;&gt;"",$CU37&lt;&gt;$CW37)</formula>
    </cfRule>
  </conditionalFormatting>
  <conditionalFormatting sqref="CW20:CW31 CW37:CW44">
    <cfRule type="expression" dxfId="40" priority="79" stopIfTrue="1">
      <formula>AND($DB20&lt;&gt;0,$CW20&lt;&gt;"")</formula>
    </cfRule>
  </conditionalFormatting>
  <conditionalFormatting sqref="CY20:CY31">
    <cfRule type="expression" dxfId="39" priority="41" stopIfTrue="1">
      <formula>IF($CX20&lt;&gt;"",$CY20="")</formula>
    </cfRule>
    <cfRule type="expression" dxfId="38" priority="42">
      <formula>IF($CX20="",$CY20&lt;&gt;"")</formula>
    </cfRule>
    <cfRule type="expression" dxfId="37" priority="43">
      <formula>IF($CX20&lt;&gt;"",$CY20&lt;&gt;"")</formula>
    </cfRule>
  </conditionalFormatting>
  <conditionalFormatting sqref="CY37:CY44">
    <cfRule type="expression" dxfId="36" priority="64">
      <formula>IF($CX37&lt;&gt;"",$CY37&lt;&gt;"")</formula>
    </cfRule>
    <cfRule type="expression" dxfId="35" priority="62" stopIfTrue="1">
      <formula>IF($CX37&lt;&gt;"",$CY37="")</formula>
    </cfRule>
    <cfRule type="expression" dxfId="34" priority="63">
      <formula>IF($CX37="",$CY37&lt;&gt;"")</formula>
    </cfRule>
  </conditionalFormatting>
  <printOptions horizontalCentered="1" verticalCentered="1"/>
  <pageMargins left="0.39370078740157483" right="0.39370078740157483" top="0.59055118110236227" bottom="0.39370078740157483" header="0.19685039370078741" footer="0.19685039370078741"/>
  <pageSetup paperSize="8" scale="29" orientation="landscape" r:id="rId1"/>
  <colBreaks count="1" manualBreakCount="1">
    <brk id="32" max="61" man="1"/>
  </colBreaks>
  <ignoredErrors>
    <ignoredError sqref="L25 L37:L44"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1" stopIfTrue="1" id="{0CB4255A-06D9-46ED-A87B-14B8C1DDEE6D}">
            <xm:f>OR(EXPEDIENTE!$I$25="",EXPEDIENTE!$I$27="",AND(EXPEDIENTE!$I$25&lt;&gt;"",EXPEDIENTE!$I$27&lt;&gt;"",YEAR(EXPEDIENTE!$I$27)&lt;YEAR(EXPEDIENTE!$I$25)+3))</xm:f>
            <x14:dxf>
              <font>
                <color theme="0"/>
              </font>
              <fill>
                <patternFill>
                  <bgColor theme="0"/>
                </patternFill>
              </fill>
              <border>
                <left/>
                <right/>
                <top/>
                <bottom/>
                <vertical/>
                <horizontal/>
              </border>
            </x14:dxf>
          </x14:cfRule>
          <xm:sqref>A1:CZ61</xm:sqref>
        </x14:conditionalFormatting>
        <x14:conditionalFormatting xmlns:xm="http://schemas.microsoft.com/office/excel/2006/main">
          <x14:cfRule type="expression" priority="4" id="{793FA3AE-BB81-4D82-8E82-60221A231E79}">
            <xm:f>'% DEDICACIÓN TRABAJADOR'!$G$47=0</xm:f>
            <x14:dxf>
              <font>
                <color theme="9" tint="0.79998168889431442"/>
              </font>
              <fill>
                <patternFill>
                  <bgColor theme="9" tint="0.79998168889431442"/>
                </patternFill>
              </fill>
            </x14:dxf>
          </x14:cfRule>
          <xm:sqref>D49:I49</xm:sqref>
        </x14:conditionalFormatting>
        <x14:conditionalFormatting xmlns:xm="http://schemas.microsoft.com/office/excel/2006/main">
          <x14:cfRule type="expression" priority="5" id="{D3C88298-2E96-4A33-8003-8C90394FD310}">
            <xm:f>'% DEDICACIÓN TRABAJADOR'!$H$47=0</xm:f>
            <x14:dxf>
              <font>
                <color theme="9" tint="0.79998168889431442"/>
              </font>
              <fill>
                <patternFill>
                  <bgColor theme="9" tint="0.79998168889431442"/>
                </patternFill>
              </fill>
            </x14:dxf>
          </x14:cfRule>
          <xm:sqref>D50:I50</xm:sqref>
        </x14:conditionalFormatting>
        <x14:conditionalFormatting xmlns:xm="http://schemas.microsoft.com/office/excel/2006/main">
          <x14:cfRule type="expression" priority="6" id="{CCDB14CA-E3AE-411E-8DBF-A84626CE3CC0}">
            <xm:f>'% DEDICACIÓN TRABAJADOR'!$I$47=0</xm:f>
            <x14:dxf>
              <font>
                <color theme="9" tint="0.79998168889431442"/>
              </font>
              <fill>
                <patternFill>
                  <bgColor theme="9" tint="0.79998168889431442"/>
                </patternFill>
              </fill>
            </x14:dxf>
          </x14:cfRule>
          <xm:sqref>D51:I51</xm:sqref>
        </x14:conditionalFormatting>
        <x14:conditionalFormatting xmlns:xm="http://schemas.microsoft.com/office/excel/2006/main">
          <x14:cfRule type="expression" priority="7" id="{2BF6BA87-B19B-46B2-8F84-05167AEB0107}">
            <xm:f>'% DEDICACIÓN TRABAJADOR'!$J$47=0</xm:f>
            <x14:dxf>
              <font>
                <color theme="9" tint="0.79998168889431442"/>
              </font>
              <fill>
                <patternFill>
                  <bgColor theme="9" tint="0.79998168889431442"/>
                </patternFill>
              </fill>
            </x14:dxf>
          </x14:cfRule>
          <xm:sqref>D52:I52</xm:sqref>
        </x14:conditionalFormatting>
        <x14:conditionalFormatting xmlns:xm="http://schemas.microsoft.com/office/excel/2006/main">
          <x14:cfRule type="expression" priority="8" id="{847826CC-98E4-43E7-83CE-320747EF4979}">
            <xm:f>'% DEDICACIÓN TRABAJADOR'!$K$47=0</xm:f>
            <x14:dxf>
              <font>
                <color theme="9" tint="0.79998168889431442"/>
              </font>
              <fill>
                <patternFill>
                  <bgColor theme="9" tint="0.79998168889431442"/>
                </patternFill>
              </fill>
            </x14:dxf>
          </x14:cfRule>
          <xm:sqref>D53:I53</xm:sqref>
        </x14:conditionalFormatting>
        <x14:conditionalFormatting xmlns:xm="http://schemas.microsoft.com/office/excel/2006/main">
          <x14:cfRule type="expression" priority="9" id="{6CDC6D11-52ED-4CD9-8F60-0A8FDA30C058}">
            <xm:f>'% DEDICACIÓN TRABAJADOR'!$L$47=0</xm:f>
            <x14:dxf>
              <font>
                <color theme="9" tint="0.79998168889431442"/>
              </font>
              <fill>
                <patternFill>
                  <bgColor theme="9" tint="0.79998168889431442"/>
                </patternFill>
              </fill>
            </x14:dxf>
          </x14:cfRule>
          <xm:sqref>D54:I54</xm:sqref>
        </x14:conditionalFormatting>
        <x14:conditionalFormatting xmlns:xm="http://schemas.microsoft.com/office/excel/2006/main">
          <x14:cfRule type="expression" priority="10" id="{7D10AAD4-23B0-4BD0-8710-4B4FA5184755}">
            <xm:f>'% DEDICACIÓN TRABAJADOR'!$M$47=0</xm:f>
            <x14:dxf>
              <font>
                <color theme="9" tint="0.79998168889431442"/>
              </font>
              <fill>
                <patternFill>
                  <bgColor theme="9" tint="0.79998168889431442"/>
                </patternFill>
              </fill>
            </x14:dxf>
          </x14:cfRule>
          <xm:sqref>D55:I55</xm:sqref>
        </x14:conditionalFormatting>
        <x14:conditionalFormatting xmlns:xm="http://schemas.microsoft.com/office/excel/2006/main">
          <x14:cfRule type="expression" priority="11" id="{F8B31334-475E-4B6A-95C7-15099741427D}">
            <xm:f>'% DEDICACIÓN TRABAJADOR'!$N$47=0</xm:f>
            <x14:dxf>
              <font>
                <color theme="9" tint="0.79998168889431442"/>
              </font>
              <fill>
                <patternFill>
                  <bgColor theme="9" tint="0.79998168889431442"/>
                </patternFill>
              </fill>
            </x14:dxf>
          </x14:cfRule>
          <xm:sqref>D56:I56</xm:sqref>
        </x14:conditionalFormatting>
        <x14:conditionalFormatting xmlns:xm="http://schemas.microsoft.com/office/excel/2006/main">
          <x14:cfRule type="expression" priority="12" id="{7DD79378-7255-4DA2-A8C9-251ED6A8BA11}">
            <xm:f>'% DEDICACIÓN TRABAJADOR'!$O$47=0</xm:f>
            <x14:dxf>
              <font>
                <color theme="9" tint="0.79998168889431442"/>
              </font>
              <fill>
                <patternFill>
                  <bgColor theme="9" tint="0.79998168889431442"/>
                </patternFill>
              </fill>
            </x14:dxf>
          </x14:cfRule>
          <xm:sqref>D57:I57</xm:sqref>
        </x14:conditionalFormatting>
        <x14:conditionalFormatting xmlns:xm="http://schemas.microsoft.com/office/excel/2006/main">
          <x14:cfRule type="expression" priority="13" id="{38024ECC-7CCD-45DD-B432-870F8DC796CC}">
            <xm:f>'% DEDICACIÓN TRABAJADOR'!$P$47=0</xm:f>
            <x14:dxf>
              <font>
                <color theme="9" tint="0.79998168889431442"/>
              </font>
              <fill>
                <patternFill>
                  <bgColor theme="9" tint="0.79998168889431442"/>
                </patternFill>
              </fill>
            </x14:dxf>
          </x14:cfRule>
          <xm:sqref>D58:I58</xm:sqref>
        </x14:conditionalFormatting>
        <x14:conditionalFormatting xmlns:xm="http://schemas.microsoft.com/office/excel/2006/main">
          <x14:cfRule type="expression" priority="14" id="{11E95507-0742-4FF8-9537-D773798B461A}">
            <xm:f>'% DEDICACIÓN TRABAJADOR'!$Q$47=0</xm:f>
            <x14:dxf>
              <font>
                <color theme="9" tint="0.79998168889431442"/>
              </font>
              <fill>
                <patternFill>
                  <bgColor theme="9" tint="0.79998168889431442"/>
                </patternFill>
              </fill>
            </x14:dxf>
          </x14:cfRule>
          <xm:sqref>D59:I59</xm:sqref>
        </x14:conditionalFormatting>
        <x14:conditionalFormatting xmlns:xm="http://schemas.microsoft.com/office/excel/2006/main">
          <x14:cfRule type="expression" priority="15" id="{1C47A2BC-DA98-41AA-90DC-1DAC36D9BE9F}">
            <xm:f>'% DEDICACIÓN TRABAJADOR'!$R$47=0</xm:f>
            <x14:dxf>
              <font>
                <color theme="9" tint="0.79998168889431442"/>
              </font>
              <fill>
                <patternFill>
                  <bgColor theme="9" tint="0.79998168889431442"/>
                </patternFill>
              </fill>
            </x14:dxf>
          </x14:cfRule>
          <xm:sqref>D60:I60</xm:sqref>
        </x14:conditionalFormatting>
        <x14:conditionalFormatting xmlns:xm="http://schemas.microsoft.com/office/excel/2006/main">
          <x14:cfRule type="expression" priority="81" id="{F9B3E2B8-F4B7-4C32-A3C5-2928D882F3C0}">
            <xm:f>'% DEDICACIÓN TRABAJADOR'!$G$47=0</xm:f>
            <x14:dxf>
              <font>
                <color theme="9" tint="0.79998168889431442"/>
              </font>
              <fill>
                <patternFill>
                  <bgColor theme="9" tint="0.79998168889431442"/>
                </patternFill>
              </fill>
            </x14:dxf>
          </x14:cfRule>
          <xm:sqref>W20:AD20 E20:M20 O20:U20</xm:sqref>
        </x14:conditionalFormatting>
        <x14:conditionalFormatting xmlns:xm="http://schemas.microsoft.com/office/excel/2006/main">
          <x14:cfRule type="expression" priority="82" id="{C502EE17-C92F-4778-AA51-EC14FB958808}">
            <xm:f>'% DEDICACIÓN TRABAJADOR'!$H$47=0</xm:f>
            <x14:dxf>
              <font>
                <color theme="9" tint="0.79998168889431442"/>
              </font>
              <fill>
                <patternFill>
                  <bgColor theme="9" tint="0.79998168889431442"/>
                </patternFill>
              </fill>
            </x14:dxf>
          </x14:cfRule>
          <xm:sqref>W21:AD21 E21:M21 O21:U21</xm:sqref>
        </x14:conditionalFormatting>
        <x14:conditionalFormatting xmlns:xm="http://schemas.microsoft.com/office/excel/2006/main">
          <x14:cfRule type="expression" priority="83" id="{AD1C92FA-42C2-4EBB-AC06-5859F8232A78}">
            <xm:f>'% DEDICACIÓN TRABAJADOR'!$I$47=0</xm:f>
            <x14:dxf>
              <font>
                <color theme="9" tint="0.79998168889431442"/>
              </font>
              <fill>
                <patternFill>
                  <bgColor theme="9" tint="0.79998168889431442"/>
                </patternFill>
              </fill>
            </x14:dxf>
          </x14:cfRule>
          <xm:sqref>W22:AD22 E22:M22 O22:U22</xm:sqref>
        </x14:conditionalFormatting>
        <x14:conditionalFormatting xmlns:xm="http://schemas.microsoft.com/office/excel/2006/main">
          <x14:cfRule type="expression" priority="84" id="{D9B5FD3A-5068-450E-8E28-F99DA9D409FF}">
            <xm:f>'% DEDICACIÓN TRABAJADOR'!$J$47=0</xm:f>
            <x14:dxf>
              <font>
                <color theme="9" tint="0.79998168889431442"/>
              </font>
              <fill>
                <patternFill>
                  <bgColor theme="9" tint="0.79998168889431442"/>
                </patternFill>
              </fill>
            </x14:dxf>
          </x14:cfRule>
          <xm:sqref>W23:AD23 E23:M23 O23:U23</xm:sqref>
        </x14:conditionalFormatting>
        <x14:conditionalFormatting xmlns:xm="http://schemas.microsoft.com/office/excel/2006/main">
          <x14:cfRule type="expression" priority="85" id="{C0820D7D-024F-47FF-B87B-33F79F8F073B}">
            <xm:f>'% DEDICACIÓN TRABAJADOR'!$K$47=0</xm:f>
            <x14:dxf>
              <font>
                <color theme="9" tint="0.79998168889431442"/>
              </font>
              <fill>
                <patternFill>
                  <bgColor theme="9" tint="0.79998168889431442"/>
                </patternFill>
              </fill>
            </x14:dxf>
          </x14:cfRule>
          <xm:sqref>W24:AD24 E24:M24 O24:U24</xm:sqref>
        </x14:conditionalFormatting>
        <x14:conditionalFormatting xmlns:xm="http://schemas.microsoft.com/office/excel/2006/main">
          <x14:cfRule type="expression" priority="86" id="{0CC24566-247F-4FC9-A505-3D5FE83106B9}">
            <xm:f>'% DEDICACIÓN TRABAJADOR'!$L$47=0</xm:f>
            <x14:dxf>
              <font>
                <color theme="9" tint="0.79998168889431442"/>
              </font>
              <fill>
                <patternFill>
                  <bgColor theme="9" tint="0.79998168889431442"/>
                </patternFill>
              </fill>
            </x14:dxf>
          </x14:cfRule>
          <xm:sqref>W25:AD25 E25:M25 O25:U25</xm:sqref>
        </x14:conditionalFormatting>
        <x14:conditionalFormatting xmlns:xm="http://schemas.microsoft.com/office/excel/2006/main">
          <x14:cfRule type="expression" priority="87" id="{503B6389-71FD-4248-92C0-C5B8861D0BC9}">
            <xm:f>'% DEDICACIÓN TRABAJADOR'!$M$47=0</xm:f>
            <x14:dxf>
              <font>
                <color theme="9" tint="0.79998168889431442"/>
              </font>
              <fill>
                <patternFill>
                  <bgColor theme="9" tint="0.79998168889431442"/>
                </patternFill>
              </fill>
            </x14:dxf>
          </x14:cfRule>
          <xm:sqref>W26:AD26 E26:M26 O26:U26</xm:sqref>
        </x14:conditionalFormatting>
        <x14:conditionalFormatting xmlns:xm="http://schemas.microsoft.com/office/excel/2006/main">
          <x14:cfRule type="expression" priority="88" id="{5818B22E-61DB-42C1-9917-FFFB820E1B31}">
            <xm:f>'% DEDICACIÓN TRABAJADOR'!$N$47=0</xm:f>
            <x14:dxf>
              <font>
                <color theme="9" tint="0.79998168889431442"/>
              </font>
              <fill>
                <patternFill>
                  <bgColor theme="9" tint="0.79998168889431442"/>
                </patternFill>
              </fill>
            </x14:dxf>
          </x14:cfRule>
          <xm:sqref>W27:AD27 E27:M27 O27:U27</xm:sqref>
        </x14:conditionalFormatting>
        <x14:conditionalFormatting xmlns:xm="http://schemas.microsoft.com/office/excel/2006/main">
          <x14:cfRule type="expression" priority="89" id="{BDE510A9-1E21-4216-BB01-718B5067605B}">
            <xm:f>'% DEDICACIÓN TRABAJADOR'!$O$47=0</xm:f>
            <x14:dxf>
              <font>
                <color theme="9" tint="0.79998168889431442"/>
              </font>
              <fill>
                <patternFill>
                  <bgColor theme="9" tint="0.79998168889431442"/>
                </patternFill>
              </fill>
            </x14:dxf>
          </x14:cfRule>
          <xm:sqref>W28:AD28 E28:M28 O28:U28</xm:sqref>
        </x14:conditionalFormatting>
        <x14:conditionalFormatting xmlns:xm="http://schemas.microsoft.com/office/excel/2006/main">
          <x14:cfRule type="expression" priority="90" id="{5BF6D21E-2159-46D3-BEFE-54502314A571}">
            <xm:f>'% DEDICACIÓN TRABAJADOR'!$P$47=0</xm:f>
            <x14:dxf>
              <font>
                <color theme="9" tint="0.79998168889431442"/>
              </font>
              <fill>
                <patternFill>
                  <bgColor theme="9" tint="0.79998168889431442"/>
                </patternFill>
              </fill>
            </x14:dxf>
          </x14:cfRule>
          <xm:sqref>W29:AD29 E29:M29 O29:U29</xm:sqref>
        </x14:conditionalFormatting>
        <x14:conditionalFormatting xmlns:xm="http://schemas.microsoft.com/office/excel/2006/main">
          <x14:cfRule type="expression" priority="91" id="{0607D109-21BA-411E-9405-5B02D9510977}">
            <xm:f>'% DEDICACIÓN TRABAJADOR'!$Q$47=0</xm:f>
            <x14:dxf>
              <font>
                <color theme="9" tint="0.79998168889431442"/>
              </font>
              <fill>
                <patternFill>
                  <bgColor theme="9" tint="0.79998168889431442"/>
                </patternFill>
              </fill>
            </x14:dxf>
          </x14:cfRule>
          <xm:sqref>W30:AD30 E30:M30 O30:U30</xm:sqref>
        </x14:conditionalFormatting>
        <x14:conditionalFormatting xmlns:xm="http://schemas.microsoft.com/office/excel/2006/main">
          <x14:cfRule type="expression" priority="92" id="{9924D49C-6423-4CEA-8C0C-E1B8296EE7C2}">
            <xm:f>'% DEDICACIÓN TRABAJADOR'!$R$47=0</xm:f>
            <x14:dxf>
              <font>
                <color theme="9" tint="0.79998168889431442"/>
              </font>
              <fill>
                <patternFill>
                  <bgColor theme="9" tint="0.79998168889431442"/>
                </patternFill>
              </fill>
            </x14:dxf>
          </x14:cfRule>
          <xm:sqref>W31:AD31 E31:M31 O31:U31</xm:sqref>
        </x14:conditionalFormatting>
        <x14:conditionalFormatting xmlns:xm="http://schemas.microsoft.com/office/excel/2006/main">
          <x14:cfRule type="expression" priority="2" stopIfTrue="1" id="{EA555919-F3B7-4A23-A8F5-54C1772CAD34}">
            <xm:f>OR(USUARIO!$C$2="",AUXILIAR!$W$6&lt;&gt;USUARIO!$C$2)</xm:f>
            <x14:dxf>
              <font>
                <color theme="0"/>
              </font>
              <fill>
                <patternFill>
                  <bgColor theme="0"/>
                </patternFill>
              </fill>
              <border>
                <left/>
                <right/>
                <top/>
                <bottom/>
                <vertical/>
                <horizontal/>
              </border>
            </x14:dxf>
          </x14:cfRule>
          <xm:sqref>AL1:CZ1048576</xm:sqref>
        </x14:conditionalFormatting>
        <x14:conditionalFormatting xmlns:xm="http://schemas.microsoft.com/office/excel/2006/main">
          <x14:cfRule type="expression" priority="107" id="{032934DD-C5EB-484F-9FFA-EB70FABBFFCF}">
            <xm:f>'% DEDICACIÓN TRABAJADOR'!$G$47=0</xm:f>
            <x14:dxf>
              <font>
                <color theme="9" tint="0.79998168889431442"/>
              </font>
              <fill>
                <patternFill>
                  <bgColor theme="9" tint="0.79998168889431442"/>
                </patternFill>
              </fill>
            </x14:dxf>
          </x14:cfRule>
          <xm:sqref>BD49:BF49 AU49:BA49 AO49:AR49</xm:sqref>
        </x14:conditionalFormatting>
        <x14:conditionalFormatting xmlns:xm="http://schemas.microsoft.com/office/excel/2006/main">
          <x14:cfRule type="expression" priority="108" id="{722C444D-7894-4DED-A028-C2EF5E4D6D9D}">
            <xm:f>'% DEDICACIÓN TRABAJADOR'!$H$47=0</xm:f>
            <x14:dxf>
              <font>
                <color theme="9" tint="0.79998168889431442"/>
              </font>
              <fill>
                <patternFill>
                  <bgColor theme="9" tint="0.79998168889431442"/>
                </patternFill>
              </fill>
            </x14:dxf>
          </x14:cfRule>
          <xm:sqref>BD50:BF50 AU50:BA50 AO50:AR50</xm:sqref>
        </x14:conditionalFormatting>
        <x14:conditionalFormatting xmlns:xm="http://schemas.microsoft.com/office/excel/2006/main">
          <x14:cfRule type="expression" priority="109" id="{8E8D6597-2282-46BC-B854-4627A21F2A2A}">
            <xm:f>'% DEDICACIÓN TRABAJADOR'!$I$47=0</xm:f>
            <x14:dxf>
              <font>
                <color theme="9" tint="0.79998168889431442"/>
              </font>
              <fill>
                <patternFill>
                  <bgColor theme="9" tint="0.79998168889431442"/>
                </patternFill>
              </fill>
            </x14:dxf>
          </x14:cfRule>
          <xm:sqref>BD51:BF51 AU51:BA51 AO51:AR51</xm:sqref>
        </x14:conditionalFormatting>
        <x14:conditionalFormatting xmlns:xm="http://schemas.microsoft.com/office/excel/2006/main">
          <x14:cfRule type="expression" priority="111" id="{E6F2540B-91DA-4915-9526-512CEE28DDD4}">
            <xm:f>'% DEDICACIÓN TRABAJADOR'!$J$47=0</xm:f>
            <x14:dxf>
              <font>
                <color theme="9" tint="0.79998168889431442"/>
              </font>
              <fill>
                <patternFill>
                  <bgColor theme="9" tint="0.79998168889431442"/>
                </patternFill>
              </fill>
            </x14:dxf>
          </x14:cfRule>
          <xm:sqref>BD52:BF52 AU52:BA52 AO52:AR52</xm:sqref>
        </x14:conditionalFormatting>
        <x14:conditionalFormatting xmlns:xm="http://schemas.microsoft.com/office/excel/2006/main">
          <x14:cfRule type="expression" priority="112" id="{25B97058-8415-4053-A5FC-388D828A98E4}">
            <xm:f>'% DEDICACIÓN TRABAJADOR'!$K$47=0</xm:f>
            <x14:dxf>
              <font>
                <color theme="9" tint="0.79998168889431442"/>
              </font>
              <fill>
                <patternFill>
                  <bgColor theme="9" tint="0.79998168889431442"/>
                </patternFill>
              </fill>
            </x14:dxf>
          </x14:cfRule>
          <xm:sqref>BD53:BF53 AU53:BA53 AO53:AR53</xm:sqref>
        </x14:conditionalFormatting>
        <x14:conditionalFormatting xmlns:xm="http://schemas.microsoft.com/office/excel/2006/main">
          <x14:cfRule type="expression" priority="121" id="{5DB07F81-EE14-45C4-9EA6-3B302A9D2187}">
            <xm:f>'% DEDICACIÓN TRABAJADOR'!$L$47=0</xm:f>
            <x14:dxf>
              <font>
                <color theme="9" tint="0.79998168889431442"/>
              </font>
              <fill>
                <patternFill>
                  <bgColor theme="9" tint="0.79998168889431442"/>
                </patternFill>
              </fill>
            </x14:dxf>
          </x14:cfRule>
          <xm:sqref>BD54:BF54 AU54:BA54 AO54:AR54</xm:sqref>
        </x14:conditionalFormatting>
        <x14:conditionalFormatting xmlns:xm="http://schemas.microsoft.com/office/excel/2006/main">
          <x14:cfRule type="expression" priority="127" id="{8D242F56-053C-4677-B813-6E3DA7F73B41}">
            <xm:f>'% DEDICACIÓN TRABAJADOR'!$M$47=0</xm:f>
            <x14:dxf>
              <font>
                <color theme="9" tint="0.79998168889431442"/>
              </font>
              <fill>
                <patternFill>
                  <bgColor theme="9" tint="0.79998168889431442"/>
                </patternFill>
              </fill>
            </x14:dxf>
          </x14:cfRule>
          <xm:sqref>BD55:BF55 AU55:BA55 AO55:AR55</xm:sqref>
        </x14:conditionalFormatting>
        <x14:conditionalFormatting xmlns:xm="http://schemas.microsoft.com/office/excel/2006/main">
          <x14:cfRule type="expression" priority="128" id="{CBF46296-3A2A-4C64-AE60-C3B9117D061E}">
            <xm:f>'% DEDICACIÓN TRABAJADOR'!$N$47=0</xm:f>
            <x14:dxf>
              <font>
                <color theme="9" tint="0.79998168889431442"/>
              </font>
              <fill>
                <patternFill>
                  <bgColor theme="9" tint="0.79998168889431442"/>
                </patternFill>
              </fill>
            </x14:dxf>
          </x14:cfRule>
          <xm:sqref>BD56:BF56 AU56:BA56 AO56:AR56</xm:sqref>
        </x14:conditionalFormatting>
        <x14:conditionalFormatting xmlns:xm="http://schemas.microsoft.com/office/excel/2006/main">
          <x14:cfRule type="expression" priority="129" id="{99E9FE4B-A01A-4D2A-BA5B-7EAB22C33FDF}">
            <xm:f>'% DEDICACIÓN TRABAJADOR'!$O$47=0</xm:f>
            <x14:dxf>
              <font>
                <color theme="9" tint="0.79998168889431442"/>
              </font>
              <fill>
                <patternFill>
                  <bgColor theme="9" tint="0.79998168889431442"/>
                </patternFill>
              </fill>
            </x14:dxf>
          </x14:cfRule>
          <xm:sqref>BD57:BF57 AU57:BA57 AO57:AR57</xm:sqref>
        </x14:conditionalFormatting>
        <x14:conditionalFormatting xmlns:xm="http://schemas.microsoft.com/office/excel/2006/main">
          <x14:cfRule type="expression" priority="130" id="{5B18D36D-DB55-4673-A38E-ECD2C216C0A8}">
            <xm:f>'% DEDICACIÓN TRABAJADOR'!$P$47=0</xm:f>
            <x14:dxf>
              <font>
                <color theme="9" tint="0.79998168889431442"/>
              </font>
              <fill>
                <patternFill>
                  <bgColor theme="9" tint="0.79998168889431442"/>
                </patternFill>
              </fill>
            </x14:dxf>
          </x14:cfRule>
          <xm:sqref>BD58:BF58 AU58:BA58 AO58:AR58</xm:sqref>
        </x14:conditionalFormatting>
        <x14:conditionalFormatting xmlns:xm="http://schemas.microsoft.com/office/excel/2006/main">
          <x14:cfRule type="expression" priority="131" id="{26329A60-DF06-4A93-AFC1-C4B57695A087}">
            <xm:f>'% DEDICACIÓN TRABAJADOR'!$Q$47=0</xm:f>
            <x14:dxf>
              <font>
                <color theme="9" tint="0.79998168889431442"/>
              </font>
              <fill>
                <patternFill>
                  <bgColor theme="9" tint="0.79998168889431442"/>
                </patternFill>
              </fill>
            </x14:dxf>
          </x14:cfRule>
          <xm:sqref>BD59:BF59 AU59:BA59 AO59:AR59</xm:sqref>
        </x14:conditionalFormatting>
        <x14:conditionalFormatting xmlns:xm="http://schemas.microsoft.com/office/excel/2006/main">
          <x14:cfRule type="expression" priority="132" id="{97CD5FE3-F2A5-47C1-AD54-ADB9A5FF2AEC}">
            <xm:f>'% DEDICACIÓN TRABAJADOR'!$R$47=0</xm:f>
            <x14:dxf>
              <font>
                <color theme="9" tint="0.79998168889431442"/>
              </font>
              <fill>
                <patternFill>
                  <bgColor theme="9" tint="0.79998168889431442"/>
                </patternFill>
              </fill>
            </x14:dxf>
          </x14:cfRule>
          <xm:sqref>BD60:BF60 AU60:BA60 AO60:AR60</xm:sqref>
        </x14:conditionalFormatting>
        <x14:conditionalFormatting xmlns:xm="http://schemas.microsoft.com/office/excel/2006/main">
          <x14:cfRule type="expression" priority="95" id="{368361FF-3176-4201-BC30-CC938EC91E63}">
            <xm:f>'% DEDICACIÓN TRABAJADOR'!$G$47=0</xm:f>
            <x14:dxf>
              <font>
                <color theme="9" tint="0.79998168889431442"/>
              </font>
              <fill>
                <patternFill>
                  <bgColor theme="9" tint="0.79998168889431442"/>
                </patternFill>
              </fill>
            </x14:dxf>
          </x14:cfRule>
          <xm:sqref>CJ20:CW20 BP20:CH20 AR20:BN20</xm:sqref>
        </x14:conditionalFormatting>
        <x14:conditionalFormatting xmlns:xm="http://schemas.microsoft.com/office/excel/2006/main">
          <x14:cfRule type="expression" priority="96" id="{83C834CA-7E35-4A8F-97BD-5C47CFE1B066}">
            <xm:f>'% DEDICACIÓN TRABAJADOR'!$H$47=0</xm:f>
            <x14:dxf>
              <font>
                <color theme="9" tint="0.79998168889431442"/>
              </font>
              <fill>
                <patternFill>
                  <bgColor theme="9" tint="0.79998168889431442"/>
                </patternFill>
              </fill>
            </x14:dxf>
          </x14:cfRule>
          <xm:sqref>CJ21:CW21 BP21:CH21 AR21:BN21</xm:sqref>
        </x14:conditionalFormatting>
        <x14:conditionalFormatting xmlns:xm="http://schemas.microsoft.com/office/excel/2006/main">
          <x14:cfRule type="expression" priority="97" id="{47B23814-7AAB-487B-A6F2-541A58615B89}">
            <xm:f>'% DEDICACIÓN TRABAJADOR'!$I$47=0</xm:f>
            <x14:dxf>
              <font>
                <color theme="9" tint="0.79998168889431442"/>
              </font>
              <fill>
                <patternFill>
                  <bgColor theme="9" tint="0.79998168889431442"/>
                </patternFill>
              </fill>
            </x14:dxf>
          </x14:cfRule>
          <xm:sqref>CJ22:CW22 BP22:CH22 AR22:BN22</xm:sqref>
        </x14:conditionalFormatting>
        <x14:conditionalFormatting xmlns:xm="http://schemas.microsoft.com/office/excel/2006/main">
          <x14:cfRule type="expression" priority="98" id="{E9017071-EF80-4FCE-B38D-58191E8B1E96}">
            <xm:f>'% DEDICACIÓN TRABAJADOR'!$J$47=0</xm:f>
            <x14:dxf>
              <font>
                <color theme="9" tint="0.79998168889431442"/>
              </font>
              <fill>
                <patternFill>
                  <bgColor theme="9" tint="0.79998168889431442"/>
                </patternFill>
              </fill>
            </x14:dxf>
          </x14:cfRule>
          <xm:sqref>CJ23:CW23 BP23:CH23 AR23:BN23</xm:sqref>
        </x14:conditionalFormatting>
        <x14:conditionalFormatting xmlns:xm="http://schemas.microsoft.com/office/excel/2006/main">
          <x14:cfRule type="expression" priority="99" id="{358CEBD1-1227-4628-988B-E348939680B1}">
            <xm:f>'% DEDICACIÓN TRABAJADOR'!$K$47=0</xm:f>
            <x14:dxf>
              <font>
                <color theme="9" tint="0.79998168889431442"/>
              </font>
              <fill>
                <patternFill>
                  <bgColor theme="9" tint="0.79998168889431442"/>
                </patternFill>
              </fill>
            </x14:dxf>
          </x14:cfRule>
          <xm:sqref>CJ24:CW24 BP24:CH24 AR24:BN24</xm:sqref>
        </x14:conditionalFormatting>
        <x14:conditionalFormatting xmlns:xm="http://schemas.microsoft.com/office/excel/2006/main">
          <x14:cfRule type="expression" priority="100" id="{875BD61D-768F-4722-9555-84D3AA8BF58B}">
            <xm:f>'% DEDICACIÓN TRABAJADOR'!$L$47=0</xm:f>
            <x14:dxf>
              <font>
                <color theme="9" tint="0.79998168889431442"/>
              </font>
              <fill>
                <patternFill>
                  <bgColor theme="9" tint="0.79998168889431442"/>
                </patternFill>
              </fill>
            </x14:dxf>
          </x14:cfRule>
          <xm:sqref>CJ25:CW25 BP25:CH25 AR25:BN25</xm:sqref>
        </x14:conditionalFormatting>
        <x14:conditionalFormatting xmlns:xm="http://schemas.microsoft.com/office/excel/2006/main">
          <x14:cfRule type="expression" priority="101" id="{9BCB1626-B970-4457-9B34-308AE226EDE9}">
            <xm:f>'% DEDICACIÓN TRABAJADOR'!$M$47=0</xm:f>
            <x14:dxf>
              <font>
                <color theme="9" tint="0.79998168889431442"/>
              </font>
              <fill>
                <patternFill>
                  <bgColor theme="9" tint="0.79998168889431442"/>
                </patternFill>
              </fill>
            </x14:dxf>
          </x14:cfRule>
          <xm:sqref>CJ26:CW26 BP26:CH26 AR26:BN26</xm:sqref>
        </x14:conditionalFormatting>
        <x14:conditionalFormatting xmlns:xm="http://schemas.microsoft.com/office/excel/2006/main">
          <x14:cfRule type="expression" priority="102" id="{8AEA4B3B-0CDE-43DE-81A8-D6525B469305}">
            <xm:f>'% DEDICACIÓN TRABAJADOR'!$N$47=0</xm:f>
            <x14:dxf>
              <font>
                <color theme="9" tint="0.79998168889431442"/>
              </font>
              <fill>
                <patternFill>
                  <bgColor theme="9" tint="0.79998168889431442"/>
                </patternFill>
              </fill>
            </x14:dxf>
          </x14:cfRule>
          <xm:sqref>CJ27:CW27 BP27:CH27 AR27:BN27</xm:sqref>
        </x14:conditionalFormatting>
        <x14:conditionalFormatting xmlns:xm="http://schemas.microsoft.com/office/excel/2006/main">
          <x14:cfRule type="expression" priority="103" id="{FC3DC317-5DA2-4E35-94B7-AA5A08601227}">
            <xm:f>'% DEDICACIÓN TRABAJADOR'!$O$47=0</xm:f>
            <x14:dxf>
              <font>
                <color theme="9" tint="0.79998168889431442"/>
              </font>
              <fill>
                <patternFill>
                  <bgColor theme="9" tint="0.79998168889431442"/>
                </patternFill>
              </fill>
            </x14:dxf>
          </x14:cfRule>
          <xm:sqref>CJ28:CW28 BP28:CH28 AR28:BN28</xm:sqref>
        </x14:conditionalFormatting>
        <x14:conditionalFormatting xmlns:xm="http://schemas.microsoft.com/office/excel/2006/main">
          <x14:cfRule type="expression" priority="104" id="{33F0205D-6A0C-41CC-B5B9-BC3BFAFBB760}">
            <xm:f>'% DEDICACIÓN TRABAJADOR'!$P$47=0</xm:f>
            <x14:dxf>
              <font>
                <color theme="9" tint="0.79998168889431442"/>
              </font>
              <fill>
                <patternFill>
                  <bgColor theme="9" tint="0.79998168889431442"/>
                </patternFill>
              </fill>
            </x14:dxf>
          </x14:cfRule>
          <xm:sqref>CJ29:CW29 BP29:CH29 AR29:BN29</xm:sqref>
        </x14:conditionalFormatting>
        <x14:conditionalFormatting xmlns:xm="http://schemas.microsoft.com/office/excel/2006/main">
          <x14:cfRule type="expression" priority="105" id="{A6042D59-189F-401B-BBD1-4984E7DA00F3}">
            <xm:f>'% DEDICACIÓN TRABAJADOR'!$Q$47=0</xm:f>
            <x14:dxf>
              <font>
                <color theme="9" tint="0.79998168889431442"/>
              </font>
              <fill>
                <patternFill>
                  <bgColor theme="9" tint="0.79998168889431442"/>
                </patternFill>
              </fill>
            </x14:dxf>
          </x14:cfRule>
          <xm:sqref>CJ30:CW30 BP30:CH30 AR30:BN30</xm:sqref>
        </x14:conditionalFormatting>
        <x14:conditionalFormatting xmlns:xm="http://schemas.microsoft.com/office/excel/2006/main">
          <x14:cfRule type="expression" priority="106" id="{9E3B998C-5EFA-4F28-ADD0-60EBE5D88090}">
            <xm:f>'% DEDICACIÓN TRABAJADOR'!$R$47=0</xm:f>
            <x14:dxf>
              <font>
                <color theme="9" tint="0.79998168889431442"/>
              </font>
              <fill>
                <patternFill>
                  <bgColor theme="9" tint="0.79998168889431442"/>
                </patternFill>
              </fill>
            </x14:dxf>
          </x14:cfRule>
          <xm:sqref>CJ31:CW31 BP31:CH31 AR31:BN31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0A715-1B22-4D33-8B9D-EB320FC5E514}">
  <dimension ref="B1:AQ96"/>
  <sheetViews>
    <sheetView showGridLines="0" zoomScaleNormal="100" zoomScaleSheetLayoutView="70" workbookViewId="0">
      <selection activeCell="AI83" sqref="AI83:AI94"/>
    </sheetView>
  </sheetViews>
  <sheetFormatPr baseColWidth="10" defaultColWidth="11.42578125" defaultRowHeight="13.5" x14ac:dyDescent="0.25"/>
  <cols>
    <col min="1" max="1" width="5.5703125" style="126" customWidth="1"/>
    <col min="2" max="2" width="12.5703125" style="126" customWidth="1"/>
    <col min="3" max="3" width="13.7109375" style="126" customWidth="1"/>
    <col min="4" max="4" width="15.5703125" style="126" customWidth="1"/>
    <col min="5" max="5" width="11.5703125" style="126" customWidth="1"/>
    <col min="6" max="6" width="15.5703125" style="126" customWidth="1"/>
    <col min="7" max="8" width="11.5703125" style="126" customWidth="1"/>
    <col min="9" max="9" width="15.5703125" style="126" customWidth="1"/>
    <col min="10" max="12" width="11.5703125" style="126" customWidth="1"/>
    <col min="13" max="13" width="15.5703125" style="126" customWidth="1"/>
    <col min="14" max="15" width="17.5703125" style="126" customWidth="1"/>
    <col min="16" max="16" width="5.7109375" style="126" customWidth="1"/>
    <col min="17" max="17" width="86.7109375" style="126" customWidth="1"/>
    <col min="18" max="18" width="5.7109375" style="126" hidden="1" customWidth="1"/>
    <col min="19" max="20" width="11.42578125" style="126" hidden="1" customWidth="1"/>
    <col min="21" max="21" width="52.42578125" style="126" hidden="1" customWidth="1"/>
    <col min="22" max="22" width="5.5703125" style="126" customWidth="1"/>
    <col min="23" max="23" width="12.5703125" style="126" customWidth="1"/>
    <col min="24" max="24" width="13.7109375" style="126" customWidth="1"/>
    <col min="25" max="25" width="15.5703125" style="126" customWidth="1"/>
    <col min="26" max="26" width="11.5703125" style="126" customWidth="1"/>
    <col min="27" max="27" width="15.5703125" style="126" customWidth="1"/>
    <col min="28" max="29" width="11.5703125" style="126" customWidth="1"/>
    <col min="30" max="30" width="15.5703125" style="126" customWidth="1"/>
    <col min="31" max="33" width="11.5703125" style="126" customWidth="1"/>
    <col min="34" max="34" width="15.5703125" style="126" customWidth="1"/>
    <col min="35" max="37" width="17.5703125" style="126" customWidth="1"/>
    <col min="38" max="38" width="5.7109375" style="126" customWidth="1"/>
    <col min="39" max="39" width="86.7109375" style="126" customWidth="1"/>
    <col min="40" max="40" width="5.7109375" style="126" customWidth="1"/>
    <col min="41" max="42" width="0" style="126" hidden="1" customWidth="1"/>
    <col min="43" max="43" width="52.42578125" style="126" hidden="1" customWidth="1"/>
    <col min="44" max="16384" width="11.42578125" style="126"/>
  </cols>
  <sheetData>
    <row r="1" spans="2:43" ht="20.100000000000001" customHeight="1" x14ac:dyDescent="0.25">
      <c r="T1" s="211"/>
      <c r="U1" s="212"/>
      <c r="AO1" s="211"/>
      <c r="AP1" s="211"/>
      <c r="AQ1" s="212"/>
    </row>
    <row r="2" spans="2:43" ht="20.100000000000001" customHeight="1" x14ac:dyDescent="0.25"/>
    <row r="3" spans="2:43" ht="20.100000000000001" customHeight="1" x14ac:dyDescent="0.25"/>
    <row r="4" spans="2:43" ht="20.100000000000001" customHeight="1" x14ac:dyDescent="0.25">
      <c r="D4" s="213" t="str">
        <f>'IDENTIFICACIÓN TRABAJADOR'!$F$4</f>
        <v>Nº DE EXPEDIENTE: 2024.08.EPTE.0000</v>
      </c>
      <c r="E4" s="127"/>
      <c r="F4" s="214"/>
      <c r="Y4" s="213" t="str">
        <f>'IDENTIFICACIÓN TRABAJADOR'!$F$4</f>
        <v>Nº DE EXPEDIENTE: 2024.08.EPTE.0000</v>
      </c>
      <c r="Z4" s="127"/>
      <c r="AA4" s="214"/>
    </row>
    <row r="5" spans="2:43" ht="20.100000000000001" customHeight="1" x14ac:dyDescent="0.25">
      <c r="E5" s="128"/>
      <c r="F5" s="208"/>
      <c r="Z5" s="128"/>
      <c r="AA5" s="208"/>
    </row>
    <row r="6" spans="2:43" ht="20.100000000000001" customHeight="1" x14ac:dyDescent="0.25">
      <c r="D6" s="215" t="str">
        <f>'% DEDICACIÓN TRABAJADOR'!$F$6</f>
        <v>TRABAJADOR:</v>
      </c>
      <c r="E6" s="131"/>
      <c r="F6" s="208"/>
      <c r="Y6" s="215" t="str">
        <f>'% DEDICACIÓN TRABAJADOR'!$F$6</f>
        <v>TRABAJADOR:</v>
      </c>
      <c r="Z6" s="131"/>
      <c r="AA6" s="208"/>
    </row>
    <row r="7" spans="2:43" ht="20.100000000000001" customHeight="1" x14ac:dyDescent="0.25">
      <c r="D7" s="215" t="str">
        <f>'% DEDICACIÓN TRABAJADOR'!$F$7</f>
        <v>ACRÓNIMO:</v>
      </c>
      <c r="E7" s="131"/>
      <c r="F7" s="208"/>
      <c r="U7" s="216"/>
      <c r="Y7" s="215" t="str">
        <f>'% DEDICACIÓN TRABAJADOR'!$F$7</f>
        <v>ACRÓNIMO:</v>
      </c>
      <c r="Z7" s="131"/>
      <c r="AA7" s="208"/>
      <c r="AQ7" s="216"/>
    </row>
    <row r="8" spans="2:43" ht="20.100000000000001" customHeight="1" thickBot="1" x14ac:dyDescent="0.3">
      <c r="D8" s="215"/>
      <c r="E8" s="131"/>
      <c r="F8" s="208"/>
      <c r="Y8" s="215"/>
      <c r="Z8" s="131"/>
      <c r="AA8" s="208"/>
    </row>
    <row r="9" spans="2:43" s="216" customFormat="1" ht="25.5" x14ac:dyDescent="0.25">
      <c r="B9" s="933">
        <f>YEAR(EXPEDIENTE!$F$25)</f>
        <v>2023</v>
      </c>
      <c r="C9" s="929" t="str">
        <f>CONCATENATE("PORCENTAJE
DEDICACIÓN
MENSUAL EJERCICIO ",B9)</f>
        <v>PORCENTAJE
DEDICACIÓN
MENSUAL EJERCICIO 2023</v>
      </c>
      <c r="D9" s="935" t="s">
        <v>116</v>
      </c>
      <c r="E9" s="936"/>
      <c r="F9" s="937"/>
      <c r="G9" s="938" t="s">
        <v>194</v>
      </c>
      <c r="H9" s="939"/>
      <c r="I9" s="940"/>
      <c r="J9" s="544" t="s">
        <v>117</v>
      </c>
      <c r="K9" s="935" t="s">
        <v>195</v>
      </c>
      <c r="L9" s="936"/>
      <c r="M9" s="937"/>
      <c r="N9" s="929" t="s">
        <v>161</v>
      </c>
      <c r="O9" s="931" t="s">
        <v>82</v>
      </c>
      <c r="S9" s="126"/>
      <c r="W9" s="941">
        <f>YEAR(EXPEDIENTE!$F$25)</f>
        <v>2023</v>
      </c>
      <c r="X9" s="943" t="str">
        <f>CONCATENATE("PORCENTAJE
DEDICACIÓN
MENSUAL EJERCICIO ",W9)</f>
        <v>PORCENTAJE
DEDICACIÓN
MENSUAL EJERCICIO 2023</v>
      </c>
      <c r="Y9" s="945" t="s">
        <v>116</v>
      </c>
      <c r="Z9" s="946"/>
      <c r="AA9" s="947"/>
      <c r="AB9" s="948" t="s">
        <v>194</v>
      </c>
      <c r="AC9" s="949"/>
      <c r="AD9" s="950"/>
      <c r="AE9" s="217" t="s">
        <v>117</v>
      </c>
      <c r="AF9" s="945" t="s">
        <v>195</v>
      </c>
      <c r="AG9" s="946"/>
      <c r="AH9" s="947"/>
      <c r="AI9" s="943" t="s">
        <v>161</v>
      </c>
      <c r="AJ9" s="951" t="s">
        <v>344</v>
      </c>
      <c r="AK9" s="931" t="s">
        <v>345</v>
      </c>
      <c r="AO9" s="126"/>
    </row>
    <row r="10" spans="2:43" s="212" customFormat="1" ht="65.099999999999994" customHeight="1" thickBot="1" x14ac:dyDescent="0.3">
      <c r="B10" s="934"/>
      <c r="C10" s="930"/>
      <c r="D10" s="545" t="s">
        <v>196</v>
      </c>
      <c r="E10" s="288" t="s">
        <v>64</v>
      </c>
      <c r="F10" s="546" t="s">
        <v>83</v>
      </c>
      <c r="G10" s="547" t="s">
        <v>77</v>
      </c>
      <c r="H10" s="288" t="s">
        <v>119</v>
      </c>
      <c r="I10" s="548" t="s">
        <v>78</v>
      </c>
      <c r="J10" s="549" t="s">
        <v>118</v>
      </c>
      <c r="K10" s="547" t="s">
        <v>197</v>
      </c>
      <c r="L10" s="288" t="s">
        <v>75</v>
      </c>
      <c r="M10" s="548" t="s">
        <v>80</v>
      </c>
      <c r="N10" s="930"/>
      <c r="O10" s="932"/>
      <c r="S10" s="386">
        <f>(1+('IDENTIFICACIÓN TRABAJADOR'!$B$45+'IDENTIFICACIÓN TRABAJADOR'!$F$45)/(360-'IDENTIFICACIÓN TRABAJADOR'!$B$45-'IDENTIFICACIÓN TRABAJADOR'!$F$45))</f>
        <v>1</v>
      </c>
      <c r="W10" s="942"/>
      <c r="X10" s="944"/>
      <c r="Y10" s="218" t="s">
        <v>196</v>
      </c>
      <c r="Z10" s="219" t="s">
        <v>64</v>
      </c>
      <c r="AA10" s="220" t="s">
        <v>83</v>
      </c>
      <c r="AB10" s="221" t="s">
        <v>77</v>
      </c>
      <c r="AC10" s="219" t="s">
        <v>119</v>
      </c>
      <c r="AD10" s="222" t="s">
        <v>78</v>
      </c>
      <c r="AE10" s="223" t="s">
        <v>118</v>
      </c>
      <c r="AF10" s="221" t="s">
        <v>197</v>
      </c>
      <c r="AG10" s="219" t="s">
        <v>75</v>
      </c>
      <c r="AH10" s="222" t="s">
        <v>80</v>
      </c>
      <c r="AI10" s="944"/>
      <c r="AJ10" s="952"/>
      <c r="AK10" s="932"/>
      <c r="AO10" s="120">
        <f>(1+('IDENTIFICACIÓN TRABAJADOR'!$B$45+'IDENTIFICACIÓN TRABAJADOR'!$F$45)/(360-'IDENTIFICACIÓN TRABAJADOR'!$B$45-'IDENTIFICACIÓN TRABAJADOR'!$F$45))</f>
        <v>1</v>
      </c>
    </row>
    <row r="11" spans="2:43" ht="15" customHeight="1" x14ac:dyDescent="0.25">
      <c r="B11" s="224" t="s">
        <v>45</v>
      </c>
      <c r="C11" s="225">
        <f>IFERROR(IF(OR(DATE($B$9,MONTH(DATEVALUE(B11&amp;"1")),1)&lt;DATE(YEAR(EXPEDIENTE!$I$25),MONTH(EXPEDIENTE!$I$25),1),DATE($B$9,MONTH(DATEVALUE(B11&amp;"1")),1)&gt;DATE(YEAR(EXPEDIENTE!$I$27),MONTH(EXPEDIENTE!$I$27)+1,1)-1),0,ROUND('% DEDICACIÓN TRABAJADOR'!G44,4)),0)</f>
        <v>0</v>
      </c>
      <c r="D11" s="226">
        <f>'GASTOS EJER. 1'!F20+'GASTOS EJER. 1'!L20-'GASTOS EJER. 1'!X20-'GASTOS EJER. 1'!Y20</f>
        <v>0</v>
      </c>
      <c r="E11" s="227" t="str">
        <f>IF('GASTOS EJER. 1'!AA20="","",'GASTOS EJER. 1'!AA20)</f>
        <v/>
      </c>
      <c r="F11" s="228">
        <f>IF(E11&lt;=EXPEDIENTE!$I$29,D11,0)</f>
        <v>0</v>
      </c>
      <c r="G11" s="229">
        <f>'GASTOS EJER. 1'!Y20</f>
        <v>0</v>
      </c>
      <c r="H11" s="227" t="str">
        <f>IF('GASTOS EJER. 1'!AB20="","",'GASTOS EJER. 1'!AB20)</f>
        <v/>
      </c>
      <c r="I11" s="228">
        <f>IF(H11&lt;=EXPEDIENTE!$I$29,G11,0)</f>
        <v>0</v>
      </c>
      <c r="J11" s="230">
        <f>AUXILIAR!BU23</f>
        <v>0</v>
      </c>
      <c r="K11" s="229">
        <f>AUXILIAR!FP23</f>
        <v>0</v>
      </c>
      <c r="L11" s="227" t="str">
        <f>IF('GASTOS EJER. 1'!I49="","",'GASTOS EJER. 1'!I49)</f>
        <v/>
      </c>
      <c r="M11" s="228">
        <f>IF(L11&lt;=EXPEDIENTE!$I$29,K11,0)</f>
        <v>0</v>
      </c>
      <c r="N11" s="230">
        <f>IF($U$18=0,0,IF(AND($U$20&gt;$U$18,$U$16=1100%),MIN(AUXILIAR!$P$17,ROUND($U$18/$U$20*(F11+I11+J11+M11)*(1+('IDENTIFICACIÓN TRABAJADOR'!$B$45+'IDENTIFICACIÓN TRABAJADOR'!$F$45)/('IDENTIFICACIÓN TRABAJADOR'!$E$30-'IDENTIFICACIÓN TRABAJADOR'!$B$45-'IDENTIFICACIÓN TRABAJADOR'!$F$45)),2)),MIN(AUXILIAR!$P$17,ROUND((F11+I11+J11+M11)*(1+('IDENTIFICACIÓN TRABAJADOR'!$B$45+'IDENTIFICACIÓN TRABAJADOR'!$F$45)/('IDENTIFICACIÓN TRABAJADOR'!$E$30-'IDENTIFICACIÓN TRABAJADOR'!$B$45-'IDENTIFICACIÓN TRABAJADOR'!$F$45)),2))))</f>
        <v>0</v>
      </c>
      <c r="O11" s="232">
        <f t="shared" ref="O11:O22" si="0">IF($U$24&gt;0,0,ROUND(C11*N11,2))</f>
        <v>0</v>
      </c>
      <c r="S11" s="209">
        <f>ROUND(C11*(F11+I11+J11+M11)*(1+('IDENTIFICACIÓN TRABAJADOR'!$B$45+'IDENTIFICACIÓN TRABAJADOR'!$F$45)/(360-'IDENTIFICACIÓN TRABAJADOR'!$B$45-'IDENTIFICACIÓN TRABAJADOR'!$F$45)),2)</f>
        <v>0</v>
      </c>
      <c r="T11" s="212"/>
      <c r="U11" s="212"/>
      <c r="W11" s="224" t="s">
        <v>45</v>
      </c>
      <c r="X11" s="225">
        <f>IFERROR(IF(OR(DATE($B$9,MONTH(DATEVALUE(W11&amp;"1")),1)&lt;DATE(YEAR(EXPEDIENTE!$I$25),MONTH(EXPEDIENTE!$I$25),1),DATE($B$9,MONTH(DATEVALUE(W11&amp;"1")),1)&gt;DATE(YEAR(EXPEDIENTE!$I$27),MONTH(EXPEDIENTE!$I$27)+1,1)-1),0,ROUND('% DEDICACIÓN TRABAJADOR'!G44,4)),0)</f>
        <v>0</v>
      </c>
      <c r="Y11" s="226">
        <f>'GASTOS EJER. 1'!AW20+'GASTOS EJER. 1'!BM20-'GASTOS EJER. 1'!CM20-'GASTOS EJER. 1'!CP20</f>
        <v>0</v>
      </c>
      <c r="Z11" s="227" t="str">
        <f>IF('GASTOS EJER. 1'!CT20="","",'GASTOS EJER. 1'!CT20)</f>
        <v/>
      </c>
      <c r="AA11" s="228">
        <f>IF(Z11&lt;=EXPEDIENTE!$I$29,Y11,0)</f>
        <v>0</v>
      </c>
      <c r="AB11" s="229">
        <f>'GASTOS EJER. 1'!CP20</f>
        <v>0</v>
      </c>
      <c r="AC11" s="227" t="str">
        <f>IF('GASTOS EJER. 1'!CW20="","",'GASTOS EJER. 1'!CW20)</f>
        <v/>
      </c>
      <c r="AD11" s="228">
        <f>IF(AC11&lt;=EXPEDIENTE!$I$29,AB11,0)</f>
        <v>0</v>
      </c>
      <c r="AE11" s="230">
        <f>AUXILIAR!DL23</f>
        <v>0</v>
      </c>
      <c r="AF11" s="229">
        <f>AUXILIAR!HU23</f>
        <v>0</v>
      </c>
      <c r="AG11" s="227" t="str">
        <f>IF('GASTOS EJER. 1'!BF49="","",'GASTOS EJER. 1'!BF49)</f>
        <v/>
      </c>
      <c r="AH11" s="228">
        <f>IF(AG11&lt;=EXPEDIENTE!$I$29,AF11,0)</f>
        <v>0</v>
      </c>
      <c r="AI11" s="230">
        <f>IF($AQ$18=0,0,IF(AND($AQ$20&gt;$AQ$18,$AQ$16=1100%),MIN(AUXILIAR!$P$17,ROUND($AQ$18/$AQ$20*(AA11+AD11+AE11+AH11)*(1+('IDENTIFICACIÓN TRABAJADOR'!$B$45+'IDENTIFICACIÓN TRABAJADOR'!$F$45)/('IDENTIFICACIÓN TRABAJADOR'!$E$30-'IDENTIFICACIÓN TRABAJADOR'!$B$45-'IDENTIFICACIÓN TRABAJADOR'!$F$45)),2)),MIN(AUXILIAR!$P$17,ROUND((AA11+AD11+AE11+AH11)*(1+('IDENTIFICACIÓN TRABAJADOR'!$B$45+'IDENTIFICACIÓN TRABAJADOR'!$F$45)/('IDENTIFICACIÓN TRABAJADOR'!$E$30-'IDENTIFICACIÓN TRABAJADOR'!$B$45-'IDENTIFICACIÓN TRABAJADOR'!$F$45)),2))))</f>
        <v>0</v>
      </c>
      <c r="AJ11" s="231">
        <f>IF($AQ$24&gt;0,0,ROUND(X11*AI11,2))</f>
        <v>0</v>
      </c>
      <c r="AK11" s="232">
        <f>O11</f>
        <v>0</v>
      </c>
      <c r="AO11" s="209">
        <f>ROUND(X11*(AA11+AD11+AE11+AH11)*(1+('IDENTIFICACIÓN TRABAJADOR'!$B$45+'IDENTIFICACIÓN TRABAJADOR'!$F$45)/(360-'IDENTIFICACIÓN TRABAJADOR'!$B$45-'IDENTIFICACIÓN TRABAJADOR'!$F$45)),2)</f>
        <v>0</v>
      </c>
      <c r="AP11" s="212"/>
      <c r="AQ11" s="212"/>
    </row>
    <row r="12" spans="2:43" ht="15" customHeight="1" x14ac:dyDescent="0.25">
      <c r="B12" s="233" t="s">
        <v>46</v>
      </c>
      <c r="C12" s="234">
        <f>IFERROR(IF(OR(DATE($B$9,MONTH(DATEVALUE(B12&amp;"1")),1)&lt;DATE(YEAR(EXPEDIENTE!$I$25),MONTH(EXPEDIENTE!$I$25),1),DATE($B$9,MONTH(DATEVALUE(B12&amp;"1")),1)&gt;DATE(YEAR(EXPEDIENTE!$I$27),MONTH(EXPEDIENTE!$I$27)+1,1)-1),0,ROUND('% DEDICACIÓN TRABAJADOR'!H44,4)),0)</f>
        <v>0</v>
      </c>
      <c r="D12" s="235">
        <f>'GASTOS EJER. 1'!F21+'GASTOS EJER. 1'!L21-'GASTOS EJER. 1'!X21-'GASTOS EJER. 1'!Y21</f>
        <v>0</v>
      </c>
      <c r="E12" s="236" t="str">
        <f>IF('GASTOS EJER. 1'!AA21="","",'GASTOS EJER. 1'!AA21)</f>
        <v/>
      </c>
      <c r="F12" s="237">
        <f>IF(E12&lt;=EXPEDIENTE!$I$29,D12,0)</f>
        <v>0</v>
      </c>
      <c r="G12" s="238">
        <f>'GASTOS EJER. 1'!Y21</f>
        <v>0</v>
      </c>
      <c r="H12" s="236" t="str">
        <f>IF('GASTOS EJER. 1'!AB21="","",'GASTOS EJER. 1'!AB21)</f>
        <v/>
      </c>
      <c r="I12" s="237">
        <f>IF(H12&lt;=EXPEDIENTE!$I$29,G12,0)</f>
        <v>0</v>
      </c>
      <c r="J12" s="239">
        <f>AUXILIAR!BU24</f>
        <v>0</v>
      </c>
      <c r="K12" s="238">
        <f>AUXILIAR!FP24</f>
        <v>0</v>
      </c>
      <c r="L12" s="236" t="str">
        <f>IF('GASTOS EJER. 1'!I50="","",'GASTOS EJER. 1'!I50)</f>
        <v/>
      </c>
      <c r="M12" s="237">
        <f>IF(L12&lt;=EXPEDIENTE!$I$29,K12,0)</f>
        <v>0</v>
      </c>
      <c r="N12" s="239">
        <f>IF($U$18=0,0,IF(AND($U$20&gt;$U$18,$U$16=1100%),MIN(AUXILIAR!$P$17,ROUND($U$18/$U$20*(F12+I12+J12+M12)*(1+('IDENTIFICACIÓN TRABAJADOR'!$B$45+'IDENTIFICACIÓN TRABAJADOR'!$F$45)/('IDENTIFICACIÓN TRABAJADOR'!$E$30-'IDENTIFICACIÓN TRABAJADOR'!$B$45-'IDENTIFICACIÓN TRABAJADOR'!$F$45)),2)),MIN(AUXILIAR!$P$17,ROUND((F12+I12+J12+M12)*(1+('IDENTIFICACIÓN TRABAJADOR'!$B$45+'IDENTIFICACIÓN TRABAJADOR'!$F$45)/('IDENTIFICACIÓN TRABAJADOR'!$E$30-'IDENTIFICACIÓN TRABAJADOR'!$B$45-'IDENTIFICACIÓN TRABAJADOR'!$F$45)),2))))</f>
        <v>0</v>
      </c>
      <c r="O12" s="241">
        <f t="shared" si="0"/>
        <v>0</v>
      </c>
      <c r="S12" s="209">
        <f>ROUND(C12*(F12+I12+J12+M12)*(1+('IDENTIFICACIÓN TRABAJADOR'!$B$45+'IDENTIFICACIÓN TRABAJADOR'!$F$45)/(360-'IDENTIFICACIÓN TRABAJADOR'!$B$45-'IDENTIFICACIÓN TRABAJADOR'!$F$45)),2)</f>
        <v>0</v>
      </c>
      <c r="T12" s="212"/>
      <c r="U12" s="212"/>
      <c r="W12" s="233" t="s">
        <v>46</v>
      </c>
      <c r="X12" s="234">
        <f>IFERROR(IF(OR(DATE($B$9,MONTH(DATEVALUE(W12&amp;"1")),1)&lt;DATE(YEAR(EXPEDIENTE!$I$25),MONTH(EXPEDIENTE!$I$25),1),DATE($B$9,MONTH(DATEVALUE(W12&amp;"1")),1)&gt;DATE(YEAR(EXPEDIENTE!$I$27),MONTH(EXPEDIENTE!$I$27)+1,1)-1),0,ROUND('% DEDICACIÓN TRABAJADOR'!H44,4)),0)</f>
        <v>0</v>
      </c>
      <c r="Y12" s="235">
        <f>'GASTOS EJER. 1'!AW21+'GASTOS EJER. 1'!BM21-'GASTOS EJER. 1'!CM21-'GASTOS EJER. 1'!CP21</f>
        <v>0</v>
      </c>
      <c r="Z12" s="236" t="str">
        <f>IF('GASTOS EJER. 1'!CT21="","",'GASTOS EJER. 1'!CT21)</f>
        <v/>
      </c>
      <c r="AA12" s="237">
        <f>IF(Z12&lt;=EXPEDIENTE!$I$29,Y12,0)</f>
        <v>0</v>
      </c>
      <c r="AB12" s="238">
        <f>'GASTOS EJER. 1'!CP21</f>
        <v>0</v>
      </c>
      <c r="AC12" s="236" t="str">
        <f>IF('GASTOS EJER. 1'!CW21="","",'GASTOS EJER. 1'!CW21)</f>
        <v/>
      </c>
      <c r="AD12" s="237">
        <f>IF(AC12&lt;=EXPEDIENTE!$I$29,AB12,0)</f>
        <v>0</v>
      </c>
      <c r="AE12" s="239">
        <f>AUXILIAR!DL24</f>
        <v>0</v>
      </c>
      <c r="AF12" s="238">
        <f>AUXILIAR!HU24</f>
        <v>0</v>
      </c>
      <c r="AG12" s="236" t="str">
        <f>IF('GASTOS EJER. 1'!BF50="","",'GASTOS EJER. 1'!BF50)</f>
        <v/>
      </c>
      <c r="AH12" s="237">
        <f>IF(AG12&lt;=EXPEDIENTE!$I$29,AF12,0)</f>
        <v>0</v>
      </c>
      <c r="AI12" s="239">
        <f>IF($AQ$18=0,0,IF(AND($AQ$20&gt;$AQ$18,$AQ$16=1100%),MIN(AUXILIAR!$P$17,ROUND($AQ$18/$AQ$20*(AA12+AD12+AE12+AH12)*(1+('IDENTIFICACIÓN TRABAJADOR'!$B$45+'IDENTIFICACIÓN TRABAJADOR'!$F$45)/('IDENTIFICACIÓN TRABAJADOR'!$E$30-'IDENTIFICACIÓN TRABAJADOR'!$B$45-'IDENTIFICACIÓN TRABAJADOR'!$F$45)),2)),MIN(AUXILIAR!$P$17,ROUND((AA12+AD12+AE12+AH12)*(1+('IDENTIFICACIÓN TRABAJADOR'!$B$45+'IDENTIFICACIÓN TRABAJADOR'!$F$45)/('IDENTIFICACIÓN TRABAJADOR'!$E$30-'IDENTIFICACIÓN TRABAJADOR'!$B$45-'IDENTIFICACIÓN TRABAJADOR'!$F$45)),2))))</f>
        <v>0</v>
      </c>
      <c r="AJ12" s="240">
        <f t="shared" ref="AJ12:AJ22" si="1">IF($AQ$24&gt;0,0,ROUND(X12*AI12,2))</f>
        <v>0</v>
      </c>
      <c r="AK12" s="241">
        <f t="shared" ref="AK12:AK22" si="2">O12</f>
        <v>0</v>
      </c>
      <c r="AO12" s="209">
        <f>ROUND(X12*(AA12+AD12+AE12+AH12)*(1+('IDENTIFICACIÓN TRABAJADOR'!$B$45+'IDENTIFICACIÓN TRABAJADOR'!$F$45)/(360-'IDENTIFICACIÓN TRABAJADOR'!$B$45-'IDENTIFICACIÓN TRABAJADOR'!$F$45)),2)</f>
        <v>0</v>
      </c>
      <c r="AP12" s="212"/>
      <c r="AQ12" s="212"/>
    </row>
    <row r="13" spans="2:43" ht="15" customHeight="1" x14ac:dyDescent="0.25">
      <c r="B13" s="233" t="s">
        <v>47</v>
      </c>
      <c r="C13" s="234">
        <f>IFERROR(IF(OR(DATE($B$9,MONTH(DATEVALUE(B13&amp;"1")),1)&lt;DATE(YEAR(EXPEDIENTE!$I$25),MONTH(EXPEDIENTE!$I$25),1),DATE($B$9,MONTH(DATEVALUE(B13&amp;"1")),1)&gt;DATE(YEAR(EXPEDIENTE!$I$27),MONTH(EXPEDIENTE!$I$27)+1,1)-1),0,ROUND('% DEDICACIÓN TRABAJADOR'!I44,4)),0)</f>
        <v>0</v>
      </c>
      <c r="D13" s="235">
        <f>'GASTOS EJER. 1'!F22+'GASTOS EJER. 1'!L22-'GASTOS EJER. 1'!X22-'GASTOS EJER. 1'!Y22</f>
        <v>0</v>
      </c>
      <c r="E13" s="236" t="str">
        <f>IF('GASTOS EJER. 1'!AA22="","",'GASTOS EJER. 1'!AA22)</f>
        <v/>
      </c>
      <c r="F13" s="237">
        <f>IF(E13&lt;=EXPEDIENTE!$I$29,D13,0)</f>
        <v>0</v>
      </c>
      <c r="G13" s="238">
        <f>'GASTOS EJER. 1'!Y22</f>
        <v>0</v>
      </c>
      <c r="H13" s="236" t="str">
        <f>IF('GASTOS EJER. 1'!AB22="","",'GASTOS EJER. 1'!AB22)</f>
        <v/>
      </c>
      <c r="I13" s="237">
        <f>IF(H13&lt;=EXPEDIENTE!$I$29,G13,0)</f>
        <v>0</v>
      </c>
      <c r="J13" s="239">
        <f>AUXILIAR!BU25</f>
        <v>0</v>
      </c>
      <c r="K13" s="238">
        <f>AUXILIAR!FP25</f>
        <v>0</v>
      </c>
      <c r="L13" s="236" t="str">
        <f>IF('GASTOS EJER. 1'!I51="","",'GASTOS EJER. 1'!I51)</f>
        <v/>
      </c>
      <c r="M13" s="237">
        <f>IF(L13&lt;=EXPEDIENTE!$I$29,K13,0)</f>
        <v>0</v>
      </c>
      <c r="N13" s="239">
        <f>IF($U$18=0,0,IF(AND($U$20&gt;$U$18,$U$16=1100%),MIN(AUXILIAR!$P$17,ROUND($U$18/$U$20*(F13+I13+J13+M13)*(1+('IDENTIFICACIÓN TRABAJADOR'!$B$45+'IDENTIFICACIÓN TRABAJADOR'!$F$45)/('IDENTIFICACIÓN TRABAJADOR'!$E$30-'IDENTIFICACIÓN TRABAJADOR'!$B$45-'IDENTIFICACIÓN TRABAJADOR'!$F$45)),2)),MIN(AUXILIAR!$P$17,ROUND((F13+I13+J13+M13)*(1+('IDENTIFICACIÓN TRABAJADOR'!$B$45+'IDENTIFICACIÓN TRABAJADOR'!$F$45)/('IDENTIFICACIÓN TRABAJADOR'!$E$30-'IDENTIFICACIÓN TRABAJADOR'!$B$45-'IDENTIFICACIÓN TRABAJADOR'!$F$45)),2))))</f>
        <v>0</v>
      </c>
      <c r="O13" s="241">
        <f t="shared" si="0"/>
        <v>0</v>
      </c>
      <c r="S13" s="209">
        <f>ROUND(C13*(F13+I13+J13+M13)*(1+('IDENTIFICACIÓN TRABAJADOR'!$B$45+'IDENTIFICACIÓN TRABAJADOR'!$F$45)/(360-'IDENTIFICACIÓN TRABAJADOR'!$B$45-'IDENTIFICACIÓN TRABAJADOR'!$F$45)),2)</f>
        <v>0</v>
      </c>
      <c r="T13" s="212"/>
      <c r="U13" s="212"/>
      <c r="W13" s="233" t="s">
        <v>47</v>
      </c>
      <c r="X13" s="234">
        <f>IFERROR(IF(OR(DATE($B$9,MONTH(DATEVALUE(W13&amp;"1")),1)&lt;DATE(YEAR(EXPEDIENTE!$I$25),MONTH(EXPEDIENTE!$I$25),1),DATE($B$9,MONTH(DATEVALUE(W13&amp;"1")),1)&gt;DATE(YEAR(EXPEDIENTE!$I$27),MONTH(EXPEDIENTE!$I$27)+1,1)-1),0,ROUND('% DEDICACIÓN TRABAJADOR'!I44,4)),0)</f>
        <v>0</v>
      </c>
      <c r="Y13" s="235">
        <f>'GASTOS EJER. 1'!AW22+'GASTOS EJER. 1'!BM22-'GASTOS EJER. 1'!CM22-'GASTOS EJER. 1'!CP22</f>
        <v>0</v>
      </c>
      <c r="Z13" s="236" t="str">
        <f>IF('GASTOS EJER. 1'!CT22="","",'GASTOS EJER. 1'!CT22)</f>
        <v/>
      </c>
      <c r="AA13" s="237">
        <f>IF(Z13&lt;=EXPEDIENTE!$I$29,Y13,0)</f>
        <v>0</v>
      </c>
      <c r="AB13" s="238">
        <f>'GASTOS EJER. 1'!CP22</f>
        <v>0</v>
      </c>
      <c r="AC13" s="236" t="str">
        <f>IF('GASTOS EJER. 1'!CW22="","",'GASTOS EJER. 1'!CW22)</f>
        <v/>
      </c>
      <c r="AD13" s="237">
        <f>IF(AC13&lt;=EXPEDIENTE!$I$29,AB13,0)</f>
        <v>0</v>
      </c>
      <c r="AE13" s="239">
        <f>AUXILIAR!DL25</f>
        <v>0</v>
      </c>
      <c r="AF13" s="238">
        <f>AUXILIAR!HU25</f>
        <v>0</v>
      </c>
      <c r="AG13" s="236" t="str">
        <f>IF('GASTOS EJER. 1'!BF51="","",'GASTOS EJER. 1'!BF51)</f>
        <v/>
      </c>
      <c r="AH13" s="237">
        <f>IF(AG13&lt;=EXPEDIENTE!$I$29,AF13,0)</f>
        <v>0</v>
      </c>
      <c r="AI13" s="239">
        <f>IF($AQ$18=0,0,IF(AND($AQ$20&gt;$AQ$18,$AQ$16=1100%),MIN(AUXILIAR!$P$17,ROUND($AQ$18/$AQ$20*(AA13+AD13+AE13+AH13)*(1+('IDENTIFICACIÓN TRABAJADOR'!$B$45+'IDENTIFICACIÓN TRABAJADOR'!$F$45)/('IDENTIFICACIÓN TRABAJADOR'!$E$30-'IDENTIFICACIÓN TRABAJADOR'!$B$45-'IDENTIFICACIÓN TRABAJADOR'!$F$45)),2)),MIN(AUXILIAR!$P$17,ROUND((AA13+AD13+AE13+AH13)*(1+('IDENTIFICACIÓN TRABAJADOR'!$B$45+'IDENTIFICACIÓN TRABAJADOR'!$F$45)/('IDENTIFICACIÓN TRABAJADOR'!$E$30-'IDENTIFICACIÓN TRABAJADOR'!$B$45-'IDENTIFICACIÓN TRABAJADOR'!$F$45)),2))))</f>
        <v>0</v>
      </c>
      <c r="AJ13" s="240">
        <f t="shared" si="1"/>
        <v>0</v>
      </c>
      <c r="AK13" s="241">
        <f t="shared" si="2"/>
        <v>0</v>
      </c>
      <c r="AO13" s="209">
        <f>ROUND(X13*(AA13+AD13+AE13+AH13)*(1+('IDENTIFICACIÓN TRABAJADOR'!$B$45+'IDENTIFICACIÓN TRABAJADOR'!$F$45)/(360-'IDENTIFICACIÓN TRABAJADOR'!$B$45-'IDENTIFICACIÓN TRABAJADOR'!$F$45)),2)</f>
        <v>0</v>
      </c>
      <c r="AP13" s="212"/>
      <c r="AQ13" s="212"/>
    </row>
    <row r="14" spans="2:43" ht="15" customHeight="1" x14ac:dyDescent="0.25">
      <c r="B14" s="233" t="s">
        <v>48</v>
      </c>
      <c r="C14" s="234">
        <f>IFERROR(IF(OR(DATE($B$9,MONTH(DATEVALUE(B14&amp;"1")),1)&lt;DATE(YEAR(EXPEDIENTE!$I$25),MONTH(EXPEDIENTE!$I$25),1),DATE($B$9,MONTH(DATEVALUE(B14&amp;"1")),1)&gt;DATE(YEAR(EXPEDIENTE!$I$27),MONTH(EXPEDIENTE!$I$27)+1,1)-1),0,ROUND('% DEDICACIÓN TRABAJADOR'!J44,4)),0)</f>
        <v>0</v>
      </c>
      <c r="D14" s="235">
        <f>'GASTOS EJER. 1'!F23+'GASTOS EJER. 1'!L23-'GASTOS EJER. 1'!X23-'GASTOS EJER. 1'!Y23</f>
        <v>0</v>
      </c>
      <c r="E14" s="236" t="str">
        <f>IF('GASTOS EJER. 1'!AA23="","",'GASTOS EJER. 1'!AA23)</f>
        <v/>
      </c>
      <c r="F14" s="237">
        <f>IF(E14&lt;=EXPEDIENTE!$I$29,D14,0)</f>
        <v>0</v>
      </c>
      <c r="G14" s="238">
        <f>'GASTOS EJER. 1'!Y23</f>
        <v>0</v>
      </c>
      <c r="H14" s="236" t="str">
        <f>IF('GASTOS EJER. 1'!AB23="","",'GASTOS EJER. 1'!AB23)</f>
        <v/>
      </c>
      <c r="I14" s="237">
        <f>IF(H14&lt;=EXPEDIENTE!$I$29,G14,0)</f>
        <v>0</v>
      </c>
      <c r="J14" s="239">
        <f>AUXILIAR!BU26</f>
        <v>0</v>
      </c>
      <c r="K14" s="238">
        <f>AUXILIAR!FP26</f>
        <v>0</v>
      </c>
      <c r="L14" s="236" t="str">
        <f>IF('GASTOS EJER. 1'!I52="","",'GASTOS EJER. 1'!I52)</f>
        <v/>
      </c>
      <c r="M14" s="237">
        <f>IF(L14&lt;=EXPEDIENTE!$I$29,K14,0)</f>
        <v>0</v>
      </c>
      <c r="N14" s="239">
        <f>IF($U$18=0,0,IF(AND($U$20&gt;$U$18,$U$16=1100%),MIN(AUXILIAR!$P$17,ROUND($U$18/$U$20*(F14+I14+J14+M14)*(1+('IDENTIFICACIÓN TRABAJADOR'!$B$45+'IDENTIFICACIÓN TRABAJADOR'!$F$45)/('IDENTIFICACIÓN TRABAJADOR'!$E$30-'IDENTIFICACIÓN TRABAJADOR'!$B$45-'IDENTIFICACIÓN TRABAJADOR'!$F$45)),2)),MIN(AUXILIAR!$P$17,ROUND((F14+I14+J14+M14)*(1+('IDENTIFICACIÓN TRABAJADOR'!$B$45+'IDENTIFICACIÓN TRABAJADOR'!$F$45)/('IDENTIFICACIÓN TRABAJADOR'!$E$30-'IDENTIFICACIÓN TRABAJADOR'!$B$45-'IDENTIFICACIÓN TRABAJADOR'!$F$45)),2))))</f>
        <v>0</v>
      </c>
      <c r="O14" s="241">
        <f t="shared" si="0"/>
        <v>0</v>
      </c>
      <c r="S14" s="209">
        <f>ROUND(C14*(F14+I14+J14+M14)*(1+('IDENTIFICACIÓN TRABAJADOR'!$B$45+'IDENTIFICACIÓN TRABAJADOR'!$F$45)/(360-'IDENTIFICACIÓN TRABAJADOR'!$B$45-'IDENTIFICACIÓN TRABAJADOR'!$F$45)),2)</f>
        <v>0</v>
      </c>
      <c r="T14" s="212"/>
      <c r="U14" s="212"/>
      <c r="W14" s="233" t="s">
        <v>48</v>
      </c>
      <c r="X14" s="234">
        <f>IFERROR(IF(OR(DATE($B$9,MONTH(DATEVALUE(W14&amp;"1")),1)&lt;DATE(YEAR(EXPEDIENTE!$I$25),MONTH(EXPEDIENTE!$I$25),1),DATE($B$9,MONTH(DATEVALUE(W14&amp;"1")),1)&gt;DATE(YEAR(EXPEDIENTE!$I$27),MONTH(EXPEDIENTE!$I$27)+1,1)-1),0,ROUND('% DEDICACIÓN TRABAJADOR'!J44,4)),0)</f>
        <v>0</v>
      </c>
      <c r="Y14" s="235">
        <f>'GASTOS EJER. 1'!AW23+'GASTOS EJER. 1'!BM23-'GASTOS EJER. 1'!CM23-'GASTOS EJER. 1'!CP23</f>
        <v>0</v>
      </c>
      <c r="Z14" s="236" t="str">
        <f>IF('GASTOS EJER. 1'!CT23="","",'GASTOS EJER. 1'!CT23)</f>
        <v/>
      </c>
      <c r="AA14" s="237">
        <f>IF(Z14&lt;=EXPEDIENTE!$I$29,Y14,0)</f>
        <v>0</v>
      </c>
      <c r="AB14" s="238">
        <f>'GASTOS EJER. 1'!CP23</f>
        <v>0</v>
      </c>
      <c r="AC14" s="236" t="str">
        <f>IF('GASTOS EJER. 1'!CW23="","",'GASTOS EJER. 1'!CW23)</f>
        <v/>
      </c>
      <c r="AD14" s="237">
        <f>IF(AC14&lt;=EXPEDIENTE!$I$29,AB14,0)</f>
        <v>0</v>
      </c>
      <c r="AE14" s="239">
        <f>AUXILIAR!DL26</f>
        <v>0</v>
      </c>
      <c r="AF14" s="238">
        <f>AUXILIAR!HU26</f>
        <v>0</v>
      </c>
      <c r="AG14" s="236" t="str">
        <f>IF('GASTOS EJER. 1'!BF52="","",'GASTOS EJER. 1'!BF52)</f>
        <v/>
      </c>
      <c r="AH14" s="237">
        <f>IF(AG14&lt;=EXPEDIENTE!$I$29,AF14,0)</f>
        <v>0</v>
      </c>
      <c r="AI14" s="239">
        <f>IF($AQ$18=0,0,IF(AND($AQ$20&gt;$AQ$18,$AQ$16=1100%),MIN(AUXILIAR!$P$17,ROUND($AQ$18/$AQ$20*(AA14+AD14+AE14+AH14)*(1+('IDENTIFICACIÓN TRABAJADOR'!$B$45+'IDENTIFICACIÓN TRABAJADOR'!$F$45)/('IDENTIFICACIÓN TRABAJADOR'!$E$30-'IDENTIFICACIÓN TRABAJADOR'!$B$45-'IDENTIFICACIÓN TRABAJADOR'!$F$45)),2)),MIN(AUXILIAR!$P$17,ROUND((AA14+AD14+AE14+AH14)*(1+('IDENTIFICACIÓN TRABAJADOR'!$B$45+'IDENTIFICACIÓN TRABAJADOR'!$F$45)/('IDENTIFICACIÓN TRABAJADOR'!$E$30-'IDENTIFICACIÓN TRABAJADOR'!$B$45-'IDENTIFICACIÓN TRABAJADOR'!$F$45)),2))))</f>
        <v>0</v>
      </c>
      <c r="AJ14" s="240">
        <f t="shared" si="1"/>
        <v>0</v>
      </c>
      <c r="AK14" s="241">
        <f t="shared" si="2"/>
        <v>0</v>
      </c>
      <c r="AO14" s="209">
        <f>ROUND(X14*(AA14+AD14+AE14+AH14)*(1+('IDENTIFICACIÓN TRABAJADOR'!$B$45+'IDENTIFICACIÓN TRABAJADOR'!$F$45)/(360-'IDENTIFICACIÓN TRABAJADOR'!$B$45-'IDENTIFICACIÓN TRABAJADOR'!$F$45)),2)</f>
        <v>0</v>
      </c>
      <c r="AP14" s="212"/>
      <c r="AQ14" s="212"/>
    </row>
    <row r="15" spans="2:43" ht="15" customHeight="1" x14ac:dyDescent="0.25">
      <c r="B15" s="233" t="s">
        <v>49</v>
      </c>
      <c r="C15" s="234">
        <f>IFERROR(IF(OR(DATE($B$9,MONTH(DATEVALUE(B15&amp;"1")),1)&lt;DATE(YEAR(EXPEDIENTE!$I$25),MONTH(EXPEDIENTE!$I$25),1),DATE($B$9,MONTH(DATEVALUE(B15&amp;"1")),1)&gt;DATE(YEAR(EXPEDIENTE!$I$27),MONTH(EXPEDIENTE!$I$27)+1,1)-1),0,ROUND('% DEDICACIÓN TRABAJADOR'!K44,4)),0)</f>
        <v>0</v>
      </c>
      <c r="D15" s="235">
        <f>'GASTOS EJER. 1'!F24+'GASTOS EJER. 1'!L24-'GASTOS EJER. 1'!X24-'GASTOS EJER. 1'!Y24</f>
        <v>0</v>
      </c>
      <c r="E15" s="236" t="str">
        <f>IF('GASTOS EJER. 1'!AA24="","",'GASTOS EJER. 1'!AA24)</f>
        <v/>
      </c>
      <c r="F15" s="237">
        <f>IF(E15&lt;=EXPEDIENTE!$I$29,D15,0)</f>
        <v>0</v>
      </c>
      <c r="G15" s="238">
        <f>'GASTOS EJER. 1'!Y24</f>
        <v>0</v>
      </c>
      <c r="H15" s="236" t="str">
        <f>IF('GASTOS EJER. 1'!AB24="","",'GASTOS EJER. 1'!AB24)</f>
        <v/>
      </c>
      <c r="I15" s="237">
        <f>IF(H15&lt;=EXPEDIENTE!$I$29,G15,0)</f>
        <v>0</v>
      </c>
      <c r="J15" s="239">
        <f>AUXILIAR!BU27</f>
        <v>0</v>
      </c>
      <c r="K15" s="238">
        <f>AUXILIAR!FP27</f>
        <v>0</v>
      </c>
      <c r="L15" s="236" t="str">
        <f>IF('GASTOS EJER. 1'!I53="","",'GASTOS EJER. 1'!I53)</f>
        <v/>
      </c>
      <c r="M15" s="237">
        <f>IF(L15&lt;=EXPEDIENTE!$I$29,K15,0)</f>
        <v>0</v>
      </c>
      <c r="N15" s="239">
        <f>IF($U$18=0,0,IF(AND($U$20&gt;$U$18,$U$16=1100%),MIN(AUXILIAR!$P$17,ROUND($U$18/$U$20*(F15+I15+J15+M15)*(1+('IDENTIFICACIÓN TRABAJADOR'!$B$45+'IDENTIFICACIÓN TRABAJADOR'!$F$45)/('IDENTIFICACIÓN TRABAJADOR'!$E$30-'IDENTIFICACIÓN TRABAJADOR'!$B$45-'IDENTIFICACIÓN TRABAJADOR'!$F$45)),2)),MIN(AUXILIAR!$P$17,ROUND((F15+I15+J15+M15)*(1+('IDENTIFICACIÓN TRABAJADOR'!$B$45+'IDENTIFICACIÓN TRABAJADOR'!$F$45)/('IDENTIFICACIÓN TRABAJADOR'!$E$30-'IDENTIFICACIÓN TRABAJADOR'!$B$45-'IDENTIFICACIÓN TRABAJADOR'!$F$45)),2))))</f>
        <v>0</v>
      </c>
      <c r="O15" s="241">
        <f t="shared" si="0"/>
        <v>0</v>
      </c>
      <c r="S15" s="209">
        <f>ROUND(C15*(F15+I15+J15+M15)*(1+('IDENTIFICACIÓN TRABAJADOR'!$B$45+'IDENTIFICACIÓN TRABAJADOR'!$F$45)/(360-'IDENTIFICACIÓN TRABAJADOR'!$B$45-'IDENTIFICACIÓN TRABAJADOR'!$F$45)),2)</f>
        <v>0</v>
      </c>
      <c r="T15" s="212"/>
      <c r="U15" s="208" t="s">
        <v>221</v>
      </c>
      <c r="W15" s="233" t="s">
        <v>49</v>
      </c>
      <c r="X15" s="234">
        <f>IFERROR(IF(OR(DATE($B$9,MONTH(DATEVALUE(W15&amp;"1")),1)&lt;DATE(YEAR(EXPEDIENTE!$I$25),MONTH(EXPEDIENTE!$I$25),1),DATE($B$9,MONTH(DATEVALUE(W15&amp;"1")),1)&gt;DATE(YEAR(EXPEDIENTE!$I$27),MONTH(EXPEDIENTE!$I$27)+1,1)-1),0,ROUND('% DEDICACIÓN TRABAJADOR'!K44,4)),0)</f>
        <v>0</v>
      </c>
      <c r="Y15" s="235">
        <f>'GASTOS EJER. 1'!AW24+'GASTOS EJER. 1'!BM24-'GASTOS EJER. 1'!CM24-'GASTOS EJER. 1'!CP24</f>
        <v>0</v>
      </c>
      <c r="Z15" s="236" t="str">
        <f>IF('GASTOS EJER. 1'!CT24="","",'GASTOS EJER. 1'!CT24)</f>
        <v/>
      </c>
      <c r="AA15" s="237">
        <f>IF(Z15&lt;=EXPEDIENTE!$I$29,Y15,0)</f>
        <v>0</v>
      </c>
      <c r="AB15" s="238">
        <f>'GASTOS EJER. 1'!CP24</f>
        <v>0</v>
      </c>
      <c r="AC15" s="236" t="str">
        <f>IF('GASTOS EJER. 1'!CW24="","",'GASTOS EJER. 1'!CW24)</f>
        <v/>
      </c>
      <c r="AD15" s="237">
        <f>IF(AC15&lt;=EXPEDIENTE!$I$29,AB15,0)</f>
        <v>0</v>
      </c>
      <c r="AE15" s="239">
        <f>AUXILIAR!DL27</f>
        <v>0</v>
      </c>
      <c r="AF15" s="238">
        <f>AUXILIAR!HU27</f>
        <v>0</v>
      </c>
      <c r="AG15" s="236" t="str">
        <f>IF('GASTOS EJER. 1'!BF53="","",'GASTOS EJER. 1'!BF53)</f>
        <v/>
      </c>
      <c r="AH15" s="237">
        <f>IF(AG15&lt;=EXPEDIENTE!$I$29,AF15,0)</f>
        <v>0</v>
      </c>
      <c r="AI15" s="239">
        <f>IF($AQ$18=0,0,IF(AND($AQ$20&gt;$AQ$18,$AQ$16=1100%),MIN(AUXILIAR!$P$17,ROUND($AQ$18/$AQ$20*(AA15+AD15+AE15+AH15)*(1+('IDENTIFICACIÓN TRABAJADOR'!$B$45+'IDENTIFICACIÓN TRABAJADOR'!$F$45)/('IDENTIFICACIÓN TRABAJADOR'!$E$30-'IDENTIFICACIÓN TRABAJADOR'!$B$45-'IDENTIFICACIÓN TRABAJADOR'!$F$45)),2)),MIN(AUXILIAR!$P$17,ROUND((AA15+AD15+AE15+AH15)*(1+('IDENTIFICACIÓN TRABAJADOR'!$B$45+'IDENTIFICACIÓN TRABAJADOR'!$F$45)/('IDENTIFICACIÓN TRABAJADOR'!$E$30-'IDENTIFICACIÓN TRABAJADOR'!$B$45-'IDENTIFICACIÓN TRABAJADOR'!$F$45)),2))))</f>
        <v>0</v>
      </c>
      <c r="AJ15" s="240">
        <f t="shared" si="1"/>
        <v>0</v>
      </c>
      <c r="AK15" s="241">
        <f t="shared" si="2"/>
        <v>0</v>
      </c>
      <c r="AO15" s="209">
        <f>ROUND(X15*(AA15+AD15+AE15+AH15)*(1+('IDENTIFICACIÓN TRABAJADOR'!$B$45+'IDENTIFICACIÓN TRABAJADOR'!$F$45)/(360-'IDENTIFICACIÓN TRABAJADOR'!$B$45-'IDENTIFICACIÓN TRABAJADOR'!$F$45)),2)</f>
        <v>0</v>
      </c>
      <c r="AP15" s="212"/>
      <c r="AQ15" s="208" t="s">
        <v>221</v>
      </c>
    </row>
    <row r="16" spans="2:43" ht="15" customHeight="1" x14ac:dyDescent="0.25">
      <c r="B16" s="233" t="s">
        <v>50</v>
      </c>
      <c r="C16" s="234">
        <f>IFERROR(IF(OR(DATE($B$9,MONTH(DATEVALUE(B16&amp;"1")),1)&lt;DATE(YEAR(EXPEDIENTE!$I$25),MONTH(EXPEDIENTE!$I$25),1),DATE($B$9,MONTH(DATEVALUE(B16&amp;"1")),1)&gt;DATE(YEAR(EXPEDIENTE!$I$27),MONTH(EXPEDIENTE!$I$27)+1,1)-1),0,ROUND('% DEDICACIÓN TRABAJADOR'!L44,4)),0)</f>
        <v>0</v>
      </c>
      <c r="D16" s="235">
        <f>'GASTOS EJER. 1'!F25+'GASTOS EJER. 1'!L25-'GASTOS EJER. 1'!X25-'GASTOS EJER. 1'!Y25</f>
        <v>0</v>
      </c>
      <c r="E16" s="236" t="str">
        <f>IF('GASTOS EJER. 1'!AA25="","",'GASTOS EJER. 1'!AA25)</f>
        <v/>
      </c>
      <c r="F16" s="237">
        <f>IF(E16&lt;=EXPEDIENTE!$I$29,D16,0)</f>
        <v>0</v>
      </c>
      <c r="G16" s="238">
        <f>'GASTOS EJER. 1'!Y25</f>
        <v>0</v>
      </c>
      <c r="H16" s="236" t="str">
        <f>IF('GASTOS EJER. 1'!AB25="","",'GASTOS EJER. 1'!AB25)</f>
        <v/>
      </c>
      <c r="I16" s="237">
        <f>IF(H16&lt;=EXPEDIENTE!$I$29,G16,0)</f>
        <v>0</v>
      </c>
      <c r="J16" s="239">
        <f>AUXILIAR!BU28</f>
        <v>0</v>
      </c>
      <c r="K16" s="238">
        <f>AUXILIAR!FP28</f>
        <v>0</v>
      </c>
      <c r="L16" s="236" t="str">
        <f>IF('GASTOS EJER. 1'!I54="","",'GASTOS EJER. 1'!I54)</f>
        <v/>
      </c>
      <c r="M16" s="237">
        <f>IF(L16&lt;=EXPEDIENTE!$I$29,K16,0)</f>
        <v>0</v>
      </c>
      <c r="N16" s="239">
        <f>IF($U$18=0,0,IF(AND($U$20&gt;$U$18,$U$16=1100%),MIN(AUXILIAR!$P$17,ROUND($U$18/$U$20*(F16+I16+J16+M16)*(1+('IDENTIFICACIÓN TRABAJADOR'!$B$45+'IDENTIFICACIÓN TRABAJADOR'!$F$45)/('IDENTIFICACIÓN TRABAJADOR'!$E$30-'IDENTIFICACIÓN TRABAJADOR'!$B$45-'IDENTIFICACIÓN TRABAJADOR'!$F$45)),2)),MIN(AUXILIAR!$P$17,ROUND((F16+I16+J16+M16)*(1+('IDENTIFICACIÓN TRABAJADOR'!$B$45+'IDENTIFICACIÓN TRABAJADOR'!$F$45)/('IDENTIFICACIÓN TRABAJADOR'!$E$30-'IDENTIFICACIÓN TRABAJADOR'!$B$45-'IDENTIFICACIÓN TRABAJADOR'!$F$45)),2))))</f>
        <v>0</v>
      </c>
      <c r="O16" s="241">
        <f t="shared" si="0"/>
        <v>0</v>
      </c>
      <c r="S16" s="209">
        <f>ROUND(C16*(F16+I16+J16+M16)*(1+('IDENTIFICACIÓN TRABAJADOR'!$B$45+'IDENTIFICACIÓN TRABAJADOR'!$F$45)/(360-'IDENTIFICACIÓN TRABAJADOR'!$B$45-'IDENTIFICACIÓN TRABAJADOR'!$F$45)),2)</f>
        <v>0</v>
      </c>
      <c r="T16" s="242"/>
      <c r="U16" s="243">
        <f>SUM('% DEDICACIÓN TRABAJADOR'!$G$44:$R$44)</f>
        <v>0</v>
      </c>
      <c r="W16" s="233" t="s">
        <v>50</v>
      </c>
      <c r="X16" s="234">
        <f>IFERROR(IF(OR(DATE($B$9,MONTH(DATEVALUE(W16&amp;"1")),1)&lt;DATE(YEAR(EXPEDIENTE!$I$25),MONTH(EXPEDIENTE!$I$25),1),DATE($B$9,MONTH(DATEVALUE(W16&amp;"1")),1)&gt;DATE(YEAR(EXPEDIENTE!$I$27),MONTH(EXPEDIENTE!$I$27)+1,1)-1),0,ROUND('% DEDICACIÓN TRABAJADOR'!L44,4)),0)</f>
        <v>0</v>
      </c>
      <c r="Y16" s="235">
        <f>'GASTOS EJER. 1'!AW25+'GASTOS EJER. 1'!BM25-'GASTOS EJER. 1'!CM25-'GASTOS EJER. 1'!CP25</f>
        <v>0</v>
      </c>
      <c r="Z16" s="236" t="str">
        <f>IF('GASTOS EJER. 1'!CT25="","",'GASTOS EJER. 1'!CT25)</f>
        <v/>
      </c>
      <c r="AA16" s="237">
        <f>IF(Z16&lt;=EXPEDIENTE!$I$29,Y16,0)</f>
        <v>0</v>
      </c>
      <c r="AB16" s="238">
        <f>'GASTOS EJER. 1'!CP25</f>
        <v>0</v>
      </c>
      <c r="AC16" s="236" t="str">
        <f>IF('GASTOS EJER. 1'!CW25="","",'GASTOS EJER. 1'!CW25)</f>
        <v/>
      </c>
      <c r="AD16" s="237">
        <f>IF(AC16&lt;=EXPEDIENTE!$I$29,AB16,0)</f>
        <v>0</v>
      </c>
      <c r="AE16" s="239">
        <f>AUXILIAR!DL28</f>
        <v>0</v>
      </c>
      <c r="AF16" s="238">
        <f>AUXILIAR!HU28</f>
        <v>0</v>
      </c>
      <c r="AG16" s="236" t="str">
        <f>IF('GASTOS EJER. 1'!BF54="","",'GASTOS EJER. 1'!BF54)</f>
        <v/>
      </c>
      <c r="AH16" s="237">
        <f>IF(AG16&lt;=EXPEDIENTE!$I$29,AF16,0)</f>
        <v>0</v>
      </c>
      <c r="AI16" s="239">
        <f>IF($AQ$18=0,0,IF(AND($AQ$20&gt;$AQ$18,$AQ$16=1100%),MIN(AUXILIAR!$P$17,ROUND($AQ$18/$AQ$20*(AA16+AD16+AE16+AH16)*(1+('IDENTIFICACIÓN TRABAJADOR'!$B$45+'IDENTIFICACIÓN TRABAJADOR'!$F$45)/('IDENTIFICACIÓN TRABAJADOR'!$E$30-'IDENTIFICACIÓN TRABAJADOR'!$B$45-'IDENTIFICACIÓN TRABAJADOR'!$F$45)),2)),MIN(AUXILIAR!$P$17,ROUND((AA16+AD16+AE16+AH16)*(1+('IDENTIFICACIÓN TRABAJADOR'!$B$45+'IDENTIFICACIÓN TRABAJADOR'!$F$45)/('IDENTIFICACIÓN TRABAJADOR'!$E$30-'IDENTIFICACIÓN TRABAJADOR'!$B$45-'IDENTIFICACIÓN TRABAJADOR'!$F$45)),2))))</f>
        <v>0</v>
      </c>
      <c r="AJ16" s="240">
        <f t="shared" si="1"/>
        <v>0</v>
      </c>
      <c r="AK16" s="241">
        <f t="shared" si="2"/>
        <v>0</v>
      </c>
      <c r="AO16" s="209">
        <f>ROUND(X16*(AA16+AD16+AE16+AH16)*(1+('IDENTIFICACIÓN TRABAJADOR'!$B$45+'IDENTIFICACIÓN TRABAJADOR'!$F$45)/(360-'IDENTIFICACIÓN TRABAJADOR'!$B$45-'IDENTIFICACIÓN TRABAJADOR'!$F$45)),2)</f>
        <v>0</v>
      </c>
      <c r="AP16" s="242"/>
      <c r="AQ16" s="243">
        <f>SUM('% DEDICACIÓN TRABAJADOR'!$G$44:$R$44)</f>
        <v>0</v>
      </c>
    </row>
    <row r="17" spans="2:43" ht="15" customHeight="1" x14ac:dyDescent="0.25">
      <c r="B17" s="233" t="s">
        <v>51</v>
      </c>
      <c r="C17" s="234">
        <f>IFERROR(IF(OR(DATE($B$9,MONTH(DATEVALUE(B17&amp;"1")),1)&lt;DATE(YEAR(EXPEDIENTE!$I$25),MONTH(EXPEDIENTE!$I$25),1),DATE($B$9,MONTH(DATEVALUE(B17&amp;"1")),1)&gt;DATE(YEAR(EXPEDIENTE!$I$27),MONTH(EXPEDIENTE!$I$27)+1,1)-1),0,ROUND('% DEDICACIÓN TRABAJADOR'!M44,4)),0)</f>
        <v>0</v>
      </c>
      <c r="D17" s="235">
        <f>'GASTOS EJER. 1'!F26+'GASTOS EJER. 1'!L26-'GASTOS EJER. 1'!X26-'GASTOS EJER. 1'!Y26</f>
        <v>0</v>
      </c>
      <c r="E17" s="236" t="str">
        <f>IF('GASTOS EJER. 1'!AA26="","",'GASTOS EJER. 1'!AA26)</f>
        <v/>
      </c>
      <c r="F17" s="237">
        <f>IF(E17&lt;=EXPEDIENTE!$I$29,D17,0)</f>
        <v>0</v>
      </c>
      <c r="G17" s="238">
        <f>'GASTOS EJER. 1'!Y26</f>
        <v>0</v>
      </c>
      <c r="H17" s="236" t="str">
        <f>IF('GASTOS EJER. 1'!AB26="","",'GASTOS EJER. 1'!AB26)</f>
        <v/>
      </c>
      <c r="I17" s="237">
        <f>IF(H17&lt;=EXPEDIENTE!$I$29,G17,0)</f>
        <v>0</v>
      </c>
      <c r="J17" s="239">
        <f>AUXILIAR!BU29</f>
        <v>0</v>
      </c>
      <c r="K17" s="238">
        <f>AUXILIAR!FP29</f>
        <v>0</v>
      </c>
      <c r="L17" s="236" t="str">
        <f>IF('GASTOS EJER. 1'!I55="","",'GASTOS EJER. 1'!I55)</f>
        <v/>
      </c>
      <c r="M17" s="237">
        <f>IF(L17&lt;=EXPEDIENTE!$I$29,K17,0)</f>
        <v>0</v>
      </c>
      <c r="N17" s="239">
        <f>IF($U$18=0,0,IF(AND($U$20&gt;$U$18,$U$16=1100%),MIN(AUXILIAR!$P$17,ROUND($U$18/$U$20*(F17+I17+J17+M17)*(1+('IDENTIFICACIÓN TRABAJADOR'!$B$45+'IDENTIFICACIÓN TRABAJADOR'!$F$45)/('IDENTIFICACIÓN TRABAJADOR'!$E$30-'IDENTIFICACIÓN TRABAJADOR'!$B$45-'IDENTIFICACIÓN TRABAJADOR'!$F$45)),2)),MIN(AUXILIAR!$P$17,ROUND((F17+I17+J17+M17)*(1+('IDENTIFICACIÓN TRABAJADOR'!$B$45+'IDENTIFICACIÓN TRABAJADOR'!$F$45)/('IDENTIFICACIÓN TRABAJADOR'!$E$30-'IDENTIFICACIÓN TRABAJADOR'!$B$45-'IDENTIFICACIÓN TRABAJADOR'!$F$45)),2))))</f>
        <v>0</v>
      </c>
      <c r="O17" s="241">
        <f t="shared" si="0"/>
        <v>0</v>
      </c>
      <c r="S17" s="209">
        <f>ROUND(C17*(F17+I17+J17+M17)*(1+('IDENTIFICACIÓN TRABAJADOR'!$B$45+'IDENTIFICACIÓN TRABAJADOR'!$F$45)/(360-'IDENTIFICACIÓN TRABAJADOR'!$B$45-'IDENTIFICACIÓN TRABAJADOR'!$F$45)),2)</f>
        <v>0</v>
      </c>
      <c r="T17" s="242"/>
      <c r="U17" s="208" t="s">
        <v>222</v>
      </c>
      <c r="W17" s="233" t="s">
        <v>51</v>
      </c>
      <c r="X17" s="234">
        <f>IFERROR(IF(OR(DATE($B$9,MONTH(DATEVALUE(W17&amp;"1")),1)&lt;DATE(YEAR(EXPEDIENTE!$I$25),MONTH(EXPEDIENTE!$I$25),1),DATE($B$9,MONTH(DATEVALUE(W17&amp;"1")),1)&gt;DATE(YEAR(EXPEDIENTE!$I$27),MONTH(EXPEDIENTE!$I$27)+1,1)-1),0,ROUND('% DEDICACIÓN TRABAJADOR'!M44,4)),0)</f>
        <v>0</v>
      </c>
      <c r="Y17" s="235">
        <f>'GASTOS EJER. 1'!AW26+'GASTOS EJER. 1'!BM26-'GASTOS EJER. 1'!CM26-'GASTOS EJER. 1'!CP26</f>
        <v>0</v>
      </c>
      <c r="Z17" s="236" t="str">
        <f>IF('GASTOS EJER. 1'!CT26="","",'GASTOS EJER. 1'!CT26)</f>
        <v/>
      </c>
      <c r="AA17" s="237">
        <f>IF(Z17&lt;=EXPEDIENTE!$I$29,Y17,0)</f>
        <v>0</v>
      </c>
      <c r="AB17" s="238">
        <f>'GASTOS EJER. 1'!CP26</f>
        <v>0</v>
      </c>
      <c r="AC17" s="236" t="str">
        <f>IF('GASTOS EJER. 1'!CW26="","",'GASTOS EJER. 1'!CW26)</f>
        <v/>
      </c>
      <c r="AD17" s="237">
        <f>IF(AC17&lt;=EXPEDIENTE!$I$29,AB17,0)</f>
        <v>0</v>
      </c>
      <c r="AE17" s="239">
        <f>AUXILIAR!DL29</f>
        <v>0</v>
      </c>
      <c r="AF17" s="238">
        <f>AUXILIAR!HU29</f>
        <v>0</v>
      </c>
      <c r="AG17" s="236" t="str">
        <f>IF('GASTOS EJER. 1'!BF55="","",'GASTOS EJER. 1'!BF55)</f>
        <v/>
      </c>
      <c r="AH17" s="237">
        <f>IF(AG17&lt;=EXPEDIENTE!$I$29,AF17,0)</f>
        <v>0</v>
      </c>
      <c r="AI17" s="239">
        <f>IF($AQ$18=0,0,IF(AND($AQ$20&gt;$AQ$18,$AQ$16=1100%),MIN(AUXILIAR!$P$17,ROUND($AQ$18/$AQ$20*(AA17+AD17+AE17+AH17)*(1+('IDENTIFICACIÓN TRABAJADOR'!$B$45+'IDENTIFICACIÓN TRABAJADOR'!$F$45)/('IDENTIFICACIÓN TRABAJADOR'!$E$30-'IDENTIFICACIÓN TRABAJADOR'!$B$45-'IDENTIFICACIÓN TRABAJADOR'!$F$45)),2)),MIN(AUXILIAR!$P$17,ROUND((AA17+AD17+AE17+AH17)*(1+('IDENTIFICACIÓN TRABAJADOR'!$B$45+'IDENTIFICACIÓN TRABAJADOR'!$F$45)/('IDENTIFICACIÓN TRABAJADOR'!$E$30-'IDENTIFICACIÓN TRABAJADOR'!$B$45-'IDENTIFICACIÓN TRABAJADOR'!$F$45)),2))))</f>
        <v>0</v>
      </c>
      <c r="AJ17" s="240">
        <f t="shared" si="1"/>
        <v>0</v>
      </c>
      <c r="AK17" s="241">
        <f t="shared" si="2"/>
        <v>0</v>
      </c>
      <c r="AO17" s="209">
        <f>ROUND(X17*(AA17+AD17+AE17+AH17)*(1+('IDENTIFICACIÓN TRABAJADOR'!$B$45+'IDENTIFICACIÓN TRABAJADOR'!$F$45)/(360-'IDENTIFICACIÓN TRABAJADOR'!$B$45-'IDENTIFICACIÓN TRABAJADOR'!$F$45)),2)</f>
        <v>0</v>
      </c>
      <c r="AP17" s="242"/>
      <c r="AQ17" s="208" t="s">
        <v>222</v>
      </c>
    </row>
    <row r="18" spans="2:43" ht="15" customHeight="1" x14ac:dyDescent="0.25">
      <c r="B18" s="233" t="s">
        <v>52</v>
      </c>
      <c r="C18" s="234">
        <f>IFERROR(IF(OR(DATE($B$9,MONTH(DATEVALUE(B18&amp;"1")),1)&lt;DATE(YEAR(EXPEDIENTE!$I$25),MONTH(EXPEDIENTE!$I$25),1),DATE($B$9,MONTH(DATEVALUE(B18&amp;"1")),1)&gt;DATE(YEAR(EXPEDIENTE!$I$27),MONTH(EXPEDIENTE!$I$27)+1,1)-1),0,ROUND('% DEDICACIÓN TRABAJADOR'!N44,4)),0)</f>
        <v>0</v>
      </c>
      <c r="D18" s="235">
        <f>'GASTOS EJER. 1'!F27+'GASTOS EJER. 1'!L27-'GASTOS EJER. 1'!X27-'GASTOS EJER. 1'!Y27</f>
        <v>0</v>
      </c>
      <c r="E18" s="236" t="str">
        <f>IF('GASTOS EJER. 1'!AA27="","",'GASTOS EJER. 1'!AA27)</f>
        <v/>
      </c>
      <c r="F18" s="237">
        <f>IF(E18&lt;=EXPEDIENTE!$I$29,D18,0)</f>
        <v>0</v>
      </c>
      <c r="G18" s="238">
        <f>'GASTOS EJER. 1'!Y27</f>
        <v>0</v>
      </c>
      <c r="H18" s="236" t="str">
        <f>IF('GASTOS EJER. 1'!AB27="","",'GASTOS EJER. 1'!AB27)</f>
        <v/>
      </c>
      <c r="I18" s="237">
        <f>IF(H18&lt;=EXPEDIENTE!$I$29,G18,0)</f>
        <v>0</v>
      </c>
      <c r="J18" s="239">
        <f>AUXILIAR!BU30</f>
        <v>0</v>
      </c>
      <c r="K18" s="238">
        <f>AUXILIAR!FP30</f>
        <v>0</v>
      </c>
      <c r="L18" s="236" t="str">
        <f>IF('GASTOS EJER. 1'!I56="","",'GASTOS EJER. 1'!I56)</f>
        <v/>
      </c>
      <c r="M18" s="237">
        <f>IF(L18&lt;=EXPEDIENTE!$I$29,K18,0)</f>
        <v>0</v>
      </c>
      <c r="N18" s="239">
        <f>IF($U$18=0,0,IF(AND($U$20&gt;$U$18,$U$16=1100%),MIN(AUXILIAR!$P$17,ROUND($U$18/$U$20*(F18+I18+J18+M18)*(1+('IDENTIFICACIÓN TRABAJADOR'!$B$45+'IDENTIFICACIÓN TRABAJADOR'!$F$45)/('IDENTIFICACIÓN TRABAJADOR'!$E$30-'IDENTIFICACIÓN TRABAJADOR'!$B$45-'IDENTIFICACIÓN TRABAJADOR'!$F$45)),2)),MIN(AUXILIAR!$P$17,ROUND((F18+I18+J18+M18)*(1+('IDENTIFICACIÓN TRABAJADOR'!$B$45+'IDENTIFICACIÓN TRABAJADOR'!$F$45)/('IDENTIFICACIÓN TRABAJADOR'!$E$30-'IDENTIFICACIÓN TRABAJADOR'!$B$45-'IDENTIFICACIÓN TRABAJADOR'!$F$45)),2))))</f>
        <v>0</v>
      </c>
      <c r="O18" s="241">
        <f t="shared" si="0"/>
        <v>0</v>
      </c>
      <c r="S18" s="209">
        <f>ROUND(C18*(F18+I18+J18+M18)*(1+('IDENTIFICACIÓN TRABAJADOR'!$B$45+'IDENTIFICACIÓN TRABAJADOR'!$F$45)/(360-'IDENTIFICACIÓN TRABAJADOR'!$B$45-'IDENTIFICACIÓN TRABAJADOR'!$F$45)),2)</f>
        <v>0</v>
      </c>
      <c r="T18" s="242"/>
      <c r="U18" s="244">
        <f>SUM(F11:F22)+SUM(I11:I22)+SUM(J11:J22)+SUM(M11:M22)</f>
        <v>0</v>
      </c>
      <c r="W18" s="233" t="s">
        <v>52</v>
      </c>
      <c r="X18" s="234">
        <f>IFERROR(IF(OR(DATE($B$9,MONTH(DATEVALUE(W18&amp;"1")),1)&lt;DATE(YEAR(EXPEDIENTE!$I$25),MONTH(EXPEDIENTE!$I$25),1),DATE($B$9,MONTH(DATEVALUE(W18&amp;"1")),1)&gt;DATE(YEAR(EXPEDIENTE!$I$27),MONTH(EXPEDIENTE!$I$27)+1,1)-1),0,ROUND('% DEDICACIÓN TRABAJADOR'!N44,4)),0)</f>
        <v>0</v>
      </c>
      <c r="Y18" s="235">
        <f>'GASTOS EJER. 1'!AW27+'GASTOS EJER. 1'!BM27-'GASTOS EJER. 1'!CM27-'GASTOS EJER. 1'!CP27</f>
        <v>0</v>
      </c>
      <c r="Z18" s="236" t="str">
        <f>IF('GASTOS EJER. 1'!CT27="","",'GASTOS EJER. 1'!CT27)</f>
        <v/>
      </c>
      <c r="AA18" s="237">
        <f>IF(Z18&lt;=EXPEDIENTE!$I$29,Y18,0)</f>
        <v>0</v>
      </c>
      <c r="AB18" s="238">
        <f>'GASTOS EJER. 1'!CP27</f>
        <v>0</v>
      </c>
      <c r="AC18" s="236" t="str">
        <f>IF('GASTOS EJER. 1'!CW27="","",'GASTOS EJER. 1'!CW27)</f>
        <v/>
      </c>
      <c r="AD18" s="237">
        <f>IF(AC18&lt;=EXPEDIENTE!$I$29,AB18,0)</f>
        <v>0</v>
      </c>
      <c r="AE18" s="239">
        <f>AUXILIAR!DL30</f>
        <v>0</v>
      </c>
      <c r="AF18" s="238">
        <f>AUXILIAR!HU30</f>
        <v>0</v>
      </c>
      <c r="AG18" s="236" t="str">
        <f>IF('GASTOS EJER. 1'!BF56="","",'GASTOS EJER. 1'!BF56)</f>
        <v/>
      </c>
      <c r="AH18" s="237">
        <f>IF(AG18&lt;=EXPEDIENTE!$I$29,AF18,0)</f>
        <v>0</v>
      </c>
      <c r="AI18" s="239">
        <f>IF($AQ$18=0,0,IF(AND($AQ$20&gt;$AQ$18,$AQ$16=1100%),MIN(AUXILIAR!$P$17,ROUND($AQ$18/$AQ$20*(AA18+AD18+AE18+AH18)*(1+('IDENTIFICACIÓN TRABAJADOR'!$B$45+'IDENTIFICACIÓN TRABAJADOR'!$F$45)/('IDENTIFICACIÓN TRABAJADOR'!$E$30-'IDENTIFICACIÓN TRABAJADOR'!$B$45-'IDENTIFICACIÓN TRABAJADOR'!$F$45)),2)),MIN(AUXILIAR!$P$17,ROUND((AA18+AD18+AE18+AH18)*(1+('IDENTIFICACIÓN TRABAJADOR'!$B$45+'IDENTIFICACIÓN TRABAJADOR'!$F$45)/('IDENTIFICACIÓN TRABAJADOR'!$E$30-'IDENTIFICACIÓN TRABAJADOR'!$B$45-'IDENTIFICACIÓN TRABAJADOR'!$F$45)),2))))</f>
        <v>0</v>
      </c>
      <c r="AJ18" s="240">
        <f t="shared" si="1"/>
        <v>0</v>
      </c>
      <c r="AK18" s="241">
        <f t="shared" si="2"/>
        <v>0</v>
      </c>
      <c r="AO18" s="209">
        <f>ROUND(X18*(AA18+AD18+AE18+AH18)*(1+('IDENTIFICACIÓN TRABAJADOR'!$B$45+'IDENTIFICACIÓN TRABAJADOR'!$F$45)/(360-'IDENTIFICACIÓN TRABAJADOR'!$B$45-'IDENTIFICACIÓN TRABAJADOR'!$F$45)),2)</f>
        <v>0</v>
      </c>
      <c r="AP18" s="242"/>
      <c r="AQ18" s="244">
        <f>SUM(AA11:AA22)+SUM(AD11:AD22)+SUM(AE11:AE22)+SUM(AH11:AH22)</f>
        <v>0</v>
      </c>
    </row>
    <row r="19" spans="2:43" ht="15" customHeight="1" x14ac:dyDescent="0.25">
      <c r="B19" s="233" t="s">
        <v>53</v>
      </c>
      <c r="C19" s="234">
        <f>IFERROR(IF(OR(DATE($B$9,MONTH(DATEVALUE(B19&amp;"1")),1)&lt;DATE(YEAR(EXPEDIENTE!$I$25),MONTH(EXPEDIENTE!$I$25),1),DATE($B$9,MONTH(DATEVALUE(B19&amp;"1")),1)&gt;DATE(YEAR(EXPEDIENTE!$I$27),MONTH(EXPEDIENTE!$I$27)+1,1)-1),0,ROUND('% DEDICACIÓN TRABAJADOR'!O44,4)),0)</f>
        <v>0</v>
      </c>
      <c r="D19" s="235">
        <f>'GASTOS EJER. 1'!F28+'GASTOS EJER. 1'!L28-'GASTOS EJER. 1'!X28-'GASTOS EJER. 1'!Y28</f>
        <v>0</v>
      </c>
      <c r="E19" s="236" t="str">
        <f>IF('GASTOS EJER. 1'!AA28="","",'GASTOS EJER. 1'!AA28)</f>
        <v/>
      </c>
      <c r="F19" s="237">
        <f>IF(E19&lt;=EXPEDIENTE!$I$29,D19,0)</f>
        <v>0</v>
      </c>
      <c r="G19" s="238">
        <f>'GASTOS EJER. 1'!Y28</f>
        <v>0</v>
      </c>
      <c r="H19" s="236" t="str">
        <f>IF('GASTOS EJER. 1'!AB28="","",'GASTOS EJER. 1'!AB28)</f>
        <v/>
      </c>
      <c r="I19" s="237">
        <f>IF(H19&lt;=EXPEDIENTE!$I$29,G19,0)</f>
        <v>0</v>
      </c>
      <c r="J19" s="239">
        <f>AUXILIAR!BU31</f>
        <v>0</v>
      </c>
      <c r="K19" s="238">
        <f>AUXILIAR!FP31</f>
        <v>0</v>
      </c>
      <c r="L19" s="236" t="str">
        <f>IF('GASTOS EJER. 1'!I57="","",'GASTOS EJER. 1'!I57)</f>
        <v/>
      </c>
      <c r="M19" s="237">
        <f>IF(L19&lt;=EXPEDIENTE!$I$29,K19,0)</f>
        <v>0</v>
      </c>
      <c r="N19" s="239">
        <f>IF($U$18=0,0,IF(AND($U$20&gt;$U$18,$U$16=1100%),MIN(AUXILIAR!$P$17,ROUND($U$18/$U$20*(F19+I19+J19+M19)*(1+('IDENTIFICACIÓN TRABAJADOR'!$B$45+'IDENTIFICACIÓN TRABAJADOR'!$F$45)/('IDENTIFICACIÓN TRABAJADOR'!$E$30-'IDENTIFICACIÓN TRABAJADOR'!$B$45-'IDENTIFICACIÓN TRABAJADOR'!$F$45)),2)),MIN(AUXILIAR!$P$17,ROUND((F19+I19+J19+M19)*(1+('IDENTIFICACIÓN TRABAJADOR'!$B$45+'IDENTIFICACIÓN TRABAJADOR'!$F$45)/('IDENTIFICACIÓN TRABAJADOR'!$E$30-'IDENTIFICACIÓN TRABAJADOR'!$B$45-'IDENTIFICACIÓN TRABAJADOR'!$F$45)),2))))</f>
        <v>0</v>
      </c>
      <c r="O19" s="241">
        <f t="shared" si="0"/>
        <v>0</v>
      </c>
      <c r="S19" s="209">
        <f>ROUND(C19*(F19+I19+J19+M19)*(1+('IDENTIFICACIÓN TRABAJADOR'!$B$45+'IDENTIFICACIÓN TRABAJADOR'!$F$45)/(360-'IDENTIFICACIÓN TRABAJADOR'!$B$45-'IDENTIFICACIÓN TRABAJADOR'!$F$45)),2)</f>
        <v>0</v>
      </c>
      <c r="T19" s="242"/>
      <c r="U19" s="208" t="s">
        <v>223</v>
      </c>
      <c r="W19" s="233" t="s">
        <v>53</v>
      </c>
      <c r="X19" s="234">
        <f>IFERROR(IF(OR(DATE($B$9,MONTH(DATEVALUE(W19&amp;"1")),1)&lt;DATE(YEAR(EXPEDIENTE!$I$25),MONTH(EXPEDIENTE!$I$25),1),DATE($B$9,MONTH(DATEVALUE(W19&amp;"1")),1)&gt;DATE(YEAR(EXPEDIENTE!$I$27),MONTH(EXPEDIENTE!$I$27)+1,1)-1),0,ROUND('% DEDICACIÓN TRABAJADOR'!O44,4)),0)</f>
        <v>0</v>
      </c>
      <c r="Y19" s="235">
        <f>'GASTOS EJER. 1'!AW28+'GASTOS EJER. 1'!BM28-'GASTOS EJER. 1'!CM28-'GASTOS EJER. 1'!CP28</f>
        <v>0</v>
      </c>
      <c r="Z19" s="236" t="str">
        <f>IF('GASTOS EJER. 1'!CT28="","",'GASTOS EJER. 1'!CT28)</f>
        <v/>
      </c>
      <c r="AA19" s="237">
        <f>IF(Z19&lt;=EXPEDIENTE!$I$29,Y19,0)</f>
        <v>0</v>
      </c>
      <c r="AB19" s="238">
        <f>'GASTOS EJER. 1'!CP28</f>
        <v>0</v>
      </c>
      <c r="AC19" s="236" t="str">
        <f>IF('GASTOS EJER. 1'!CW28="","",'GASTOS EJER. 1'!CW28)</f>
        <v/>
      </c>
      <c r="AD19" s="237">
        <f>IF(AC19&lt;=EXPEDIENTE!$I$29,AB19,0)</f>
        <v>0</v>
      </c>
      <c r="AE19" s="239">
        <f>AUXILIAR!DL31</f>
        <v>0</v>
      </c>
      <c r="AF19" s="238">
        <f>AUXILIAR!HU31</f>
        <v>0</v>
      </c>
      <c r="AG19" s="236" t="str">
        <f>IF('GASTOS EJER. 1'!BF57="","",'GASTOS EJER. 1'!BF57)</f>
        <v/>
      </c>
      <c r="AH19" s="237">
        <f>IF(AG19&lt;=EXPEDIENTE!$I$29,AF19,0)</f>
        <v>0</v>
      </c>
      <c r="AI19" s="239">
        <f>IF($AQ$18=0,0,IF(AND($AQ$20&gt;$AQ$18,$AQ$16=1100%),MIN(AUXILIAR!$P$17,ROUND($AQ$18/$AQ$20*(AA19+AD19+AE19+AH19)*(1+('IDENTIFICACIÓN TRABAJADOR'!$B$45+'IDENTIFICACIÓN TRABAJADOR'!$F$45)/('IDENTIFICACIÓN TRABAJADOR'!$E$30-'IDENTIFICACIÓN TRABAJADOR'!$B$45-'IDENTIFICACIÓN TRABAJADOR'!$F$45)),2)),MIN(AUXILIAR!$P$17,ROUND((AA19+AD19+AE19+AH19)*(1+('IDENTIFICACIÓN TRABAJADOR'!$B$45+'IDENTIFICACIÓN TRABAJADOR'!$F$45)/('IDENTIFICACIÓN TRABAJADOR'!$E$30-'IDENTIFICACIÓN TRABAJADOR'!$B$45-'IDENTIFICACIÓN TRABAJADOR'!$F$45)),2))))</f>
        <v>0</v>
      </c>
      <c r="AJ19" s="240">
        <f t="shared" si="1"/>
        <v>0</v>
      </c>
      <c r="AK19" s="241">
        <f t="shared" si="2"/>
        <v>0</v>
      </c>
      <c r="AO19" s="209">
        <f>ROUND(X19*(AA19+AD19+AE19+AH19)*(1+('IDENTIFICACIÓN TRABAJADOR'!$B$45+'IDENTIFICACIÓN TRABAJADOR'!$F$45)/(360-'IDENTIFICACIÓN TRABAJADOR'!$B$45-'IDENTIFICACIÓN TRABAJADOR'!$F$45)),2)</f>
        <v>0</v>
      </c>
      <c r="AP19" s="242"/>
      <c r="AQ19" s="208" t="s">
        <v>223</v>
      </c>
    </row>
    <row r="20" spans="2:43" ht="15" customHeight="1" x14ac:dyDescent="0.25">
      <c r="B20" s="233" t="s">
        <v>54</v>
      </c>
      <c r="C20" s="234">
        <f>IFERROR(IF(OR(DATE($B$9,MONTH(DATEVALUE(B20&amp;"1")),1)&lt;DATE(YEAR(EXPEDIENTE!$I$25),MONTH(EXPEDIENTE!$I$25),1),DATE($B$9,MONTH(DATEVALUE(B20&amp;"1")),1)&gt;DATE(YEAR(EXPEDIENTE!$I$27),MONTH(EXPEDIENTE!$I$27)+1,1)-1),0,ROUND('% DEDICACIÓN TRABAJADOR'!P44,4)),0)</f>
        <v>0</v>
      </c>
      <c r="D20" s="235">
        <f>'GASTOS EJER. 1'!F29+'GASTOS EJER. 1'!L29-'GASTOS EJER. 1'!X29-'GASTOS EJER. 1'!Y29</f>
        <v>0</v>
      </c>
      <c r="E20" s="236" t="str">
        <f>IF('GASTOS EJER. 1'!AA29="","",'GASTOS EJER. 1'!AA29)</f>
        <v/>
      </c>
      <c r="F20" s="237">
        <f>IF(E20&lt;=EXPEDIENTE!$I$29,D20,0)</f>
        <v>0</v>
      </c>
      <c r="G20" s="238">
        <f>'GASTOS EJER. 1'!Y29</f>
        <v>0</v>
      </c>
      <c r="H20" s="236" t="str">
        <f>IF('GASTOS EJER. 1'!AB29="","",'GASTOS EJER. 1'!AB29)</f>
        <v/>
      </c>
      <c r="I20" s="237">
        <f>IF(H20&lt;=EXPEDIENTE!$I$29,G20,0)</f>
        <v>0</v>
      </c>
      <c r="J20" s="239">
        <f>AUXILIAR!BU32</f>
        <v>0</v>
      </c>
      <c r="K20" s="238">
        <f>AUXILIAR!FP32</f>
        <v>0</v>
      </c>
      <c r="L20" s="236" t="str">
        <f>IF('GASTOS EJER. 1'!I58="","",'GASTOS EJER. 1'!I58)</f>
        <v/>
      </c>
      <c r="M20" s="237">
        <f>IF(L20&lt;=EXPEDIENTE!$I$29,K20,0)</f>
        <v>0</v>
      </c>
      <c r="N20" s="239">
        <f>IF($U$18=0,0,IF(AND($U$20&gt;$U$18,$U$16=1100%),MIN(AUXILIAR!$P$17,ROUND($U$18/$U$20*(F20+I20+J20+M20)*(1+('IDENTIFICACIÓN TRABAJADOR'!$B$45+'IDENTIFICACIÓN TRABAJADOR'!$F$45)/('IDENTIFICACIÓN TRABAJADOR'!$E$30-'IDENTIFICACIÓN TRABAJADOR'!$B$45-'IDENTIFICACIÓN TRABAJADOR'!$F$45)),2)),MIN(AUXILIAR!$P$17,ROUND((F20+I20+J20+M20)*(1+('IDENTIFICACIÓN TRABAJADOR'!$B$45+'IDENTIFICACIÓN TRABAJADOR'!$F$45)/('IDENTIFICACIÓN TRABAJADOR'!$E$30-'IDENTIFICACIÓN TRABAJADOR'!$B$45-'IDENTIFICACIÓN TRABAJADOR'!$F$45)),2))))</f>
        <v>0</v>
      </c>
      <c r="O20" s="241">
        <f t="shared" si="0"/>
        <v>0</v>
      </c>
      <c r="S20" s="209">
        <f>ROUND(C20*(F20+I20+J20+M20)*(1+('IDENTIFICACIÓN TRABAJADOR'!$B$45+'IDENTIFICACIÓN TRABAJADOR'!$F$45)/(360-'IDENTIFICACIÓN TRABAJADOR'!$B$45-'IDENTIFICACIÓN TRABAJADOR'!$F$45)),2)</f>
        <v>0</v>
      </c>
      <c r="T20" s="242"/>
      <c r="U20" s="244">
        <f>SUM(S11:S22)</f>
        <v>0</v>
      </c>
      <c r="W20" s="233" t="s">
        <v>54</v>
      </c>
      <c r="X20" s="234">
        <f>IFERROR(IF(OR(DATE($B$9,MONTH(DATEVALUE(W20&amp;"1")),1)&lt;DATE(YEAR(EXPEDIENTE!$I$25),MONTH(EXPEDIENTE!$I$25),1),DATE($B$9,MONTH(DATEVALUE(W20&amp;"1")),1)&gt;DATE(YEAR(EXPEDIENTE!$I$27),MONTH(EXPEDIENTE!$I$27)+1,1)-1),0,ROUND('% DEDICACIÓN TRABAJADOR'!P44,4)),0)</f>
        <v>0</v>
      </c>
      <c r="Y20" s="235">
        <f>'GASTOS EJER. 1'!AW29+'GASTOS EJER. 1'!BM29-'GASTOS EJER. 1'!CM29-'GASTOS EJER. 1'!CP29</f>
        <v>0</v>
      </c>
      <c r="Z20" s="236" t="str">
        <f>IF('GASTOS EJER. 1'!CT29="","",'GASTOS EJER. 1'!CT29)</f>
        <v/>
      </c>
      <c r="AA20" s="237">
        <f>IF(Z20&lt;=EXPEDIENTE!$I$29,Y20,0)</f>
        <v>0</v>
      </c>
      <c r="AB20" s="238">
        <f>'GASTOS EJER. 1'!CP29</f>
        <v>0</v>
      </c>
      <c r="AC20" s="236" t="str">
        <f>IF('GASTOS EJER. 1'!CW29="","",'GASTOS EJER. 1'!CW29)</f>
        <v/>
      </c>
      <c r="AD20" s="237">
        <f>IF(AC20&lt;=EXPEDIENTE!$I$29,AB20,0)</f>
        <v>0</v>
      </c>
      <c r="AE20" s="239">
        <f>AUXILIAR!DL32</f>
        <v>0</v>
      </c>
      <c r="AF20" s="238">
        <f>AUXILIAR!HU32</f>
        <v>0</v>
      </c>
      <c r="AG20" s="236" t="str">
        <f>IF('GASTOS EJER. 1'!BF58="","",'GASTOS EJER. 1'!BF58)</f>
        <v/>
      </c>
      <c r="AH20" s="237">
        <f>IF(AG20&lt;=EXPEDIENTE!$I$29,AF20,0)</f>
        <v>0</v>
      </c>
      <c r="AI20" s="239">
        <f>IF($AQ$18=0,0,IF(AND($AQ$20&gt;$AQ$18,$AQ$16=1100%),MIN(AUXILIAR!$P$17,ROUND($AQ$18/$AQ$20*(AA20+AD20+AE20+AH20)*(1+('IDENTIFICACIÓN TRABAJADOR'!$B$45+'IDENTIFICACIÓN TRABAJADOR'!$F$45)/('IDENTIFICACIÓN TRABAJADOR'!$E$30-'IDENTIFICACIÓN TRABAJADOR'!$B$45-'IDENTIFICACIÓN TRABAJADOR'!$F$45)),2)),MIN(AUXILIAR!$P$17,ROUND((AA20+AD20+AE20+AH20)*(1+('IDENTIFICACIÓN TRABAJADOR'!$B$45+'IDENTIFICACIÓN TRABAJADOR'!$F$45)/('IDENTIFICACIÓN TRABAJADOR'!$E$30-'IDENTIFICACIÓN TRABAJADOR'!$B$45-'IDENTIFICACIÓN TRABAJADOR'!$F$45)),2))))</f>
        <v>0</v>
      </c>
      <c r="AJ20" s="240">
        <f t="shared" si="1"/>
        <v>0</v>
      </c>
      <c r="AK20" s="241">
        <f t="shared" si="2"/>
        <v>0</v>
      </c>
      <c r="AO20" s="209">
        <f>ROUND(X20*(AA20+AD20+AE20+AH20)*(1+('IDENTIFICACIÓN TRABAJADOR'!$B$45+'IDENTIFICACIÓN TRABAJADOR'!$F$45)/(360-'IDENTIFICACIÓN TRABAJADOR'!$B$45-'IDENTIFICACIÓN TRABAJADOR'!$F$45)),2)</f>
        <v>0</v>
      </c>
      <c r="AP20" s="242"/>
      <c r="AQ20" s="244">
        <f>SUM(AO11:AO22)</f>
        <v>0</v>
      </c>
    </row>
    <row r="21" spans="2:43" ht="15" customHeight="1" x14ac:dyDescent="0.25">
      <c r="B21" s="233" t="s">
        <v>55</v>
      </c>
      <c r="C21" s="234">
        <f>IFERROR(IF(OR(DATE($B$9,MONTH(DATEVALUE(B21&amp;"1")),1)&lt;DATE(YEAR(EXPEDIENTE!$I$25),MONTH(EXPEDIENTE!$I$25),1),DATE($B$9,MONTH(DATEVALUE(B21&amp;"1")),1)&gt;DATE(YEAR(EXPEDIENTE!$I$27),MONTH(EXPEDIENTE!$I$27)+1,1)-1),0,ROUND('% DEDICACIÓN TRABAJADOR'!Q44,4)),0)</f>
        <v>0</v>
      </c>
      <c r="D21" s="235">
        <f>'GASTOS EJER. 1'!F30+'GASTOS EJER. 1'!L30-'GASTOS EJER. 1'!X30-'GASTOS EJER. 1'!Y30</f>
        <v>0</v>
      </c>
      <c r="E21" s="236" t="str">
        <f>IF('GASTOS EJER. 1'!AA30="","",'GASTOS EJER. 1'!AA30)</f>
        <v/>
      </c>
      <c r="F21" s="237">
        <f>IF(E21&lt;=EXPEDIENTE!$I$29,D21,0)</f>
        <v>0</v>
      </c>
      <c r="G21" s="238">
        <f>'GASTOS EJER. 1'!Y30</f>
        <v>0</v>
      </c>
      <c r="H21" s="236" t="str">
        <f>IF('GASTOS EJER. 1'!AB30="","",'GASTOS EJER. 1'!AB30)</f>
        <v/>
      </c>
      <c r="I21" s="237">
        <f>IF(H21&lt;=EXPEDIENTE!$I$29,G21,0)</f>
        <v>0</v>
      </c>
      <c r="J21" s="239">
        <f>AUXILIAR!BU33</f>
        <v>0</v>
      </c>
      <c r="K21" s="238">
        <f>AUXILIAR!FP33</f>
        <v>0</v>
      </c>
      <c r="L21" s="236" t="str">
        <f>IF('GASTOS EJER. 1'!I59="","",'GASTOS EJER. 1'!I59)</f>
        <v/>
      </c>
      <c r="M21" s="237">
        <f>IF(L21&lt;=EXPEDIENTE!$I$29,K21,0)</f>
        <v>0</v>
      </c>
      <c r="N21" s="239">
        <f>IF($U$18=0,0,IF(AND($U$20&gt;$U$18,$U$16=1100%),MIN(AUXILIAR!$P$17,ROUND($U$18/$U$20*(F21+I21+J21+M21)*(1+('IDENTIFICACIÓN TRABAJADOR'!$B$45+'IDENTIFICACIÓN TRABAJADOR'!$F$45)/('IDENTIFICACIÓN TRABAJADOR'!$E$30-'IDENTIFICACIÓN TRABAJADOR'!$B$45-'IDENTIFICACIÓN TRABAJADOR'!$F$45)),2)),MIN(AUXILIAR!$P$17,ROUND((F21+I21+J21+M21)*(1+('IDENTIFICACIÓN TRABAJADOR'!$B$45+'IDENTIFICACIÓN TRABAJADOR'!$F$45)/('IDENTIFICACIÓN TRABAJADOR'!$E$30-'IDENTIFICACIÓN TRABAJADOR'!$B$45-'IDENTIFICACIÓN TRABAJADOR'!$F$45)),2))))</f>
        <v>0</v>
      </c>
      <c r="O21" s="241">
        <f t="shared" si="0"/>
        <v>0</v>
      </c>
      <c r="S21" s="209">
        <f>ROUND(C21*(F21+I21+J21+M21)*(1+('IDENTIFICACIÓN TRABAJADOR'!$B$45+'IDENTIFICACIÓN TRABAJADOR'!$F$45)/(360-'IDENTIFICACIÓN TRABAJADOR'!$B$45-'IDENTIFICACIÓN TRABAJADOR'!$F$45)),2)</f>
        <v>0</v>
      </c>
      <c r="T21" s="242"/>
      <c r="U21" s="208" t="s">
        <v>224</v>
      </c>
      <c r="W21" s="233" t="s">
        <v>55</v>
      </c>
      <c r="X21" s="234">
        <f>IFERROR(IF(OR(DATE($B$9,MONTH(DATEVALUE(W21&amp;"1")),1)&lt;DATE(YEAR(EXPEDIENTE!$I$25),MONTH(EXPEDIENTE!$I$25),1),DATE($B$9,MONTH(DATEVALUE(W21&amp;"1")),1)&gt;DATE(YEAR(EXPEDIENTE!$I$27),MONTH(EXPEDIENTE!$I$27)+1,1)-1),0,ROUND('% DEDICACIÓN TRABAJADOR'!Q44,4)),0)</f>
        <v>0</v>
      </c>
      <c r="Y21" s="235">
        <f>'GASTOS EJER. 1'!AW30+'GASTOS EJER. 1'!BM30-'GASTOS EJER. 1'!CM30-'GASTOS EJER. 1'!CP30</f>
        <v>0</v>
      </c>
      <c r="Z21" s="236" t="str">
        <f>IF('GASTOS EJER. 1'!CT30="","",'GASTOS EJER. 1'!CT30)</f>
        <v/>
      </c>
      <c r="AA21" s="237">
        <f>IF(Z21&lt;=EXPEDIENTE!$I$29,Y21,0)</f>
        <v>0</v>
      </c>
      <c r="AB21" s="238">
        <f>'GASTOS EJER. 1'!CP30</f>
        <v>0</v>
      </c>
      <c r="AC21" s="236" t="str">
        <f>IF('GASTOS EJER. 1'!CW30="","",'GASTOS EJER. 1'!CW30)</f>
        <v/>
      </c>
      <c r="AD21" s="237">
        <f>IF(AC21&lt;=EXPEDIENTE!$I$29,AB21,0)</f>
        <v>0</v>
      </c>
      <c r="AE21" s="239">
        <f>AUXILIAR!DL33</f>
        <v>0</v>
      </c>
      <c r="AF21" s="238">
        <f>AUXILIAR!HU33</f>
        <v>0</v>
      </c>
      <c r="AG21" s="236" t="str">
        <f>IF('GASTOS EJER. 1'!BF59="","",'GASTOS EJER. 1'!BF59)</f>
        <v/>
      </c>
      <c r="AH21" s="237">
        <f>IF(AG21&lt;=EXPEDIENTE!$I$29,AF21,0)</f>
        <v>0</v>
      </c>
      <c r="AI21" s="239">
        <f>IF($AQ$18=0,0,IF(AND($AQ$20&gt;$AQ$18,$AQ$16=1100%),MIN(AUXILIAR!$P$17,ROUND($AQ$18/$AQ$20*(AA21+AD21+AE21+AH21)*(1+('IDENTIFICACIÓN TRABAJADOR'!$B$45+'IDENTIFICACIÓN TRABAJADOR'!$F$45)/('IDENTIFICACIÓN TRABAJADOR'!$E$30-'IDENTIFICACIÓN TRABAJADOR'!$B$45-'IDENTIFICACIÓN TRABAJADOR'!$F$45)),2)),MIN(AUXILIAR!$P$17,ROUND((AA21+AD21+AE21+AH21)*(1+('IDENTIFICACIÓN TRABAJADOR'!$B$45+'IDENTIFICACIÓN TRABAJADOR'!$F$45)/('IDENTIFICACIÓN TRABAJADOR'!$E$30-'IDENTIFICACIÓN TRABAJADOR'!$B$45-'IDENTIFICACIÓN TRABAJADOR'!$F$45)),2))))</f>
        <v>0</v>
      </c>
      <c r="AJ21" s="240">
        <f t="shared" si="1"/>
        <v>0</v>
      </c>
      <c r="AK21" s="241">
        <f t="shared" si="2"/>
        <v>0</v>
      </c>
      <c r="AO21" s="209">
        <f>ROUND(X21*(AA21+AD21+AE21+AH21)*(1+('IDENTIFICACIÓN TRABAJADOR'!$B$45+'IDENTIFICACIÓN TRABAJADOR'!$F$45)/(360-'IDENTIFICACIÓN TRABAJADOR'!$B$45-'IDENTIFICACIÓN TRABAJADOR'!$F$45)),2)</f>
        <v>0</v>
      </c>
      <c r="AP21" s="242"/>
      <c r="AQ21" s="208" t="s">
        <v>224</v>
      </c>
    </row>
    <row r="22" spans="2:43" ht="15" customHeight="1" thickBot="1" x14ac:dyDescent="0.3">
      <c r="B22" s="245" t="s">
        <v>56</v>
      </c>
      <c r="C22" s="246">
        <f>IFERROR(IF(OR(DATE($B$9,MONTH(DATEVALUE(B22&amp;"1")),1)&lt;DATE(YEAR(EXPEDIENTE!$I$25),MONTH(EXPEDIENTE!$I$25),1),DATE($B$9,MONTH(DATEVALUE(B22&amp;"1")),1)&gt;DATE(YEAR(EXPEDIENTE!$I$27),MONTH(EXPEDIENTE!$I$27)+1,1)-1),0,ROUND('% DEDICACIÓN TRABAJADOR'!R44,4)),0)</f>
        <v>0</v>
      </c>
      <c r="D22" s="247">
        <f>'GASTOS EJER. 1'!F31+'GASTOS EJER. 1'!L31-'GASTOS EJER. 1'!X31-'GASTOS EJER. 1'!Y31</f>
        <v>0</v>
      </c>
      <c r="E22" s="248" t="str">
        <f>IF('GASTOS EJER. 1'!AA31="","",'GASTOS EJER. 1'!AA31)</f>
        <v/>
      </c>
      <c r="F22" s="249">
        <f>IF(E22&lt;=EXPEDIENTE!$I$29,D22,0)</f>
        <v>0</v>
      </c>
      <c r="G22" s="250">
        <f>'GASTOS EJER. 1'!Y31</f>
        <v>0</v>
      </c>
      <c r="H22" s="248" t="str">
        <f>IF('GASTOS EJER. 1'!AB31="","",'GASTOS EJER. 1'!AB31)</f>
        <v/>
      </c>
      <c r="I22" s="249">
        <f>IF(H22&lt;=EXPEDIENTE!$I$29,G22,0)</f>
        <v>0</v>
      </c>
      <c r="J22" s="251">
        <f>AUXILIAR!BU34</f>
        <v>0</v>
      </c>
      <c r="K22" s="250">
        <f>AUXILIAR!FP34</f>
        <v>0</v>
      </c>
      <c r="L22" s="248" t="str">
        <f>IF('GASTOS EJER. 1'!I60="","",'GASTOS EJER. 1'!I60)</f>
        <v/>
      </c>
      <c r="M22" s="249">
        <f>IF(L22&lt;=EXPEDIENTE!$I$29,K22,0)</f>
        <v>0</v>
      </c>
      <c r="N22" s="251">
        <f>IF($U$18=0,0,IF(AND($U$20&gt;$U$18,$U$16=1100%),MIN(AUXILIAR!$P$17,ROUND($U$18/$U$20*(F22+I22+J22+M22)*(1+('IDENTIFICACIÓN TRABAJADOR'!$B$45+'IDENTIFICACIÓN TRABAJADOR'!$F$45)/('IDENTIFICACIÓN TRABAJADOR'!$E$30-'IDENTIFICACIÓN TRABAJADOR'!$B$45-'IDENTIFICACIÓN TRABAJADOR'!$F$45)),2)),MIN(AUXILIAR!$P$17,ROUND((F22+I22+J22+M22)*(1+('IDENTIFICACIÓN TRABAJADOR'!$B$45+'IDENTIFICACIÓN TRABAJADOR'!$F$45)/('IDENTIFICACIÓN TRABAJADOR'!$E$30-'IDENTIFICACIÓN TRABAJADOR'!$B$45-'IDENTIFICACIÓN TRABAJADOR'!$F$45)),2))))</f>
        <v>0</v>
      </c>
      <c r="O22" s="253">
        <f t="shared" si="0"/>
        <v>0</v>
      </c>
      <c r="S22" s="209">
        <f>ROUND(C22*(F22+I22+J22+M22)*(1+('IDENTIFICACIÓN TRABAJADOR'!$B$45+'IDENTIFICACIÓN TRABAJADOR'!$F$45)/(360-'IDENTIFICACIÓN TRABAJADOR'!$B$45-'IDENTIFICACIÓN TRABAJADOR'!$F$45)),2)</f>
        <v>0</v>
      </c>
      <c r="T22" s="242"/>
      <c r="U22" s="208" t="str">
        <f>IF(U20=0,"",U18/U20)</f>
        <v/>
      </c>
      <c r="W22" s="245" t="s">
        <v>56</v>
      </c>
      <c r="X22" s="246">
        <f>IFERROR(IF(OR(DATE($B$9,MONTH(DATEVALUE(W22&amp;"1")),1)&lt;DATE(YEAR(EXPEDIENTE!$I$25),MONTH(EXPEDIENTE!$I$25),1),DATE($B$9,MONTH(DATEVALUE(W22&amp;"1")),1)&gt;DATE(YEAR(EXPEDIENTE!$I$27),MONTH(EXPEDIENTE!$I$27)+1,1)-1),0,ROUND('% DEDICACIÓN TRABAJADOR'!R44,4)),0)</f>
        <v>0</v>
      </c>
      <c r="Y22" s="247">
        <f>'GASTOS EJER. 1'!AW31+'GASTOS EJER. 1'!BM31-'GASTOS EJER. 1'!CM31-'GASTOS EJER. 1'!CP31</f>
        <v>0</v>
      </c>
      <c r="Z22" s="248" t="str">
        <f>IF('GASTOS EJER. 1'!CT31="","",'GASTOS EJER. 1'!CT31)</f>
        <v/>
      </c>
      <c r="AA22" s="249">
        <f>IF(Z22&lt;=EXPEDIENTE!$I$29,Y22,0)</f>
        <v>0</v>
      </c>
      <c r="AB22" s="250">
        <f>'GASTOS EJER. 1'!CP31</f>
        <v>0</v>
      </c>
      <c r="AC22" s="248" t="str">
        <f>IF('GASTOS EJER. 1'!CW31="","",'GASTOS EJER. 1'!CW31)</f>
        <v/>
      </c>
      <c r="AD22" s="249">
        <f>IF(AC22&lt;=EXPEDIENTE!$I$29,AB22,0)</f>
        <v>0</v>
      </c>
      <c r="AE22" s="251">
        <f>AUXILIAR!DL34</f>
        <v>0</v>
      </c>
      <c r="AF22" s="250">
        <f>AUXILIAR!HU34</f>
        <v>0</v>
      </c>
      <c r="AG22" s="248" t="str">
        <f>IF('GASTOS EJER. 1'!BF60="","",'GASTOS EJER. 1'!BF60)</f>
        <v/>
      </c>
      <c r="AH22" s="249">
        <f>IF(AG22&lt;=EXPEDIENTE!$I$29,AF22,0)</f>
        <v>0</v>
      </c>
      <c r="AI22" s="251">
        <f>IF($AQ$18=0,0,IF(AND($AQ$20&gt;$AQ$18,$AQ$16=1100%),MIN(AUXILIAR!$P$17,ROUND($AQ$18/$AQ$20*(AA22+AD22+AE22+AH22)*(1+('IDENTIFICACIÓN TRABAJADOR'!$B$45+'IDENTIFICACIÓN TRABAJADOR'!$F$45)/('IDENTIFICACIÓN TRABAJADOR'!$E$30-'IDENTIFICACIÓN TRABAJADOR'!$B$45-'IDENTIFICACIÓN TRABAJADOR'!$F$45)),2)),MIN(AUXILIAR!$P$17,ROUND((AA22+AD22+AE22+AH22)*(1+('IDENTIFICACIÓN TRABAJADOR'!$B$45+'IDENTIFICACIÓN TRABAJADOR'!$F$45)/('IDENTIFICACIÓN TRABAJADOR'!$E$30-'IDENTIFICACIÓN TRABAJADOR'!$B$45-'IDENTIFICACIÓN TRABAJADOR'!$F$45)),2))))</f>
        <v>0</v>
      </c>
      <c r="AJ22" s="252">
        <f t="shared" si="1"/>
        <v>0</v>
      </c>
      <c r="AK22" s="253">
        <f t="shared" si="2"/>
        <v>0</v>
      </c>
      <c r="AO22" s="209">
        <f>ROUND(X22*(AA22+AD22+AE22+AH22)*(1+('IDENTIFICACIÓN TRABAJADOR'!$B$45+'IDENTIFICACIÓN TRABAJADOR'!$F$45)/(360-'IDENTIFICACIÓN TRABAJADOR'!$B$45-'IDENTIFICACIÓN TRABAJADOR'!$F$45)),2)</f>
        <v>0</v>
      </c>
      <c r="AP22" s="242"/>
      <c r="AQ22" s="208" t="str">
        <f>IF(AQ20=0,"",AQ18/AQ20)</f>
        <v/>
      </c>
    </row>
    <row r="23" spans="2:43" ht="14.25" thickBot="1" x14ac:dyDescent="0.3">
      <c r="M23" s="254"/>
      <c r="N23" s="254"/>
      <c r="O23" s="254"/>
      <c r="U23" s="208" t="s">
        <v>170</v>
      </c>
      <c r="AH23" s="254"/>
      <c r="AI23" s="254"/>
      <c r="AJ23" s="254"/>
      <c r="AK23" s="254"/>
      <c r="AQ23" s="208" t="s">
        <v>170</v>
      </c>
    </row>
    <row r="24" spans="2:43" ht="20.100000000000001" customHeight="1" thickBot="1" x14ac:dyDescent="0.3">
      <c r="G24" s="255"/>
      <c r="M24" s="256"/>
      <c r="N24" s="257" t="str">
        <f>CONCATENATE("TOTAL EJERCICIO ",B9)</f>
        <v>TOTAL EJERCICIO 2023</v>
      </c>
      <c r="O24" s="133">
        <f>SUM(O11:O22)</f>
        <v>0</v>
      </c>
      <c r="Q24" s="126" t="str">
        <f>IF(U24&gt;0,"EXISTE ALGÚN % DE DEDICACIÓN SUPERIOR AL 100% EN ESTE EJERCICIO","")</f>
        <v/>
      </c>
      <c r="T24" s="123"/>
      <c r="U24" s="208">
        <f>'% DEDICACIÓN TRABAJADOR'!$B$44</f>
        <v>0</v>
      </c>
      <c r="AB24" s="255"/>
      <c r="AH24" s="256"/>
      <c r="AI24" s="257" t="str">
        <f>CONCATENATE("TOTAL EJERCICIO ",W9)</f>
        <v>TOTAL EJERCICIO 2023</v>
      </c>
      <c r="AJ24" s="133">
        <f>SUM(AJ11:AJ22)</f>
        <v>0</v>
      </c>
      <c r="AK24" s="133">
        <f>SUM(AK11:AK22)</f>
        <v>0</v>
      </c>
      <c r="AM24" s="126" t="str">
        <f>IF(AQ24&gt;0,"EXISTE ALGÚN % DE DEDICACIÓN SUPERIOR AL 100% EN ESTE EJERCICIO","")</f>
        <v/>
      </c>
      <c r="AP24" s="123"/>
      <c r="AQ24" s="208">
        <f>'% DEDICACIÓN TRABAJADOR'!$B$44</f>
        <v>0</v>
      </c>
    </row>
    <row r="25" spans="2:43" ht="19.5" customHeight="1" x14ac:dyDescent="0.25">
      <c r="S25" s="211"/>
      <c r="T25" s="211"/>
      <c r="U25" s="212"/>
      <c r="AO25" s="211"/>
      <c r="AP25" s="211"/>
      <c r="AQ25" s="212"/>
    </row>
    <row r="26" spans="2:43" ht="19.5" customHeight="1" x14ac:dyDescent="0.25">
      <c r="S26" s="211"/>
      <c r="T26" s="211"/>
      <c r="U26" s="212"/>
      <c r="AO26" s="211"/>
      <c r="AP26" s="211"/>
      <c r="AQ26" s="212"/>
    </row>
    <row r="27" spans="2:43" ht="20.100000000000001" customHeight="1" x14ac:dyDescent="0.25">
      <c r="S27" s="211"/>
      <c r="T27" s="211"/>
      <c r="U27" s="212"/>
      <c r="AO27" s="211"/>
      <c r="AP27" s="211"/>
      <c r="AQ27" s="212"/>
    </row>
    <row r="28" spans="2:43" ht="20.100000000000001" customHeight="1" x14ac:dyDescent="0.25">
      <c r="D28" s="213" t="str">
        <f>D4</f>
        <v>Nº DE EXPEDIENTE: 2024.08.EPTE.0000</v>
      </c>
      <c r="E28" s="127"/>
      <c r="F28" s="214"/>
      <c r="S28" s="211"/>
      <c r="T28" s="211"/>
      <c r="U28" s="212"/>
      <c r="Y28" s="213" t="str">
        <f>Y4</f>
        <v>Nº DE EXPEDIENTE: 2024.08.EPTE.0000</v>
      </c>
      <c r="Z28" s="127"/>
      <c r="AA28" s="214"/>
      <c r="AO28" s="211"/>
      <c r="AP28" s="211"/>
      <c r="AQ28" s="212"/>
    </row>
    <row r="29" spans="2:43" ht="20.100000000000001" customHeight="1" x14ac:dyDescent="0.25">
      <c r="E29" s="128"/>
      <c r="F29" s="208"/>
      <c r="S29" s="211"/>
      <c r="T29" s="211"/>
      <c r="U29" s="212"/>
      <c r="Z29" s="128"/>
      <c r="AA29" s="208"/>
      <c r="AO29" s="211"/>
      <c r="AP29" s="211"/>
      <c r="AQ29" s="212"/>
    </row>
    <row r="30" spans="2:43" ht="20.100000000000001" customHeight="1" x14ac:dyDescent="0.25">
      <c r="D30" s="215" t="str">
        <f>D6</f>
        <v>TRABAJADOR:</v>
      </c>
      <c r="E30" s="131"/>
      <c r="F30" s="208"/>
      <c r="S30" s="211"/>
      <c r="T30" s="211"/>
      <c r="U30" s="212"/>
      <c r="Y30" s="215" t="str">
        <f>Y6</f>
        <v>TRABAJADOR:</v>
      </c>
      <c r="Z30" s="131"/>
      <c r="AA30" s="208"/>
      <c r="AO30" s="211"/>
      <c r="AP30" s="211"/>
      <c r="AQ30" s="212"/>
    </row>
    <row r="31" spans="2:43" ht="20.100000000000001" customHeight="1" x14ac:dyDescent="0.25">
      <c r="D31" s="215" t="str">
        <f>D7</f>
        <v>ACRÓNIMO:</v>
      </c>
      <c r="E31" s="131"/>
      <c r="F31" s="208"/>
      <c r="S31" s="211"/>
      <c r="T31" s="211"/>
      <c r="U31" s="212"/>
      <c r="Y31" s="215" t="str">
        <f>Y7</f>
        <v>ACRÓNIMO:</v>
      </c>
      <c r="Z31" s="131"/>
      <c r="AA31" s="208"/>
      <c r="AO31" s="211"/>
      <c r="AP31" s="211"/>
      <c r="AQ31" s="212"/>
    </row>
    <row r="32" spans="2:43" ht="20.100000000000001" customHeight="1" thickBot="1" x14ac:dyDescent="0.3">
      <c r="D32" s="215"/>
      <c r="E32" s="131"/>
      <c r="F32" s="208"/>
      <c r="S32" s="211"/>
      <c r="T32" s="211"/>
      <c r="U32" s="212"/>
      <c r="Y32" s="215"/>
      <c r="Z32" s="131"/>
      <c r="AA32" s="208"/>
      <c r="AO32" s="211"/>
      <c r="AP32" s="211"/>
      <c r="AQ32" s="212"/>
    </row>
    <row r="33" spans="2:43" s="216" customFormat="1" ht="25.5" customHeight="1" x14ac:dyDescent="0.25">
      <c r="B33" s="933">
        <f>$B$9+1</f>
        <v>2024</v>
      </c>
      <c r="C33" s="929" t="str">
        <f>CONCATENATE("PORCENTAJE
DEDICACIÓN
MENSUAL EJERCICIO ",B33)</f>
        <v>PORCENTAJE
DEDICACIÓN
MENSUAL EJERCICIO 2024</v>
      </c>
      <c r="D33" s="935" t="s">
        <v>116</v>
      </c>
      <c r="E33" s="936"/>
      <c r="F33" s="937"/>
      <c r="G33" s="938" t="s">
        <v>194</v>
      </c>
      <c r="H33" s="939"/>
      <c r="I33" s="940"/>
      <c r="J33" s="544" t="s">
        <v>117</v>
      </c>
      <c r="K33" s="935" t="s">
        <v>195</v>
      </c>
      <c r="L33" s="936"/>
      <c r="M33" s="937"/>
      <c r="N33" s="929" t="s">
        <v>161</v>
      </c>
      <c r="O33" s="931" t="s">
        <v>82</v>
      </c>
      <c r="R33" s="211"/>
      <c r="S33" s="211"/>
      <c r="W33" s="941">
        <f>$B$9+1</f>
        <v>2024</v>
      </c>
      <c r="X33" s="943" t="str">
        <f>CONCATENATE("PORCENTAJE
DEDICACIÓN
MENSUAL EJERCICIO ",W33)</f>
        <v>PORCENTAJE
DEDICACIÓN
MENSUAL EJERCICIO 2024</v>
      </c>
      <c r="Y33" s="945" t="s">
        <v>116</v>
      </c>
      <c r="Z33" s="946"/>
      <c r="AA33" s="947"/>
      <c r="AB33" s="948" t="s">
        <v>194</v>
      </c>
      <c r="AC33" s="949"/>
      <c r="AD33" s="950"/>
      <c r="AE33" s="217" t="s">
        <v>117</v>
      </c>
      <c r="AF33" s="945" t="s">
        <v>195</v>
      </c>
      <c r="AG33" s="946"/>
      <c r="AH33" s="947"/>
      <c r="AI33" s="943" t="s">
        <v>161</v>
      </c>
      <c r="AJ33" s="951" t="s">
        <v>344</v>
      </c>
      <c r="AK33" s="931" t="s">
        <v>345</v>
      </c>
      <c r="AN33" s="211"/>
      <c r="AO33" s="211"/>
    </row>
    <row r="34" spans="2:43" s="212" customFormat="1" ht="65.099999999999994" customHeight="1" thickBot="1" x14ac:dyDescent="0.3">
      <c r="B34" s="934"/>
      <c r="C34" s="930"/>
      <c r="D34" s="545" t="s">
        <v>196</v>
      </c>
      <c r="E34" s="288" t="s">
        <v>64</v>
      </c>
      <c r="F34" s="546" t="s">
        <v>83</v>
      </c>
      <c r="G34" s="547" t="s">
        <v>77</v>
      </c>
      <c r="H34" s="288" t="s">
        <v>119</v>
      </c>
      <c r="I34" s="548" t="s">
        <v>78</v>
      </c>
      <c r="J34" s="549" t="s">
        <v>118</v>
      </c>
      <c r="K34" s="547" t="s">
        <v>197</v>
      </c>
      <c r="L34" s="288" t="s">
        <v>75</v>
      </c>
      <c r="M34" s="548" t="s">
        <v>80</v>
      </c>
      <c r="N34" s="930"/>
      <c r="O34" s="932"/>
      <c r="R34" s="211"/>
      <c r="S34" s="120">
        <f>(1+('IDENTIFICACIÓN TRABAJADOR'!$H$45+'IDENTIFICACIÓN TRABAJADOR'!$L$45)/(360-'IDENTIFICACIÓN TRABAJADOR'!$H$45-'IDENTIFICACIÓN TRABAJADOR'!$L$45))</f>
        <v>1</v>
      </c>
      <c r="W34" s="942"/>
      <c r="X34" s="944"/>
      <c r="Y34" s="218" t="s">
        <v>196</v>
      </c>
      <c r="Z34" s="219" t="s">
        <v>64</v>
      </c>
      <c r="AA34" s="220" t="s">
        <v>83</v>
      </c>
      <c r="AB34" s="221" t="s">
        <v>77</v>
      </c>
      <c r="AC34" s="219" t="s">
        <v>119</v>
      </c>
      <c r="AD34" s="222" t="s">
        <v>78</v>
      </c>
      <c r="AE34" s="223" t="s">
        <v>118</v>
      </c>
      <c r="AF34" s="221" t="s">
        <v>197</v>
      </c>
      <c r="AG34" s="219" t="s">
        <v>75</v>
      </c>
      <c r="AH34" s="222" t="s">
        <v>80</v>
      </c>
      <c r="AI34" s="944"/>
      <c r="AJ34" s="952"/>
      <c r="AK34" s="932"/>
      <c r="AN34" s="211"/>
      <c r="AO34" s="120">
        <f>(1+('IDENTIFICACIÓN TRABAJADOR'!$H$45+'IDENTIFICACIÓN TRABAJADOR'!$L$45)/(360-'IDENTIFICACIÓN TRABAJADOR'!$H$45-'IDENTIFICACIÓN TRABAJADOR'!$L$45))</f>
        <v>1</v>
      </c>
    </row>
    <row r="35" spans="2:43" ht="15" customHeight="1" x14ac:dyDescent="0.25">
      <c r="B35" s="224" t="s">
        <v>45</v>
      </c>
      <c r="C35" s="225">
        <f>IFERROR(IF(OR(DATE($B$33,MONTH(DATEVALUE(B35&amp;"1")),1)&lt;DATE(YEAR(EXPEDIENTE!$I$25),MONTH(EXPEDIENTE!$I$25),1),DATE($B$33,MONTH(DATEVALUE(B35&amp;"1")),1)&gt;DATE(YEAR(EXPEDIENTE!$I$27),MONTH(EXPEDIENTE!$I$27)+1,1)-1),0,ROUND('% DEDICACIÓN TRABAJADOR'!G45,4)),0)</f>
        <v>0</v>
      </c>
      <c r="D35" s="229">
        <f>'GASTOS EJER. 2'!F20+'GASTOS EJER. 2'!L20-'GASTOS EJER. 2'!X20-'GASTOS EJER. 2'!Y20</f>
        <v>0</v>
      </c>
      <c r="E35" s="227" t="str">
        <f>IF('GASTOS EJER. 2'!AA20="","",'GASTOS EJER. 2'!AA20)</f>
        <v/>
      </c>
      <c r="F35" s="228">
        <f>IF(E35&lt;=EXPEDIENTE!$I$29,D35,0)</f>
        <v>0</v>
      </c>
      <c r="G35" s="229">
        <f>'GASTOS EJER. 2'!Y20</f>
        <v>0</v>
      </c>
      <c r="H35" s="227" t="str">
        <f>IF('GASTOS EJER. 2'!AB20="","",'GASTOS EJER. 2'!AB20)</f>
        <v/>
      </c>
      <c r="I35" s="228">
        <f>IF(H35&lt;=EXPEDIENTE!$I$29,G35,0)</f>
        <v>0</v>
      </c>
      <c r="J35" s="230">
        <f>AUXILIAR!BU39</f>
        <v>0</v>
      </c>
      <c r="K35" s="229">
        <f>AUXILIAR!FP39</f>
        <v>0</v>
      </c>
      <c r="L35" s="227" t="str">
        <f>IF('GASTOS EJER. 2'!I49="","",'GASTOS EJER. 2'!I49)</f>
        <v/>
      </c>
      <c r="M35" s="228">
        <f>IF(L35&lt;=EXPEDIENTE!$I$29,K35,0)</f>
        <v>0</v>
      </c>
      <c r="N35" s="230">
        <f>IF($U$42=0,0,IF(AND($U$44&gt;$U$42,$U$40=1100%),MIN(AUXILIAR!$P$17,ROUND($U$42/$U$44*(F35+I35+J35+M35)*(1+('IDENTIFICACIÓN TRABAJADOR'!$H$45+'IDENTIFICACIÓN TRABAJADOR'!$L$45)/('IDENTIFICACIÓN TRABAJADOR'!$E$34-'IDENTIFICACIÓN TRABAJADOR'!$H$45-'IDENTIFICACIÓN TRABAJADOR'!$L$45)),2)),MIN(AUXILIAR!$P$17,ROUND((F35+I35+J35+M35)*(1+('IDENTIFICACIÓN TRABAJADOR'!$H$45+'IDENTIFICACIÓN TRABAJADOR'!$L$45)/('IDENTIFICACIÓN TRABAJADOR'!$E$34-'IDENTIFICACIÓN TRABAJADOR'!$H$45-'IDENTIFICACIÓN TRABAJADOR'!$L$45)),2))))</f>
        <v>0</v>
      </c>
      <c r="O35" s="232">
        <f t="shared" ref="O35:O46" si="3">IF($U$48&gt;0,0,ROUND(C35*N35,2))</f>
        <v>0</v>
      </c>
      <c r="P35" s="212"/>
      <c r="R35" s="211"/>
      <c r="S35" s="209">
        <f>ROUND(C35*(F35+I35+J35+M35)*(1+('IDENTIFICACIÓN TRABAJADOR'!$H$45+'IDENTIFICACIÓN TRABAJADOR'!$L$45)/(360-'IDENTIFICACIÓN TRABAJADOR'!$H$45-'IDENTIFICACIÓN TRABAJADOR'!$L$45)),2)</f>
        <v>0</v>
      </c>
      <c r="T35" s="212"/>
      <c r="U35" s="212"/>
      <c r="W35" s="224" t="s">
        <v>45</v>
      </c>
      <c r="X35" s="225">
        <f>IFERROR(IF(OR(DATE($B$33,MONTH(DATEVALUE(W35&amp;"1")),1)&lt;DATE(YEAR(EXPEDIENTE!$I$25),MONTH(EXPEDIENTE!$I$25),1),DATE($B$33,MONTH(DATEVALUE(W35&amp;"1")),1)&gt;DATE(YEAR(EXPEDIENTE!$I$27),MONTH(EXPEDIENTE!$I$27)+1,1)-1),0,ROUND('% DEDICACIÓN TRABAJADOR'!G45,4)),0)</f>
        <v>0</v>
      </c>
      <c r="Y35" s="229">
        <f>'GASTOS EJER. 2'!AW20+'GASTOS EJER. 2'!BM20-'GASTOS EJER. 2'!CM20-'GASTOS EJER. 2'!CP20</f>
        <v>0</v>
      </c>
      <c r="Z35" s="227" t="str">
        <f>IF('GASTOS EJER. 2'!CT20="","",'GASTOS EJER. 2'!CT20)</f>
        <v/>
      </c>
      <c r="AA35" s="228">
        <f>IF(Z35&lt;=EXPEDIENTE!$I$29,Y35,0)</f>
        <v>0</v>
      </c>
      <c r="AB35" s="229">
        <f>'GASTOS EJER. 2'!CP20</f>
        <v>0</v>
      </c>
      <c r="AC35" s="227" t="str">
        <f>IF('GASTOS EJER. 2'!CW20="","",'GASTOS EJER. 2'!CW20)</f>
        <v/>
      </c>
      <c r="AD35" s="228">
        <f>IF(AC35&lt;=EXPEDIENTE!$I$29,AB35,0)</f>
        <v>0</v>
      </c>
      <c r="AE35" s="230">
        <f>AUXILIAR!DL39</f>
        <v>0</v>
      </c>
      <c r="AF35" s="229">
        <f>AUXILIAR!HU39</f>
        <v>0</v>
      </c>
      <c r="AG35" s="227" t="str">
        <f>IF('GASTOS EJER. 2'!BF49="","",'GASTOS EJER. 2'!BF49)</f>
        <v/>
      </c>
      <c r="AH35" s="228">
        <f>IF(AG35&lt;=EXPEDIENTE!$I$29,AF35,0)</f>
        <v>0</v>
      </c>
      <c r="AI35" s="230">
        <f>IF($AQ$42=0,0,IF(AND($AQ$44&gt;$AQ$42,$AQ$40=1100%),MIN(AUXILIAR!$P$17,ROUND($AQ$42/$AQ$44*(AA35+AD35+AE35+AH35)*(1+('IDENTIFICACIÓN TRABAJADOR'!$H$45+'IDENTIFICACIÓN TRABAJADOR'!$L$45)/('IDENTIFICACIÓN TRABAJADOR'!$E$34-'IDENTIFICACIÓN TRABAJADOR'!$H$45-'IDENTIFICACIÓN TRABAJADOR'!$L$45)),2)),MIN(AUXILIAR!$P$17,ROUND((AA35+AD35+AE35+AH35)*(1+('IDENTIFICACIÓN TRABAJADOR'!$H$45+'IDENTIFICACIÓN TRABAJADOR'!$L$45)/('IDENTIFICACIÓN TRABAJADOR'!$E$34-'IDENTIFICACIÓN TRABAJADOR'!$H$45-'IDENTIFICACIÓN TRABAJADOR'!$L$45)),2))))</f>
        <v>0</v>
      </c>
      <c r="AJ35" s="231">
        <f>IF($AQ$48&gt;0,0,ROUND(X35*AI35,2))</f>
        <v>0</v>
      </c>
      <c r="AK35" s="232">
        <f>O35</f>
        <v>0</v>
      </c>
      <c r="AL35" s="212"/>
      <c r="AN35" s="211"/>
      <c r="AO35" s="209">
        <f>ROUND(X35*(AA35+AD35+AE35+AH35)*(1+('IDENTIFICACIÓN TRABAJADOR'!$H$45+'IDENTIFICACIÓN TRABAJADOR'!$L$45)/(360-'IDENTIFICACIÓN TRABAJADOR'!$H$45-'IDENTIFICACIÓN TRABAJADOR'!$L$45)),2)</f>
        <v>0</v>
      </c>
      <c r="AP35" s="212"/>
      <c r="AQ35" s="212"/>
    </row>
    <row r="36" spans="2:43" ht="15" customHeight="1" x14ac:dyDescent="0.25">
      <c r="B36" s="233" t="s">
        <v>46</v>
      </c>
      <c r="C36" s="234">
        <f>IFERROR(IF(OR(DATE($B$33,MONTH(DATEVALUE(B36&amp;"1")),1)&lt;DATE(YEAR(EXPEDIENTE!$I$25),MONTH(EXPEDIENTE!$I$25),1),DATE($B$33,MONTH(DATEVALUE(B36&amp;"1")),1)&gt;DATE(YEAR(EXPEDIENTE!$I$27),MONTH(EXPEDIENTE!$I$27)+1,1)-1),0,ROUND('% DEDICACIÓN TRABAJADOR'!H45,4)),0)</f>
        <v>0</v>
      </c>
      <c r="D36" s="238">
        <f>'GASTOS EJER. 2'!F21+'GASTOS EJER. 2'!L21-'GASTOS EJER. 2'!X21-'GASTOS EJER. 2'!Y21</f>
        <v>0</v>
      </c>
      <c r="E36" s="236" t="str">
        <f>IF('GASTOS EJER. 2'!AA21="","",'GASTOS EJER. 2'!AA21)</f>
        <v/>
      </c>
      <c r="F36" s="237">
        <f>IF(E36&lt;=EXPEDIENTE!$I$29,D36,0)</f>
        <v>0</v>
      </c>
      <c r="G36" s="238">
        <f>'GASTOS EJER. 2'!Y21</f>
        <v>0</v>
      </c>
      <c r="H36" s="236" t="str">
        <f>IF('GASTOS EJER. 2'!AB21="","",'GASTOS EJER. 2'!AB21)</f>
        <v/>
      </c>
      <c r="I36" s="237">
        <f>IF(H36&lt;=EXPEDIENTE!$I$29,G36,0)</f>
        <v>0</v>
      </c>
      <c r="J36" s="239">
        <f>AUXILIAR!BU40</f>
        <v>0</v>
      </c>
      <c r="K36" s="238">
        <f>AUXILIAR!FP40</f>
        <v>0</v>
      </c>
      <c r="L36" s="236" t="str">
        <f>IF('GASTOS EJER. 2'!I50="","",'GASTOS EJER. 2'!I50)</f>
        <v/>
      </c>
      <c r="M36" s="237">
        <f>IF(L36&lt;=EXPEDIENTE!$I$29,K36,0)</f>
        <v>0</v>
      </c>
      <c r="N36" s="239">
        <f>IF($U$42=0,0,IF(AND($U$44&gt;$U$42,$U$40=1100%),MIN(AUXILIAR!$P$17,ROUND($U$42/$U$44*(F36+I36+J36+M36)*(1+('IDENTIFICACIÓN TRABAJADOR'!$H$45+'IDENTIFICACIÓN TRABAJADOR'!$L$45)/('IDENTIFICACIÓN TRABAJADOR'!$E$34-'IDENTIFICACIÓN TRABAJADOR'!$H$45-'IDENTIFICACIÓN TRABAJADOR'!$L$45)),2)),MIN(AUXILIAR!$P$17,ROUND((F36+I36+J36+M36)*(1+('IDENTIFICACIÓN TRABAJADOR'!$H$45+'IDENTIFICACIÓN TRABAJADOR'!$L$45)/('IDENTIFICACIÓN TRABAJADOR'!$E$34-'IDENTIFICACIÓN TRABAJADOR'!$H$45-'IDENTIFICACIÓN TRABAJADOR'!$L$45)),2))))</f>
        <v>0</v>
      </c>
      <c r="O36" s="241">
        <f t="shared" si="3"/>
        <v>0</v>
      </c>
      <c r="P36" s="212"/>
      <c r="R36" s="211"/>
      <c r="S36" s="209">
        <f>ROUND(C36*(F36+I36+J36+M36)*(1+('IDENTIFICACIÓN TRABAJADOR'!$H$45+'IDENTIFICACIÓN TRABAJADOR'!$L$45)/(360-'IDENTIFICACIÓN TRABAJADOR'!$H$45-'IDENTIFICACIÓN TRABAJADOR'!$L$45)),2)</f>
        <v>0</v>
      </c>
      <c r="T36" s="212"/>
      <c r="U36" s="212"/>
      <c r="W36" s="233" t="s">
        <v>46</v>
      </c>
      <c r="X36" s="234">
        <f>IFERROR(IF(OR(DATE($B$33,MONTH(DATEVALUE(W36&amp;"1")),1)&lt;DATE(YEAR(EXPEDIENTE!$I$25),MONTH(EXPEDIENTE!$I$25),1),DATE($B$33,MONTH(DATEVALUE(W36&amp;"1")),1)&gt;DATE(YEAR(EXPEDIENTE!$I$27),MONTH(EXPEDIENTE!$I$27)+1,1)-1),0,ROUND('% DEDICACIÓN TRABAJADOR'!H45,4)),0)</f>
        <v>0</v>
      </c>
      <c r="Y36" s="238">
        <f>'GASTOS EJER. 2'!AW21+'GASTOS EJER. 2'!BM21-'GASTOS EJER. 2'!CM21-'GASTOS EJER. 2'!CP21</f>
        <v>0</v>
      </c>
      <c r="Z36" s="236" t="str">
        <f>IF('GASTOS EJER. 2'!CT21="","",'GASTOS EJER. 2'!CT21)</f>
        <v/>
      </c>
      <c r="AA36" s="237">
        <f>IF(Z36&lt;=EXPEDIENTE!$I$29,Y36,0)</f>
        <v>0</v>
      </c>
      <c r="AB36" s="238">
        <f>'GASTOS EJER. 2'!CP21</f>
        <v>0</v>
      </c>
      <c r="AC36" s="236" t="str">
        <f>IF('GASTOS EJER. 2'!CW21="","",'GASTOS EJER. 2'!CW21)</f>
        <v/>
      </c>
      <c r="AD36" s="237">
        <f>IF(AC36&lt;=EXPEDIENTE!$I$29,AB36,0)</f>
        <v>0</v>
      </c>
      <c r="AE36" s="239">
        <f>AUXILIAR!DL40</f>
        <v>0</v>
      </c>
      <c r="AF36" s="238">
        <f>AUXILIAR!HU40</f>
        <v>0</v>
      </c>
      <c r="AG36" s="236" t="str">
        <f>IF('GASTOS EJER. 2'!BF50="","",'GASTOS EJER. 2'!BF50)</f>
        <v/>
      </c>
      <c r="AH36" s="237">
        <f>IF(AG36&lt;=EXPEDIENTE!$I$29,AF36,0)</f>
        <v>0</v>
      </c>
      <c r="AI36" s="239">
        <f>IF($AQ$42=0,0,IF(AND($AQ$44&gt;$AQ$42,$AQ$40=1100%),MIN(AUXILIAR!$P$17,ROUND($AQ$42/$AQ$44*(AA36+AD36+AE36+AH36)*(1+('IDENTIFICACIÓN TRABAJADOR'!$H$45+'IDENTIFICACIÓN TRABAJADOR'!$L$45)/('IDENTIFICACIÓN TRABAJADOR'!$E$34-'IDENTIFICACIÓN TRABAJADOR'!$H$45-'IDENTIFICACIÓN TRABAJADOR'!$L$45)),2)),MIN(AUXILIAR!$P$17,ROUND((AA36+AD36+AE36+AH36)*(1+('IDENTIFICACIÓN TRABAJADOR'!$H$45+'IDENTIFICACIÓN TRABAJADOR'!$L$45)/('IDENTIFICACIÓN TRABAJADOR'!$E$34-'IDENTIFICACIÓN TRABAJADOR'!$H$45-'IDENTIFICACIÓN TRABAJADOR'!$L$45)),2))))</f>
        <v>0</v>
      </c>
      <c r="AJ36" s="240">
        <f t="shared" ref="AJ36:AJ46" si="4">IF($AQ$48&gt;0,0,ROUND(X36*AI36,2))</f>
        <v>0</v>
      </c>
      <c r="AK36" s="241">
        <f t="shared" ref="AK36:AK46" si="5">O36</f>
        <v>0</v>
      </c>
      <c r="AL36" s="212"/>
      <c r="AN36" s="211"/>
      <c r="AO36" s="209">
        <f>ROUND(X36*(AA36+AD36+AE36+AH36)*(1+('IDENTIFICACIÓN TRABAJADOR'!$H$45+'IDENTIFICACIÓN TRABAJADOR'!$L$45)/(360-'IDENTIFICACIÓN TRABAJADOR'!$H$45-'IDENTIFICACIÓN TRABAJADOR'!$L$45)),2)</f>
        <v>0</v>
      </c>
      <c r="AP36" s="212"/>
      <c r="AQ36" s="212"/>
    </row>
    <row r="37" spans="2:43" ht="15" customHeight="1" x14ac:dyDescent="0.25">
      <c r="B37" s="233" t="s">
        <v>47</v>
      </c>
      <c r="C37" s="234">
        <f>IFERROR(IF(OR(DATE($B$33,MONTH(DATEVALUE(B37&amp;"1")),1)&lt;DATE(YEAR(EXPEDIENTE!$I$25),MONTH(EXPEDIENTE!$I$25),1),DATE($B$33,MONTH(DATEVALUE(B37&amp;"1")),1)&gt;DATE(YEAR(EXPEDIENTE!$I$27),MONTH(EXPEDIENTE!$I$27)+1,1)-1),0,ROUND('% DEDICACIÓN TRABAJADOR'!I45,4)),0)</f>
        <v>0</v>
      </c>
      <c r="D37" s="238">
        <f>'GASTOS EJER. 2'!F22+'GASTOS EJER. 2'!L22-'GASTOS EJER. 2'!X22-'GASTOS EJER. 2'!Y22</f>
        <v>0</v>
      </c>
      <c r="E37" s="236" t="str">
        <f>IF('GASTOS EJER. 2'!AA22="","",'GASTOS EJER. 2'!AA22)</f>
        <v/>
      </c>
      <c r="F37" s="237">
        <f>IF(E37&lt;=EXPEDIENTE!$I$29,D37,0)</f>
        <v>0</v>
      </c>
      <c r="G37" s="238">
        <f>'GASTOS EJER. 2'!Y22</f>
        <v>0</v>
      </c>
      <c r="H37" s="236" t="str">
        <f>IF('GASTOS EJER. 2'!AB22="","",'GASTOS EJER. 2'!AB22)</f>
        <v/>
      </c>
      <c r="I37" s="237">
        <f>IF(H37&lt;=EXPEDIENTE!$I$29,G37,0)</f>
        <v>0</v>
      </c>
      <c r="J37" s="239">
        <f>AUXILIAR!BU41</f>
        <v>0</v>
      </c>
      <c r="K37" s="238">
        <f>AUXILIAR!FP41</f>
        <v>0</v>
      </c>
      <c r="L37" s="236" t="str">
        <f>IF('GASTOS EJER. 2'!I51="","",'GASTOS EJER. 2'!I51)</f>
        <v/>
      </c>
      <c r="M37" s="237">
        <f>IF(L37&lt;=EXPEDIENTE!$I$29,K37,0)</f>
        <v>0</v>
      </c>
      <c r="N37" s="239">
        <f>IF($U$42=0,0,IF(AND($U$44&gt;$U$42,$U$40=1100%),MIN(AUXILIAR!$P$17,ROUND($U$42/$U$44*(F37+I37+J37+M37)*(1+('IDENTIFICACIÓN TRABAJADOR'!$H$45+'IDENTIFICACIÓN TRABAJADOR'!$L$45)/('IDENTIFICACIÓN TRABAJADOR'!$E$34-'IDENTIFICACIÓN TRABAJADOR'!$H$45-'IDENTIFICACIÓN TRABAJADOR'!$L$45)),2)),MIN(AUXILIAR!$P$17,ROUND((F37+I37+J37+M37)*(1+('IDENTIFICACIÓN TRABAJADOR'!$H$45+'IDENTIFICACIÓN TRABAJADOR'!$L$45)/('IDENTIFICACIÓN TRABAJADOR'!$E$34-'IDENTIFICACIÓN TRABAJADOR'!$H$45-'IDENTIFICACIÓN TRABAJADOR'!$L$45)),2))))</f>
        <v>0</v>
      </c>
      <c r="O37" s="241">
        <f t="shared" si="3"/>
        <v>0</v>
      </c>
      <c r="P37" s="212"/>
      <c r="R37" s="211"/>
      <c r="S37" s="209">
        <f>ROUND(C37*(F37+I37+J37+M37)*(1+('IDENTIFICACIÓN TRABAJADOR'!$H$45+'IDENTIFICACIÓN TRABAJADOR'!$L$45)/(360-'IDENTIFICACIÓN TRABAJADOR'!$H$45-'IDENTIFICACIÓN TRABAJADOR'!$L$45)),2)</f>
        <v>0</v>
      </c>
      <c r="T37" s="212"/>
      <c r="U37" s="212"/>
      <c r="W37" s="233" t="s">
        <v>47</v>
      </c>
      <c r="X37" s="234">
        <f>IFERROR(IF(OR(DATE($B$33,MONTH(DATEVALUE(W37&amp;"1")),1)&lt;DATE(YEAR(EXPEDIENTE!$I$25),MONTH(EXPEDIENTE!$I$25),1),DATE($B$33,MONTH(DATEVALUE(W37&amp;"1")),1)&gt;DATE(YEAR(EXPEDIENTE!$I$27),MONTH(EXPEDIENTE!$I$27)+1,1)-1),0,ROUND('% DEDICACIÓN TRABAJADOR'!I45,4)),0)</f>
        <v>0</v>
      </c>
      <c r="Y37" s="238">
        <f>'GASTOS EJER. 2'!AW22+'GASTOS EJER. 2'!BM22-'GASTOS EJER. 2'!CM22-'GASTOS EJER. 2'!CP22</f>
        <v>0</v>
      </c>
      <c r="Z37" s="236" t="str">
        <f>IF('GASTOS EJER. 2'!CT22="","",'GASTOS EJER. 2'!CT22)</f>
        <v/>
      </c>
      <c r="AA37" s="237">
        <f>IF(Z37&lt;=EXPEDIENTE!$I$29,Y37,0)</f>
        <v>0</v>
      </c>
      <c r="AB37" s="238">
        <f>'GASTOS EJER. 2'!CP22</f>
        <v>0</v>
      </c>
      <c r="AC37" s="236" t="str">
        <f>IF('GASTOS EJER. 2'!CW22="","",'GASTOS EJER. 2'!CW22)</f>
        <v/>
      </c>
      <c r="AD37" s="237">
        <f>IF(AC37&lt;=EXPEDIENTE!$I$29,AB37,0)</f>
        <v>0</v>
      </c>
      <c r="AE37" s="239">
        <f>AUXILIAR!DL41</f>
        <v>0</v>
      </c>
      <c r="AF37" s="238">
        <f>AUXILIAR!HU41</f>
        <v>0</v>
      </c>
      <c r="AG37" s="236" t="str">
        <f>IF('GASTOS EJER. 2'!BF51="","",'GASTOS EJER. 2'!BF51)</f>
        <v/>
      </c>
      <c r="AH37" s="237">
        <f>IF(AG37&lt;=EXPEDIENTE!$I$29,AF37,0)</f>
        <v>0</v>
      </c>
      <c r="AI37" s="239">
        <f>IF($AQ$42=0,0,IF(AND($AQ$44&gt;$AQ$42,$AQ$40=1100%),MIN(AUXILIAR!$P$17,ROUND($AQ$42/$AQ$44*(AA37+AD37+AE37+AH37)*(1+('IDENTIFICACIÓN TRABAJADOR'!$H$45+'IDENTIFICACIÓN TRABAJADOR'!$L$45)/('IDENTIFICACIÓN TRABAJADOR'!$E$34-'IDENTIFICACIÓN TRABAJADOR'!$H$45-'IDENTIFICACIÓN TRABAJADOR'!$L$45)),2)),MIN(AUXILIAR!$P$17,ROUND((AA37+AD37+AE37+AH37)*(1+('IDENTIFICACIÓN TRABAJADOR'!$H$45+'IDENTIFICACIÓN TRABAJADOR'!$L$45)/('IDENTIFICACIÓN TRABAJADOR'!$E$34-'IDENTIFICACIÓN TRABAJADOR'!$H$45-'IDENTIFICACIÓN TRABAJADOR'!$L$45)),2))))</f>
        <v>0</v>
      </c>
      <c r="AJ37" s="240">
        <f t="shared" si="4"/>
        <v>0</v>
      </c>
      <c r="AK37" s="241">
        <f t="shared" si="5"/>
        <v>0</v>
      </c>
      <c r="AL37" s="212"/>
      <c r="AN37" s="211"/>
      <c r="AO37" s="209">
        <f>ROUND(X37*(AA37+AD37+AE37+AH37)*(1+('IDENTIFICACIÓN TRABAJADOR'!$H$45+'IDENTIFICACIÓN TRABAJADOR'!$L$45)/(360-'IDENTIFICACIÓN TRABAJADOR'!$H$45-'IDENTIFICACIÓN TRABAJADOR'!$L$45)),2)</f>
        <v>0</v>
      </c>
      <c r="AP37" s="212"/>
      <c r="AQ37" s="212"/>
    </row>
    <row r="38" spans="2:43" ht="15" customHeight="1" x14ac:dyDescent="0.25">
      <c r="B38" s="233" t="s">
        <v>48</v>
      </c>
      <c r="C38" s="234">
        <f>IFERROR(IF(OR(DATE($B$33,MONTH(DATEVALUE(B38&amp;"1")),1)&lt;DATE(YEAR(EXPEDIENTE!$I$25),MONTH(EXPEDIENTE!$I$25),1),DATE($B$33,MONTH(DATEVALUE(B38&amp;"1")),1)&gt;DATE(YEAR(EXPEDIENTE!$I$27),MONTH(EXPEDIENTE!$I$27)+1,1)-1),0,ROUND('% DEDICACIÓN TRABAJADOR'!J45,4)),0)</f>
        <v>0</v>
      </c>
      <c r="D38" s="238">
        <f>'GASTOS EJER. 2'!F23+'GASTOS EJER. 2'!L23-'GASTOS EJER. 2'!X23-'GASTOS EJER. 2'!Y23</f>
        <v>0</v>
      </c>
      <c r="E38" s="236" t="str">
        <f>IF('GASTOS EJER. 2'!AA23="","",'GASTOS EJER. 2'!AA23)</f>
        <v/>
      </c>
      <c r="F38" s="237">
        <f>IF(E38&lt;=EXPEDIENTE!$I$29,D38,0)</f>
        <v>0</v>
      </c>
      <c r="G38" s="238">
        <f>'GASTOS EJER. 2'!Y23</f>
        <v>0</v>
      </c>
      <c r="H38" s="236" t="str">
        <f>IF('GASTOS EJER. 2'!AB23="","",'GASTOS EJER. 2'!AB23)</f>
        <v/>
      </c>
      <c r="I38" s="237">
        <f>IF(H38&lt;=EXPEDIENTE!$I$29,G38,0)</f>
        <v>0</v>
      </c>
      <c r="J38" s="239">
        <f>AUXILIAR!BU42</f>
        <v>0</v>
      </c>
      <c r="K38" s="238">
        <f>AUXILIAR!FP42</f>
        <v>0</v>
      </c>
      <c r="L38" s="236" t="str">
        <f>IF('GASTOS EJER. 2'!I52="","",'GASTOS EJER. 2'!I52)</f>
        <v/>
      </c>
      <c r="M38" s="237">
        <f>IF(L38&lt;=EXPEDIENTE!$I$29,K38,0)</f>
        <v>0</v>
      </c>
      <c r="N38" s="239">
        <f>IF($U$42=0,0,IF(AND($U$44&gt;$U$42,$U$40=1100%),MIN(AUXILIAR!$P$17,ROUND($U$42/$U$44*(F38+I38+J38+M38)*(1+('IDENTIFICACIÓN TRABAJADOR'!$H$45+'IDENTIFICACIÓN TRABAJADOR'!$L$45)/('IDENTIFICACIÓN TRABAJADOR'!$E$34-'IDENTIFICACIÓN TRABAJADOR'!$H$45-'IDENTIFICACIÓN TRABAJADOR'!$L$45)),2)),MIN(AUXILIAR!$P$17,ROUND((F38+I38+J38+M38)*(1+('IDENTIFICACIÓN TRABAJADOR'!$H$45+'IDENTIFICACIÓN TRABAJADOR'!$L$45)/('IDENTIFICACIÓN TRABAJADOR'!$E$34-'IDENTIFICACIÓN TRABAJADOR'!$H$45-'IDENTIFICACIÓN TRABAJADOR'!$L$45)),2))))</f>
        <v>0</v>
      </c>
      <c r="O38" s="241">
        <f t="shared" si="3"/>
        <v>0</v>
      </c>
      <c r="P38" s="212"/>
      <c r="R38" s="211"/>
      <c r="S38" s="209">
        <f>ROUND(C38*(F38+I38+J38+M38)*(1+('IDENTIFICACIÓN TRABAJADOR'!$H$45+'IDENTIFICACIÓN TRABAJADOR'!$L$45)/(360-'IDENTIFICACIÓN TRABAJADOR'!$H$45-'IDENTIFICACIÓN TRABAJADOR'!$L$45)),2)</f>
        <v>0</v>
      </c>
      <c r="T38" s="212"/>
      <c r="U38" s="212"/>
      <c r="W38" s="233" t="s">
        <v>48</v>
      </c>
      <c r="X38" s="234">
        <f>IFERROR(IF(OR(DATE($B$33,MONTH(DATEVALUE(W38&amp;"1")),1)&lt;DATE(YEAR(EXPEDIENTE!$I$25),MONTH(EXPEDIENTE!$I$25),1),DATE($B$33,MONTH(DATEVALUE(W38&amp;"1")),1)&gt;DATE(YEAR(EXPEDIENTE!$I$27),MONTH(EXPEDIENTE!$I$27)+1,1)-1),0,ROUND('% DEDICACIÓN TRABAJADOR'!J45,4)),0)</f>
        <v>0</v>
      </c>
      <c r="Y38" s="238">
        <f>'GASTOS EJER. 2'!AW23+'GASTOS EJER. 2'!BM23-'GASTOS EJER. 2'!CM23-'GASTOS EJER. 2'!CP23</f>
        <v>0</v>
      </c>
      <c r="Z38" s="236" t="str">
        <f>IF('GASTOS EJER. 2'!CT23="","",'GASTOS EJER. 2'!CT23)</f>
        <v/>
      </c>
      <c r="AA38" s="237">
        <f>IF(Z38&lt;=EXPEDIENTE!$I$29,Y38,0)</f>
        <v>0</v>
      </c>
      <c r="AB38" s="238">
        <f>'GASTOS EJER. 2'!CP23</f>
        <v>0</v>
      </c>
      <c r="AC38" s="236" t="str">
        <f>IF('GASTOS EJER. 2'!CW23="","",'GASTOS EJER. 2'!CW23)</f>
        <v/>
      </c>
      <c r="AD38" s="237">
        <f>IF(AC38&lt;=EXPEDIENTE!$I$29,AB38,0)</f>
        <v>0</v>
      </c>
      <c r="AE38" s="239">
        <f>AUXILIAR!DL42</f>
        <v>0</v>
      </c>
      <c r="AF38" s="238">
        <f>AUXILIAR!HU42</f>
        <v>0</v>
      </c>
      <c r="AG38" s="236" t="str">
        <f>IF('GASTOS EJER. 2'!BF52="","",'GASTOS EJER. 2'!BF52)</f>
        <v/>
      </c>
      <c r="AH38" s="237">
        <f>IF(AG38&lt;=EXPEDIENTE!$I$29,AF38,0)</f>
        <v>0</v>
      </c>
      <c r="AI38" s="239">
        <f>IF($AQ$42=0,0,IF(AND($AQ$44&gt;$AQ$42,$AQ$40=1100%),MIN(AUXILIAR!$P$17,ROUND($AQ$42/$AQ$44*(AA38+AD38+AE38+AH38)*(1+('IDENTIFICACIÓN TRABAJADOR'!$H$45+'IDENTIFICACIÓN TRABAJADOR'!$L$45)/('IDENTIFICACIÓN TRABAJADOR'!$E$34-'IDENTIFICACIÓN TRABAJADOR'!$H$45-'IDENTIFICACIÓN TRABAJADOR'!$L$45)),2)),MIN(AUXILIAR!$P$17,ROUND((AA38+AD38+AE38+AH38)*(1+('IDENTIFICACIÓN TRABAJADOR'!$H$45+'IDENTIFICACIÓN TRABAJADOR'!$L$45)/('IDENTIFICACIÓN TRABAJADOR'!$E$34-'IDENTIFICACIÓN TRABAJADOR'!$H$45-'IDENTIFICACIÓN TRABAJADOR'!$L$45)),2))))</f>
        <v>0</v>
      </c>
      <c r="AJ38" s="240">
        <f t="shared" si="4"/>
        <v>0</v>
      </c>
      <c r="AK38" s="241">
        <f t="shared" si="5"/>
        <v>0</v>
      </c>
      <c r="AL38" s="212"/>
      <c r="AN38" s="211"/>
      <c r="AO38" s="209">
        <f>ROUND(X38*(AA38+AD38+AE38+AH38)*(1+('IDENTIFICACIÓN TRABAJADOR'!$H$45+'IDENTIFICACIÓN TRABAJADOR'!$L$45)/(360-'IDENTIFICACIÓN TRABAJADOR'!$H$45-'IDENTIFICACIÓN TRABAJADOR'!$L$45)),2)</f>
        <v>0</v>
      </c>
      <c r="AP38" s="212"/>
      <c r="AQ38" s="212"/>
    </row>
    <row r="39" spans="2:43" ht="15" customHeight="1" x14ac:dyDescent="0.25">
      <c r="B39" s="233" t="s">
        <v>49</v>
      </c>
      <c r="C39" s="234">
        <f>IFERROR(IF(OR(DATE($B$33,MONTH(DATEVALUE(B39&amp;"1")),1)&lt;DATE(YEAR(EXPEDIENTE!$I$25),MONTH(EXPEDIENTE!$I$25),1),DATE($B$33,MONTH(DATEVALUE(B39&amp;"1")),1)&gt;DATE(YEAR(EXPEDIENTE!$I$27),MONTH(EXPEDIENTE!$I$27)+1,1)-1),0,ROUND('% DEDICACIÓN TRABAJADOR'!K45,4)),0)</f>
        <v>0</v>
      </c>
      <c r="D39" s="238">
        <f>'GASTOS EJER. 2'!F24+'GASTOS EJER. 2'!L24-'GASTOS EJER. 2'!X24-'GASTOS EJER. 2'!Y24</f>
        <v>0</v>
      </c>
      <c r="E39" s="236" t="str">
        <f>IF('GASTOS EJER. 2'!AA24="","",'GASTOS EJER. 2'!AA24)</f>
        <v/>
      </c>
      <c r="F39" s="237">
        <f>IF(E39&lt;=EXPEDIENTE!$I$29,D39,0)</f>
        <v>0</v>
      </c>
      <c r="G39" s="238">
        <f>'GASTOS EJER. 2'!Y24</f>
        <v>0</v>
      </c>
      <c r="H39" s="236" t="str">
        <f>IF('GASTOS EJER. 2'!AB24="","",'GASTOS EJER. 2'!AB24)</f>
        <v/>
      </c>
      <c r="I39" s="237">
        <f>IF(H39&lt;=EXPEDIENTE!$I$29,G39,0)</f>
        <v>0</v>
      </c>
      <c r="J39" s="239">
        <f>AUXILIAR!BU43</f>
        <v>0</v>
      </c>
      <c r="K39" s="238">
        <f>AUXILIAR!FP43</f>
        <v>0</v>
      </c>
      <c r="L39" s="236" t="str">
        <f>IF('GASTOS EJER. 2'!I53="","",'GASTOS EJER. 2'!I53)</f>
        <v/>
      </c>
      <c r="M39" s="237">
        <f>IF(L39&lt;=EXPEDIENTE!$I$29,K39,0)</f>
        <v>0</v>
      </c>
      <c r="N39" s="239">
        <f>IF($U$42=0,0,IF(AND($U$44&gt;$U$42,$U$40=1100%),MIN(AUXILIAR!$P$17,ROUND($U$42/$U$44*(F39+I39+J39+M39)*(1+('IDENTIFICACIÓN TRABAJADOR'!$H$45+'IDENTIFICACIÓN TRABAJADOR'!$L$45)/('IDENTIFICACIÓN TRABAJADOR'!$E$34-'IDENTIFICACIÓN TRABAJADOR'!$H$45-'IDENTIFICACIÓN TRABAJADOR'!$L$45)),2)),MIN(AUXILIAR!$P$17,ROUND((F39+I39+J39+M39)*(1+('IDENTIFICACIÓN TRABAJADOR'!$H$45+'IDENTIFICACIÓN TRABAJADOR'!$L$45)/('IDENTIFICACIÓN TRABAJADOR'!$E$34-'IDENTIFICACIÓN TRABAJADOR'!$H$45-'IDENTIFICACIÓN TRABAJADOR'!$L$45)),2))))</f>
        <v>0</v>
      </c>
      <c r="O39" s="241">
        <f t="shared" si="3"/>
        <v>0</v>
      </c>
      <c r="P39" s="212"/>
      <c r="R39" s="211"/>
      <c r="S39" s="209">
        <f>ROUND(C39*(F39+I39+J39+M39)*(1+('IDENTIFICACIÓN TRABAJADOR'!$H$45+'IDENTIFICACIÓN TRABAJADOR'!$L$45)/(360-'IDENTIFICACIÓN TRABAJADOR'!$H$45-'IDENTIFICACIÓN TRABAJADOR'!$L$45)),2)</f>
        <v>0</v>
      </c>
      <c r="T39" s="212"/>
      <c r="U39" s="208" t="s">
        <v>221</v>
      </c>
      <c r="W39" s="233" t="s">
        <v>49</v>
      </c>
      <c r="X39" s="234">
        <f>IFERROR(IF(OR(DATE($B$33,MONTH(DATEVALUE(W39&amp;"1")),1)&lt;DATE(YEAR(EXPEDIENTE!$I$25),MONTH(EXPEDIENTE!$I$25),1),DATE($B$33,MONTH(DATEVALUE(W39&amp;"1")),1)&gt;DATE(YEAR(EXPEDIENTE!$I$27),MONTH(EXPEDIENTE!$I$27)+1,1)-1),0,ROUND('% DEDICACIÓN TRABAJADOR'!K45,4)),0)</f>
        <v>0</v>
      </c>
      <c r="Y39" s="238">
        <f>'GASTOS EJER. 2'!AW24+'GASTOS EJER. 2'!BM24-'GASTOS EJER. 2'!CM24-'GASTOS EJER. 2'!CP24</f>
        <v>0</v>
      </c>
      <c r="Z39" s="236" t="str">
        <f>IF('GASTOS EJER. 2'!CT24="","",'GASTOS EJER. 2'!CT24)</f>
        <v/>
      </c>
      <c r="AA39" s="237">
        <f>IF(Z39&lt;=EXPEDIENTE!$I$29,Y39,0)</f>
        <v>0</v>
      </c>
      <c r="AB39" s="238">
        <f>'GASTOS EJER. 2'!CP24</f>
        <v>0</v>
      </c>
      <c r="AC39" s="236" t="str">
        <f>IF('GASTOS EJER. 2'!CW24="","",'GASTOS EJER. 2'!CW24)</f>
        <v/>
      </c>
      <c r="AD39" s="237">
        <f>IF(AC39&lt;=EXPEDIENTE!$I$29,AB39,0)</f>
        <v>0</v>
      </c>
      <c r="AE39" s="239">
        <f>AUXILIAR!DL43</f>
        <v>0</v>
      </c>
      <c r="AF39" s="238">
        <f>AUXILIAR!HU43</f>
        <v>0</v>
      </c>
      <c r="AG39" s="236" t="str">
        <f>IF('GASTOS EJER. 2'!BF53="","",'GASTOS EJER. 2'!BF53)</f>
        <v/>
      </c>
      <c r="AH39" s="237">
        <f>IF(AG39&lt;=EXPEDIENTE!$I$29,AF39,0)</f>
        <v>0</v>
      </c>
      <c r="AI39" s="239">
        <f>IF($AQ$42=0,0,IF(AND($AQ$44&gt;$AQ$42,$AQ$40=1100%),MIN(AUXILIAR!$P$17,ROUND($AQ$42/$AQ$44*(AA39+AD39+AE39+AH39)*(1+('IDENTIFICACIÓN TRABAJADOR'!$H$45+'IDENTIFICACIÓN TRABAJADOR'!$L$45)/('IDENTIFICACIÓN TRABAJADOR'!$E$34-'IDENTIFICACIÓN TRABAJADOR'!$H$45-'IDENTIFICACIÓN TRABAJADOR'!$L$45)),2)),MIN(AUXILIAR!$P$17,ROUND((AA39+AD39+AE39+AH39)*(1+('IDENTIFICACIÓN TRABAJADOR'!$H$45+'IDENTIFICACIÓN TRABAJADOR'!$L$45)/('IDENTIFICACIÓN TRABAJADOR'!$E$34-'IDENTIFICACIÓN TRABAJADOR'!$H$45-'IDENTIFICACIÓN TRABAJADOR'!$L$45)),2))))</f>
        <v>0</v>
      </c>
      <c r="AJ39" s="240">
        <f t="shared" si="4"/>
        <v>0</v>
      </c>
      <c r="AK39" s="241">
        <f t="shared" si="5"/>
        <v>0</v>
      </c>
      <c r="AL39" s="212"/>
      <c r="AN39" s="211"/>
      <c r="AO39" s="209">
        <f>ROUND(X39*(AA39+AD39+AE39+AH39)*(1+('IDENTIFICACIÓN TRABAJADOR'!$H$45+'IDENTIFICACIÓN TRABAJADOR'!$L$45)/(360-'IDENTIFICACIÓN TRABAJADOR'!$H$45-'IDENTIFICACIÓN TRABAJADOR'!$L$45)),2)</f>
        <v>0</v>
      </c>
      <c r="AP39" s="212"/>
      <c r="AQ39" s="208" t="s">
        <v>221</v>
      </c>
    </row>
    <row r="40" spans="2:43" ht="15" customHeight="1" x14ac:dyDescent="0.25">
      <c r="B40" s="233" t="s">
        <v>50</v>
      </c>
      <c r="C40" s="234">
        <f>IFERROR(IF(OR(DATE($B$33,MONTH(DATEVALUE(B40&amp;"1")),1)&lt;DATE(YEAR(EXPEDIENTE!$I$25),MONTH(EXPEDIENTE!$I$25),1),DATE($B$33,MONTH(DATEVALUE(B40&amp;"1")),1)&gt;DATE(YEAR(EXPEDIENTE!$I$27),MONTH(EXPEDIENTE!$I$27)+1,1)-1),0,ROUND('% DEDICACIÓN TRABAJADOR'!L45,4)),0)</f>
        <v>0</v>
      </c>
      <c r="D40" s="238">
        <f>'GASTOS EJER. 2'!F25+'GASTOS EJER. 2'!L25-'GASTOS EJER. 2'!X25-'GASTOS EJER. 2'!Y25</f>
        <v>0</v>
      </c>
      <c r="E40" s="236" t="str">
        <f>IF('GASTOS EJER. 2'!AA25="","",'GASTOS EJER. 2'!AA25)</f>
        <v/>
      </c>
      <c r="F40" s="237">
        <f>IF(E40&lt;=EXPEDIENTE!$I$29,D40,0)</f>
        <v>0</v>
      </c>
      <c r="G40" s="238">
        <f>'GASTOS EJER. 2'!Y25</f>
        <v>0</v>
      </c>
      <c r="H40" s="236" t="str">
        <f>IF('GASTOS EJER. 2'!AB25="","",'GASTOS EJER. 2'!AB25)</f>
        <v/>
      </c>
      <c r="I40" s="237">
        <f>IF(H40&lt;=EXPEDIENTE!$I$29,G40,0)</f>
        <v>0</v>
      </c>
      <c r="J40" s="239">
        <f>AUXILIAR!BU44</f>
        <v>0</v>
      </c>
      <c r="K40" s="238">
        <f>AUXILIAR!FP44</f>
        <v>0</v>
      </c>
      <c r="L40" s="236" t="str">
        <f>IF('GASTOS EJER. 2'!I54="","",'GASTOS EJER. 2'!I54)</f>
        <v/>
      </c>
      <c r="M40" s="237">
        <f>IF(L40&lt;=EXPEDIENTE!$I$29,K40,0)</f>
        <v>0</v>
      </c>
      <c r="N40" s="239">
        <f>IF($U$42=0,0,IF(AND($U$44&gt;$U$42,$U$40=1100%),MIN(AUXILIAR!$P$17,ROUND($U$42/$U$44*(F40+I40+J40+M40)*(1+('IDENTIFICACIÓN TRABAJADOR'!$H$45+'IDENTIFICACIÓN TRABAJADOR'!$L$45)/('IDENTIFICACIÓN TRABAJADOR'!$E$34-'IDENTIFICACIÓN TRABAJADOR'!$H$45-'IDENTIFICACIÓN TRABAJADOR'!$L$45)),2)),MIN(AUXILIAR!$P$17,ROUND((F40+I40+J40+M40)*(1+('IDENTIFICACIÓN TRABAJADOR'!$H$45+'IDENTIFICACIÓN TRABAJADOR'!$L$45)/('IDENTIFICACIÓN TRABAJADOR'!$E$34-'IDENTIFICACIÓN TRABAJADOR'!$H$45-'IDENTIFICACIÓN TRABAJADOR'!$L$45)),2))))</f>
        <v>0</v>
      </c>
      <c r="O40" s="241">
        <f t="shared" si="3"/>
        <v>0</v>
      </c>
      <c r="P40" s="212"/>
      <c r="R40" s="211"/>
      <c r="S40" s="209">
        <f>ROUND(C40*(F40+I40+J40+M40)*(1+('IDENTIFICACIÓN TRABAJADOR'!$H$45+'IDENTIFICACIÓN TRABAJADOR'!$L$45)/(360-'IDENTIFICACIÓN TRABAJADOR'!$H$45-'IDENTIFICACIÓN TRABAJADOR'!$L$45)),2)</f>
        <v>0</v>
      </c>
      <c r="T40" s="242"/>
      <c r="U40" s="243">
        <f>SUM('% DEDICACIÓN TRABAJADOR'!$G$45:$R$45)</f>
        <v>0</v>
      </c>
      <c r="W40" s="233" t="s">
        <v>50</v>
      </c>
      <c r="X40" s="234">
        <f>IFERROR(IF(OR(DATE($B$33,MONTH(DATEVALUE(W40&amp;"1")),1)&lt;DATE(YEAR(EXPEDIENTE!$I$25),MONTH(EXPEDIENTE!$I$25),1),DATE($B$33,MONTH(DATEVALUE(W40&amp;"1")),1)&gt;DATE(YEAR(EXPEDIENTE!$I$27),MONTH(EXPEDIENTE!$I$27)+1,1)-1),0,ROUND('% DEDICACIÓN TRABAJADOR'!L45,4)),0)</f>
        <v>0</v>
      </c>
      <c r="Y40" s="238">
        <f>'GASTOS EJER. 2'!AW25+'GASTOS EJER. 2'!BM25-'GASTOS EJER. 2'!CM25-'GASTOS EJER. 2'!CP25</f>
        <v>0</v>
      </c>
      <c r="Z40" s="236" t="str">
        <f>IF('GASTOS EJER. 2'!CT25="","",'GASTOS EJER. 2'!CT25)</f>
        <v/>
      </c>
      <c r="AA40" s="237">
        <f>IF(Z40&lt;=EXPEDIENTE!$I$29,Y40,0)</f>
        <v>0</v>
      </c>
      <c r="AB40" s="238">
        <f>'GASTOS EJER. 2'!CP25</f>
        <v>0</v>
      </c>
      <c r="AC40" s="236" t="str">
        <f>IF('GASTOS EJER. 2'!CW25="","",'GASTOS EJER. 2'!CW25)</f>
        <v/>
      </c>
      <c r="AD40" s="237">
        <f>IF(AC40&lt;=EXPEDIENTE!$I$29,AB40,0)</f>
        <v>0</v>
      </c>
      <c r="AE40" s="239">
        <f>AUXILIAR!DL44</f>
        <v>0</v>
      </c>
      <c r="AF40" s="238">
        <f>AUXILIAR!HU44</f>
        <v>0</v>
      </c>
      <c r="AG40" s="236" t="str">
        <f>IF('GASTOS EJER. 2'!BF54="","",'GASTOS EJER. 2'!BF54)</f>
        <v/>
      </c>
      <c r="AH40" s="237">
        <f>IF(AG40&lt;=EXPEDIENTE!$I$29,AF40,0)</f>
        <v>0</v>
      </c>
      <c r="AI40" s="239">
        <f>IF($AQ$42=0,0,IF(AND($AQ$44&gt;$AQ$42,$AQ$40=1100%),MIN(AUXILIAR!$P$17,ROUND($AQ$42/$AQ$44*(AA40+AD40+AE40+AH40)*(1+('IDENTIFICACIÓN TRABAJADOR'!$H$45+'IDENTIFICACIÓN TRABAJADOR'!$L$45)/('IDENTIFICACIÓN TRABAJADOR'!$E$34-'IDENTIFICACIÓN TRABAJADOR'!$H$45-'IDENTIFICACIÓN TRABAJADOR'!$L$45)),2)),MIN(AUXILIAR!$P$17,ROUND((AA40+AD40+AE40+AH40)*(1+('IDENTIFICACIÓN TRABAJADOR'!$H$45+'IDENTIFICACIÓN TRABAJADOR'!$L$45)/('IDENTIFICACIÓN TRABAJADOR'!$E$34-'IDENTIFICACIÓN TRABAJADOR'!$H$45-'IDENTIFICACIÓN TRABAJADOR'!$L$45)),2))))</f>
        <v>0</v>
      </c>
      <c r="AJ40" s="240">
        <f t="shared" si="4"/>
        <v>0</v>
      </c>
      <c r="AK40" s="241">
        <f t="shared" si="5"/>
        <v>0</v>
      </c>
      <c r="AL40" s="212"/>
      <c r="AN40" s="211"/>
      <c r="AO40" s="209">
        <f>ROUND(X40*(AA40+AD40+AE40+AH40)*(1+('IDENTIFICACIÓN TRABAJADOR'!$H$45+'IDENTIFICACIÓN TRABAJADOR'!$L$45)/(360-'IDENTIFICACIÓN TRABAJADOR'!$H$45-'IDENTIFICACIÓN TRABAJADOR'!$L$45)),2)</f>
        <v>0</v>
      </c>
      <c r="AP40" s="242"/>
      <c r="AQ40" s="243">
        <f>SUM('% DEDICACIÓN TRABAJADOR'!$G$45:$R$45)</f>
        <v>0</v>
      </c>
    </row>
    <row r="41" spans="2:43" ht="15" customHeight="1" x14ac:dyDescent="0.25">
      <c r="B41" s="233" t="s">
        <v>51</v>
      </c>
      <c r="C41" s="234">
        <f>IFERROR(IF(OR(DATE($B$33,MONTH(DATEVALUE(B41&amp;"1")),1)&lt;DATE(YEAR(EXPEDIENTE!$I$25),MONTH(EXPEDIENTE!$I$25),1),DATE($B$33,MONTH(DATEVALUE(B41&amp;"1")),1)&gt;DATE(YEAR(EXPEDIENTE!$I$27),MONTH(EXPEDIENTE!$I$27)+1,1)-1),0,ROUND('% DEDICACIÓN TRABAJADOR'!M45,4)),0)</f>
        <v>0</v>
      </c>
      <c r="D41" s="238">
        <f>'GASTOS EJER. 2'!F26+'GASTOS EJER. 2'!L26-'GASTOS EJER. 2'!X26-'GASTOS EJER. 2'!Y26</f>
        <v>0</v>
      </c>
      <c r="E41" s="236" t="str">
        <f>IF('GASTOS EJER. 2'!AA26="","",'GASTOS EJER. 2'!AA26)</f>
        <v/>
      </c>
      <c r="F41" s="237">
        <f>IF(E41&lt;=EXPEDIENTE!$I$29,D41,0)</f>
        <v>0</v>
      </c>
      <c r="G41" s="238">
        <f>'GASTOS EJER. 2'!Y26</f>
        <v>0</v>
      </c>
      <c r="H41" s="236" t="str">
        <f>IF('GASTOS EJER. 2'!AB26="","",'GASTOS EJER. 2'!AB26)</f>
        <v/>
      </c>
      <c r="I41" s="237">
        <f>IF(H41&lt;=EXPEDIENTE!$I$29,G41,0)</f>
        <v>0</v>
      </c>
      <c r="J41" s="239">
        <f>AUXILIAR!BU45</f>
        <v>0</v>
      </c>
      <c r="K41" s="238">
        <f>AUXILIAR!FP45</f>
        <v>0</v>
      </c>
      <c r="L41" s="236" t="str">
        <f>IF('GASTOS EJER. 2'!I55="","",'GASTOS EJER. 2'!I55)</f>
        <v/>
      </c>
      <c r="M41" s="237">
        <f>IF(L41&lt;=EXPEDIENTE!$I$29,K41,0)</f>
        <v>0</v>
      </c>
      <c r="N41" s="239">
        <f>IF($U$42=0,0,IF(AND($U$44&gt;$U$42,$U$40=1100%),MIN(AUXILIAR!$P$17,ROUND($U$42/$U$44*(F41+I41+J41+M41)*(1+('IDENTIFICACIÓN TRABAJADOR'!$H$45+'IDENTIFICACIÓN TRABAJADOR'!$L$45)/('IDENTIFICACIÓN TRABAJADOR'!$E$34-'IDENTIFICACIÓN TRABAJADOR'!$H$45-'IDENTIFICACIÓN TRABAJADOR'!$L$45)),2)),MIN(AUXILIAR!$P$17,ROUND((F41+I41+J41+M41)*(1+('IDENTIFICACIÓN TRABAJADOR'!$H$45+'IDENTIFICACIÓN TRABAJADOR'!$L$45)/('IDENTIFICACIÓN TRABAJADOR'!$E$34-'IDENTIFICACIÓN TRABAJADOR'!$H$45-'IDENTIFICACIÓN TRABAJADOR'!$L$45)),2))))</f>
        <v>0</v>
      </c>
      <c r="O41" s="241">
        <f t="shared" si="3"/>
        <v>0</v>
      </c>
      <c r="P41" s="212"/>
      <c r="S41" s="209">
        <f>ROUND(C41*(F41+I41+J41+M41)*(1+('IDENTIFICACIÓN TRABAJADOR'!$H$45+'IDENTIFICACIÓN TRABAJADOR'!$L$45)/(360-'IDENTIFICACIÓN TRABAJADOR'!$H$45-'IDENTIFICACIÓN TRABAJADOR'!$L$45)),2)</f>
        <v>0</v>
      </c>
      <c r="T41" s="242"/>
      <c r="U41" s="208" t="s">
        <v>222</v>
      </c>
      <c r="W41" s="233" t="s">
        <v>51</v>
      </c>
      <c r="X41" s="234">
        <f>IFERROR(IF(OR(DATE($B$33,MONTH(DATEVALUE(W41&amp;"1")),1)&lt;DATE(YEAR(EXPEDIENTE!$I$25),MONTH(EXPEDIENTE!$I$25),1),DATE($B$33,MONTH(DATEVALUE(W41&amp;"1")),1)&gt;DATE(YEAR(EXPEDIENTE!$I$27),MONTH(EXPEDIENTE!$I$27)+1,1)-1),0,ROUND('% DEDICACIÓN TRABAJADOR'!M45,4)),0)</f>
        <v>0</v>
      </c>
      <c r="Y41" s="238">
        <f>'GASTOS EJER. 2'!AW26+'GASTOS EJER. 2'!BM26-'GASTOS EJER. 2'!CM26-'GASTOS EJER. 2'!CP26</f>
        <v>0</v>
      </c>
      <c r="Z41" s="236" t="str">
        <f>IF('GASTOS EJER. 2'!CT26="","",'GASTOS EJER. 2'!CT26)</f>
        <v/>
      </c>
      <c r="AA41" s="237">
        <f>IF(Z41&lt;=EXPEDIENTE!$I$29,Y41,0)</f>
        <v>0</v>
      </c>
      <c r="AB41" s="238">
        <f>'GASTOS EJER. 2'!CP26</f>
        <v>0</v>
      </c>
      <c r="AC41" s="236" t="str">
        <f>IF('GASTOS EJER. 2'!CW26="","",'GASTOS EJER. 2'!CW26)</f>
        <v/>
      </c>
      <c r="AD41" s="237">
        <f>IF(AC41&lt;=EXPEDIENTE!$I$29,AB41,0)</f>
        <v>0</v>
      </c>
      <c r="AE41" s="239">
        <f>AUXILIAR!DL45</f>
        <v>0</v>
      </c>
      <c r="AF41" s="238">
        <f>AUXILIAR!HU45</f>
        <v>0</v>
      </c>
      <c r="AG41" s="236" t="str">
        <f>IF('GASTOS EJER. 2'!BF55="","",'GASTOS EJER. 2'!BF55)</f>
        <v/>
      </c>
      <c r="AH41" s="237">
        <f>IF(AG41&lt;=EXPEDIENTE!$I$29,AF41,0)</f>
        <v>0</v>
      </c>
      <c r="AI41" s="239">
        <f>IF($AQ$42=0,0,IF(AND($AQ$44&gt;$AQ$42,$AQ$40=1100%),MIN(AUXILIAR!$P$17,ROUND($AQ$42/$AQ$44*(AA41+AD41+AE41+AH41)*(1+('IDENTIFICACIÓN TRABAJADOR'!$H$45+'IDENTIFICACIÓN TRABAJADOR'!$L$45)/('IDENTIFICACIÓN TRABAJADOR'!$E$34-'IDENTIFICACIÓN TRABAJADOR'!$H$45-'IDENTIFICACIÓN TRABAJADOR'!$L$45)),2)),MIN(AUXILIAR!$P$17,ROUND((AA41+AD41+AE41+AH41)*(1+('IDENTIFICACIÓN TRABAJADOR'!$H$45+'IDENTIFICACIÓN TRABAJADOR'!$L$45)/('IDENTIFICACIÓN TRABAJADOR'!$E$34-'IDENTIFICACIÓN TRABAJADOR'!$H$45-'IDENTIFICACIÓN TRABAJADOR'!$L$45)),2))))</f>
        <v>0</v>
      </c>
      <c r="AJ41" s="240">
        <f t="shared" si="4"/>
        <v>0</v>
      </c>
      <c r="AK41" s="241">
        <f t="shared" si="5"/>
        <v>0</v>
      </c>
      <c r="AL41" s="212"/>
      <c r="AO41" s="209">
        <f>ROUND(X41*(AA41+AD41+AE41+AH41)*(1+('IDENTIFICACIÓN TRABAJADOR'!$H$45+'IDENTIFICACIÓN TRABAJADOR'!$L$45)/(360-'IDENTIFICACIÓN TRABAJADOR'!$H$45-'IDENTIFICACIÓN TRABAJADOR'!$L$45)),2)</f>
        <v>0</v>
      </c>
      <c r="AP41" s="242"/>
      <c r="AQ41" s="208" t="s">
        <v>222</v>
      </c>
    </row>
    <row r="42" spans="2:43" ht="15" customHeight="1" x14ac:dyDescent="0.25">
      <c r="B42" s="233" t="s">
        <v>52</v>
      </c>
      <c r="C42" s="234">
        <f>IFERROR(IF(OR(DATE($B$33,MONTH(DATEVALUE(B42&amp;"1")),1)&lt;DATE(YEAR(EXPEDIENTE!$I$25),MONTH(EXPEDIENTE!$I$25),1),DATE($B$33,MONTH(DATEVALUE(B42&amp;"1")),1)&gt;DATE(YEAR(EXPEDIENTE!$I$27),MONTH(EXPEDIENTE!$I$27)+1,1)-1),0,ROUND('% DEDICACIÓN TRABAJADOR'!N45,4)),0)</f>
        <v>0</v>
      </c>
      <c r="D42" s="238">
        <f>'GASTOS EJER. 2'!F27+'GASTOS EJER. 2'!L27-'GASTOS EJER. 2'!X27-'GASTOS EJER. 2'!Y27</f>
        <v>0</v>
      </c>
      <c r="E42" s="236" t="str">
        <f>IF('GASTOS EJER. 2'!AA27="","",'GASTOS EJER. 2'!AA27)</f>
        <v/>
      </c>
      <c r="F42" s="237">
        <f>IF(E42&lt;=EXPEDIENTE!$I$29,D42,0)</f>
        <v>0</v>
      </c>
      <c r="G42" s="238">
        <f>'GASTOS EJER. 2'!Y27</f>
        <v>0</v>
      </c>
      <c r="H42" s="236" t="str">
        <f>IF('GASTOS EJER. 2'!AB27="","",'GASTOS EJER. 2'!AB27)</f>
        <v/>
      </c>
      <c r="I42" s="237">
        <f>IF(H42&lt;=EXPEDIENTE!$I$29,G42,0)</f>
        <v>0</v>
      </c>
      <c r="J42" s="239">
        <f>AUXILIAR!BU46</f>
        <v>0</v>
      </c>
      <c r="K42" s="238">
        <f>AUXILIAR!FP46</f>
        <v>0</v>
      </c>
      <c r="L42" s="236" t="str">
        <f>IF('GASTOS EJER. 2'!I56="","",'GASTOS EJER. 2'!I56)</f>
        <v/>
      </c>
      <c r="M42" s="237">
        <f>IF(L42&lt;=EXPEDIENTE!$I$29,K42,0)</f>
        <v>0</v>
      </c>
      <c r="N42" s="239">
        <f>IF($U$42=0,0,IF(AND($U$44&gt;$U$42,$U$40=1100%),MIN(AUXILIAR!$P$17,ROUND($U$42/$U$44*(F42+I42+J42+M42)*(1+('IDENTIFICACIÓN TRABAJADOR'!$H$45+'IDENTIFICACIÓN TRABAJADOR'!$L$45)/('IDENTIFICACIÓN TRABAJADOR'!$E$34-'IDENTIFICACIÓN TRABAJADOR'!$H$45-'IDENTIFICACIÓN TRABAJADOR'!$L$45)),2)),MIN(AUXILIAR!$P$17,ROUND((F42+I42+J42+M42)*(1+('IDENTIFICACIÓN TRABAJADOR'!$H$45+'IDENTIFICACIÓN TRABAJADOR'!$L$45)/('IDENTIFICACIÓN TRABAJADOR'!$E$34-'IDENTIFICACIÓN TRABAJADOR'!$H$45-'IDENTIFICACIÓN TRABAJADOR'!$L$45)),2))))</f>
        <v>0</v>
      </c>
      <c r="O42" s="241">
        <f t="shared" si="3"/>
        <v>0</v>
      </c>
      <c r="P42" s="212"/>
      <c r="S42" s="209">
        <f>ROUND(C42*(F42+I42+J42+M42)*(1+('IDENTIFICACIÓN TRABAJADOR'!$H$45+'IDENTIFICACIÓN TRABAJADOR'!$L$45)/(360-'IDENTIFICACIÓN TRABAJADOR'!$H$45-'IDENTIFICACIÓN TRABAJADOR'!$L$45)),2)</f>
        <v>0</v>
      </c>
      <c r="T42" s="242"/>
      <c r="U42" s="244">
        <f>SUM(F35:F46)+SUM(I35:I46)+SUM(J35:J46)+SUM(M35:M46)</f>
        <v>0</v>
      </c>
      <c r="W42" s="233" t="s">
        <v>52</v>
      </c>
      <c r="X42" s="234">
        <f>IFERROR(IF(OR(DATE($B$33,MONTH(DATEVALUE(W42&amp;"1")),1)&lt;DATE(YEAR(EXPEDIENTE!$I$25),MONTH(EXPEDIENTE!$I$25),1),DATE($B$33,MONTH(DATEVALUE(W42&amp;"1")),1)&gt;DATE(YEAR(EXPEDIENTE!$I$27),MONTH(EXPEDIENTE!$I$27)+1,1)-1),0,ROUND('% DEDICACIÓN TRABAJADOR'!N45,4)),0)</f>
        <v>0</v>
      </c>
      <c r="Y42" s="238">
        <f>'GASTOS EJER. 2'!AW27+'GASTOS EJER. 2'!BM27-'GASTOS EJER. 2'!CM27-'GASTOS EJER. 2'!CP27</f>
        <v>0</v>
      </c>
      <c r="Z42" s="236" t="str">
        <f>IF('GASTOS EJER. 2'!CT27="","",'GASTOS EJER. 2'!CT27)</f>
        <v/>
      </c>
      <c r="AA42" s="237">
        <f>IF(Z42&lt;=EXPEDIENTE!$I$29,Y42,0)</f>
        <v>0</v>
      </c>
      <c r="AB42" s="238">
        <f>'GASTOS EJER. 2'!CP27</f>
        <v>0</v>
      </c>
      <c r="AC42" s="236" t="str">
        <f>IF('GASTOS EJER. 2'!CW27="","",'GASTOS EJER. 2'!CW27)</f>
        <v/>
      </c>
      <c r="AD42" s="237">
        <f>IF(AC42&lt;=EXPEDIENTE!$I$29,AB42,0)</f>
        <v>0</v>
      </c>
      <c r="AE42" s="239">
        <f>AUXILIAR!DL46</f>
        <v>0</v>
      </c>
      <c r="AF42" s="238">
        <f>AUXILIAR!HU46</f>
        <v>0</v>
      </c>
      <c r="AG42" s="236" t="str">
        <f>IF('GASTOS EJER. 2'!BF56="","",'GASTOS EJER. 2'!BF56)</f>
        <v/>
      </c>
      <c r="AH42" s="237">
        <f>IF(AG42&lt;=EXPEDIENTE!$I$29,AF42,0)</f>
        <v>0</v>
      </c>
      <c r="AI42" s="239">
        <f>IF($AQ$42=0,0,IF(AND($AQ$44&gt;$AQ$42,$AQ$40=1100%),MIN(AUXILIAR!$P$17,ROUND($AQ$42/$AQ$44*(AA42+AD42+AE42+AH42)*(1+('IDENTIFICACIÓN TRABAJADOR'!$H$45+'IDENTIFICACIÓN TRABAJADOR'!$L$45)/('IDENTIFICACIÓN TRABAJADOR'!$E$34-'IDENTIFICACIÓN TRABAJADOR'!$H$45-'IDENTIFICACIÓN TRABAJADOR'!$L$45)),2)),MIN(AUXILIAR!$P$17,ROUND((AA42+AD42+AE42+AH42)*(1+('IDENTIFICACIÓN TRABAJADOR'!$H$45+'IDENTIFICACIÓN TRABAJADOR'!$L$45)/('IDENTIFICACIÓN TRABAJADOR'!$E$34-'IDENTIFICACIÓN TRABAJADOR'!$H$45-'IDENTIFICACIÓN TRABAJADOR'!$L$45)),2))))</f>
        <v>0</v>
      </c>
      <c r="AJ42" s="240">
        <f t="shared" si="4"/>
        <v>0</v>
      </c>
      <c r="AK42" s="241">
        <f t="shared" si="5"/>
        <v>0</v>
      </c>
      <c r="AL42" s="212"/>
      <c r="AO42" s="209">
        <f>ROUND(X42*(AA42+AD42+AE42+AH42)*(1+('IDENTIFICACIÓN TRABAJADOR'!$H$45+'IDENTIFICACIÓN TRABAJADOR'!$L$45)/(360-'IDENTIFICACIÓN TRABAJADOR'!$H$45-'IDENTIFICACIÓN TRABAJADOR'!$L$45)),2)</f>
        <v>0</v>
      </c>
      <c r="AP42" s="242"/>
      <c r="AQ42" s="244">
        <f>SUM(AA35:AA46)+SUM(AD35:AD46)+SUM(AE35:AE46)+SUM(AH35:AH46)</f>
        <v>0</v>
      </c>
    </row>
    <row r="43" spans="2:43" ht="15" customHeight="1" x14ac:dyDescent="0.25">
      <c r="B43" s="233" t="s">
        <v>53</v>
      </c>
      <c r="C43" s="234">
        <f>IFERROR(IF(OR(DATE($B$33,MONTH(DATEVALUE(B43&amp;"1")),1)&lt;DATE(YEAR(EXPEDIENTE!$I$25),MONTH(EXPEDIENTE!$I$25),1),DATE($B$33,MONTH(DATEVALUE(B43&amp;"1")),1)&gt;DATE(YEAR(EXPEDIENTE!$I$27),MONTH(EXPEDIENTE!$I$27)+1,1)-1),0,ROUND('% DEDICACIÓN TRABAJADOR'!O45,4)),0)</f>
        <v>0</v>
      </c>
      <c r="D43" s="238">
        <f>'GASTOS EJER. 2'!F28+'GASTOS EJER. 2'!L28-'GASTOS EJER. 2'!X28-'GASTOS EJER. 2'!Y28</f>
        <v>0</v>
      </c>
      <c r="E43" s="236" t="str">
        <f>IF('GASTOS EJER. 2'!AA28="","",'GASTOS EJER. 2'!AA28)</f>
        <v/>
      </c>
      <c r="F43" s="237">
        <f>IF(E43&lt;=EXPEDIENTE!$I$29,D43,0)</f>
        <v>0</v>
      </c>
      <c r="G43" s="238">
        <f>'GASTOS EJER. 2'!Y28</f>
        <v>0</v>
      </c>
      <c r="H43" s="236" t="str">
        <f>IF('GASTOS EJER. 2'!AB28="","",'GASTOS EJER. 2'!AB28)</f>
        <v/>
      </c>
      <c r="I43" s="237">
        <f>IF(H43&lt;=EXPEDIENTE!$I$29,G43,0)</f>
        <v>0</v>
      </c>
      <c r="J43" s="239">
        <f>AUXILIAR!BU47</f>
        <v>0</v>
      </c>
      <c r="K43" s="238">
        <f>AUXILIAR!FP47</f>
        <v>0</v>
      </c>
      <c r="L43" s="236" t="str">
        <f>IF('GASTOS EJER. 2'!I57="","",'GASTOS EJER. 2'!I57)</f>
        <v/>
      </c>
      <c r="M43" s="237">
        <f>IF(L43&lt;=EXPEDIENTE!$I$29,K43,0)</f>
        <v>0</v>
      </c>
      <c r="N43" s="239">
        <f>IF($U$42=0,0,IF(AND($U$44&gt;$U$42,$U$40=1100%),MIN(AUXILIAR!$P$17,ROUND($U$42/$U$44*(F43+I43+J43+M43)*(1+('IDENTIFICACIÓN TRABAJADOR'!$H$45+'IDENTIFICACIÓN TRABAJADOR'!$L$45)/('IDENTIFICACIÓN TRABAJADOR'!$E$34-'IDENTIFICACIÓN TRABAJADOR'!$H$45-'IDENTIFICACIÓN TRABAJADOR'!$L$45)),2)),MIN(AUXILIAR!$P$17,ROUND((F43+I43+J43+M43)*(1+('IDENTIFICACIÓN TRABAJADOR'!$H$45+'IDENTIFICACIÓN TRABAJADOR'!$L$45)/('IDENTIFICACIÓN TRABAJADOR'!$E$34-'IDENTIFICACIÓN TRABAJADOR'!$H$45-'IDENTIFICACIÓN TRABAJADOR'!$L$45)),2))))</f>
        <v>0</v>
      </c>
      <c r="O43" s="241">
        <f t="shared" si="3"/>
        <v>0</v>
      </c>
      <c r="P43" s="212"/>
      <c r="S43" s="209">
        <f>ROUND(C43*(F43+I43+J43+M43)*(1+('IDENTIFICACIÓN TRABAJADOR'!$H$45+'IDENTIFICACIÓN TRABAJADOR'!$L$45)/(360-'IDENTIFICACIÓN TRABAJADOR'!$H$45-'IDENTIFICACIÓN TRABAJADOR'!$L$45)),2)</f>
        <v>0</v>
      </c>
      <c r="T43" s="242"/>
      <c r="U43" s="208" t="s">
        <v>223</v>
      </c>
      <c r="W43" s="233" t="s">
        <v>53</v>
      </c>
      <c r="X43" s="234">
        <f>IFERROR(IF(OR(DATE($B$33,MONTH(DATEVALUE(W43&amp;"1")),1)&lt;DATE(YEAR(EXPEDIENTE!$I$25),MONTH(EXPEDIENTE!$I$25),1),DATE($B$33,MONTH(DATEVALUE(W43&amp;"1")),1)&gt;DATE(YEAR(EXPEDIENTE!$I$27),MONTH(EXPEDIENTE!$I$27)+1,1)-1),0,ROUND('% DEDICACIÓN TRABAJADOR'!O45,4)),0)</f>
        <v>0</v>
      </c>
      <c r="Y43" s="238">
        <f>'GASTOS EJER. 2'!AW28+'GASTOS EJER. 2'!BM28-'GASTOS EJER. 2'!CM28-'GASTOS EJER. 2'!CP28</f>
        <v>0</v>
      </c>
      <c r="Z43" s="236" t="str">
        <f>IF('GASTOS EJER. 2'!CT28="","",'GASTOS EJER. 2'!CT28)</f>
        <v/>
      </c>
      <c r="AA43" s="237">
        <f>IF(Z43&lt;=EXPEDIENTE!$I$29,Y43,0)</f>
        <v>0</v>
      </c>
      <c r="AB43" s="238">
        <f>'GASTOS EJER. 2'!CP28</f>
        <v>0</v>
      </c>
      <c r="AC43" s="236" t="str">
        <f>IF('GASTOS EJER. 2'!CW28="","",'GASTOS EJER. 2'!CW28)</f>
        <v/>
      </c>
      <c r="AD43" s="237">
        <f>IF(AC43&lt;=EXPEDIENTE!$I$29,AB43,0)</f>
        <v>0</v>
      </c>
      <c r="AE43" s="239">
        <f>AUXILIAR!DL47</f>
        <v>0</v>
      </c>
      <c r="AF43" s="238">
        <f>AUXILIAR!HU47</f>
        <v>0</v>
      </c>
      <c r="AG43" s="236" t="str">
        <f>IF('GASTOS EJER. 2'!BF57="","",'GASTOS EJER. 2'!BF57)</f>
        <v/>
      </c>
      <c r="AH43" s="237">
        <f>IF(AG43&lt;=EXPEDIENTE!$I$29,AF43,0)</f>
        <v>0</v>
      </c>
      <c r="AI43" s="239">
        <f>IF($AQ$42=0,0,IF(AND($AQ$44&gt;$AQ$42,$AQ$40=1100%),MIN(AUXILIAR!$P$17,ROUND($AQ$42/$AQ$44*(AA43+AD43+AE43+AH43)*(1+('IDENTIFICACIÓN TRABAJADOR'!$H$45+'IDENTIFICACIÓN TRABAJADOR'!$L$45)/('IDENTIFICACIÓN TRABAJADOR'!$E$34-'IDENTIFICACIÓN TRABAJADOR'!$H$45-'IDENTIFICACIÓN TRABAJADOR'!$L$45)),2)),MIN(AUXILIAR!$P$17,ROUND((AA43+AD43+AE43+AH43)*(1+('IDENTIFICACIÓN TRABAJADOR'!$H$45+'IDENTIFICACIÓN TRABAJADOR'!$L$45)/('IDENTIFICACIÓN TRABAJADOR'!$E$34-'IDENTIFICACIÓN TRABAJADOR'!$H$45-'IDENTIFICACIÓN TRABAJADOR'!$L$45)),2))))</f>
        <v>0</v>
      </c>
      <c r="AJ43" s="240">
        <f t="shared" si="4"/>
        <v>0</v>
      </c>
      <c r="AK43" s="241">
        <f t="shared" si="5"/>
        <v>0</v>
      </c>
      <c r="AL43" s="212"/>
      <c r="AO43" s="209">
        <f>ROUND(X43*(AA43+AD43+AE43+AH43)*(1+('IDENTIFICACIÓN TRABAJADOR'!$H$45+'IDENTIFICACIÓN TRABAJADOR'!$L$45)/(360-'IDENTIFICACIÓN TRABAJADOR'!$H$45-'IDENTIFICACIÓN TRABAJADOR'!$L$45)),2)</f>
        <v>0</v>
      </c>
      <c r="AP43" s="242"/>
      <c r="AQ43" s="208" t="s">
        <v>223</v>
      </c>
    </row>
    <row r="44" spans="2:43" ht="15" customHeight="1" x14ac:dyDescent="0.25">
      <c r="B44" s="233" t="s">
        <v>54</v>
      </c>
      <c r="C44" s="234">
        <f>IFERROR(IF(OR(DATE($B$33,MONTH(DATEVALUE(B44&amp;"1")),1)&lt;DATE(YEAR(EXPEDIENTE!$I$25),MONTH(EXPEDIENTE!$I$25),1),DATE($B$33,MONTH(DATEVALUE(B44&amp;"1")),1)&gt;DATE(YEAR(EXPEDIENTE!$I$27),MONTH(EXPEDIENTE!$I$27)+1,1)-1),0,ROUND('% DEDICACIÓN TRABAJADOR'!P45,4)),0)</f>
        <v>0</v>
      </c>
      <c r="D44" s="238">
        <f>'GASTOS EJER. 2'!F29+'GASTOS EJER. 2'!L29-'GASTOS EJER. 2'!X29-'GASTOS EJER. 2'!Y29</f>
        <v>0</v>
      </c>
      <c r="E44" s="236" t="str">
        <f>IF('GASTOS EJER. 2'!AA29="","",'GASTOS EJER. 2'!AA29)</f>
        <v/>
      </c>
      <c r="F44" s="237">
        <f>IF(E44&lt;=EXPEDIENTE!$I$29,D44,0)</f>
        <v>0</v>
      </c>
      <c r="G44" s="238">
        <f>'GASTOS EJER. 2'!Y29</f>
        <v>0</v>
      </c>
      <c r="H44" s="236" t="str">
        <f>IF('GASTOS EJER. 2'!AB29="","",'GASTOS EJER. 2'!AB29)</f>
        <v/>
      </c>
      <c r="I44" s="237">
        <f>IF(H44&lt;=EXPEDIENTE!$I$29,G44,0)</f>
        <v>0</v>
      </c>
      <c r="J44" s="239">
        <f>AUXILIAR!BU48</f>
        <v>0</v>
      </c>
      <c r="K44" s="238">
        <f>AUXILIAR!FP48</f>
        <v>0</v>
      </c>
      <c r="L44" s="236" t="str">
        <f>IF('GASTOS EJER. 2'!I58="","",'GASTOS EJER. 2'!I58)</f>
        <v/>
      </c>
      <c r="M44" s="237">
        <f>IF(L44&lt;=EXPEDIENTE!$I$29,K44,0)</f>
        <v>0</v>
      </c>
      <c r="N44" s="239">
        <f>IF($U$42=0,0,IF(AND($U$44&gt;$U$42,$U$40=1100%),MIN(AUXILIAR!$P$17,ROUND($U$42/$U$44*(F44+I44+J44+M44)*(1+('IDENTIFICACIÓN TRABAJADOR'!$H$45+'IDENTIFICACIÓN TRABAJADOR'!$L$45)/('IDENTIFICACIÓN TRABAJADOR'!$E$34-'IDENTIFICACIÓN TRABAJADOR'!$H$45-'IDENTIFICACIÓN TRABAJADOR'!$L$45)),2)),MIN(AUXILIAR!$P$17,ROUND((F44+I44+J44+M44)*(1+('IDENTIFICACIÓN TRABAJADOR'!$H$45+'IDENTIFICACIÓN TRABAJADOR'!$L$45)/('IDENTIFICACIÓN TRABAJADOR'!$E$34-'IDENTIFICACIÓN TRABAJADOR'!$H$45-'IDENTIFICACIÓN TRABAJADOR'!$L$45)),2))))</f>
        <v>0</v>
      </c>
      <c r="O44" s="241">
        <f t="shared" si="3"/>
        <v>0</v>
      </c>
      <c r="P44" s="212"/>
      <c r="S44" s="209">
        <f>ROUND(C44*(F44+I44+J44+M44)*(1+('IDENTIFICACIÓN TRABAJADOR'!$H$45+'IDENTIFICACIÓN TRABAJADOR'!$L$45)/(360-'IDENTIFICACIÓN TRABAJADOR'!$H$45-'IDENTIFICACIÓN TRABAJADOR'!$L$45)),2)</f>
        <v>0</v>
      </c>
      <c r="T44" s="242"/>
      <c r="U44" s="244">
        <f>SUM(S35:S46)</f>
        <v>0</v>
      </c>
      <c r="W44" s="233" t="s">
        <v>54</v>
      </c>
      <c r="X44" s="234">
        <f>IFERROR(IF(OR(DATE($B$33,MONTH(DATEVALUE(W44&amp;"1")),1)&lt;DATE(YEAR(EXPEDIENTE!$I$25),MONTH(EXPEDIENTE!$I$25),1),DATE($B$33,MONTH(DATEVALUE(W44&amp;"1")),1)&gt;DATE(YEAR(EXPEDIENTE!$I$27),MONTH(EXPEDIENTE!$I$27)+1,1)-1),0,ROUND('% DEDICACIÓN TRABAJADOR'!P45,4)),0)</f>
        <v>0</v>
      </c>
      <c r="Y44" s="238">
        <f>'GASTOS EJER. 2'!AW29+'GASTOS EJER. 2'!BM29-'GASTOS EJER. 2'!CM29-'GASTOS EJER. 2'!CP29</f>
        <v>0</v>
      </c>
      <c r="Z44" s="236" t="str">
        <f>IF('GASTOS EJER. 2'!CT29="","",'GASTOS EJER. 2'!CT29)</f>
        <v/>
      </c>
      <c r="AA44" s="237">
        <f>IF(Z44&lt;=EXPEDIENTE!$I$29,Y44,0)</f>
        <v>0</v>
      </c>
      <c r="AB44" s="238">
        <f>'GASTOS EJER. 2'!CP29</f>
        <v>0</v>
      </c>
      <c r="AC44" s="236" t="str">
        <f>IF('GASTOS EJER. 2'!CW29="","",'GASTOS EJER. 2'!CW29)</f>
        <v/>
      </c>
      <c r="AD44" s="237">
        <f>IF(AC44&lt;=EXPEDIENTE!$I$29,AB44,0)</f>
        <v>0</v>
      </c>
      <c r="AE44" s="239">
        <f>AUXILIAR!DL48</f>
        <v>0</v>
      </c>
      <c r="AF44" s="238">
        <f>AUXILIAR!HU48</f>
        <v>0</v>
      </c>
      <c r="AG44" s="236" t="str">
        <f>IF('GASTOS EJER. 2'!BF58="","",'GASTOS EJER. 2'!BF58)</f>
        <v/>
      </c>
      <c r="AH44" s="237">
        <f>IF(AG44&lt;=EXPEDIENTE!$I$29,AF44,0)</f>
        <v>0</v>
      </c>
      <c r="AI44" s="239">
        <f>IF($AQ$42=0,0,IF(AND($AQ$44&gt;$AQ$42,$AQ$40=1100%),MIN(AUXILIAR!$P$17,ROUND($AQ$42/$AQ$44*(AA44+AD44+AE44+AH44)*(1+('IDENTIFICACIÓN TRABAJADOR'!$H$45+'IDENTIFICACIÓN TRABAJADOR'!$L$45)/('IDENTIFICACIÓN TRABAJADOR'!$E$34-'IDENTIFICACIÓN TRABAJADOR'!$H$45-'IDENTIFICACIÓN TRABAJADOR'!$L$45)),2)),MIN(AUXILIAR!$P$17,ROUND((AA44+AD44+AE44+AH44)*(1+('IDENTIFICACIÓN TRABAJADOR'!$H$45+'IDENTIFICACIÓN TRABAJADOR'!$L$45)/('IDENTIFICACIÓN TRABAJADOR'!$E$34-'IDENTIFICACIÓN TRABAJADOR'!$H$45-'IDENTIFICACIÓN TRABAJADOR'!$L$45)),2))))</f>
        <v>0</v>
      </c>
      <c r="AJ44" s="240">
        <f t="shared" si="4"/>
        <v>0</v>
      </c>
      <c r="AK44" s="241">
        <f t="shared" si="5"/>
        <v>0</v>
      </c>
      <c r="AL44" s="212"/>
      <c r="AO44" s="209">
        <f>ROUND(X44*(AA44+AD44+AE44+AH44)*(1+('IDENTIFICACIÓN TRABAJADOR'!$H$45+'IDENTIFICACIÓN TRABAJADOR'!$L$45)/(360-'IDENTIFICACIÓN TRABAJADOR'!$H$45-'IDENTIFICACIÓN TRABAJADOR'!$L$45)),2)</f>
        <v>0</v>
      </c>
      <c r="AP44" s="242"/>
      <c r="AQ44" s="244">
        <f>SUM(AO35:AO46)</f>
        <v>0</v>
      </c>
    </row>
    <row r="45" spans="2:43" ht="15" customHeight="1" x14ac:dyDescent="0.25">
      <c r="B45" s="233" t="s">
        <v>55</v>
      </c>
      <c r="C45" s="234">
        <f>IFERROR(IF(OR(DATE($B$33,MONTH(DATEVALUE(B45&amp;"1")),1)&lt;DATE(YEAR(EXPEDIENTE!$I$25),MONTH(EXPEDIENTE!$I$25),1),DATE($B$33,MONTH(DATEVALUE(B45&amp;"1")),1)&gt;DATE(YEAR(EXPEDIENTE!$I$27),MONTH(EXPEDIENTE!$I$27)+1,1)-1),0,ROUND('% DEDICACIÓN TRABAJADOR'!Q45,4)),0)</f>
        <v>0</v>
      </c>
      <c r="D45" s="238">
        <f>'GASTOS EJER. 2'!F30+'GASTOS EJER. 2'!L30-'GASTOS EJER. 2'!X30-'GASTOS EJER. 2'!Y30</f>
        <v>0</v>
      </c>
      <c r="E45" s="236" t="str">
        <f>IF('GASTOS EJER. 2'!AA30="","",'GASTOS EJER. 2'!AA30)</f>
        <v/>
      </c>
      <c r="F45" s="237">
        <f>IF(E45&lt;=EXPEDIENTE!$I$29,D45,0)</f>
        <v>0</v>
      </c>
      <c r="G45" s="238">
        <f>'GASTOS EJER. 2'!Y30</f>
        <v>0</v>
      </c>
      <c r="H45" s="236" t="str">
        <f>IF('GASTOS EJER. 2'!AB30="","",'GASTOS EJER. 2'!AB30)</f>
        <v/>
      </c>
      <c r="I45" s="237">
        <f>IF(H45&lt;=EXPEDIENTE!$I$29,G45,0)</f>
        <v>0</v>
      </c>
      <c r="J45" s="239">
        <f>AUXILIAR!BU49</f>
        <v>0</v>
      </c>
      <c r="K45" s="238">
        <f>AUXILIAR!FP49</f>
        <v>0</v>
      </c>
      <c r="L45" s="236" t="str">
        <f>IF('GASTOS EJER. 2'!I59="","",'GASTOS EJER. 2'!I59)</f>
        <v/>
      </c>
      <c r="M45" s="237">
        <f>IF(L45&lt;=EXPEDIENTE!$I$29,K45,0)</f>
        <v>0</v>
      </c>
      <c r="N45" s="239">
        <f>IF($U$42=0,0,IF(AND($U$44&gt;$U$42,$U$40=1100%),MIN(AUXILIAR!$P$17,ROUND($U$42/$U$44*(F45+I45+J45+M45)*(1+('IDENTIFICACIÓN TRABAJADOR'!$H$45+'IDENTIFICACIÓN TRABAJADOR'!$L$45)/('IDENTIFICACIÓN TRABAJADOR'!$E$34-'IDENTIFICACIÓN TRABAJADOR'!$H$45-'IDENTIFICACIÓN TRABAJADOR'!$L$45)),2)),MIN(AUXILIAR!$P$17,ROUND((F45+I45+J45+M45)*(1+('IDENTIFICACIÓN TRABAJADOR'!$H$45+'IDENTIFICACIÓN TRABAJADOR'!$L$45)/('IDENTIFICACIÓN TRABAJADOR'!$E$34-'IDENTIFICACIÓN TRABAJADOR'!$H$45-'IDENTIFICACIÓN TRABAJADOR'!$L$45)),2))))</f>
        <v>0</v>
      </c>
      <c r="O45" s="241">
        <f t="shared" si="3"/>
        <v>0</v>
      </c>
      <c r="P45" s="212"/>
      <c r="S45" s="209">
        <f>ROUND(C45*(F45+I45+J45+M45)*(1+('IDENTIFICACIÓN TRABAJADOR'!$H$45+'IDENTIFICACIÓN TRABAJADOR'!$L$45)/(360-'IDENTIFICACIÓN TRABAJADOR'!$H$45-'IDENTIFICACIÓN TRABAJADOR'!$L$45)),2)</f>
        <v>0</v>
      </c>
      <c r="T45" s="242"/>
      <c r="U45" s="208" t="s">
        <v>224</v>
      </c>
      <c r="W45" s="233" t="s">
        <v>55</v>
      </c>
      <c r="X45" s="234">
        <f>IFERROR(IF(OR(DATE($B$33,MONTH(DATEVALUE(W45&amp;"1")),1)&lt;DATE(YEAR(EXPEDIENTE!$I$25),MONTH(EXPEDIENTE!$I$25),1),DATE($B$33,MONTH(DATEVALUE(W45&amp;"1")),1)&gt;DATE(YEAR(EXPEDIENTE!$I$27),MONTH(EXPEDIENTE!$I$27)+1,1)-1),0,ROUND('% DEDICACIÓN TRABAJADOR'!Q45,4)),0)</f>
        <v>0</v>
      </c>
      <c r="Y45" s="238">
        <f>'GASTOS EJER. 2'!AW30+'GASTOS EJER. 2'!BM30-'GASTOS EJER. 2'!CM30-'GASTOS EJER. 2'!CP30</f>
        <v>0</v>
      </c>
      <c r="Z45" s="236" t="str">
        <f>IF('GASTOS EJER. 2'!CT30="","",'GASTOS EJER. 2'!CT30)</f>
        <v/>
      </c>
      <c r="AA45" s="237">
        <f>IF(Z45&lt;=EXPEDIENTE!$I$29,Y45,0)</f>
        <v>0</v>
      </c>
      <c r="AB45" s="238">
        <f>'GASTOS EJER. 2'!CP30</f>
        <v>0</v>
      </c>
      <c r="AC45" s="236" t="str">
        <f>IF('GASTOS EJER. 2'!CW30="","",'GASTOS EJER. 2'!CW30)</f>
        <v/>
      </c>
      <c r="AD45" s="237">
        <f>IF(AC45&lt;=EXPEDIENTE!$I$29,AB45,0)</f>
        <v>0</v>
      </c>
      <c r="AE45" s="239">
        <f>AUXILIAR!DL49</f>
        <v>0</v>
      </c>
      <c r="AF45" s="238">
        <f>AUXILIAR!HU49</f>
        <v>0</v>
      </c>
      <c r="AG45" s="236" t="str">
        <f>IF('GASTOS EJER. 2'!BF59="","",'GASTOS EJER. 2'!BF59)</f>
        <v/>
      </c>
      <c r="AH45" s="237">
        <f>IF(AG45&lt;=EXPEDIENTE!$I$29,AF45,0)</f>
        <v>0</v>
      </c>
      <c r="AI45" s="239">
        <f>IF($AQ$42=0,0,IF(AND($AQ$44&gt;$AQ$42,$AQ$40=1100%),MIN(AUXILIAR!$P$17,ROUND($AQ$42/$AQ$44*(AA45+AD45+AE45+AH45)*(1+('IDENTIFICACIÓN TRABAJADOR'!$H$45+'IDENTIFICACIÓN TRABAJADOR'!$L$45)/('IDENTIFICACIÓN TRABAJADOR'!$E$34-'IDENTIFICACIÓN TRABAJADOR'!$H$45-'IDENTIFICACIÓN TRABAJADOR'!$L$45)),2)),MIN(AUXILIAR!$P$17,ROUND((AA45+AD45+AE45+AH45)*(1+('IDENTIFICACIÓN TRABAJADOR'!$H$45+'IDENTIFICACIÓN TRABAJADOR'!$L$45)/('IDENTIFICACIÓN TRABAJADOR'!$E$34-'IDENTIFICACIÓN TRABAJADOR'!$H$45-'IDENTIFICACIÓN TRABAJADOR'!$L$45)),2))))</f>
        <v>0</v>
      </c>
      <c r="AJ45" s="240">
        <f t="shared" si="4"/>
        <v>0</v>
      </c>
      <c r="AK45" s="241">
        <f t="shared" si="5"/>
        <v>0</v>
      </c>
      <c r="AL45" s="212"/>
      <c r="AO45" s="209">
        <f>ROUND(X45*(AA45+AD45+AE45+AH45)*(1+('IDENTIFICACIÓN TRABAJADOR'!$H$45+'IDENTIFICACIÓN TRABAJADOR'!$L$45)/(360-'IDENTIFICACIÓN TRABAJADOR'!$H$45-'IDENTIFICACIÓN TRABAJADOR'!$L$45)),2)</f>
        <v>0</v>
      </c>
      <c r="AP45" s="242"/>
      <c r="AQ45" s="208" t="s">
        <v>224</v>
      </c>
    </row>
    <row r="46" spans="2:43" ht="15" customHeight="1" thickBot="1" x14ac:dyDescent="0.3">
      <c r="B46" s="245" t="s">
        <v>56</v>
      </c>
      <c r="C46" s="246">
        <f>IFERROR(IF(OR(DATE($B$33,MONTH(DATEVALUE(B46&amp;"1")),1)&lt;DATE(YEAR(EXPEDIENTE!$I$25),MONTH(EXPEDIENTE!$I$25),1),DATE($B$33,MONTH(DATEVALUE(B46&amp;"1")),1)&gt;DATE(YEAR(EXPEDIENTE!$I$27),MONTH(EXPEDIENTE!$I$27)+1,1)-1),0,ROUND('% DEDICACIÓN TRABAJADOR'!R45,4)),0)</f>
        <v>0</v>
      </c>
      <c r="D46" s="250">
        <f>'GASTOS EJER. 2'!F31+'GASTOS EJER. 2'!L31-'GASTOS EJER. 2'!X31-'GASTOS EJER. 2'!Y31</f>
        <v>0</v>
      </c>
      <c r="E46" s="248" t="str">
        <f>IF('GASTOS EJER. 2'!AA31="","",'GASTOS EJER. 2'!AA31)</f>
        <v/>
      </c>
      <c r="F46" s="249">
        <f>IF(E46&lt;=EXPEDIENTE!$I$29,D46,0)</f>
        <v>0</v>
      </c>
      <c r="G46" s="250">
        <f>'GASTOS EJER. 2'!Y31</f>
        <v>0</v>
      </c>
      <c r="H46" s="248" t="str">
        <f>IF('GASTOS EJER. 2'!AB31="","",'GASTOS EJER. 2'!AB31)</f>
        <v/>
      </c>
      <c r="I46" s="249">
        <f>IF(H46&lt;=EXPEDIENTE!$I$29,G46,0)</f>
        <v>0</v>
      </c>
      <c r="J46" s="251">
        <f>AUXILIAR!BU50</f>
        <v>0</v>
      </c>
      <c r="K46" s="250">
        <f>AUXILIAR!FP50</f>
        <v>0</v>
      </c>
      <c r="L46" s="248" t="str">
        <f>IF('GASTOS EJER. 2'!I60="","",'GASTOS EJER. 2'!I60)</f>
        <v/>
      </c>
      <c r="M46" s="249">
        <f>IF(L46&lt;=EXPEDIENTE!$I$29,K46,0)</f>
        <v>0</v>
      </c>
      <c r="N46" s="251">
        <f>IF($U$42=0,0,IF(AND($U$44&gt;$U$42,$U$40=1100%),MIN(AUXILIAR!$P$17,ROUND($U$42/$U$44*(F46+I46+J46+M46)*(1+('IDENTIFICACIÓN TRABAJADOR'!$H$45+'IDENTIFICACIÓN TRABAJADOR'!$L$45)/('IDENTIFICACIÓN TRABAJADOR'!$E$34-'IDENTIFICACIÓN TRABAJADOR'!$H$45-'IDENTIFICACIÓN TRABAJADOR'!$L$45)),2)),MIN(AUXILIAR!$P$17,ROUND((F46+I46+J46+M46)*(1+('IDENTIFICACIÓN TRABAJADOR'!$H$45+'IDENTIFICACIÓN TRABAJADOR'!$L$45)/('IDENTIFICACIÓN TRABAJADOR'!$E$34-'IDENTIFICACIÓN TRABAJADOR'!$H$45-'IDENTIFICACIÓN TRABAJADOR'!$L$45)),2))))</f>
        <v>0</v>
      </c>
      <c r="O46" s="253">
        <f t="shared" si="3"/>
        <v>0</v>
      </c>
      <c r="P46" s="212"/>
      <c r="S46" s="209">
        <f>ROUND(C46*(F46+I46+J46+M46)*(1+('IDENTIFICACIÓN TRABAJADOR'!$H$45+'IDENTIFICACIÓN TRABAJADOR'!$L$45)/(360-'IDENTIFICACIÓN TRABAJADOR'!$H$45-'IDENTIFICACIÓN TRABAJADOR'!$L$45)),2)</f>
        <v>0</v>
      </c>
      <c r="T46" s="242"/>
      <c r="U46" s="208" t="str">
        <f>IF(U44=0,"",U42/U44)</f>
        <v/>
      </c>
      <c r="W46" s="245" t="s">
        <v>56</v>
      </c>
      <c r="X46" s="246">
        <f>IFERROR(IF(OR(DATE($B$33,MONTH(DATEVALUE(W46&amp;"1")),1)&lt;DATE(YEAR(EXPEDIENTE!$I$25),MONTH(EXPEDIENTE!$I$25),1),DATE($B$33,MONTH(DATEVALUE(W46&amp;"1")),1)&gt;DATE(YEAR(EXPEDIENTE!$I$27),MONTH(EXPEDIENTE!$I$27)+1,1)-1),0,ROUND('% DEDICACIÓN TRABAJADOR'!R45,4)),0)</f>
        <v>0</v>
      </c>
      <c r="Y46" s="250">
        <f>'GASTOS EJER. 2'!AW31+'GASTOS EJER. 2'!BM31-'GASTOS EJER. 2'!CM31-'GASTOS EJER. 2'!CP31</f>
        <v>0</v>
      </c>
      <c r="Z46" s="248" t="str">
        <f>IF('GASTOS EJER. 2'!CT31="","",'GASTOS EJER. 2'!CT31)</f>
        <v/>
      </c>
      <c r="AA46" s="249">
        <f>IF(Z46&lt;=EXPEDIENTE!$I$29,Y46,0)</f>
        <v>0</v>
      </c>
      <c r="AB46" s="250">
        <f>'GASTOS EJER. 2'!CP31</f>
        <v>0</v>
      </c>
      <c r="AC46" s="248" t="str">
        <f>IF('GASTOS EJER. 2'!CW31="","",'GASTOS EJER. 2'!CW31)</f>
        <v/>
      </c>
      <c r="AD46" s="249">
        <f>IF(AC46&lt;=EXPEDIENTE!$I$29,AB46,0)</f>
        <v>0</v>
      </c>
      <c r="AE46" s="251">
        <f>AUXILIAR!DL50</f>
        <v>0</v>
      </c>
      <c r="AF46" s="250">
        <f>AUXILIAR!HU50</f>
        <v>0</v>
      </c>
      <c r="AG46" s="248" t="str">
        <f>IF('GASTOS EJER. 2'!BF60="","",'GASTOS EJER. 2'!BF60)</f>
        <v/>
      </c>
      <c r="AH46" s="249">
        <f>IF(AG46&lt;=EXPEDIENTE!$I$29,AF46,0)</f>
        <v>0</v>
      </c>
      <c r="AI46" s="251">
        <f>IF($AQ$42=0,0,IF(AND($AQ$44&gt;$AQ$42,$AQ$40=1100%),MIN(AUXILIAR!$P$17,ROUND($AQ$42/$AQ$44*(AA46+AD46+AE46+AH46)*(1+('IDENTIFICACIÓN TRABAJADOR'!$H$45+'IDENTIFICACIÓN TRABAJADOR'!$L$45)/('IDENTIFICACIÓN TRABAJADOR'!$E$34-'IDENTIFICACIÓN TRABAJADOR'!$H$45-'IDENTIFICACIÓN TRABAJADOR'!$L$45)),2)),MIN(AUXILIAR!$P$17,ROUND((AA46+AD46+AE46+AH46)*(1+('IDENTIFICACIÓN TRABAJADOR'!$H$45+'IDENTIFICACIÓN TRABAJADOR'!$L$45)/('IDENTIFICACIÓN TRABAJADOR'!$E$34-'IDENTIFICACIÓN TRABAJADOR'!$H$45-'IDENTIFICACIÓN TRABAJADOR'!$L$45)),2))))</f>
        <v>0</v>
      </c>
      <c r="AJ46" s="252">
        <f t="shared" si="4"/>
        <v>0</v>
      </c>
      <c r="AK46" s="253">
        <f t="shared" si="5"/>
        <v>0</v>
      </c>
      <c r="AL46" s="212"/>
      <c r="AO46" s="209">
        <f>ROUND(X46*(AA46+AD46+AE46+AH46)*(1+('IDENTIFICACIÓN TRABAJADOR'!$H$45+'IDENTIFICACIÓN TRABAJADOR'!$L$45)/(360-'IDENTIFICACIÓN TRABAJADOR'!$H$45-'IDENTIFICACIÓN TRABAJADOR'!$L$45)),2)</f>
        <v>0</v>
      </c>
      <c r="AP46" s="242"/>
      <c r="AQ46" s="208" t="str">
        <f>IF(AQ44=0,"",AQ42/AQ44)</f>
        <v/>
      </c>
    </row>
    <row r="47" spans="2:43" ht="14.25" thickBot="1" x14ac:dyDescent="0.3">
      <c r="M47" s="254"/>
      <c r="N47" s="254"/>
      <c r="O47" s="254"/>
      <c r="T47" s="212"/>
      <c r="U47" s="208" t="s">
        <v>170</v>
      </c>
      <c r="AH47" s="254"/>
      <c r="AI47" s="254"/>
      <c r="AJ47" s="254"/>
      <c r="AK47" s="254"/>
      <c r="AP47" s="212"/>
      <c r="AQ47" s="208" t="s">
        <v>170</v>
      </c>
    </row>
    <row r="48" spans="2:43" ht="20.100000000000001" customHeight="1" thickBot="1" x14ac:dyDescent="0.3">
      <c r="G48" s="255"/>
      <c r="M48" s="256"/>
      <c r="N48" s="257" t="str">
        <f>CONCATENATE("TOTAL EJERCICIO ",B33)</f>
        <v>TOTAL EJERCICIO 2024</v>
      </c>
      <c r="O48" s="133">
        <f>SUM(O35:O46)</f>
        <v>0</v>
      </c>
      <c r="Q48" s="126" t="str">
        <f>IF(U48&gt;0,"EXISTE ALGÚN % DE DEDICACIÓN SUPERIOR AL 100% EN ESTE EJERCICIO","")</f>
        <v/>
      </c>
      <c r="T48" s="212"/>
      <c r="U48" s="208">
        <f>'% DEDICACIÓN TRABAJADOR'!$B$45</f>
        <v>0</v>
      </c>
      <c r="AB48" s="255"/>
      <c r="AH48" s="256"/>
      <c r="AI48" s="257" t="str">
        <f>CONCATENATE("TOTAL EJERCICIO ",W33)</f>
        <v>TOTAL EJERCICIO 2024</v>
      </c>
      <c r="AJ48" s="133">
        <f>SUM(AJ35:AJ46)</f>
        <v>0</v>
      </c>
      <c r="AK48" s="133">
        <f>SUM(AK35:AK46)</f>
        <v>0</v>
      </c>
      <c r="AM48" s="126" t="str">
        <f>IF(AQ48&gt;0,"EXISTE ALGÚN % DE DEDICACIÓN SUPERIOR AL 100% EN ESTE EJERCICIO","")</f>
        <v/>
      </c>
      <c r="AP48" s="212"/>
      <c r="AQ48" s="208">
        <f>'% DEDICACIÓN TRABAJADOR'!$B$45</f>
        <v>0</v>
      </c>
    </row>
    <row r="49" spans="2:43" ht="20.100000000000001" customHeight="1" x14ac:dyDescent="0.25">
      <c r="T49" s="212"/>
      <c r="U49" s="212"/>
      <c r="AP49" s="212"/>
      <c r="AQ49" s="212"/>
    </row>
    <row r="50" spans="2:43" ht="20.100000000000001" customHeight="1" x14ac:dyDescent="0.25">
      <c r="T50" s="212"/>
      <c r="U50" s="212"/>
      <c r="AP50" s="212"/>
      <c r="AQ50" s="212"/>
    </row>
    <row r="51" spans="2:43" ht="20.100000000000001" customHeight="1" x14ac:dyDescent="0.25">
      <c r="T51" s="212"/>
      <c r="U51" s="212"/>
      <c r="AP51" s="212"/>
      <c r="AQ51" s="212"/>
    </row>
    <row r="52" spans="2:43" ht="20.100000000000001" customHeight="1" x14ac:dyDescent="0.25">
      <c r="D52" s="213" t="str">
        <f>D4</f>
        <v>Nº DE EXPEDIENTE: 2024.08.EPTE.0000</v>
      </c>
      <c r="E52" s="127"/>
      <c r="F52" s="214"/>
      <c r="T52" s="212"/>
      <c r="U52" s="212"/>
      <c r="Y52" s="213" t="str">
        <f>Y4</f>
        <v>Nº DE EXPEDIENTE: 2024.08.EPTE.0000</v>
      </c>
      <c r="Z52" s="127"/>
      <c r="AA52" s="214"/>
      <c r="AP52" s="212"/>
      <c r="AQ52" s="212"/>
    </row>
    <row r="53" spans="2:43" ht="20.100000000000001" customHeight="1" x14ac:dyDescent="0.25">
      <c r="E53" s="128"/>
      <c r="F53" s="208"/>
      <c r="T53" s="212"/>
      <c r="U53" s="212"/>
      <c r="Z53" s="128"/>
      <c r="AA53" s="208"/>
      <c r="AP53" s="212"/>
      <c r="AQ53" s="212"/>
    </row>
    <row r="54" spans="2:43" ht="20.100000000000001" customHeight="1" x14ac:dyDescent="0.25">
      <c r="D54" s="215" t="str">
        <f>D6</f>
        <v>TRABAJADOR:</v>
      </c>
      <c r="E54" s="131"/>
      <c r="F54" s="208"/>
      <c r="T54" s="212"/>
      <c r="U54" s="212"/>
      <c r="Y54" s="215" t="str">
        <f>Y6</f>
        <v>TRABAJADOR:</v>
      </c>
      <c r="Z54" s="131"/>
      <c r="AA54" s="208"/>
      <c r="AP54" s="212"/>
      <c r="AQ54" s="212"/>
    </row>
    <row r="55" spans="2:43" ht="20.100000000000001" customHeight="1" x14ac:dyDescent="0.25">
      <c r="D55" s="215" t="str">
        <f>D7</f>
        <v>ACRÓNIMO:</v>
      </c>
      <c r="E55" s="131"/>
      <c r="F55" s="208"/>
      <c r="T55" s="212"/>
      <c r="U55" s="212"/>
      <c r="Y55" s="215" t="str">
        <f>Y7</f>
        <v>ACRÓNIMO:</v>
      </c>
      <c r="Z55" s="131"/>
      <c r="AA55" s="208"/>
      <c r="AP55" s="212"/>
      <c r="AQ55" s="212"/>
    </row>
    <row r="56" spans="2:43" ht="20.100000000000001" customHeight="1" thickBot="1" x14ac:dyDescent="0.3">
      <c r="D56" s="215"/>
      <c r="E56" s="131"/>
      <c r="F56" s="208"/>
      <c r="T56" s="212"/>
      <c r="U56" s="212"/>
      <c r="Y56" s="215"/>
      <c r="Z56" s="131"/>
      <c r="AA56" s="208"/>
      <c r="AP56" s="212"/>
      <c r="AQ56" s="212"/>
    </row>
    <row r="57" spans="2:43" s="216" customFormat="1" ht="25.5" customHeight="1" x14ac:dyDescent="0.25">
      <c r="B57" s="933">
        <f>$B$9+2</f>
        <v>2025</v>
      </c>
      <c r="C57" s="929" t="str">
        <f>CONCATENATE("PORCENTAJE
DEDICACIÓN
MENSUAL EJERCICIO ",B57)</f>
        <v>PORCENTAJE
DEDICACIÓN
MENSUAL EJERCICIO 2025</v>
      </c>
      <c r="D57" s="935" t="s">
        <v>116</v>
      </c>
      <c r="E57" s="936"/>
      <c r="F57" s="937"/>
      <c r="G57" s="938" t="s">
        <v>194</v>
      </c>
      <c r="H57" s="939"/>
      <c r="I57" s="940"/>
      <c r="J57" s="544" t="s">
        <v>117</v>
      </c>
      <c r="K57" s="935" t="s">
        <v>195</v>
      </c>
      <c r="L57" s="936"/>
      <c r="M57" s="937"/>
      <c r="N57" s="929" t="s">
        <v>161</v>
      </c>
      <c r="O57" s="931" t="s">
        <v>82</v>
      </c>
      <c r="R57" s="126"/>
      <c r="S57" s="126"/>
      <c r="T57" s="212"/>
      <c r="U57" s="212"/>
      <c r="W57" s="941">
        <f>$B$9+2</f>
        <v>2025</v>
      </c>
      <c r="X57" s="943" t="str">
        <f>CONCATENATE("PORCENTAJE
DEDICACIÓN
MENSUAL EJERCICIO ",W57)</f>
        <v>PORCENTAJE
DEDICACIÓN
MENSUAL EJERCICIO 2025</v>
      </c>
      <c r="Y57" s="945" t="s">
        <v>116</v>
      </c>
      <c r="Z57" s="946"/>
      <c r="AA57" s="947"/>
      <c r="AB57" s="948" t="s">
        <v>194</v>
      </c>
      <c r="AC57" s="949"/>
      <c r="AD57" s="950"/>
      <c r="AE57" s="217" t="s">
        <v>117</v>
      </c>
      <c r="AF57" s="945" t="s">
        <v>195</v>
      </c>
      <c r="AG57" s="946"/>
      <c r="AH57" s="947"/>
      <c r="AI57" s="943" t="s">
        <v>161</v>
      </c>
      <c r="AJ57" s="951" t="s">
        <v>344</v>
      </c>
      <c r="AK57" s="931" t="s">
        <v>345</v>
      </c>
      <c r="AN57" s="126"/>
      <c r="AO57" s="126"/>
      <c r="AP57" s="212"/>
      <c r="AQ57" s="212"/>
    </row>
    <row r="58" spans="2:43" s="212" customFormat="1" ht="65.099999999999994" customHeight="1" thickBot="1" x14ac:dyDescent="0.3">
      <c r="B58" s="934"/>
      <c r="C58" s="930"/>
      <c r="D58" s="545" t="s">
        <v>196</v>
      </c>
      <c r="E58" s="288" t="s">
        <v>64</v>
      </c>
      <c r="F58" s="546" t="s">
        <v>83</v>
      </c>
      <c r="G58" s="547" t="s">
        <v>77</v>
      </c>
      <c r="H58" s="288" t="s">
        <v>119</v>
      </c>
      <c r="I58" s="548" t="s">
        <v>78</v>
      </c>
      <c r="J58" s="549" t="s">
        <v>118</v>
      </c>
      <c r="K58" s="547" t="s">
        <v>197</v>
      </c>
      <c r="L58" s="288" t="s">
        <v>75</v>
      </c>
      <c r="M58" s="548" t="s">
        <v>80</v>
      </c>
      <c r="N58" s="930"/>
      <c r="O58" s="932"/>
      <c r="R58" s="126"/>
      <c r="S58" s="120">
        <f>(1+('IDENTIFICACIÓN TRABAJADOR'!$N$45+'IDENTIFICACIÓN TRABAJADOR'!$R$45)/(360-'IDENTIFICACIÓN TRABAJADOR'!$N$45-'IDENTIFICACIÓN TRABAJADOR'!$R$45))</f>
        <v>1</v>
      </c>
      <c r="W58" s="942"/>
      <c r="X58" s="944"/>
      <c r="Y58" s="218" t="s">
        <v>196</v>
      </c>
      <c r="Z58" s="219" t="s">
        <v>64</v>
      </c>
      <c r="AA58" s="220" t="s">
        <v>83</v>
      </c>
      <c r="AB58" s="221" t="s">
        <v>77</v>
      </c>
      <c r="AC58" s="219" t="s">
        <v>119</v>
      </c>
      <c r="AD58" s="222" t="s">
        <v>78</v>
      </c>
      <c r="AE58" s="223" t="s">
        <v>118</v>
      </c>
      <c r="AF58" s="221" t="s">
        <v>197</v>
      </c>
      <c r="AG58" s="219" t="s">
        <v>75</v>
      </c>
      <c r="AH58" s="222" t="s">
        <v>80</v>
      </c>
      <c r="AI58" s="944"/>
      <c r="AJ58" s="952"/>
      <c r="AK58" s="932"/>
      <c r="AN58" s="126"/>
      <c r="AO58" s="120">
        <f>(1+('IDENTIFICACIÓN TRABAJADOR'!$N$45+'IDENTIFICACIÓN TRABAJADOR'!$R$45)/(360-'IDENTIFICACIÓN TRABAJADOR'!$N$45-'IDENTIFICACIÓN TRABAJADOR'!$R$45))</f>
        <v>1</v>
      </c>
    </row>
    <row r="59" spans="2:43" ht="15" customHeight="1" x14ac:dyDescent="0.25">
      <c r="B59" s="224" t="s">
        <v>45</v>
      </c>
      <c r="C59" s="225">
        <f>IFERROR(IF(OR(DATE($B$57,MONTH(DATEVALUE(B59&amp;"1")),1)&lt;DATE(YEAR(EXPEDIENTE!$I$25),MONTH(EXPEDIENTE!$I$25),1),DATE($B$57,MONTH(DATEVALUE(B59&amp;"1")),1)&gt;DATE(YEAR(EXPEDIENTE!$I$27),MONTH(EXPEDIENTE!$I$27)+1,1)-1),0,ROUND('% DEDICACIÓN TRABAJADOR'!G46,4)),0)</f>
        <v>0</v>
      </c>
      <c r="D59" s="229">
        <f>'GASTOS EJER. 3'!F20+'GASTOS EJER. 3'!L20-'GASTOS EJER. 3'!X20-'GASTOS EJER. 3'!Y20</f>
        <v>0</v>
      </c>
      <c r="E59" s="227" t="str">
        <f>IF('GASTOS EJER. 3'!AA20="","",'GASTOS EJER. 3'!AA20)</f>
        <v/>
      </c>
      <c r="F59" s="228">
        <f>IF(E59&lt;=EXPEDIENTE!$I$29,D59,0)</f>
        <v>0</v>
      </c>
      <c r="G59" s="229">
        <f>'GASTOS EJER. 3'!Y20</f>
        <v>0</v>
      </c>
      <c r="H59" s="227" t="str">
        <f>IF('GASTOS EJER. 3'!AB20="","",'GASTOS EJER. 3'!AB20)</f>
        <v/>
      </c>
      <c r="I59" s="228">
        <f>IF(H59&lt;=EXPEDIENTE!$I$29,G59,0)</f>
        <v>0</v>
      </c>
      <c r="J59" s="230">
        <f>AUXILIAR!BU55</f>
        <v>0</v>
      </c>
      <c r="K59" s="229">
        <f>AUXILIAR!FP55</f>
        <v>0</v>
      </c>
      <c r="L59" s="227" t="str">
        <f>IF('GASTOS EJER. 3'!I49="","",'GASTOS EJER. 3'!I49)</f>
        <v/>
      </c>
      <c r="M59" s="228">
        <f>IF(L59&lt;=EXPEDIENTE!$I$29,K59,0)</f>
        <v>0</v>
      </c>
      <c r="N59" s="230">
        <f>IF($U$66=0,0,IF(AND($U$68&gt;$U$66,$U$64=1100%),MIN(AUXILIAR!$P$17,ROUND($U$66/$U$68*(F59+I59+J59+M59)*(1+('IDENTIFICACIÓN TRABAJADOR'!$N$45+'IDENTIFICACIÓN TRABAJADOR'!$R$45)/('IDENTIFICACIÓN TRABAJADOR'!$E$38-'IDENTIFICACIÓN TRABAJADOR'!$N$45-'IDENTIFICACIÓN TRABAJADOR'!$R$45)),2)),MIN(AUXILIAR!$P$17,ROUND((F59+I59+J59+M59)*(1+('IDENTIFICACIÓN TRABAJADOR'!$N$45+'IDENTIFICACIÓN TRABAJADOR'!$R$45)/('IDENTIFICACIÓN TRABAJADOR'!$E$38-'IDENTIFICACIÓN TRABAJADOR'!$N$45-'IDENTIFICACIÓN TRABAJADOR'!$R$45)),2))))</f>
        <v>0</v>
      </c>
      <c r="O59" s="232">
        <f t="shared" ref="O59:O70" si="6">IF($U$72&gt;0,0,ROUND(C59*N59,2))</f>
        <v>0</v>
      </c>
      <c r="P59" s="212"/>
      <c r="S59" s="209">
        <f>ROUND(C59*(F59+I59+J59+M59)*(1+('IDENTIFICACIÓN TRABAJADOR'!$N$45+'IDENTIFICACIÓN TRABAJADOR'!$R$45)/(360-'IDENTIFICACIÓN TRABAJADOR'!$N$45-'IDENTIFICACIÓN TRABAJADOR'!$R$45)),2)</f>
        <v>0</v>
      </c>
      <c r="T59" s="212"/>
      <c r="U59" s="212"/>
      <c r="W59" s="224" t="s">
        <v>45</v>
      </c>
      <c r="X59" s="225">
        <f>IFERROR(IF(OR(DATE($B$57,MONTH(DATEVALUE(W59&amp;"1")),1)&lt;DATE(YEAR(EXPEDIENTE!$I$25),MONTH(EXPEDIENTE!$I$25),1),DATE($B$57,MONTH(DATEVALUE(W59&amp;"1")),1)&gt;DATE(YEAR(EXPEDIENTE!$I$27),MONTH(EXPEDIENTE!$I$27)+1,1)-1),0,ROUND('% DEDICACIÓN TRABAJADOR'!G46,4)),0)</f>
        <v>0</v>
      </c>
      <c r="Y59" s="229">
        <f>'GASTOS EJER. 3'!AW20+'GASTOS EJER. 3'!BM20-'GASTOS EJER. 3'!CM20-'GASTOS EJER. 3'!CP20</f>
        <v>0</v>
      </c>
      <c r="Z59" s="227" t="str">
        <f>IF('GASTOS EJER. 3'!CT20="","",'GASTOS EJER. 3'!CT20)</f>
        <v/>
      </c>
      <c r="AA59" s="228">
        <f>IF(Z59&lt;=EXPEDIENTE!$I$29,Y59,0)</f>
        <v>0</v>
      </c>
      <c r="AB59" s="229">
        <f>'GASTOS EJER. 3'!CP20</f>
        <v>0</v>
      </c>
      <c r="AC59" s="227" t="str">
        <f>IF('GASTOS EJER. 3'!CW20="","",'GASTOS EJER. 3'!CW20)</f>
        <v/>
      </c>
      <c r="AD59" s="228">
        <f>IF(AC59&lt;=EXPEDIENTE!$I$29,AB59,0)</f>
        <v>0</v>
      </c>
      <c r="AE59" s="230">
        <f>AUXILIAR!DL55</f>
        <v>0</v>
      </c>
      <c r="AF59" s="229">
        <f>AUXILIAR!HU55</f>
        <v>0</v>
      </c>
      <c r="AG59" s="227" t="str">
        <f>IF('GASTOS EJER. 3'!BF49="","",'GASTOS EJER. 3'!BF49)</f>
        <v/>
      </c>
      <c r="AH59" s="228">
        <f>IF(AG59&lt;=EXPEDIENTE!$I$29,AF59,0)</f>
        <v>0</v>
      </c>
      <c r="AI59" s="230">
        <f>IF($AQ$66=0,0,IF(AND($AQ$68&gt;$AQ$66,$AQ$64=1100%),MIN(AUXILIAR!$P$17,ROUND($AQ$66/$AQ$68*(AA59+AD59+AE59+AH59)*(1+('IDENTIFICACIÓN TRABAJADOR'!$N$45+'IDENTIFICACIÓN TRABAJADOR'!$R$45)/('IDENTIFICACIÓN TRABAJADOR'!$E$38-'IDENTIFICACIÓN TRABAJADOR'!$N$45-'IDENTIFICACIÓN TRABAJADOR'!$R$45)),2)),MIN(AUXILIAR!$P$17,ROUND((AA59+AD59+AE59+AH59)*(1+('IDENTIFICACIÓN TRABAJADOR'!$N$45+'IDENTIFICACIÓN TRABAJADOR'!$R$45)/('IDENTIFICACIÓN TRABAJADOR'!$E$38-'IDENTIFICACIÓN TRABAJADOR'!$N$45-'IDENTIFICACIÓN TRABAJADOR'!$R$45)),2))))</f>
        <v>0</v>
      </c>
      <c r="AJ59" s="231">
        <f>IF($AQ$72&gt;0,0,ROUND(X59*AI59,2))</f>
        <v>0</v>
      </c>
      <c r="AK59" s="232">
        <f>O59</f>
        <v>0</v>
      </c>
      <c r="AL59" s="212"/>
      <c r="AO59" s="209">
        <f>ROUND(X59*(AA59+AD59+AE59+AH59)*(1+('IDENTIFICACIÓN TRABAJADOR'!$N$45+'IDENTIFICACIÓN TRABAJADOR'!$R$45)/(360-'IDENTIFICACIÓN TRABAJADOR'!$N$45-'IDENTIFICACIÓN TRABAJADOR'!$R$45)),2)</f>
        <v>0</v>
      </c>
      <c r="AP59" s="212"/>
      <c r="AQ59" s="212"/>
    </row>
    <row r="60" spans="2:43" ht="15" customHeight="1" x14ac:dyDescent="0.25">
      <c r="B60" s="233" t="s">
        <v>46</v>
      </c>
      <c r="C60" s="234">
        <f>IFERROR(IF(OR(DATE($B$57,MONTH(DATEVALUE(B60&amp;"1")),1)&lt;DATE(YEAR(EXPEDIENTE!$I$25),MONTH(EXPEDIENTE!$I$25),1),DATE($B$57,MONTH(DATEVALUE(B60&amp;"1")),1)&gt;DATE(YEAR(EXPEDIENTE!$I$27),MONTH(EXPEDIENTE!$I$27)+1,1)-1),0,ROUND('% DEDICACIÓN TRABAJADOR'!H46,4)),0)</f>
        <v>0</v>
      </c>
      <c r="D60" s="238">
        <f>'GASTOS EJER. 3'!F21+'GASTOS EJER. 3'!L21-'GASTOS EJER. 3'!X21-'GASTOS EJER. 3'!Y21</f>
        <v>0</v>
      </c>
      <c r="E60" s="236" t="str">
        <f>IF('GASTOS EJER. 3'!AA21="","",'GASTOS EJER. 3'!AA21)</f>
        <v/>
      </c>
      <c r="F60" s="237">
        <f>IF(E60&lt;=EXPEDIENTE!$I$29,D60,0)</f>
        <v>0</v>
      </c>
      <c r="G60" s="238">
        <f>'GASTOS EJER. 3'!Y21</f>
        <v>0</v>
      </c>
      <c r="H60" s="236" t="str">
        <f>IF('GASTOS EJER. 3'!AB21="","",'GASTOS EJER. 3'!AB21)</f>
        <v/>
      </c>
      <c r="I60" s="237">
        <f>IF(H60&lt;=EXPEDIENTE!$I$29,G60,0)</f>
        <v>0</v>
      </c>
      <c r="J60" s="239">
        <f>AUXILIAR!BU56</f>
        <v>0</v>
      </c>
      <c r="K60" s="238">
        <f>AUXILIAR!FP56</f>
        <v>0</v>
      </c>
      <c r="L60" s="236" t="str">
        <f>IF('GASTOS EJER. 3'!I50="","",'GASTOS EJER. 3'!I50)</f>
        <v/>
      </c>
      <c r="M60" s="237">
        <f>IF(L60&lt;=EXPEDIENTE!$I$29,K60,0)</f>
        <v>0</v>
      </c>
      <c r="N60" s="239">
        <f>IF($U$66=0,0,IF(AND($U$68&gt;$U$66,$U$64=1100%),MIN(AUXILIAR!$P$17,ROUND($U$66/$U$68*(F60+I60+J60+M60)*(1+('IDENTIFICACIÓN TRABAJADOR'!$N$45+'IDENTIFICACIÓN TRABAJADOR'!$R$45)/('IDENTIFICACIÓN TRABAJADOR'!$E$38-'IDENTIFICACIÓN TRABAJADOR'!$N$45-'IDENTIFICACIÓN TRABAJADOR'!$R$45)),2)),MIN(AUXILIAR!$P$17,ROUND((F60+I60+J60+M60)*(1+('IDENTIFICACIÓN TRABAJADOR'!$N$45+'IDENTIFICACIÓN TRABAJADOR'!$R$45)/('IDENTIFICACIÓN TRABAJADOR'!$E$38-'IDENTIFICACIÓN TRABAJADOR'!$N$45-'IDENTIFICACIÓN TRABAJADOR'!$R$45)),2))))</f>
        <v>0</v>
      </c>
      <c r="O60" s="241">
        <f t="shared" si="6"/>
        <v>0</v>
      </c>
      <c r="P60" s="212"/>
      <c r="S60" s="209">
        <f>ROUND(C60*(F60+I60+J60+M60)*(1+('IDENTIFICACIÓN TRABAJADOR'!$N$45+'IDENTIFICACIÓN TRABAJADOR'!$R$45)/(360-'IDENTIFICACIÓN TRABAJADOR'!$N$45-'IDENTIFICACIÓN TRABAJADOR'!$R$45)),2)</f>
        <v>0</v>
      </c>
      <c r="T60" s="212"/>
      <c r="U60" s="212"/>
      <c r="W60" s="233" t="s">
        <v>46</v>
      </c>
      <c r="X60" s="234">
        <f>IFERROR(IF(OR(DATE($B$57,MONTH(DATEVALUE(W60&amp;"1")),1)&lt;DATE(YEAR(EXPEDIENTE!$I$25),MONTH(EXPEDIENTE!$I$25),1),DATE($B$57,MONTH(DATEVALUE(W60&amp;"1")),1)&gt;DATE(YEAR(EXPEDIENTE!$I$27),MONTH(EXPEDIENTE!$I$27)+1,1)-1),0,ROUND('% DEDICACIÓN TRABAJADOR'!H46,4)),0)</f>
        <v>0</v>
      </c>
      <c r="Y60" s="238">
        <f>'GASTOS EJER. 3'!AW21+'GASTOS EJER. 3'!BM21-'GASTOS EJER. 3'!CM21-'GASTOS EJER. 3'!CP21</f>
        <v>0</v>
      </c>
      <c r="Z60" s="236" t="str">
        <f>IF('GASTOS EJER. 3'!CT21="","",'GASTOS EJER. 3'!CT21)</f>
        <v/>
      </c>
      <c r="AA60" s="237">
        <f>IF(Z60&lt;=EXPEDIENTE!$I$29,Y60,0)</f>
        <v>0</v>
      </c>
      <c r="AB60" s="238">
        <f>'GASTOS EJER. 3'!CP21</f>
        <v>0</v>
      </c>
      <c r="AC60" s="236" t="str">
        <f>IF('GASTOS EJER. 3'!CW21="","",'GASTOS EJER. 3'!CW21)</f>
        <v/>
      </c>
      <c r="AD60" s="237">
        <f>IF(AC60&lt;=EXPEDIENTE!$I$29,AB60,0)</f>
        <v>0</v>
      </c>
      <c r="AE60" s="239">
        <f>AUXILIAR!DL56</f>
        <v>0</v>
      </c>
      <c r="AF60" s="238">
        <f>AUXILIAR!HU56</f>
        <v>0</v>
      </c>
      <c r="AG60" s="236" t="str">
        <f>IF('GASTOS EJER. 3'!BF50="","",'GASTOS EJER. 3'!BF50)</f>
        <v/>
      </c>
      <c r="AH60" s="237">
        <f>IF(AG60&lt;=EXPEDIENTE!$I$29,AF60,0)</f>
        <v>0</v>
      </c>
      <c r="AI60" s="239">
        <f>IF($AQ$66=0,0,IF(AND($AQ$68&gt;$AQ$66,$AQ$64=1100%),MIN(AUXILIAR!$P$17,ROUND($AQ$66/$AQ$68*(AA60+AD60+AE60+AH60)*(1+('IDENTIFICACIÓN TRABAJADOR'!$N$45+'IDENTIFICACIÓN TRABAJADOR'!$R$45)/('IDENTIFICACIÓN TRABAJADOR'!$E$38-'IDENTIFICACIÓN TRABAJADOR'!$N$45-'IDENTIFICACIÓN TRABAJADOR'!$R$45)),2)),MIN(AUXILIAR!$P$17,ROUND((AA60+AD60+AE60+AH60)*(1+('IDENTIFICACIÓN TRABAJADOR'!$N$45+'IDENTIFICACIÓN TRABAJADOR'!$R$45)/('IDENTIFICACIÓN TRABAJADOR'!$E$38-'IDENTIFICACIÓN TRABAJADOR'!$N$45-'IDENTIFICACIÓN TRABAJADOR'!$R$45)),2))))</f>
        <v>0</v>
      </c>
      <c r="AJ60" s="240">
        <f t="shared" ref="AJ60:AJ70" si="7">IF($AQ$72&gt;0,0,ROUND(X60*AI60,2))</f>
        <v>0</v>
      </c>
      <c r="AK60" s="241">
        <f t="shared" ref="AK60:AK70" si="8">O60</f>
        <v>0</v>
      </c>
      <c r="AL60" s="212"/>
      <c r="AO60" s="209">
        <f>ROUND(X60*(AA60+AD60+AE60+AH60)*(1+('IDENTIFICACIÓN TRABAJADOR'!$N$45+'IDENTIFICACIÓN TRABAJADOR'!$R$45)/(360-'IDENTIFICACIÓN TRABAJADOR'!$N$45-'IDENTIFICACIÓN TRABAJADOR'!$R$45)),2)</f>
        <v>0</v>
      </c>
      <c r="AP60" s="212"/>
      <c r="AQ60" s="212"/>
    </row>
    <row r="61" spans="2:43" ht="15" customHeight="1" x14ac:dyDescent="0.25">
      <c r="B61" s="233" t="s">
        <v>47</v>
      </c>
      <c r="C61" s="234">
        <f>IFERROR(IF(OR(DATE($B$57,MONTH(DATEVALUE(B61&amp;"1")),1)&lt;DATE(YEAR(EXPEDIENTE!$I$25),MONTH(EXPEDIENTE!$I$25),1),DATE($B$57,MONTH(DATEVALUE(B61&amp;"1")),1)&gt;DATE(YEAR(EXPEDIENTE!$I$27),MONTH(EXPEDIENTE!$I$27)+1,1)-1),0,ROUND('% DEDICACIÓN TRABAJADOR'!I46,4)),0)</f>
        <v>0</v>
      </c>
      <c r="D61" s="238">
        <f>'GASTOS EJER. 3'!F22+'GASTOS EJER. 3'!L22-'GASTOS EJER. 3'!X22-'GASTOS EJER. 3'!Y22</f>
        <v>0</v>
      </c>
      <c r="E61" s="236" t="str">
        <f>IF('GASTOS EJER. 3'!AA22="","",'GASTOS EJER. 3'!AA22)</f>
        <v/>
      </c>
      <c r="F61" s="237">
        <f>IF(E61&lt;=EXPEDIENTE!$I$29,D61,0)</f>
        <v>0</v>
      </c>
      <c r="G61" s="238">
        <f>'GASTOS EJER. 3'!Y22</f>
        <v>0</v>
      </c>
      <c r="H61" s="236" t="str">
        <f>IF('GASTOS EJER. 3'!AB22="","",'GASTOS EJER. 3'!AB22)</f>
        <v/>
      </c>
      <c r="I61" s="237">
        <f>IF(H61&lt;=EXPEDIENTE!$I$29,G61,0)</f>
        <v>0</v>
      </c>
      <c r="J61" s="239">
        <f>AUXILIAR!BU57</f>
        <v>0</v>
      </c>
      <c r="K61" s="238">
        <f>AUXILIAR!FP57</f>
        <v>0</v>
      </c>
      <c r="L61" s="236" t="str">
        <f>IF('GASTOS EJER. 3'!I51="","",'GASTOS EJER. 3'!I51)</f>
        <v/>
      </c>
      <c r="M61" s="237">
        <f>IF(L61&lt;=EXPEDIENTE!$I$29,K61,0)</f>
        <v>0</v>
      </c>
      <c r="N61" s="239">
        <f>IF($U$66=0,0,IF(AND($U$68&gt;$U$66,$U$64=1100%),MIN(AUXILIAR!$P$17,ROUND($U$66/$U$68*(F61+I61+J61+M61)*(1+('IDENTIFICACIÓN TRABAJADOR'!$N$45+'IDENTIFICACIÓN TRABAJADOR'!$R$45)/('IDENTIFICACIÓN TRABAJADOR'!$E$38-'IDENTIFICACIÓN TRABAJADOR'!$N$45-'IDENTIFICACIÓN TRABAJADOR'!$R$45)),2)),MIN(AUXILIAR!$P$17,ROUND((F61+I61+J61+M61)*(1+('IDENTIFICACIÓN TRABAJADOR'!$N$45+'IDENTIFICACIÓN TRABAJADOR'!$R$45)/('IDENTIFICACIÓN TRABAJADOR'!$E$38-'IDENTIFICACIÓN TRABAJADOR'!$N$45-'IDENTIFICACIÓN TRABAJADOR'!$R$45)),2))))</f>
        <v>0</v>
      </c>
      <c r="O61" s="241">
        <f t="shared" si="6"/>
        <v>0</v>
      </c>
      <c r="P61" s="212"/>
      <c r="S61" s="209">
        <f>ROUND(C61*(F61+I61+J61+M61)*(1+('IDENTIFICACIÓN TRABAJADOR'!$N$45+'IDENTIFICACIÓN TRABAJADOR'!$R$45)/(360-'IDENTIFICACIÓN TRABAJADOR'!$N$45-'IDENTIFICACIÓN TRABAJADOR'!$R$45)),2)</f>
        <v>0</v>
      </c>
      <c r="T61" s="212"/>
      <c r="U61" s="212"/>
      <c r="W61" s="233" t="s">
        <v>47</v>
      </c>
      <c r="X61" s="234">
        <f>IFERROR(IF(OR(DATE($B$57,MONTH(DATEVALUE(W61&amp;"1")),1)&lt;DATE(YEAR(EXPEDIENTE!$I$25),MONTH(EXPEDIENTE!$I$25),1),DATE($B$57,MONTH(DATEVALUE(W61&amp;"1")),1)&gt;DATE(YEAR(EXPEDIENTE!$I$27),MONTH(EXPEDIENTE!$I$27)+1,1)-1),0,ROUND('% DEDICACIÓN TRABAJADOR'!I46,4)),0)</f>
        <v>0</v>
      </c>
      <c r="Y61" s="238">
        <f>'GASTOS EJER. 3'!AW22+'GASTOS EJER. 3'!BM22-'GASTOS EJER. 3'!CM22-'GASTOS EJER. 3'!CP22</f>
        <v>0</v>
      </c>
      <c r="Z61" s="236" t="str">
        <f>IF('GASTOS EJER. 3'!CT22="","",'GASTOS EJER. 3'!CT22)</f>
        <v/>
      </c>
      <c r="AA61" s="237">
        <f>IF(Z61&lt;=EXPEDIENTE!$I$29,Y61,0)</f>
        <v>0</v>
      </c>
      <c r="AB61" s="238">
        <f>'GASTOS EJER. 3'!CP22</f>
        <v>0</v>
      </c>
      <c r="AC61" s="236" t="str">
        <f>IF('GASTOS EJER. 3'!CW22="","",'GASTOS EJER. 3'!CW22)</f>
        <v/>
      </c>
      <c r="AD61" s="237">
        <f>IF(AC61&lt;=EXPEDIENTE!$I$29,AB61,0)</f>
        <v>0</v>
      </c>
      <c r="AE61" s="239">
        <f>AUXILIAR!DL57</f>
        <v>0</v>
      </c>
      <c r="AF61" s="238">
        <f>AUXILIAR!HU57</f>
        <v>0</v>
      </c>
      <c r="AG61" s="236" t="str">
        <f>IF('GASTOS EJER. 3'!BF51="","",'GASTOS EJER. 3'!BF51)</f>
        <v/>
      </c>
      <c r="AH61" s="237">
        <f>IF(AG61&lt;=EXPEDIENTE!$I$29,AF61,0)</f>
        <v>0</v>
      </c>
      <c r="AI61" s="239">
        <f>IF($AQ$66=0,0,IF(AND($AQ$68&gt;$AQ$66,$AQ$64=1100%),MIN(AUXILIAR!$P$17,ROUND($AQ$66/$AQ$68*(AA61+AD61+AE61+AH61)*(1+('IDENTIFICACIÓN TRABAJADOR'!$N$45+'IDENTIFICACIÓN TRABAJADOR'!$R$45)/('IDENTIFICACIÓN TRABAJADOR'!$E$38-'IDENTIFICACIÓN TRABAJADOR'!$N$45-'IDENTIFICACIÓN TRABAJADOR'!$R$45)),2)),MIN(AUXILIAR!$P$17,ROUND((AA61+AD61+AE61+AH61)*(1+('IDENTIFICACIÓN TRABAJADOR'!$N$45+'IDENTIFICACIÓN TRABAJADOR'!$R$45)/('IDENTIFICACIÓN TRABAJADOR'!$E$38-'IDENTIFICACIÓN TRABAJADOR'!$N$45-'IDENTIFICACIÓN TRABAJADOR'!$R$45)),2))))</f>
        <v>0</v>
      </c>
      <c r="AJ61" s="240">
        <f t="shared" si="7"/>
        <v>0</v>
      </c>
      <c r="AK61" s="241">
        <f t="shared" si="8"/>
        <v>0</v>
      </c>
      <c r="AL61" s="212"/>
      <c r="AO61" s="209">
        <f>ROUND(X61*(AA61+AD61+AE61+AH61)*(1+('IDENTIFICACIÓN TRABAJADOR'!$N$45+'IDENTIFICACIÓN TRABAJADOR'!$R$45)/(360-'IDENTIFICACIÓN TRABAJADOR'!$N$45-'IDENTIFICACIÓN TRABAJADOR'!$R$45)),2)</f>
        <v>0</v>
      </c>
      <c r="AP61" s="212"/>
      <c r="AQ61" s="212"/>
    </row>
    <row r="62" spans="2:43" ht="15" customHeight="1" x14ac:dyDescent="0.25">
      <c r="B62" s="233" t="s">
        <v>48</v>
      </c>
      <c r="C62" s="234">
        <f>IFERROR(IF(OR(DATE($B$57,MONTH(DATEVALUE(B62&amp;"1")),1)&lt;DATE(YEAR(EXPEDIENTE!$I$25),MONTH(EXPEDIENTE!$I$25),1),DATE($B$57,MONTH(DATEVALUE(B62&amp;"1")),1)&gt;DATE(YEAR(EXPEDIENTE!$I$27),MONTH(EXPEDIENTE!$I$27)+1,1)-1),0,ROUND('% DEDICACIÓN TRABAJADOR'!J46,4)),0)</f>
        <v>0</v>
      </c>
      <c r="D62" s="238">
        <f>'GASTOS EJER. 3'!F23+'GASTOS EJER. 3'!L23-'GASTOS EJER. 3'!X23-'GASTOS EJER. 3'!Y23</f>
        <v>0</v>
      </c>
      <c r="E62" s="236" t="str">
        <f>IF('GASTOS EJER. 3'!AA23="","",'GASTOS EJER. 3'!AA23)</f>
        <v/>
      </c>
      <c r="F62" s="237">
        <f>IF(E62&lt;=EXPEDIENTE!$I$29,D62,0)</f>
        <v>0</v>
      </c>
      <c r="G62" s="238">
        <f>'GASTOS EJER. 3'!Y23</f>
        <v>0</v>
      </c>
      <c r="H62" s="236" t="str">
        <f>IF('GASTOS EJER. 3'!AB23="","",'GASTOS EJER. 3'!AB23)</f>
        <v/>
      </c>
      <c r="I62" s="237">
        <f>IF(H62&lt;=EXPEDIENTE!$I$29,G62,0)</f>
        <v>0</v>
      </c>
      <c r="J62" s="239">
        <f>AUXILIAR!BU58</f>
        <v>0</v>
      </c>
      <c r="K62" s="238">
        <f>AUXILIAR!FP58</f>
        <v>0</v>
      </c>
      <c r="L62" s="236" t="str">
        <f>IF('GASTOS EJER. 3'!I52="","",'GASTOS EJER. 3'!I52)</f>
        <v/>
      </c>
      <c r="M62" s="237">
        <f>IF(L62&lt;=EXPEDIENTE!$I$29,K62,0)</f>
        <v>0</v>
      </c>
      <c r="N62" s="239">
        <f>IF($U$66=0,0,IF(AND($U$68&gt;$U$66,$U$64=1100%),MIN(AUXILIAR!$P$17,ROUND($U$66/$U$68*(F62+I62+J62+M62)*(1+('IDENTIFICACIÓN TRABAJADOR'!$N$45+'IDENTIFICACIÓN TRABAJADOR'!$R$45)/('IDENTIFICACIÓN TRABAJADOR'!$E$38-'IDENTIFICACIÓN TRABAJADOR'!$N$45-'IDENTIFICACIÓN TRABAJADOR'!$R$45)),2)),MIN(AUXILIAR!$P$17,ROUND((F62+I62+J62+M62)*(1+('IDENTIFICACIÓN TRABAJADOR'!$N$45+'IDENTIFICACIÓN TRABAJADOR'!$R$45)/('IDENTIFICACIÓN TRABAJADOR'!$E$38-'IDENTIFICACIÓN TRABAJADOR'!$N$45-'IDENTIFICACIÓN TRABAJADOR'!$R$45)),2))))</f>
        <v>0</v>
      </c>
      <c r="O62" s="241">
        <f t="shared" si="6"/>
        <v>0</v>
      </c>
      <c r="P62" s="212"/>
      <c r="S62" s="209">
        <f>ROUND(C62*(F62+I62+J62+M62)*(1+('IDENTIFICACIÓN TRABAJADOR'!$N$45+'IDENTIFICACIÓN TRABAJADOR'!$R$45)/(360-'IDENTIFICACIÓN TRABAJADOR'!$N$45-'IDENTIFICACIÓN TRABAJADOR'!$R$45)),2)</f>
        <v>0</v>
      </c>
      <c r="T62" s="212"/>
      <c r="U62" s="212"/>
      <c r="W62" s="233" t="s">
        <v>48</v>
      </c>
      <c r="X62" s="234">
        <f>IFERROR(IF(OR(DATE($B$57,MONTH(DATEVALUE(W62&amp;"1")),1)&lt;DATE(YEAR(EXPEDIENTE!$I$25),MONTH(EXPEDIENTE!$I$25),1),DATE($B$57,MONTH(DATEVALUE(W62&amp;"1")),1)&gt;DATE(YEAR(EXPEDIENTE!$I$27),MONTH(EXPEDIENTE!$I$27)+1,1)-1),0,ROUND('% DEDICACIÓN TRABAJADOR'!J46,4)),0)</f>
        <v>0</v>
      </c>
      <c r="Y62" s="238">
        <f>'GASTOS EJER. 3'!AW23+'GASTOS EJER. 3'!BM23-'GASTOS EJER. 3'!CM23-'GASTOS EJER. 3'!CP23</f>
        <v>0</v>
      </c>
      <c r="Z62" s="236" t="str">
        <f>IF('GASTOS EJER. 3'!CT23="","",'GASTOS EJER. 3'!CT23)</f>
        <v/>
      </c>
      <c r="AA62" s="237">
        <f>IF(Z62&lt;=EXPEDIENTE!$I$29,Y62,0)</f>
        <v>0</v>
      </c>
      <c r="AB62" s="238">
        <f>'GASTOS EJER. 3'!CP23</f>
        <v>0</v>
      </c>
      <c r="AC62" s="236" t="str">
        <f>IF('GASTOS EJER. 3'!CW23="","",'GASTOS EJER. 3'!CW23)</f>
        <v/>
      </c>
      <c r="AD62" s="237">
        <f>IF(AC62&lt;=EXPEDIENTE!$I$29,AB62,0)</f>
        <v>0</v>
      </c>
      <c r="AE62" s="239">
        <f>AUXILIAR!DL58</f>
        <v>0</v>
      </c>
      <c r="AF62" s="238">
        <f>AUXILIAR!HU58</f>
        <v>0</v>
      </c>
      <c r="AG62" s="236" t="str">
        <f>IF('GASTOS EJER. 3'!BF52="","",'GASTOS EJER. 3'!BF52)</f>
        <v/>
      </c>
      <c r="AH62" s="237">
        <f>IF(AG62&lt;=EXPEDIENTE!$I$29,AF62,0)</f>
        <v>0</v>
      </c>
      <c r="AI62" s="239">
        <f>IF($AQ$66=0,0,IF(AND($AQ$68&gt;$AQ$66,$AQ$64=1100%),MIN(AUXILIAR!$P$17,ROUND($AQ$66/$AQ$68*(AA62+AD62+AE62+AH62)*(1+('IDENTIFICACIÓN TRABAJADOR'!$N$45+'IDENTIFICACIÓN TRABAJADOR'!$R$45)/('IDENTIFICACIÓN TRABAJADOR'!$E$38-'IDENTIFICACIÓN TRABAJADOR'!$N$45-'IDENTIFICACIÓN TRABAJADOR'!$R$45)),2)),MIN(AUXILIAR!$P$17,ROUND((AA62+AD62+AE62+AH62)*(1+('IDENTIFICACIÓN TRABAJADOR'!$N$45+'IDENTIFICACIÓN TRABAJADOR'!$R$45)/('IDENTIFICACIÓN TRABAJADOR'!$E$38-'IDENTIFICACIÓN TRABAJADOR'!$N$45-'IDENTIFICACIÓN TRABAJADOR'!$R$45)),2))))</f>
        <v>0</v>
      </c>
      <c r="AJ62" s="240">
        <f t="shared" si="7"/>
        <v>0</v>
      </c>
      <c r="AK62" s="241">
        <f t="shared" si="8"/>
        <v>0</v>
      </c>
      <c r="AL62" s="212"/>
      <c r="AO62" s="209">
        <f>ROUND(X62*(AA62+AD62+AE62+AH62)*(1+('IDENTIFICACIÓN TRABAJADOR'!$N$45+'IDENTIFICACIÓN TRABAJADOR'!$R$45)/(360-'IDENTIFICACIÓN TRABAJADOR'!$N$45-'IDENTIFICACIÓN TRABAJADOR'!$R$45)),2)</f>
        <v>0</v>
      </c>
      <c r="AP62" s="212"/>
      <c r="AQ62" s="212"/>
    </row>
    <row r="63" spans="2:43" ht="15" customHeight="1" x14ac:dyDescent="0.25">
      <c r="B63" s="233" t="s">
        <v>49</v>
      </c>
      <c r="C63" s="234">
        <f>IFERROR(IF(OR(DATE($B$57,MONTH(DATEVALUE(B63&amp;"1")),1)&lt;DATE(YEAR(EXPEDIENTE!$I$25),MONTH(EXPEDIENTE!$I$25),1),DATE($B$57,MONTH(DATEVALUE(B63&amp;"1")),1)&gt;DATE(YEAR(EXPEDIENTE!$I$27),MONTH(EXPEDIENTE!$I$27)+1,1)-1),0,ROUND('% DEDICACIÓN TRABAJADOR'!K46,4)),0)</f>
        <v>0</v>
      </c>
      <c r="D63" s="238">
        <f>'GASTOS EJER. 3'!F24+'GASTOS EJER. 3'!L24-'GASTOS EJER. 3'!X24-'GASTOS EJER. 3'!Y24</f>
        <v>0</v>
      </c>
      <c r="E63" s="236" t="str">
        <f>IF('GASTOS EJER. 3'!AA24="","",'GASTOS EJER. 3'!AA24)</f>
        <v/>
      </c>
      <c r="F63" s="237">
        <f>IF(E63&lt;=EXPEDIENTE!$I$29,D63,0)</f>
        <v>0</v>
      </c>
      <c r="G63" s="238">
        <f>'GASTOS EJER. 3'!Y24</f>
        <v>0</v>
      </c>
      <c r="H63" s="236" t="str">
        <f>IF('GASTOS EJER. 3'!AB24="","",'GASTOS EJER. 3'!AB24)</f>
        <v/>
      </c>
      <c r="I63" s="237">
        <f>IF(H63&lt;=EXPEDIENTE!$I$29,G63,0)</f>
        <v>0</v>
      </c>
      <c r="J63" s="239">
        <f>AUXILIAR!BU59</f>
        <v>0</v>
      </c>
      <c r="K63" s="238">
        <f>AUXILIAR!FP59</f>
        <v>0</v>
      </c>
      <c r="L63" s="236" t="str">
        <f>IF('GASTOS EJER. 3'!I53="","",'GASTOS EJER. 3'!I53)</f>
        <v/>
      </c>
      <c r="M63" s="237">
        <f>IF(L63&lt;=EXPEDIENTE!$I$29,K63,0)</f>
        <v>0</v>
      </c>
      <c r="N63" s="239">
        <f>IF($U$66=0,0,IF(AND($U$68&gt;$U$66,$U$64=1100%),MIN(AUXILIAR!$P$17,ROUND($U$66/$U$68*(F63+I63+J63+M63)*(1+('IDENTIFICACIÓN TRABAJADOR'!$N$45+'IDENTIFICACIÓN TRABAJADOR'!$R$45)/('IDENTIFICACIÓN TRABAJADOR'!$E$38-'IDENTIFICACIÓN TRABAJADOR'!$N$45-'IDENTIFICACIÓN TRABAJADOR'!$R$45)),2)),MIN(AUXILIAR!$P$17,ROUND((F63+I63+J63+M63)*(1+('IDENTIFICACIÓN TRABAJADOR'!$N$45+'IDENTIFICACIÓN TRABAJADOR'!$R$45)/('IDENTIFICACIÓN TRABAJADOR'!$E$38-'IDENTIFICACIÓN TRABAJADOR'!$N$45-'IDENTIFICACIÓN TRABAJADOR'!$R$45)),2))))</f>
        <v>0</v>
      </c>
      <c r="O63" s="241">
        <f t="shared" si="6"/>
        <v>0</v>
      </c>
      <c r="P63" s="212"/>
      <c r="S63" s="209">
        <f>ROUND(C63*(F63+I63+J63+M63)*(1+('IDENTIFICACIÓN TRABAJADOR'!$N$45+'IDENTIFICACIÓN TRABAJADOR'!$R$45)/(360-'IDENTIFICACIÓN TRABAJADOR'!$N$45-'IDENTIFICACIÓN TRABAJADOR'!$R$45)),2)</f>
        <v>0</v>
      </c>
      <c r="T63" s="212"/>
      <c r="U63" s="208" t="s">
        <v>221</v>
      </c>
      <c r="W63" s="233" t="s">
        <v>49</v>
      </c>
      <c r="X63" s="234">
        <f>IFERROR(IF(OR(DATE($B$57,MONTH(DATEVALUE(W63&amp;"1")),1)&lt;DATE(YEAR(EXPEDIENTE!$I$25),MONTH(EXPEDIENTE!$I$25),1),DATE($B$57,MONTH(DATEVALUE(W63&amp;"1")),1)&gt;DATE(YEAR(EXPEDIENTE!$I$27),MONTH(EXPEDIENTE!$I$27)+1,1)-1),0,ROUND('% DEDICACIÓN TRABAJADOR'!K46,4)),0)</f>
        <v>0</v>
      </c>
      <c r="Y63" s="238">
        <f>'GASTOS EJER. 3'!AW24+'GASTOS EJER. 3'!BM24-'GASTOS EJER. 3'!CM24-'GASTOS EJER. 3'!CP24</f>
        <v>0</v>
      </c>
      <c r="Z63" s="236" t="str">
        <f>IF('GASTOS EJER. 3'!CT24="","",'GASTOS EJER. 3'!CT24)</f>
        <v/>
      </c>
      <c r="AA63" s="237">
        <f>IF(Z63&lt;=EXPEDIENTE!$I$29,Y63,0)</f>
        <v>0</v>
      </c>
      <c r="AB63" s="238">
        <f>'GASTOS EJER. 3'!CP24</f>
        <v>0</v>
      </c>
      <c r="AC63" s="236" t="str">
        <f>IF('GASTOS EJER. 3'!CW24="","",'GASTOS EJER. 3'!CW24)</f>
        <v/>
      </c>
      <c r="AD63" s="237">
        <f>IF(AC63&lt;=EXPEDIENTE!$I$29,AB63,0)</f>
        <v>0</v>
      </c>
      <c r="AE63" s="239">
        <f>AUXILIAR!DL59</f>
        <v>0</v>
      </c>
      <c r="AF63" s="238">
        <f>AUXILIAR!HU59</f>
        <v>0</v>
      </c>
      <c r="AG63" s="236" t="str">
        <f>IF('GASTOS EJER. 3'!BF53="","",'GASTOS EJER. 3'!BF53)</f>
        <v/>
      </c>
      <c r="AH63" s="237">
        <f>IF(AG63&lt;=EXPEDIENTE!$I$29,AF63,0)</f>
        <v>0</v>
      </c>
      <c r="AI63" s="239">
        <f>IF($AQ$66=0,0,IF(AND($AQ$68&gt;$AQ$66,$AQ$64=1100%),MIN(AUXILIAR!$P$17,ROUND($AQ$66/$AQ$68*(AA63+AD63+AE63+AH63)*(1+('IDENTIFICACIÓN TRABAJADOR'!$N$45+'IDENTIFICACIÓN TRABAJADOR'!$R$45)/('IDENTIFICACIÓN TRABAJADOR'!$E$38-'IDENTIFICACIÓN TRABAJADOR'!$N$45-'IDENTIFICACIÓN TRABAJADOR'!$R$45)),2)),MIN(AUXILIAR!$P$17,ROUND((AA63+AD63+AE63+AH63)*(1+('IDENTIFICACIÓN TRABAJADOR'!$N$45+'IDENTIFICACIÓN TRABAJADOR'!$R$45)/('IDENTIFICACIÓN TRABAJADOR'!$E$38-'IDENTIFICACIÓN TRABAJADOR'!$N$45-'IDENTIFICACIÓN TRABAJADOR'!$R$45)),2))))</f>
        <v>0</v>
      </c>
      <c r="AJ63" s="240">
        <f t="shared" si="7"/>
        <v>0</v>
      </c>
      <c r="AK63" s="241">
        <f t="shared" si="8"/>
        <v>0</v>
      </c>
      <c r="AL63" s="212"/>
      <c r="AO63" s="209">
        <f>ROUND(X63*(AA63+AD63+AE63+AH63)*(1+('IDENTIFICACIÓN TRABAJADOR'!$N$45+'IDENTIFICACIÓN TRABAJADOR'!$R$45)/(360-'IDENTIFICACIÓN TRABAJADOR'!$N$45-'IDENTIFICACIÓN TRABAJADOR'!$R$45)),2)</f>
        <v>0</v>
      </c>
      <c r="AP63" s="212"/>
      <c r="AQ63" s="208" t="s">
        <v>221</v>
      </c>
    </row>
    <row r="64" spans="2:43" ht="15" customHeight="1" x14ac:dyDescent="0.25">
      <c r="B64" s="233" t="s">
        <v>50</v>
      </c>
      <c r="C64" s="234">
        <f>IFERROR(IF(OR(DATE($B$57,MONTH(DATEVALUE(B64&amp;"1")),1)&lt;DATE(YEAR(EXPEDIENTE!$I$25),MONTH(EXPEDIENTE!$I$25),1),DATE($B$57,MONTH(DATEVALUE(B64&amp;"1")),1)&gt;DATE(YEAR(EXPEDIENTE!$I$27),MONTH(EXPEDIENTE!$I$27)+1,1)-1),0,ROUND('% DEDICACIÓN TRABAJADOR'!L46,4)),0)</f>
        <v>0</v>
      </c>
      <c r="D64" s="238">
        <f>'GASTOS EJER. 3'!F25+'GASTOS EJER. 3'!L25-'GASTOS EJER. 3'!X25-'GASTOS EJER. 3'!Y25</f>
        <v>0</v>
      </c>
      <c r="E64" s="236" t="str">
        <f>IF('GASTOS EJER. 3'!AA25="","",'GASTOS EJER. 3'!AA25)</f>
        <v/>
      </c>
      <c r="F64" s="237">
        <f>IF(E64&lt;=EXPEDIENTE!$I$29,D64,0)</f>
        <v>0</v>
      </c>
      <c r="G64" s="238">
        <f>'GASTOS EJER. 3'!Y25</f>
        <v>0</v>
      </c>
      <c r="H64" s="236" t="str">
        <f>IF('GASTOS EJER. 3'!AB25="","",'GASTOS EJER. 3'!AB25)</f>
        <v/>
      </c>
      <c r="I64" s="237">
        <f>IF(H64&lt;=EXPEDIENTE!$I$29,G64,0)</f>
        <v>0</v>
      </c>
      <c r="J64" s="239">
        <f>AUXILIAR!BU60</f>
        <v>0</v>
      </c>
      <c r="K64" s="238">
        <f>AUXILIAR!FP60</f>
        <v>0</v>
      </c>
      <c r="L64" s="236" t="str">
        <f>IF('GASTOS EJER. 3'!I54="","",'GASTOS EJER. 3'!I54)</f>
        <v/>
      </c>
      <c r="M64" s="237">
        <f>IF(L64&lt;=EXPEDIENTE!$I$29,K64,0)</f>
        <v>0</v>
      </c>
      <c r="N64" s="239">
        <f>IF($U$66=0,0,IF(AND($U$68&gt;$U$66,$U$64=1100%),MIN(AUXILIAR!$P$17,ROUND($U$66/$U$68*(F64+I64+J64+M64)*(1+('IDENTIFICACIÓN TRABAJADOR'!$N$45+'IDENTIFICACIÓN TRABAJADOR'!$R$45)/('IDENTIFICACIÓN TRABAJADOR'!$E$38-'IDENTIFICACIÓN TRABAJADOR'!$N$45-'IDENTIFICACIÓN TRABAJADOR'!$R$45)),2)),MIN(AUXILIAR!$P$17,ROUND((F64+I64+J64+M64)*(1+('IDENTIFICACIÓN TRABAJADOR'!$N$45+'IDENTIFICACIÓN TRABAJADOR'!$R$45)/('IDENTIFICACIÓN TRABAJADOR'!$E$38-'IDENTIFICACIÓN TRABAJADOR'!$N$45-'IDENTIFICACIÓN TRABAJADOR'!$R$45)),2))))</f>
        <v>0</v>
      </c>
      <c r="O64" s="241">
        <f t="shared" si="6"/>
        <v>0</v>
      </c>
      <c r="P64" s="212"/>
      <c r="S64" s="209">
        <f>ROUND(C64*(F64+I64+J64+M64)*(1+('IDENTIFICACIÓN TRABAJADOR'!$N$45+'IDENTIFICACIÓN TRABAJADOR'!$R$45)/(360-'IDENTIFICACIÓN TRABAJADOR'!$N$45-'IDENTIFICACIÓN TRABAJADOR'!$R$45)),2)</f>
        <v>0</v>
      </c>
      <c r="T64" s="242"/>
      <c r="U64" s="243">
        <f>SUM('% DEDICACIÓN TRABAJADOR'!$G$46:$R$46)</f>
        <v>0</v>
      </c>
      <c r="W64" s="233" t="s">
        <v>50</v>
      </c>
      <c r="X64" s="234">
        <f>IFERROR(IF(OR(DATE($B$57,MONTH(DATEVALUE(W64&amp;"1")),1)&lt;DATE(YEAR(EXPEDIENTE!$I$25),MONTH(EXPEDIENTE!$I$25),1),DATE($B$57,MONTH(DATEVALUE(W64&amp;"1")),1)&gt;DATE(YEAR(EXPEDIENTE!$I$27),MONTH(EXPEDIENTE!$I$27)+1,1)-1),0,ROUND('% DEDICACIÓN TRABAJADOR'!L46,4)),0)</f>
        <v>0</v>
      </c>
      <c r="Y64" s="238">
        <f>'GASTOS EJER. 3'!AW25+'GASTOS EJER. 3'!BM25-'GASTOS EJER. 3'!CM25-'GASTOS EJER. 3'!CP25</f>
        <v>0</v>
      </c>
      <c r="Z64" s="236" t="str">
        <f>IF('GASTOS EJER. 3'!CT25="","",'GASTOS EJER. 3'!CT25)</f>
        <v/>
      </c>
      <c r="AA64" s="237">
        <f>IF(Z64&lt;=EXPEDIENTE!$I$29,Y64,0)</f>
        <v>0</v>
      </c>
      <c r="AB64" s="238">
        <f>'GASTOS EJER. 3'!CP25</f>
        <v>0</v>
      </c>
      <c r="AC64" s="236" t="str">
        <f>IF('GASTOS EJER. 3'!CW25="","",'GASTOS EJER. 3'!CW25)</f>
        <v/>
      </c>
      <c r="AD64" s="237">
        <f>IF(AC64&lt;=EXPEDIENTE!$I$29,AB64,0)</f>
        <v>0</v>
      </c>
      <c r="AE64" s="239">
        <f>AUXILIAR!DL60</f>
        <v>0</v>
      </c>
      <c r="AF64" s="238">
        <f>AUXILIAR!HU60</f>
        <v>0</v>
      </c>
      <c r="AG64" s="236" t="str">
        <f>IF('GASTOS EJER. 3'!BF54="","",'GASTOS EJER. 3'!BF54)</f>
        <v/>
      </c>
      <c r="AH64" s="237">
        <f>IF(AG64&lt;=EXPEDIENTE!$I$29,AF64,0)</f>
        <v>0</v>
      </c>
      <c r="AI64" s="239">
        <f>IF($AQ$66=0,0,IF(AND($AQ$68&gt;$AQ$66,$AQ$64=1100%),MIN(AUXILIAR!$P$17,ROUND($AQ$66/$AQ$68*(AA64+AD64+AE64+AH64)*(1+('IDENTIFICACIÓN TRABAJADOR'!$N$45+'IDENTIFICACIÓN TRABAJADOR'!$R$45)/('IDENTIFICACIÓN TRABAJADOR'!$E$38-'IDENTIFICACIÓN TRABAJADOR'!$N$45-'IDENTIFICACIÓN TRABAJADOR'!$R$45)),2)),MIN(AUXILIAR!$P$17,ROUND((AA64+AD64+AE64+AH64)*(1+('IDENTIFICACIÓN TRABAJADOR'!$N$45+'IDENTIFICACIÓN TRABAJADOR'!$R$45)/('IDENTIFICACIÓN TRABAJADOR'!$E$38-'IDENTIFICACIÓN TRABAJADOR'!$N$45-'IDENTIFICACIÓN TRABAJADOR'!$R$45)),2))))</f>
        <v>0</v>
      </c>
      <c r="AJ64" s="240">
        <f t="shared" si="7"/>
        <v>0</v>
      </c>
      <c r="AK64" s="241">
        <f t="shared" si="8"/>
        <v>0</v>
      </c>
      <c r="AL64" s="212"/>
      <c r="AO64" s="209">
        <f>ROUND(X64*(AA64+AD64+AE64+AH64)*(1+('IDENTIFICACIÓN TRABAJADOR'!$N$45+'IDENTIFICACIÓN TRABAJADOR'!$R$45)/(360-'IDENTIFICACIÓN TRABAJADOR'!$N$45-'IDENTIFICACIÓN TRABAJADOR'!$R$45)),2)</f>
        <v>0</v>
      </c>
      <c r="AP64" s="242"/>
      <c r="AQ64" s="243">
        <f>SUM('% DEDICACIÓN TRABAJADOR'!$G$46:$R$46)</f>
        <v>0</v>
      </c>
    </row>
    <row r="65" spans="2:43" ht="15" customHeight="1" x14ac:dyDescent="0.25">
      <c r="B65" s="233" t="s">
        <v>51</v>
      </c>
      <c r="C65" s="234">
        <f>IFERROR(IF(OR(DATE($B$57,MONTH(DATEVALUE(B65&amp;"1")),1)&lt;DATE(YEAR(EXPEDIENTE!$I$25),MONTH(EXPEDIENTE!$I$25),1),DATE($B$57,MONTH(DATEVALUE(B65&amp;"1")),1)&gt;DATE(YEAR(EXPEDIENTE!$I$27),MONTH(EXPEDIENTE!$I$27)+1,1)-1),0,ROUND('% DEDICACIÓN TRABAJADOR'!M46,4)),0)</f>
        <v>0</v>
      </c>
      <c r="D65" s="238">
        <f>'GASTOS EJER. 3'!F26+'GASTOS EJER. 3'!L26-'GASTOS EJER. 3'!X26-'GASTOS EJER. 3'!Y26</f>
        <v>0</v>
      </c>
      <c r="E65" s="236" t="str">
        <f>IF('GASTOS EJER. 3'!AA26="","",'GASTOS EJER. 3'!AA26)</f>
        <v/>
      </c>
      <c r="F65" s="237">
        <f>IF(E65&lt;=EXPEDIENTE!$I$29,D65,0)</f>
        <v>0</v>
      </c>
      <c r="G65" s="238">
        <f>'GASTOS EJER. 3'!Y26</f>
        <v>0</v>
      </c>
      <c r="H65" s="236" t="str">
        <f>IF('GASTOS EJER. 3'!AB26="","",'GASTOS EJER. 3'!AB26)</f>
        <v/>
      </c>
      <c r="I65" s="237">
        <f>IF(H65&lt;=EXPEDIENTE!$I$29,G65,0)</f>
        <v>0</v>
      </c>
      <c r="J65" s="239">
        <f>AUXILIAR!BU61</f>
        <v>0</v>
      </c>
      <c r="K65" s="238">
        <f>AUXILIAR!FP61</f>
        <v>0</v>
      </c>
      <c r="L65" s="236" t="str">
        <f>IF('GASTOS EJER. 3'!I55="","",'GASTOS EJER. 3'!I55)</f>
        <v/>
      </c>
      <c r="M65" s="237">
        <f>IF(L65&lt;=EXPEDIENTE!$I$29,K65,0)</f>
        <v>0</v>
      </c>
      <c r="N65" s="239">
        <f>IF($U$66=0,0,IF(AND($U$68&gt;$U$66,$U$64=1100%),MIN(AUXILIAR!$P$17,ROUND($U$66/$U$68*(F65+I65+J65+M65)*(1+('IDENTIFICACIÓN TRABAJADOR'!$N$45+'IDENTIFICACIÓN TRABAJADOR'!$R$45)/('IDENTIFICACIÓN TRABAJADOR'!$E$38-'IDENTIFICACIÓN TRABAJADOR'!$N$45-'IDENTIFICACIÓN TRABAJADOR'!$R$45)),2)),MIN(AUXILIAR!$P$17,ROUND((F65+I65+J65+M65)*(1+('IDENTIFICACIÓN TRABAJADOR'!$N$45+'IDENTIFICACIÓN TRABAJADOR'!$R$45)/('IDENTIFICACIÓN TRABAJADOR'!$E$38-'IDENTIFICACIÓN TRABAJADOR'!$N$45-'IDENTIFICACIÓN TRABAJADOR'!$R$45)),2))))</f>
        <v>0</v>
      </c>
      <c r="O65" s="241">
        <f t="shared" si="6"/>
        <v>0</v>
      </c>
      <c r="P65" s="212"/>
      <c r="S65" s="209">
        <f>ROUND(C65*(F65+I65+J65+M65)*(1+('IDENTIFICACIÓN TRABAJADOR'!$N$45+'IDENTIFICACIÓN TRABAJADOR'!$R$45)/(360-'IDENTIFICACIÓN TRABAJADOR'!$N$45-'IDENTIFICACIÓN TRABAJADOR'!$R$45)),2)</f>
        <v>0</v>
      </c>
      <c r="T65" s="242"/>
      <c r="U65" s="208" t="s">
        <v>222</v>
      </c>
      <c r="W65" s="233" t="s">
        <v>51</v>
      </c>
      <c r="X65" s="234">
        <f>IFERROR(IF(OR(DATE($B$57,MONTH(DATEVALUE(W65&amp;"1")),1)&lt;DATE(YEAR(EXPEDIENTE!$I$25),MONTH(EXPEDIENTE!$I$25),1),DATE($B$57,MONTH(DATEVALUE(W65&amp;"1")),1)&gt;DATE(YEAR(EXPEDIENTE!$I$27),MONTH(EXPEDIENTE!$I$27)+1,1)-1),0,ROUND('% DEDICACIÓN TRABAJADOR'!M46,4)),0)</f>
        <v>0</v>
      </c>
      <c r="Y65" s="238">
        <f>'GASTOS EJER. 3'!AW26+'GASTOS EJER. 3'!BM26-'GASTOS EJER. 3'!CM26-'GASTOS EJER. 3'!CP26</f>
        <v>0</v>
      </c>
      <c r="Z65" s="236" t="str">
        <f>IF('GASTOS EJER. 3'!CT26="","",'GASTOS EJER. 3'!CT26)</f>
        <v/>
      </c>
      <c r="AA65" s="237">
        <f>IF(Z65&lt;=EXPEDIENTE!$I$29,Y65,0)</f>
        <v>0</v>
      </c>
      <c r="AB65" s="238">
        <f>'GASTOS EJER. 3'!CP26</f>
        <v>0</v>
      </c>
      <c r="AC65" s="236" t="str">
        <f>IF('GASTOS EJER. 3'!CW26="","",'GASTOS EJER. 3'!CW26)</f>
        <v/>
      </c>
      <c r="AD65" s="237">
        <f>IF(AC65&lt;=EXPEDIENTE!$I$29,AB65,0)</f>
        <v>0</v>
      </c>
      <c r="AE65" s="239">
        <f>AUXILIAR!DL61</f>
        <v>0</v>
      </c>
      <c r="AF65" s="238">
        <f>AUXILIAR!HU61</f>
        <v>0</v>
      </c>
      <c r="AG65" s="236" t="str">
        <f>IF('GASTOS EJER. 3'!BF55="","",'GASTOS EJER. 3'!BF55)</f>
        <v/>
      </c>
      <c r="AH65" s="237">
        <f>IF(AG65&lt;=EXPEDIENTE!$I$29,AF65,0)</f>
        <v>0</v>
      </c>
      <c r="AI65" s="239">
        <f>IF($AQ$66=0,0,IF(AND($AQ$68&gt;$AQ$66,$AQ$64=1100%),MIN(AUXILIAR!$P$17,ROUND($AQ$66/$AQ$68*(AA65+AD65+AE65+AH65)*(1+('IDENTIFICACIÓN TRABAJADOR'!$N$45+'IDENTIFICACIÓN TRABAJADOR'!$R$45)/('IDENTIFICACIÓN TRABAJADOR'!$E$38-'IDENTIFICACIÓN TRABAJADOR'!$N$45-'IDENTIFICACIÓN TRABAJADOR'!$R$45)),2)),MIN(AUXILIAR!$P$17,ROUND((AA65+AD65+AE65+AH65)*(1+('IDENTIFICACIÓN TRABAJADOR'!$N$45+'IDENTIFICACIÓN TRABAJADOR'!$R$45)/('IDENTIFICACIÓN TRABAJADOR'!$E$38-'IDENTIFICACIÓN TRABAJADOR'!$N$45-'IDENTIFICACIÓN TRABAJADOR'!$R$45)),2))))</f>
        <v>0</v>
      </c>
      <c r="AJ65" s="240">
        <f t="shared" si="7"/>
        <v>0</v>
      </c>
      <c r="AK65" s="241">
        <f t="shared" si="8"/>
        <v>0</v>
      </c>
      <c r="AL65" s="212"/>
      <c r="AO65" s="209">
        <f>ROUND(X65*(AA65+AD65+AE65+AH65)*(1+('IDENTIFICACIÓN TRABAJADOR'!$N$45+'IDENTIFICACIÓN TRABAJADOR'!$R$45)/(360-'IDENTIFICACIÓN TRABAJADOR'!$N$45-'IDENTIFICACIÓN TRABAJADOR'!$R$45)),2)</f>
        <v>0</v>
      </c>
      <c r="AP65" s="242"/>
      <c r="AQ65" s="208" t="s">
        <v>222</v>
      </c>
    </row>
    <row r="66" spans="2:43" ht="15" customHeight="1" x14ac:dyDescent="0.25">
      <c r="B66" s="233" t="s">
        <v>52</v>
      </c>
      <c r="C66" s="234">
        <f>IFERROR(IF(OR(DATE($B$57,MONTH(DATEVALUE(B66&amp;"1")),1)&lt;DATE(YEAR(EXPEDIENTE!$I$25),MONTH(EXPEDIENTE!$I$25),1),DATE($B$57,MONTH(DATEVALUE(B66&amp;"1")),1)&gt;DATE(YEAR(EXPEDIENTE!$I$27),MONTH(EXPEDIENTE!$I$27)+1,1)-1),0,ROUND('% DEDICACIÓN TRABAJADOR'!N46,4)),0)</f>
        <v>0</v>
      </c>
      <c r="D66" s="238">
        <f>'GASTOS EJER. 3'!F27+'GASTOS EJER. 3'!L27-'GASTOS EJER. 3'!X27-'GASTOS EJER. 3'!Y27</f>
        <v>0</v>
      </c>
      <c r="E66" s="236" t="str">
        <f>IF('GASTOS EJER. 3'!AA27="","",'GASTOS EJER. 3'!AA27)</f>
        <v/>
      </c>
      <c r="F66" s="237">
        <f>IF(E66&lt;=EXPEDIENTE!$I$29,D66,0)</f>
        <v>0</v>
      </c>
      <c r="G66" s="238">
        <f>'GASTOS EJER. 3'!Y27</f>
        <v>0</v>
      </c>
      <c r="H66" s="236" t="str">
        <f>IF('GASTOS EJER. 3'!AB27="","",'GASTOS EJER. 3'!AB27)</f>
        <v/>
      </c>
      <c r="I66" s="237">
        <f>IF(H66&lt;=EXPEDIENTE!$I$29,G66,0)</f>
        <v>0</v>
      </c>
      <c r="J66" s="239">
        <f>AUXILIAR!BU62</f>
        <v>0</v>
      </c>
      <c r="K66" s="238">
        <f>AUXILIAR!FP62</f>
        <v>0</v>
      </c>
      <c r="L66" s="236" t="str">
        <f>IF('GASTOS EJER. 3'!I56="","",'GASTOS EJER. 3'!I56)</f>
        <v/>
      </c>
      <c r="M66" s="237">
        <f>IF(L66&lt;=EXPEDIENTE!$I$29,K66,0)</f>
        <v>0</v>
      </c>
      <c r="N66" s="239">
        <f>IF($U$66=0,0,IF(AND($U$68&gt;$U$66,$U$64=1100%),MIN(AUXILIAR!$P$17,ROUND($U$66/$U$68*(F66+I66+J66+M66)*(1+('IDENTIFICACIÓN TRABAJADOR'!$N$45+'IDENTIFICACIÓN TRABAJADOR'!$R$45)/('IDENTIFICACIÓN TRABAJADOR'!$E$38-'IDENTIFICACIÓN TRABAJADOR'!$N$45-'IDENTIFICACIÓN TRABAJADOR'!$R$45)),2)),MIN(AUXILIAR!$P$17,ROUND((F66+I66+J66+M66)*(1+('IDENTIFICACIÓN TRABAJADOR'!$N$45+'IDENTIFICACIÓN TRABAJADOR'!$R$45)/('IDENTIFICACIÓN TRABAJADOR'!$E$38-'IDENTIFICACIÓN TRABAJADOR'!$N$45-'IDENTIFICACIÓN TRABAJADOR'!$R$45)),2))))</f>
        <v>0</v>
      </c>
      <c r="O66" s="241">
        <f t="shared" si="6"/>
        <v>0</v>
      </c>
      <c r="P66" s="212"/>
      <c r="S66" s="209">
        <f>ROUND(C66*(F66+I66+J66+M66)*(1+('IDENTIFICACIÓN TRABAJADOR'!$N$45+'IDENTIFICACIÓN TRABAJADOR'!$R$45)/(360-'IDENTIFICACIÓN TRABAJADOR'!$N$45-'IDENTIFICACIÓN TRABAJADOR'!$R$45)),2)</f>
        <v>0</v>
      </c>
      <c r="T66" s="242"/>
      <c r="U66" s="244">
        <f>SUM(F59:F70)+SUM(I59:I70)+SUM(J59:J70)+SUM(M59:M70)</f>
        <v>0</v>
      </c>
      <c r="W66" s="233" t="s">
        <v>52</v>
      </c>
      <c r="X66" s="234">
        <f>IFERROR(IF(OR(DATE($B$57,MONTH(DATEVALUE(W66&amp;"1")),1)&lt;DATE(YEAR(EXPEDIENTE!$I$25),MONTH(EXPEDIENTE!$I$25),1),DATE($B$57,MONTH(DATEVALUE(W66&amp;"1")),1)&gt;DATE(YEAR(EXPEDIENTE!$I$27),MONTH(EXPEDIENTE!$I$27)+1,1)-1),0,ROUND('% DEDICACIÓN TRABAJADOR'!N46,4)),0)</f>
        <v>0</v>
      </c>
      <c r="Y66" s="238">
        <f>'GASTOS EJER. 3'!AW27+'GASTOS EJER. 3'!BM27-'GASTOS EJER. 3'!CM27-'GASTOS EJER. 3'!CP27</f>
        <v>0</v>
      </c>
      <c r="Z66" s="236" t="str">
        <f>IF('GASTOS EJER. 3'!CT27="","",'GASTOS EJER. 3'!CT27)</f>
        <v/>
      </c>
      <c r="AA66" s="237">
        <f>IF(Z66&lt;=EXPEDIENTE!$I$29,Y66,0)</f>
        <v>0</v>
      </c>
      <c r="AB66" s="238">
        <f>'GASTOS EJER. 3'!CP27</f>
        <v>0</v>
      </c>
      <c r="AC66" s="236" t="str">
        <f>IF('GASTOS EJER. 3'!CW27="","",'GASTOS EJER. 3'!CW27)</f>
        <v/>
      </c>
      <c r="AD66" s="237">
        <f>IF(AC66&lt;=EXPEDIENTE!$I$29,AB66,0)</f>
        <v>0</v>
      </c>
      <c r="AE66" s="239">
        <f>AUXILIAR!DL62</f>
        <v>0</v>
      </c>
      <c r="AF66" s="238">
        <f>AUXILIAR!HU62</f>
        <v>0</v>
      </c>
      <c r="AG66" s="236" t="str">
        <f>IF('GASTOS EJER. 3'!BF56="","",'GASTOS EJER. 3'!BF56)</f>
        <v/>
      </c>
      <c r="AH66" s="237">
        <f>IF(AG66&lt;=EXPEDIENTE!$I$29,AF66,0)</f>
        <v>0</v>
      </c>
      <c r="AI66" s="239">
        <f>IF($AQ$66=0,0,IF(AND($AQ$68&gt;$AQ$66,$AQ$64=1100%),MIN(AUXILIAR!$P$17,ROUND($AQ$66/$AQ$68*(AA66+AD66+AE66+AH66)*(1+('IDENTIFICACIÓN TRABAJADOR'!$N$45+'IDENTIFICACIÓN TRABAJADOR'!$R$45)/('IDENTIFICACIÓN TRABAJADOR'!$E$38-'IDENTIFICACIÓN TRABAJADOR'!$N$45-'IDENTIFICACIÓN TRABAJADOR'!$R$45)),2)),MIN(AUXILIAR!$P$17,ROUND((AA66+AD66+AE66+AH66)*(1+('IDENTIFICACIÓN TRABAJADOR'!$N$45+'IDENTIFICACIÓN TRABAJADOR'!$R$45)/('IDENTIFICACIÓN TRABAJADOR'!$E$38-'IDENTIFICACIÓN TRABAJADOR'!$N$45-'IDENTIFICACIÓN TRABAJADOR'!$R$45)),2))))</f>
        <v>0</v>
      </c>
      <c r="AJ66" s="240">
        <f t="shared" si="7"/>
        <v>0</v>
      </c>
      <c r="AK66" s="241">
        <f t="shared" si="8"/>
        <v>0</v>
      </c>
      <c r="AL66" s="212"/>
      <c r="AO66" s="209">
        <f>ROUND(X66*(AA66+AD66+AE66+AH66)*(1+('IDENTIFICACIÓN TRABAJADOR'!$N$45+'IDENTIFICACIÓN TRABAJADOR'!$R$45)/(360-'IDENTIFICACIÓN TRABAJADOR'!$N$45-'IDENTIFICACIÓN TRABAJADOR'!$R$45)),2)</f>
        <v>0</v>
      </c>
      <c r="AP66" s="242"/>
      <c r="AQ66" s="244">
        <f>SUM(AA59:AA70)+SUM(AD59:AD70)+SUM(AE59:AE70)+SUM(AH59:AH70)</f>
        <v>0</v>
      </c>
    </row>
    <row r="67" spans="2:43" ht="15" customHeight="1" x14ac:dyDescent="0.25">
      <c r="B67" s="233" t="s">
        <v>53</v>
      </c>
      <c r="C67" s="234">
        <f>IFERROR(IF(OR(DATE($B$57,MONTH(DATEVALUE(B67&amp;"1")),1)&lt;DATE(YEAR(EXPEDIENTE!$I$25),MONTH(EXPEDIENTE!$I$25),1),DATE($B$57,MONTH(DATEVALUE(B67&amp;"1")),1)&gt;DATE(YEAR(EXPEDIENTE!$I$27),MONTH(EXPEDIENTE!$I$27)+1,1)-1),0,ROUND('% DEDICACIÓN TRABAJADOR'!O46,4)),0)</f>
        <v>0</v>
      </c>
      <c r="D67" s="238">
        <f>'GASTOS EJER. 3'!F28+'GASTOS EJER. 3'!L28-'GASTOS EJER. 3'!X28-'GASTOS EJER. 3'!Y28</f>
        <v>0</v>
      </c>
      <c r="E67" s="236" t="str">
        <f>IF('GASTOS EJER. 3'!AA28="","",'GASTOS EJER. 3'!AA28)</f>
        <v/>
      </c>
      <c r="F67" s="237">
        <f>IF(E67&lt;=EXPEDIENTE!$I$29,D67,0)</f>
        <v>0</v>
      </c>
      <c r="G67" s="238">
        <f>'GASTOS EJER. 3'!Y28</f>
        <v>0</v>
      </c>
      <c r="H67" s="236" t="str">
        <f>IF('GASTOS EJER. 3'!AB28="","",'GASTOS EJER. 3'!AB28)</f>
        <v/>
      </c>
      <c r="I67" s="237">
        <f>IF(H67&lt;=EXPEDIENTE!$I$29,G67,0)</f>
        <v>0</v>
      </c>
      <c r="J67" s="239">
        <f>AUXILIAR!BU63</f>
        <v>0</v>
      </c>
      <c r="K67" s="238">
        <f>AUXILIAR!FP63</f>
        <v>0</v>
      </c>
      <c r="L67" s="236" t="str">
        <f>IF('GASTOS EJER. 3'!I57="","",'GASTOS EJER. 3'!I57)</f>
        <v/>
      </c>
      <c r="M67" s="237">
        <f>IF(L67&lt;=EXPEDIENTE!$I$29,K67,0)</f>
        <v>0</v>
      </c>
      <c r="N67" s="239">
        <f>IF($U$66=0,0,IF(AND($U$68&gt;$U$66,$U$64=1100%),MIN(AUXILIAR!$P$17,ROUND($U$66/$U$68*(F67+I67+J67+M67)*(1+('IDENTIFICACIÓN TRABAJADOR'!$N$45+'IDENTIFICACIÓN TRABAJADOR'!$R$45)/('IDENTIFICACIÓN TRABAJADOR'!$E$38-'IDENTIFICACIÓN TRABAJADOR'!$N$45-'IDENTIFICACIÓN TRABAJADOR'!$R$45)),2)),MIN(AUXILIAR!$P$17,ROUND((F67+I67+J67+M67)*(1+('IDENTIFICACIÓN TRABAJADOR'!$N$45+'IDENTIFICACIÓN TRABAJADOR'!$R$45)/('IDENTIFICACIÓN TRABAJADOR'!$E$38-'IDENTIFICACIÓN TRABAJADOR'!$N$45-'IDENTIFICACIÓN TRABAJADOR'!$R$45)),2))))</f>
        <v>0</v>
      </c>
      <c r="O67" s="241">
        <f t="shared" si="6"/>
        <v>0</v>
      </c>
      <c r="P67" s="212"/>
      <c r="S67" s="209">
        <f>ROUND(C67*(F67+I67+J67+M67)*(1+('IDENTIFICACIÓN TRABAJADOR'!$N$45+'IDENTIFICACIÓN TRABAJADOR'!$R$45)/(360-'IDENTIFICACIÓN TRABAJADOR'!$N$45-'IDENTIFICACIÓN TRABAJADOR'!$R$45)),2)</f>
        <v>0</v>
      </c>
      <c r="T67" s="242"/>
      <c r="U67" s="208" t="s">
        <v>223</v>
      </c>
      <c r="W67" s="233" t="s">
        <v>53</v>
      </c>
      <c r="X67" s="234">
        <f>IFERROR(IF(OR(DATE($B$57,MONTH(DATEVALUE(W67&amp;"1")),1)&lt;DATE(YEAR(EXPEDIENTE!$I$25),MONTH(EXPEDIENTE!$I$25),1),DATE($B$57,MONTH(DATEVALUE(W67&amp;"1")),1)&gt;DATE(YEAR(EXPEDIENTE!$I$27),MONTH(EXPEDIENTE!$I$27)+1,1)-1),0,ROUND('% DEDICACIÓN TRABAJADOR'!O46,4)),0)</f>
        <v>0</v>
      </c>
      <c r="Y67" s="238">
        <f>'GASTOS EJER. 3'!AW28+'GASTOS EJER. 3'!BM28-'GASTOS EJER. 3'!CM28-'GASTOS EJER. 3'!CP28</f>
        <v>0</v>
      </c>
      <c r="Z67" s="236" t="str">
        <f>IF('GASTOS EJER. 3'!CT28="","",'GASTOS EJER. 3'!CT28)</f>
        <v/>
      </c>
      <c r="AA67" s="237">
        <f>IF(Z67&lt;=EXPEDIENTE!$I$29,Y67,0)</f>
        <v>0</v>
      </c>
      <c r="AB67" s="238">
        <f>'GASTOS EJER. 3'!CP28</f>
        <v>0</v>
      </c>
      <c r="AC67" s="236" t="str">
        <f>IF('GASTOS EJER. 3'!CW28="","",'GASTOS EJER. 3'!CW28)</f>
        <v/>
      </c>
      <c r="AD67" s="237">
        <f>IF(AC67&lt;=EXPEDIENTE!$I$29,AB67,0)</f>
        <v>0</v>
      </c>
      <c r="AE67" s="239">
        <f>AUXILIAR!DL63</f>
        <v>0</v>
      </c>
      <c r="AF67" s="238">
        <f>AUXILIAR!HU63</f>
        <v>0</v>
      </c>
      <c r="AG67" s="236" t="str">
        <f>IF('GASTOS EJER. 3'!BF57="","",'GASTOS EJER. 3'!BF57)</f>
        <v/>
      </c>
      <c r="AH67" s="237">
        <f>IF(AG67&lt;=EXPEDIENTE!$I$29,AF67,0)</f>
        <v>0</v>
      </c>
      <c r="AI67" s="239">
        <f>IF($AQ$66=0,0,IF(AND($AQ$68&gt;$AQ$66,$AQ$64=1100%),MIN(AUXILIAR!$P$17,ROUND($AQ$66/$AQ$68*(AA67+AD67+AE67+AH67)*(1+('IDENTIFICACIÓN TRABAJADOR'!$N$45+'IDENTIFICACIÓN TRABAJADOR'!$R$45)/('IDENTIFICACIÓN TRABAJADOR'!$E$38-'IDENTIFICACIÓN TRABAJADOR'!$N$45-'IDENTIFICACIÓN TRABAJADOR'!$R$45)),2)),MIN(AUXILIAR!$P$17,ROUND((AA67+AD67+AE67+AH67)*(1+('IDENTIFICACIÓN TRABAJADOR'!$N$45+'IDENTIFICACIÓN TRABAJADOR'!$R$45)/('IDENTIFICACIÓN TRABAJADOR'!$E$38-'IDENTIFICACIÓN TRABAJADOR'!$N$45-'IDENTIFICACIÓN TRABAJADOR'!$R$45)),2))))</f>
        <v>0</v>
      </c>
      <c r="AJ67" s="240">
        <f t="shared" si="7"/>
        <v>0</v>
      </c>
      <c r="AK67" s="241">
        <f t="shared" si="8"/>
        <v>0</v>
      </c>
      <c r="AL67" s="212"/>
      <c r="AO67" s="209">
        <f>ROUND(X67*(AA67+AD67+AE67+AH67)*(1+('IDENTIFICACIÓN TRABAJADOR'!$N$45+'IDENTIFICACIÓN TRABAJADOR'!$R$45)/(360-'IDENTIFICACIÓN TRABAJADOR'!$N$45-'IDENTIFICACIÓN TRABAJADOR'!$R$45)),2)</f>
        <v>0</v>
      </c>
      <c r="AP67" s="242"/>
      <c r="AQ67" s="208" t="s">
        <v>223</v>
      </c>
    </row>
    <row r="68" spans="2:43" ht="15" customHeight="1" x14ac:dyDescent="0.25">
      <c r="B68" s="233" t="s">
        <v>54</v>
      </c>
      <c r="C68" s="234">
        <f>IFERROR(IF(OR(DATE($B$57,MONTH(DATEVALUE(B68&amp;"1")),1)&lt;DATE(YEAR(EXPEDIENTE!$I$25),MONTH(EXPEDIENTE!$I$25),1),DATE($B$57,MONTH(DATEVALUE(B68&amp;"1")),1)&gt;DATE(YEAR(EXPEDIENTE!$I$27),MONTH(EXPEDIENTE!$I$27)+1,1)-1),0,ROUND('% DEDICACIÓN TRABAJADOR'!P46,4)),0)</f>
        <v>0</v>
      </c>
      <c r="D68" s="238">
        <f>'GASTOS EJER. 3'!F29+'GASTOS EJER. 3'!L29-'GASTOS EJER. 3'!X29-'GASTOS EJER. 3'!Y29</f>
        <v>0</v>
      </c>
      <c r="E68" s="236" t="str">
        <f>IF('GASTOS EJER. 3'!AA29="","",'GASTOS EJER. 3'!AA29)</f>
        <v/>
      </c>
      <c r="F68" s="237">
        <f>IF(E68&lt;=EXPEDIENTE!$I$29,D68,0)</f>
        <v>0</v>
      </c>
      <c r="G68" s="238">
        <f>'GASTOS EJER. 3'!Y29</f>
        <v>0</v>
      </c>
      <c r="H68" s="236" t="str">
        <f>IF('GASTOS EJER. 3'!AB29="","",'GASTOS EJER. 3'!AB29)</f>
        <v/>
      </c>
      <c r="I68" s="237">
        <f>IF(H68&lt;=EXPEDIENTE!$I$29,G68,0)</f>
        <v>0</v>
      </c>
      <c r="J68" s="239">
        <f>AUXILIAR!BU64</f>
        <v>0</v>
      </c>
      <c r="K68" s="238">
        <f>AUXILIAR!FP64</f>
        <v>0</v>
      </c>
      <c r="L68" s="236" t="str">
        <f>IF('GASTOS EJER. 3'!I58="","",'GASTOS EJER. 3'!I58)</f>
        <v/>
      </c>
      <c r="M68" s="237">
        <f>IF(L68&lt;=EXPEDIENTE!$I$29,K68,0)</f>
        <v>0</v>
      </c>
      <c r="N68" s="239">
        <f>IF($U$66=0,0,IF(AND($U$68&gt;$U$66,$U$64=1100%),MIN(AUXILIAR!$P$17,ROUND($U$66/$U$68*(F68+I68+J68+M68)*(1+('IDENTIFICACIÓN TRABAJADOR'!$N$45+'IDENTIFICACIÓN TRABAJADOR'!$R$45)/('IDENTIFICACIÓN TRABAJADOR'!$E$38-'IDENTIFICACIÓN TRABAJADOR'!$N$45-'IDENTIFICACIÓN TRABAJADOR'!$R$45)),2)),MIN(AUXILIAR!$P$17,ROUND((F68+I68+J68+M68)*(1+('IDENTIFICACIÓN TRABAJADOR'!$N$45+'IDENTIFICACIÓN TRABAJADOR'!$R$45)/('IDENTIFICACIÓN TRABAJADOR'!$E$38-'IDENTIFICACIÓN TRABAJADOR'!$N$45-'IDENTIFICACIÓN TRABAJADOR'!$R$45)),2))))</f>
        <v>0</v>
      </c>
      <c r="O68" s="241">
        <f t="shared" si="6"/>
        <v>0</v>
      </c>
      <c r="P68" s="212"/>
      <c r="S68" s="209">
        <f>ROUND(C68*(F68+I68+J68+M68)*(1+('IDENTIFICACIÓN TRABAJADOR'!$N$45+'IDENTIFICACIÓN TRABAJADOR'!$R$45)/(360-'IDENTIFICACIÓN TRABAJADOR'!$N$45-'IDENTIFICACIÓN TRABAJADOR'!$R$45)),2)</f>
        <v>0</v>
      </c>
      <c r="T68" s="242"/>
      <c r="U68" s="244">
        <f>SUM(S59:S70)</f>
        <v>0</v>
      </c>
      <c r="W68" s="233" t="s">
        <v>54</v>
      </c>
      <c r="X68" s="234">
        <f>IFERROR(IF(OR(DATE($B$57,MONTH(DATEVALUE(W68&amp;"1")),1)&lt;DATE(YEAR(EXPEDIENTE!$I$25),MONTH(EXPEDIENTE!$I$25),1),DATE($B$57,MONTH(DATEVALUE(W68&amp;"1")),1)&gt;DATE(YEAR(EXPEDIENTE!$I$27),MONTH(EXPEDIENTE!$I$27)+1,1)-1),0,ROUND('% DEDICACIÓN TRABAJADOR'!P46,4)),0)</f>
        <v>0</v>
      </c>
      <c r="Y68" s="238">
        <f>'GASTOS EJER. 3'!AW29+'GASTOS EJER. 3'!BM29-'GASTOS EJER. 3'!CM29-'GASTOS EJER. 3'!CP29</f>
        <v>0</v>
      </c>
      <c r="Z68" s="236" t="str">
        <f>IF('GASTOS EJER. 3'!CT29="","",'GASTOS EJER. 3'!CT29)</f>
        <v/>
      </c>
      <c r="AA68" s="237">
        <f>IF(Z68&lt;=EXPEDIENTE!$I$29,Y68,0)</f>
        <v>0</v>
      </c>
      <c r="AB68" s="238">
        <f>'GASTOS EJER. 3'!CP29</f>
        <v>0</v>
      </c>
      <c r="AC68" s="236" t="str">
        <f>IF('GASTOS EJER. 3'!CW29="","",'GASTOS EJER. 3'!CW29)</f>
        <v/>
      </c>
      <c r="AD68" s="237">
        <f>IF(AC68&lt;=EXPEDIENTE!$I$29,AB68,0)</f>
        <v>0</v>
      </c>
      <c r="AE68" s="239">
        <f>AUXILIAR!DL64</f>
        <v>0</v>
      </c>
      <c r="AF68" s="238">
        <f>AUXILIAR!HU64</f>
        <v>0</v>
      </c>
      <c r="AG68" s="236" t="str">
        <f>IF('GASTOS EJER. 3'!BF58="","",'GASTOS EJER. 3'!BF58)</f>
        <v/>
      </c>
      <c r="AH68" s="237">
        <f>IF(AG68&lt;=EXPEDIENTE!$I$29,AF68,0)</f>
        <v>0</v>
      </c>
      <c r="AI68" s="239">
        <f>IF($AQ$66=0,0,IF(AND($AQ$68&gt;$AQ$66,$AQ$64=1100%),MIN(AUXILIAR!$P$17,ROUND($AQ$66/$AQ$68*(AA68+AD68+AE68+AH68)*(1+('IDENTIFICACIÓN TRABAJADOR'!$N$45+'IDENTIFICACIÓN TRABAJADOR'!$R$45)/('IDENTIFICACIÓN TRABAJADOR'!$E$38-'IDENTIFICACIÓN TRABAJADOR'!$N$45-'IDENTIFICACIÓN TRABAJADOR'!$R$45)),2)),MIN(AUXILIAR!$P$17,ROUND((AA68+AD68+AE68+AH68)*(1+('IDENTIFICACIÓN TRABAJADOR'!$N$45+'IDENTIFICACIÓN TRABAJADOR'!$R$45)/('IDENTIFICACIÓN TRABAJADOR'!$E$38-'IDENTIFICACIÓN TRABAJADOR'!$N$45-'IDENTIFICACIÓN TRABAJADOR'!$R$45)),2))))</f>
        <v>0</v>
      </c>
      <c r="AJ68" s="240">
        <f t="shared" si="7"/>
        <v>0</v>
      </c>
      <c r="AK68" s="241">
        <f t="shared" si="8"/>
        <v>0</v>
      </c>
      <c r="AL68" s="212"/>
      <c r="AO68" s="209">
        <f>ROUND(X68*(AA68+AD68+AE68+AH68)*(1+('IDENTIFICACIÓN TRABAJADOR'!$N$45+'IDENTIFICACIÓN TRABAJADOR'!$R$45)/(360-'IDENTIFICACIÓN TRABAJADOR'!$N$45-'IDENTIFICACIÓN TRABAJADOR'!$R$45)),2)</f>
        <v>0</v>
      </c>
      <c r="AP68" s="242"/>
      <c r="AQ68" s="244">
        <f>SUM(AO59:AO70)</f>
        <v>0</v>
      </c>
    </row>
    <row r="69" spans="2:43" ht="15" customHeight="1" x14ac:dyDescent="0.25">
      <c r="B69" s="233" t="s">
        <v>55</v>
      </c>
      <c r="C69" s="234">
        <f>IFERROR(IF(OR(DATE($B$57,MONTH(DATEVALUE(B69&amp;"1")),1)&lt;DATE(YEAR(EXPEDIENTE!$I$25),MONTH(EXPEDIENTE!$I$25),1),DATE($B$57,MONTH(DATEVALUE(B69&amp;"1")),1)&gt;DATE(YEAR(EXPEDIENTE!$I$27),MONTH(EXPEDIENTE!$I$27)+1,1)-1),0,ROUND('% DEDICACIÓN TRABAJADOR'!Q46,4)),0)</f>
        <v>0</v>
      </c>
      <c r="D69" s="238">
        <f>'GASTOS EJER. 3'!F30+'GASTOS EJER. 3'!L30-'GASTOS EJER. 3'!X30-'GASTOS EJER. 3'!Y30</f>
        <v>0</v>
      </c>
      <c r="E69" s="236" t="str">
        <f>IF('GASTOS EJER. 3'!AA30="","",'GASTOS EJER. 3'!AA30)</f>
        <v/>
      </c>
      <c r="F69" s="237">
        <f>IF(E69&lt;=EXPEDIENTE!$I$29,D69,0)</f>
        <v>0</v>
      </c>
      <c r="G69" s="238">
        <f>'GASTOS EJER. 3'!Y30</f>
        <v>0</v>
      </c>
      <c r="H69" s="236" t="str">
        <f>IF('GASTOS EJER. 3'!AB30="","",'GASTOS EJER. 3'!AB30)</f>
        <v/>
      </c>
      <c r="I69" s="237">
        <f>IF(H69&lt;=EXPEDIENTE!$I$29,G69,0)</f>
        <v>0</v>
      </c>
      <c r="J69" s="239">
        <f>AUXILIAR!BU65</f>
        <v>0</v>
      </c>
      <c r="K69" s="238">
        <f>AUXILIAR!FP65</f>
        <v>0</v>
      </c>
      <c r="L69" s="236" t="str">
        <f>IF('GASTOS EJER. 3'!I59="","",'GASTOS EJER. 3'!I59)</f>
        <v/>
      </c>
      <c r="M69" s="237">
        <f>IF(L69&lt;=EXPEDIENTE!$I$29,K69,0)</f>
        <v>0</v>
      </c>
      <c r="N69" s="239">
        <f>IF($U$66=0,0,IF(AND($U$68&gt;$U$66,$U$64=1100%),MIN(AUXILIAR!$P$17,ROUND($U$66/$U$68*(F69+I69+J69+M69)*(1+('IDENTIFICACIÓN TRABAJADOR'!$N$45+'IDENTIFICACIÓN TRABAJADOR'!$R$45)/('IDENTIFICACIÓN TRABAJADOR'!$E$38-'IDENTIFICACIÓN TRABAJADOR'!$N$45-'IDENTIFICACIÓN TRABAJADOR'!$R$45)),2)),MIN(AUXILIAR!$P$17,ROUND((F69+I69+J69+M69)*(1+('IDENTIFICACIÓN TRABAJADOR'!$N$45+'IDENTIFICACIÓN TRABAJADOR'!$R$45)/('IDENTIFICACIÓN TRABAJADOR'!$E$38-'IDENTIFICACIÓN TRABAJADOR'!$N$45-'IDENTIFICACIÓN TRABAJADOR'!$R$45)),2))))</f>
        <v>0</v>
      </c>
      <c r="O69" s="241">
        <f t="shared" si="6"/>
        <v>0</v>
      </c>
      <c r="P69" s="212"/>
      <c r="S69" s="209">
        <f>ROUND(C69*(F69+I69+J69+M69)*(1+('IDENTIFICACIÓN TRABAJADOR'!$N$45+'IDENTIFICACIÓN TRABAJADOR'!$R$45)/(360-'IDENTIFICACIÓN TRABAJADOR'!$N$45-'IDENTIFICACIÓN TRABAJADOR'!$R$45)),2)</f>
        <v>0</v>
      </c>
      <c r="T69" s="242"/>
      <c r="U69" s="208" t="s">
        <v>224</v>
      </c>
      <c r="W69" s="233" t="s">
        <v>55</v>
      </c>
      <c r="X69" s="234">
        <f>IFERROR(IF(OR(DATE($B$57,MONTH(DATEVALUE(W69&amp;"1")),1)&lt;DATE(YEAR(EXPEDIENTE!$I$25),MONTH(EXPEDIENTE!$I$25),1),DATE($B$57,MONTH(DATEVALUE(W69&amp;"1")),1)&gt;DATE(YEAR(EXPEDIENTE!$I$27),MONTH(EXPEDIENTE!$I$27)+1,1)-1),0,ROUND('% DEDICACIÓN TRABAJADOR'!Q46,4)),0)</f>
        <v>0</v>
      </c>
      <c r="Y69" s="238">
        <f>'GASTOS EJER. 3'!AW30+'GASTOS EJER. 3'!BM30-'GASTOS EJER. 3'!CM30-'GASTOS EJER. 3'!CP30</f>
        <v>0</v>
      </c>
      <c r="Z69" s="236" t="str">
        <f>IF('GASTOS EJER. 3'!CT30="","",'GASTOS EJER. 3'!CT30)</f>
        <v/>
      </c>
      <c r="AA69" s="237">
        <f>IF(Z69&lt;=EXPEDIENTE!$I$29,Y69,0)</f>
        <v>0</v>
      </c>
      <c r="AB69" s="238">
        <f>'GASTOS EJER. 3'!CP30</f>
        <v>0</v>
      </c>
      <c r="AC69" s="236" t="str">
        <f>IF('GASTOS EJER. 3'!CW30="","",'GASTOS EJER. 3'!CW30)</f>
        <v/>
      </c>
      <c r="AD69" s="237">
        <f>IF(AC69&lt;=EXPEDIENTE!$I$29,AB69,0)</f>
        <v>0</v>
      </c>
      <c r="AE69" s="239">
        <f>AUXILIAR!DL65</f>
        <v>0</v>
      </c>
      <c r="AF69" s="238">
        <f>AUXILIAR!HU65</f>
        <v>0</v>
      </c>
      <c r="AG69" s="236" t="str">
        <f>IF('GASTOS EJER. 3'!BF59="","",'GASTOS EJER. 3'!BF59)</f>
        <v/>
      </c>
      <c r="AH69" s="237">
        <f>IF(AG69&lt;=EXPEDIENTE!$I$29,AF69,0)</f>
        <v>0</v>
      </c>
      <c r="AI69" s="239">
        <f>IF($AQ$66=0,0,IF(AND($AQ$68&gt;$AQ$66,$AQ$64=1100%),MIN(AUXILIAR!$P$17,ROUND($AQ$66/$AQ$68*(AA69+AD69+AE69+AH69)*(1+('IDENTIFICACIÓN TRABAJADOR'!$N$45+'IDENTIFICACIÓN TRABAJADOR'!$R$45)/('IDENTIFICACIÓN TRABAJADOR'!$E$38-'IDENTIFICACIÓN TRABAJADOR'!$N$45-'IDENTIFICACIÓN TRABAJADOR'!$R$45)),2)),MIN(AUXILIAR!$P$17,ROUND((AA69+AD69+AE69+AH69)*(1+('IDENTIFICACIÓN TRABAJADOR'!$N$45+'IDENTIFICACIÓN TRABAJADOR'!$R$45)/('IDENTIFICACIÓN TRABAJADOR'!$E$38-'IDENTIFICACIÓN TRABAJADOR'!$N$45-'IDENTIFICACIÓN TRABAJADOR'!$R$45)),2))))</f>
        <v>0</v>
      </c>
      <c r="AJ69" s="240">
        <f t="shared" si="7"/>
        <v>0</v>
      </c>
      <c r="AK69" s="241">
        <f t="shared" si="8"/>
        <v>0</v>
      </c>
      <c r="AL69" s="212"/>
      <c r="AO69" s="209">
        <f>ROUND(X69*(AA69+AD69+AE69+AH69)*(1+('IDENTIFICACIÓN TRABAJADOR'!$N$45+'IDENTIFICACIÓN TRABAJADOR'!$R$45)/(360-'IDENTIFICACIÓN TRABAJADOR'!$N$45-'IDENTIFICACIÓN TRABAJADOR'!$R$45)),2)</f>
        <v>0</v>
      </c>
      <c r="AP69" s="242"/>
      <c r="AQ69" s="208" t="s">
        <v>224</v>
      </c>
    </row>
    <row r="70" spans="2:43" ht="15" customHeight="1" thickBot="1" x14ac:dyDescent="0.3">
      <c r="B70" s="245" t="s">
        <v>56</v>
      </c>
      <c r="C70" s="246">
        <f>IFERROR(IF(OR(DATE($B$57,MONTH(DATEVALUE(B70&amp;"1")),1)&lt;DATE(YEAR(EXPEDIENTE!$I$25),MONTH(EXPEDIENTE!$I$25),1),DATE($B$57,MONTH(DATEVALUE(B70&amp;"1")),1)&gt;DATE(YEAR(EXPEDIENTE!$I$27),MONTH(EXPEDIENTE!$I$27)+1,1)-1),0,ROUND('% DEDICACIÓN TRABAJADOR'!R46,4)),0)</f>
        <v>0</v>
      </c>
      <c r="D70" s="250">
        <f>'GASTOS EJER. 3'!F31+'GASTOS EJER. 3'!L31-'GASTOS EJER. 3'!X31-'GASTOS EJER. 3'!Y31</f>
        <v>0</v>
      </c>
      <c r="E70" s="248" t="str">
        <f>IF('GASTOS EJER. 3'!AA31="","",'GASTOS EJER. 3'!AA31)</f>
        <v/>
      </c>
      <c r="F70" s="249">
        <f>IF(E70&lt;=EXPEDIENTE!$I$29,D70,0)</f>
        <v>0</v>
      </c>
      <c r="G70" s="250">
        <f>'GASTOS EJER. 3'!Y31</f>
        <v>0</v>
      </c>
      <c r="H70" s="248" t="str">
        <f>IF('GASTOS EJER. 3'!AB31="","",'GASTOS EJER. 3'!AB31)</f>
        <v/>
      </c>
      <c r="I70" s="249">
        <f>IF(H70&lt;=EXPEDIENTE!$I$29,G70,0)</f>
        <v>0</v>
      </c>
      <c r="J70" s="251">
        <f>AUXILIAR!BU66</f>
        <v>0</v>
      </c>
      <c r="K70" s="250">
        <f>AUXILIAR!FP66</f>
        <v>0</v>
      </c>
      <c r="L70" s="248" t="str">
        <f>IF('GASTOS EJER. 3'!I60="","",'GASTOS EJER. 3'!I60)</f>
        <v/>
      </c>
      <c r="M70" s="249">
        <f>IF(L70&lt;=EXPEDIENTE!$I$29,K70,0)</f>
        <v>0</v>
      </c>
      <c r="N70" s="251">
        <f>IF($U$66=0,0,IF(AND($U$68&gt;$U$66,$U$64=1100%),MIN(AUXILIAR!$P$17,ROUND($U$66/$U$68*(F70+I70+J70+M70)*(1+('IDENTIFICACIÓN TRABAJADOR'!$N$45+'IDENTIFICACIÓN TRABAJADOR'!$R$45)/('IDENTIFICACIÓN TRABAJADOR'!$E$38-'IDENTIFICACIÓN TRABAJADOR'!$N$45-'IDENTIFICACIÓN TRABAJADOR'!$R$45)),2)),MIN(AUXILIAR!$P$17,ROUND((F70+I70+J70+M70)*(1+('IDENTIFICACIÓN TRABAJADOR'!$N$45+'IDENTIFICACIÓN TRABAJADOR'!$R$45)/('IDENTIFICACIÓN TRABAJADOR'!$E$38-'IDENTIFICACIÓN TRABAJADOR'!$N$45-'IDENTIFICACIÓN TRABAJADOR'!$R$45)),2))))</f>
        <v>0</v>
      </c>
      <c r="O70" s="253">
        <f t="shared" si="6"/>
        <v>0</v>
      </c>
      <c r="P70" s="212"/>
      <c r="S70" s="209">
        <f>ROUND(C70*(F70+I70+J70+M70)*(1+('IDENTIFICACIÓN TRABAJADOR'!$N$45+'IDENTIFICACIÓN TRABAJADOR'!$R$45)/(360-'IDENTIFICACIÓN TRABAJADOR'!$N$45-'IDENTIFICACIÓN TRABAJADOR'!$R$45)),2)</f>
        <v>0</v>
      </c>
      <c r="T70" s="242"/>
      <c r="U70" s="208" t="str">
        <f>IF(U68=0,"",U66/U68)</f>
        <v/>
      </c>
      <c r="W70" s="245" t="s">
        <v>56</v>
      </c>
      <c r="X70" s="246">
        <f>IFERROR(IF(OR(DATE($B$57,MONTH(DATEVALUE(W70&amp;"1")),1)&lt;DATE(YEAR(EXPEDIENTE!$I$25),MONTH(EXPEDIENTE!$I$25),1),DATE($B$57,MONTH(DATEVALUE(W70&amp;"1")),1)&gt;DATE(YEAR(EXPEDIENTE!$I$27),MONTH(EXPEDIENTE!$I$27)+1,1)-1),0,ROUND('% DEDICACIÓN TRABAJADOR'!R46,4)),0)</f>
        <v>0</v>
      </c>
      <c r="Y70" s="250">
        <f>'GASTOS EJER. 3'!AW31+'GASTOS EJER. 3'!BM31-'GASTOS EJER. 3'!CM31-'GASTOS EJER. 3'!CP31</f>
        <v>0</v>
      </c>
      <c r="Z70" s="248" t="str">
        <f>IF('GASTOS EJER. 3'!CT31="","",'GASTOS EJER. 3'!CT31)</f>
        <v/>
      </c>
      <c r="AA70" s="249">
        <f>IF(Z70&lt;=EXPEDIENTE!$I$29,Y70,0)</f>
        <v>0</v>
      </c>
      <c r="AB70" s="250">
        <f>'GASTOS EJER. 3'!CP31</f>
        <v>0</v>
      </c>
      <c r="AC70" s="248" t="str">
        <f>IF('GASTOS EJER. 3'!CW31="","",'GASTOS EJER. 3'!CW31)</f>
        <v/>
      </c>
      <c r="AD70" s="249">
        <f>IF(AC70&lt;=EXPEDIENTE!$I$29,AB70,0)</f>
        <v>0</v>
      </c>
      <c r="AE70" s="251">
        <f>AUXILIAR!DL66</f>
        <v>0</v>
      </c>
      <c r="AF70" s="250">
        <f>AUXILIAR!HU66</f>
        <v>0</v>
      </c>
      <c r="AG70" s="248" t="str">
        <f>IF('GASTOS EJER. 3'!BF60="","",'GASTOS EJER. 3'!BF60)</f>
        <v/>
      </c>
      <c r="AH70" s="249">
        <f>IF(AG70&lt;=EXPEDIENTE!$I$29,AF70,0)</f>
        <v>0</v>
      </c>
      <c r="AI70" s="251">
        <f>IF($AQ$66=0,0,IF(AND($AQ$68&gt;$AQ$66,$AQ$64=1100%),MIN(AUXILIAR!$P$17,ROUND($AQ$66/$AQ$68*(AA70+AD70+AE70+AH70)*(1+('IDENTIFICACIÓN TRABAJADOR'!$N$45+'IDENTIFICACIÓN TRABAJADOR'!$R$45)/('IDENTIFICACIÓN TRABAJADOR'!$E$38-'IDENTIFICACIÓN TRABAJADOR'!$N$45-'IDENTIFICACIÓN TRABAJADOR'!$R$45)),2)),MIN(AUXILIAR!$P$17,ROUND((AA70+AD70+AE70+AH70)*(1+('IDENTIFICACIÓN TRABAJADOR'!$N$45+'IDENTIFICACIÓN TRABAJADOR'!$R$45)/('IDENTIFICACIÓN TRABAJADOR'!$E$38-'IDENTIFICACIÓN TRABAJADOR'!$N$45-'IDENTIFICACIÓN TRABAJADOR'!$R$45)),2))))</f>
        <v>0</v>
      </c>
      <c r="AJ70" s="252">
        <f t="shared" si="7"/>
        <v>0</v>
      </c>
      <c r="AK70" s="253">
        <f t="shared" si="8"/>
        <v>0</v>
      </c>
      <c r="AL70" s="212"/>
      <c r="AO70" s="209">
        <f>ROUND(X70*(AA70+AD70+AE70+AH70)*(1+('IDENTIFICACIÓN TRABAJADOR'!$N$45+'IDENTIFICACIÓN TRABAJADOR'!$R$45)/(360-'IDENTIFICACIÓN TRABAJADOR'!$N$45-'IDENTIFICACIÓN TRABAJADOR'!$R$45)),2)</f>
        <v>0</v>
      </c>
      <c r="AP70" s="242"/>
      <c r="AQ70" s="208" t="str">
        <f>IF(AQ68=0,"",AQ66/AQ68)</f>
        <v/>
      </c>
    </row>
    <row r="71" spans="2:43" ht="14.25" thickBot="1" x14ac:dyDescent="0.3">
      <c r="M71" s="254"/>
      <c r="N71" s="254"/>
      <c r="O71" s="254"/>
      <c r="P71" s="212"/>
      <c r="T71" s="212"/>
      <c r="U71" s="208" t="s">
        <v>170</v>
      </c>
      <c r="AH71" s="254"/>
      <c r="AI71" s="254"/>
      <c r="AJ71" s="254"/>
      <c r="AK71" s="254"/>
      <c r="AL71" s="212"/>
      <c r="AP71" s="212"/>
      <c r="AQ71" s="208" t="s">
        <v>170</v>
      </c>
    </row>
    <row r="72" spans="2:43" ht="20.100000000000001" customHeight="1" thickBot="1" x14ac:dyDescent="0.3">
      <c r="G72" s="255"/>
      <c r="M72" s="256"/>
      <c r="N72" s="257" t="str">
        <f>CONCATENATE("TOTAL EJERCICIO ",B57)</f>
        <v>TOTAL EJERCICIO 2025</v>
      </c>
      <c r="O72" s="133">
        <f>SUM(O59:O70)</f>
        <v>0</v>
      </c>
      <c r="Q72" s="126" t="str">
        <f>IF(U72&gt;0,"EXISTE ALGÚN % DE DEDICACIÓN SUPERIOR AL 100% EN ESTE EJERCICIO","")</f>
        <v/>
      </c>
      <c r="T72" s="212"/>
      <c r="U72" s="208">
        <f>'% DEDICACIÓN TRABAJADOR'!$B$46</f>
        <v>0</v>
      </c>
      <c r="AB72" s="255"/>
      <c r="AH72" s="256"/>
      <c r="AI72" s="257" t="str">
        <f>CONCATENATE("TOTAL EJERCICIO ",W57)</f>
        <v>TOTAL EJERCICIO 2025</v>
      </c>
      <c r="AJ72" s="133">
        <f>SUM(AJ59:AJ70)</f>
        <v>0</v>
      </c>
      <c r="AK72" s="133">
        <f>SUM(AK59:AK70)</f>
        <v>0</v>
      </c>
      <c r="AM72" s="126" t="str">
        <f>IF(AQ72&gt;0,"EXISTE ALGÚN % DE DEDICACIÓN SUPERIOR AL 100% EN ESTE EJERCICIO","")</f>
        <v/>
      </c>
      <c r="AP72" s="212"/>
      <c r="AQ72" s="208">
        <f>'% DEDICACIÓN TRABAJADOR'!$B$46</f>
        <v>0</v>
      </c>
    </row>
    <row r="73" spans="2:43" ht="20.100000000000001" customHeight="1" x14ac:dyDescent="0.25">
      <c r="T73" s="212"/>
      <c r="U73" s="212"/>
      <c r="AP73" s="212"/>
      <c r="AQ73" s="212"/>
    </row>
    <row r="74" spans="2:43" x14ac:dyDescent="0.25">
      <c r="T74" s="212"/>
      <c r="U74" s="212"/>
      <c r="AP74" s="212"/>
      <c r="AQ74" s="212"/>
    </row>
    <row r="75" spans="2:43" ht="20.100000000000001" customHeight="1" x14ac:dyDescent="0.25">
      <c r="T75" s="212"/>
      <c r="U75" s="212"/>
      <c r="AP75" s="212"/>
      <c r="AQ75" s="212"/>
    </row>
    <row r="76" spans="2:43" ht="20.100000000000001" customHeight="1" x14ac:dyDescent="0.25">
      <c r="D76" s="213" t="str">
        <f>D4</f>
        <v>Nº DE EXPEDIENTE: 2024.08.EPTE.0000</v>
      </c>
      <c r="E76" s="127"/>
      <c r="F76" s="214"/>
      <c r="T76" s="212"/>
      <c r="U76" s="212"/>
      <c r="Y76" s="213" t="str">
        <f>Y4</f>
        <v>Nº DE EXPEDIENTE: 2024.08.EPTE.0000</v>
      </c>
      <c r="Z76" s="127"/>
      <c r="AA76" s="214"/>
      <c r="AP76" s="212"/>
      <c r="AQ76" s="212"/>
    </row>
    <row r="77" spans="2:43" ht="20.100000000000001" customHeight="1" x14ac:dyDescent="0.25">
      <c r="E77" s="128"/>
      <c r="F77" s="208"/>
      <c r="T77" s="212"/>
      <c r="U77" s="212"/>
      <c r="Z77" s="128"/>
      <c r="AA77" s="208"/>
      <c r="AP77" s="212"/>
      <c r="AQ77" s="212"/>
    </row>
    <row r="78" spans="2:43" ht="20.100000000000001" customHeight="1" x14ac:dyDescent="0.25">
      <c r="D78" s="215" t="str">
        <f>D30</f>
        <v>TRABAJADOR:</v>
      </c>
      <c r="E78" s="131"/>
      <c r="F78" s="208"/>
      <c r="T78" s="212"/>
      <c r="U78" s="212"/>
      <c r="Y78" s="215" t="str">
        <f>Y30</f>
        <v>TRABAJADOR:</v>
      </c>
      <c r="Z78" s="131"/>
      <c r="AA78" s="208"/>
      <c r="AP78" s="212"/>
      <c r="AQ78" s="212"/>
    </row>
    <row r="79" spans="2:43" ht="20.100000000000001" customHeight="1" x14ac:dyDescent="0.25">
      <c r="D79" s="215" t="str">
        <f>D7</f>
        <v>ACRÓNIMO:</v>
      </c>
      <c r="E79" s="131"/>
      <c r="F79" s="208"/>
      <c r="T79" s="212"/>
      <c r="U79" s="212"/>
      <c r="Y79" s="215" t="str">
        <f>Y7</f>
        <v>ACRÓNIMO:</v>
      </c>
      <c r="Z79" s="131"/>
      <c r="AA79" s="208"/>
      <c r="AP79" s="212"/>
      <c r="AQ79" s="212"/>
    </row>
    <row r="80" spans="2:43" ht="20.100000000000001" customHeight="1" thickBot="1" x14ac:dyDescent="0.3">
      <c r="D80" s="215"/>
      <c r="E80" s="131"/>
      <c r="F80" s="208"/>
      <c r="T80" s="212"/>
      <c r="U80" s="212"/>
      <c r="Y80" s="215"/>
      <c r="Z80" s="131"/>
      <c r="AA80" s="208"/>
      <c r="AP80" s="212"/>
      <c r="AQ80" s="212"/>
    </row>
    <row r="81" spans="2:43" s="216" customFormat="1" ht="25.5" customHeight="1" x14ac:dyDescent="0.25">
      <c r="B81" s="933">
        <f>$B$9+3</f>
        <v>2026</v>
      </c>
      <c r="C81" s="929" t="str">
        <f>CONCATENATE("PORCENTAJE
DEDICACIÓN
MENSUAL EJERCICIO ",B81)</f>
        <v>PORCENTAJE
DEDICACIÓN
MENSUAL EJERCICIO 2026</v>
      </c>
      <c r="D81" s="935" t="s">
        <v>116</v>
      </c>
      <c r="E81" s="936"/>
      <c r="F81" s="937"/>
      <c r="G81" s="938" t="s">
        <v>194</v>
      </c>
      <c r="H81" s="939"/>
      <c r="I81" s="940"/>
      <c r="J81" s="544" t="s">
        <v>117</v>
      </c>
      <c r="K81" s="935" t="s">
        <v>195</v>
      </c>
      <c r="L81" s="936"/>
      <c r="M81" s="937"/>
      <c r="N81" s="929" t="s">
        <v>161</v>
      </c>
      <c r="O81" s="931" t="s">
        <v>82</v>
      </c>
      <c r="R81" s="126"/>
      <c r="S81" s="126"/>
      <c r="W81" s="941">
        <f>$B$9+3</f>
        <v>2026</v>
      </c>
      <c r="X81" s="943" t="str">
        <f>CONCATENATE("PORCENTAJE
DEDICACIÓN
MENSUAL EJERCICIO ",W81)</f>
        <v>PORCENTAJE
DEDICACIÓN
MENSUAL EJERCICIO 2026</v>
      </c>
      <c r="Y81" s="945" t="s">
        <v>116</v>
      </c>
      <c r="Z81" s="946"/>
      <c r="AA81" s="947"/>
      <c r="AB81" s="948" t="s">
        <v>194</v>
      </c>
      <c r="AC81" s="949"/>
      <c r="AD81" s="950"/>
      <c r="AE81" s="217" t="s">
        <v>117</v>
      </c>
      <c r="AF81" s="945" t="s">
        <v>195</v>
      </c>
      <c r="AG81" s="946"/>
      <c r="AH81" s="947"/>
      <c r="AI81" s="943" t="s">
        <v>161</v>
      </c>
      <c r="AJ81" s="951" t="s">
        <v>344</v>
      </c>
      <c r="AK81" s="931" t="s">
        <v>345</v>
      </c>
      <c r="AN81" s="126"/>
      <c r="AO81" s="126"/>
    </row>
    <row r="82" spans="2:43" s="212" customFormat="1" ht="65.099999999999994" customHeight="1" thickBot="1" x14ac:dyDescent="0.3">
      <c r="B82" s="934"/>
      <c r="C82" s="930"/>
      <c r="D82" s="545" t="s">
        <v>196</v>
      </c>
      <c r="E82" s="288" t="s">
        <v>64</v>
      </c>
      <c r="F82" s="546" t="s">
        <v>83</v>
      </c>
      <c r="G82" s="547" t="s">
        <v>77</v>
      </c>
      <c r="H82" s="288" t="s">
        <v>119</v>
      </c>
      <c r="I82" s="548" t="s">
        <v>78</v>
      </c>
      <c r="J82" s="549" t="s">
        <v>118</v>
      </c>
      <c r="K82" s="547" t="s">
        <v>197</v>
      </c>
      <c r="L82" s="288" t="s">
        <v>75</v>
      </c>
      <c r="M82" s="548" t="s">
        <v>80</v>
      </c>
      <c r="N82" s="930"/>
      <c r="O82" s="932"/>
      <c r="R82" s="126"/>
      <c r="S82" s="120">
        <f>(1+('IDENTIFICACIÓN TRABAJADOR'!$T$45+'IDENTIFICACIÓN TRABAJADOR'!$X$45)/(360-'IDENTIFICACIÓN TRABAJADOR'!$T$45-'IDENTIFICACIÓN TRABAJADOR'!$X$45))</f>
        <v>1</v>
      </c>
      <c r="W82" s="942"/>
      <c r="X82" s="944"/>
      <c r="Y82" s="218" t="s">
        <v>196</v>
      </c>
      <c r="Z82" s="219" t="s">
        <v>64</v>
      </c>
      <c r="AA82" s="220" t="s">
        <v>83</v>
      </c>
      <c r="AB82" s="221" t="s">
        <v>77</v>
      </c>
      <c r="AC82" s="219" t="s">
        <v>119</v>
      </c>
      <c r="AD82" s="222" t="s">
        <v>78</v>
      </c>
      <c r="AE82" s="223" t="s">
        <v>118</v>
      </c>
      <c r="AF82" s="221" t="s">
        <v>197</v>
      </c>
      <c r="AG82" s="219" t="s">
        <v>75</v>
      </c>
      <c r="AH82" s="222" t="s">
        <v>80</v>
      </c>
      <c r="AI82" s="944"/>
      <c r="AJ82" s="952"/>
      <c r="AK82" s="932"/>
      <c r="AN82" s="126"/>
      <c r="AO82" s="120">
        <f>(1+('IDENTIFICACIÓN TRABAJADOR'!$T$45+'IDENTIFICACIÓN TRABAJADOR'!$X$45)/(360-'IDENTIFICACIÓN TRABAJADOR'!$T$45-'IDENTIFICACIÓN TRABAJADOR'!$X$45))</f>
        <v>1</v>
      </c>
    </row>
    <row r="83" spans="2:43" ht="15" customHeight="1" x14ac:dyDescent="0.25">
      <c r="B83" s="224" t="s">
        <v>45</v>
      </c>
      <c r="C83" s="225">
        <f>IFERROR(IF(OR(DATE($B$81,MONTH(DATEVALUE(B83&amp;"1")),1)&lt;DATE(YEAR(EXPEDIENTE!$I$25),MONTH(EXPEDIENTE!$I$25),1),DATE($B$81,MONTH(DATEVALUE(B83&amp;"1")),1)&gt;DATE(YEAR(EXPEDIENTE!$I$27),MONTH(EXPEDIENTE!$I$27)+1,1)-1),0,ROUND('% DEDICACIÓN TRABAJADOR'!G47,4)),0)</f>
        <v>0</v>
      </c>
      <c r="D83" s="229">
        <f>'GASTOS EJER. 4'!F20+'GASTOS EJER. 4'!L20-'GASTOS EJER. 4'!X20-'GASTOS EJER. 4'!Y20</f>
        <v>0</v>
      </c>
      <c r="E83" s="227" t="str">
        <f>IF('GASTOS EJER. 4'!AA20="","",'GASTOS EJER. 4'!AA20)</f>
        <v/>
      </c>
      <c r="F83" s="228">
        <f>IF(E83&lt;=EXPEDIENTE!$I$29,D83,0)</f>
        <v>0</v>
      </c>
      <c r="G83" s="229">
        <f>'GASTOS EJER. 4'!Y20</f>
        <v>0</v>
      </c>
      <c r="H83" s="227" t="str">
        <f>IF('GASTOS EJER. 4'!AB20="","",'GASTOS EJER. 4'!AB20)</f>
        <v/>
      </c>
      <c r="I83" s="228">
        <f>IF(H83&lt;=EXPEDIENTE!$I$29,G83,0)</f>
        <v>0</v>
      </c>
      <c r="J83" s="230">
        <f>AUXILIAR!BU71</f>
        <v>0</v>
      </c>
      <c r="K83" s="229">
        <f>AUXILIAR!FP71</f>
        <v>0</v>
      </c>
      <c r="L83" s="227" t="str">
        <f>IF('GASTOS EJER. 4'!I49="","",'GASTOS EJER. 4'!I49)</f>
        <v/>
      </c>
      <c r="M83" s="228">
        <f>IF(L83&lt;=EXPEDIENTE!$I$29,K83,0)</f>
        <v>0</v>
      </c>
      <c r="N83" s="230">
        <f>IF($U$90=0,0,IF(AND($U$92&gt;$U$90,$U$88=1100%),MIN(AUXILIAR!$P$17,ROUND($U$90/$U$92*(F83+I83+J83+M83)*(1+('IDENTIFICACIÓN TRABAJADOR'!$T$45+'IDENTIFICACIÓN TRABAJADOR'!$X$45)/('IDENTIFICACIÓN TRABAJADOR'!$E$42-'IDENTIFICACIÓN TRABAJADOR'!$T$45-'IDENTIFICACIÓN TRABAJADOR'!$X$45)),2)),MIN(AUXILIAR!$P$17,ROUND((F83+I83+J83+M83)*(1+('IDENTIFICACIÓN TRABAJADOR'!$T$45+'IDENTIFICACIÓN TRABAJADOR'!$X$45)/('IDENTIFICACIÓN TRABAJADOR'!$E$42-'IDENTIFICACIÓN TRABAJADOR'!$T$45-'IDENTIFICACIÓN TRABAJADOR'!$X$45)),2))))</f>
        <v>0</v>
      </c>
      <c r="O83" s="232">
        <f t="shared" ref="O83:O94" si="9">IF($U$96&gt;0,0,ROUND(C83*N83,2))</f>
        <v>0</v>
      </c>
      <c r="S83" s="209">
        <f>ROUND(C83*(F83+I83+J83+M83)*(1+('IDENTIFICACIÓN TRABAJADOR'!$T$45+'IDENTIFICACIÓN TRABAJADOR'!$X$45)/(360-'IDENTIFICACIÓN TRABAJADOR'!$T$45-'IDENTIFICACIÓN TRABAJADOR'!$X$45)),2)</f>
        <v>0</v>
      </c>
      <c r="T83" s="212"/>
      <c r="U83" s="212"/>
      <c r="W83" s="224" t="s">
        <v>45</v>
      </c>
      <c r="X83" s="225">
        <f>IFERROR(IF(OR(DATE($B$81,MONTH(DATEVALUE(W83&amp;"1")),1)&lt;DATE(YEAR(EXPEDIENTE!$I$25),MONTH(EXPEDIENTE!$I$25),1),DATE($B$81,MONTH(DATEVALUE(W83&amp;"1")),1)&gt;DATE(YEAR(EXPEDIENTE!$I$27),MONTH(EXPEDIENTE!$I$27)+1,1)-1),0,ROUND('% DEDICACIÓN TRABAJADOR'!G47,4)),0)</f>
        <v>0</v>
      </c>
      <c r="Y83" s="229">
        <f>'GASTOS EJER. 4'!AW20+'GASTOS EJER. 4'!BM20-'GASTOS EJER. 4'!CM20-'GASTOS EJER. 4'!CP20</f>
        <v>0</v>
      </c>
      <c r="Z83" s="227" t="str">
        <f>IF('GASTOS EJER. 4'!CT20="","",'GASTOS EJER. 4'!CT20)</f>
        <v/>
      </c>
      <c r="AA83" s="228">
        <f>IF(Z83&lt;=EXPEDIENTE!$I$29,Y83,0)</f>
        <v>0</v>
      </c>
      <c r="AB83" s="229">
        <f>'GASTOS EJER. 4'!CP20</f>
        <v>0</v>
      </c>
      <c r="AC83" s="227" t="str">
        <f>IF('GASTOS EJER. 4'!CW20="","",'GASTOS EJER. 4'!CW20)</f>
        <v/>
      </c>
      <c r="AD83" s="228">
        <f>IF(AC83&lt;=EXPEDIENTE!$I$29,AB83,0)</f>
        <v>0</v>
      </c>
      <c r="AE83" s="230">
        <f>AUXILIAR!DL71</f>
        <v>0</v>
      </c>
      <c r="AF83" s="229">
        <f>AUXILIAR!HU71</f>
        <v>0</v>
      </c>
      <c r="AG83" s="227" t="str">
        <f>IF('GASTOS EJER. 4'!BF49="","",'GASTOS EJER. 4'!BF49)</f>
        <v/>
      </c>
      <c r="AH83" s="228">
        <f>IF(AG83&lt;=EXPEDIENTE!$I$29,AF83,0)</f>
        <v>0</v>
      </c>
      <c r="AI83" s="230">
        <f>IF($AQ$90=0,0,IF(AND($AQ$92&gt;$AQ$90,$AQ$88=1100%),MIN(AUXILIAR!$P$17,ROUND($AQ$90/$AQ$92*(AA83+AD83+AE83+AH83)*(1+('IDENTIFICACIÓN TRABAJADOR'!$T$45+'IDENTIFICACIÓN TRABAJADOR'!$X$45)/('IDENTIFICACIÓN TRABAJADOR'!$E$42-'IDENTIFICACIÓN TRABAJADOR'!$T$45-'IDENTIFICACIÓN TRABAJADOR'!$X$45)),2)),MIN(AUXILIAR!$P$17,ROUND((AA83+AD83+AE83+AH83)*(1+('IDENTIFICACIÓN TRABAJADOR'!$T$45+'IDENTIFICACIÓN TRABAJADOR'!$X$45)/('IDENTIFICACIÓN TRABAJADOR'!$E$42-'IDENTIFICACIÓN TRABAJADOR'!$T$45-'IDENTIFICACIÓN TRABAJADOR'!$X$45)),2))))</f>
        <v>0</v>
      </c>
      <c r="AJ83" s="231">
        <f>IF($AQ$96&gt;0,0,ROUND(X83*AI83,2))</f>
        <v>0</v>
      </c>
      <c r="AK83" s="232">
        <f>O83</f>
        <v>0</v>
      </c>
      <c r="AO83" s="209">
        <f>ROUND(X83*(AA83+AD83+AE83+AH83)*(1+('IDENTIFICACIÓN TRABAJADOR'!$T$45+'IDENTIFICACIÓN TRABAJADOR'!$X$45)/(360-'IDENTIFICACIÓN TRABAJADOR'!$T$45-'IDENTIFICACIÓN TRABAJADOR'!$X$45)),2)</f>
        <v>0</v>
      </c>
      <c r="AP83" s="212"/>
      <c r="AQ83" s="212"/>
    </row>
    <row r="84" spans="2:43" ht="15" customHeight="1" x14ac:dyDescent="0.25">
      <c r="B84" s="233" t="s">
        <v>46</v>
      </c>
      <c r="C84" s="234">
        <f>IFERROR(IF(OR(DATE($B$81,MONTH(DATEVALUE(B84&amp;"1")),1)&lt;DATE(YEAR(EXPEDIENTE!$I$25),MONTH(EXPEDIENTE!$I$25),1),DATE($B$81,MONTH(DATEVALUE(B84&amp;"1")),1)&gt;DATE(YEAR(EXPEDIENTE!$I$27),MONTH(EXPEDIENTE!$I$27)+1,1)-1),0,ROUND('% DEDICACIÓN TRABAJADOR'!H47,4)),0)</f>
        <v>0</v>
      </c>
      <c r="D84" s="238">
        <f>'GASTOS EJER. 4'!F21+'GASTOS EJER. 4'!L21-'GASTOS EJER. 4'!X21-'GASTOS EJER. 4'!Y21</f>
        <v>0</v>
      </c>
      <c r="E84" s="236" t="str">
        <f>IF('GASTOS EJER. 4'!AA21="","",'GASTOS EJER. 4'!AA21)</f>
        <v/>
      </c>
      <c r="F84" s="237">
        <f>IF(E84&lt;=EXPEDIENTE!$I$29,D84,0)</f>
        <v>0</v>
      </c>
      <c r="G84" s="238">
        <f>'GASTOS EJER. 4'!Y21</f>
        <v>0</v>
      </c>
      <c r="H84" s="236" t="str">
        <f>IF('GASTOS EJER. 4'!AB21="","",'GASTOS EJER. 4'!AB21)</f>
        <v/>
      </c>
      <c r="I84" s="237">
        <f>IF(H84&lt;=EXPEDIENTE!$I$29,G84,0)</f>
        <v>0</v>
      </c>
      <c r="J84" s="239">
        <f>AUXILIAR!BU72</f>
        <v>0</v>
      </c>
      <c r="K84" s="238">
        <f>AUXILIAR!FP72</f>
        <v>0</v>
      </c>
      <c r="L84" s="236" t="str">
        <f>IF('GASTOS EJER. 4'!I50="","",'GASTOS EJER. 4'!I50)</f>
        <v/>
      </c>
      <c r="M84" s="237">
        <f>IF(L84&lt;=EXPEDIENTE!$I$29,K84,0)</f>
        <v>0</v>
      </c>
      <c r="N84" s="239">
        <f>IF($U$90=0,0,IF(AND($U$92&gt;$U$90,$U$88=1100%),MIN(AUXILIAR!$P$17,ROUND($U$90/$U$92*(F84+I84+J84+M84)*(1+('IDENTIFICACIÓN TRABAJADOR'!$T$45+'IDENTIFICACIÓN TRABAJADOR'!$X$45)/('IDENTIFICACIÓN TRABAJADOR'!$E$42-'IDENTIFICACIÓN TRABAJADOR'!$T$45-'IDENTIFICACIÓN TRABAJADOR'!$X$45)),2)),MIN(AUXILIAR!$P$17,ROUND((F84+I84+J84+M84)*(1+('IDENTIFICACIÓN TRABAJADOR'!$T$45+'IDENTIFICACIÓN TRABAJADOR'!$X$45)/('IDENTIFICACIÓN TRABAJADOR'!$E$42-'IDENTIFICACIÓN TRABAJADOR'!$T$45-'IDENTIFICACIÓN TRABAJADOR'!$X$45)),2))))</f>
        <v>0</v>
      </c>
      <c r="O84" s="241">
        <f t="shared" si="9"/>
        <v>0</v>
      </c>
      <c r="S84" s="209">
        <f>ROUND(C84*(F84+I84+J84+M84)*(1+('IDENTIFICACIÓN TRABAJADOR'!$T$45+'IDENTIFICACIÓN TRABAJADOR'!$X$45)/(360-'IDENTIFICACIÓN TRABAJADOR'!$T$45-'IDENTIFICACIÓN TRABAJADOR'!$X$45)),2)</f>
        <v>0</v>
      </c>
      <c r="T84" s="212"/>
      <c r="U84" s="212"/>
      <c r="W84" s="233" t="s">
        <v>46</v>
      </c>
      <c r="X84" s="234">
        <f>IFERROR(IF(OR(DATE($B$81,MONTH(DATEVALUE(W84&amp;"1")),1)&lt;DATE(YEAR(EXPEDIENTE!$I$25),MONTH(EXPEDIENTE!$I$25),1),DATE($B$81,MONTH(DATEVALUE(W84&amp;"1")),1)&gt;DATE(YEAR(EXPEDIENTE!$I$27),MONTH(EXPEDIENTE!$I$27)+1,1)-1),0,ROUND('% DEDICACIÓN TRABAJADOR'!H47,4)),0)</f>
        <v>0</v>
      </c>
      <c r="Y84" s="238">
        <f>'GASTOS EJER. 4'!AW21+'GASTOS EJER. 4'!BM21-'GASTOS EJER. 4'!CM21-'GASTOS EJER. 4'!CP21</f>
        <v>0</v>
      </c>
      <c r="Z84" s="236" t="str">
        <f>IF('GASTOS EJER. 4'!CT21="","",'GASTOS EJER. 4'!CT21)</f>
        <v/>
      </c>
      <c r="AA84" s="237">
        <f>IF(Z84&lt;=EXPEDIENTE!$I$29,Y84,0)</f>
        <v>0</v>
      </c>
      <c r="AB84" s="238">
        <f>'GASTOS EJER. 4'!CP21</f>
        <v>0</v>
      </c>
      <c r="AC84" s="236" t="str">
        <f>IF('GASTOS EJER. 4'!CW21="","",'GASTOS EJER. 4'!CW21)</f>
        <v/>
      </c>
      <c r="AD84" s="237">
        <f>IF(AC84&lt;=EXPEDIENTE!$I$29,AB84,0)</f>
        <v>0</v>
      </c>
      <c r="AE84" s="239">
        <f>AUXILIAR!DL72</f>
        <v>0</v>
      </c>
      <c r="AF84" s="238">
        <f>AUXILIAR!HU72</f>
        <v>0</v>
      </c>
      <c r="AG84" s="236" t="str">
        <f>IF('GASTOS EJER. 4'!BF50="","",'GASTOS EJER. 4'!BF50)</f>
        <v/>
      </c>
      <c r="AH84" s="237">
        <f>IF(AG84&lt;=EXPEDIENTE!$I$29,AF84,0)</f>
        <v>0</v>
      </c>
      <c r="AI84" s="239">
        <f>IF($AQ$90=0,0,IF(AND($AQ$92&gt;$AQ$90,$AQ$88=1100%),MIN(AUXILIAR!$P$17,ROUND($AQ$90/$AQ$92*(AA84+AD84+AE84+AH84)*(1+('IDENTIFICACIÓN TRABAJADOR'!$T$45+'IDENTIFICACIÓN TRABAJADOR'!$X$45)/('IDENTIFICACIÓN TRABAJADOR'!$E$42-'IDENTIFICACIÓN TRABAJADOR'!$T$45-'IDENTIFICACIÓN TRABAJADOR'!$X$45)),2)),MIN(AUXILIAR!$P$17,ROUND((AA84+AD84+AE84+AH84)*(1+('IDENTIFICACIÓN TRABAJADOR'!$T$45+'IDENTIFICACIÓN TRABAJADOR'!$X$45)/('IDENTIFICACIÓN TRABAJADOR'!$E$42-'IDENTIFICACIÓN TRABAJADOR'!$T$45-'IDENTIFICACIÓN TRABAJADOR'!$X$45)),2))))</f>
        <v>0</v>
      </c>
      <c r="AJ84" s="240">
        <f t="shared" ref="AJ84:AJ94" si="10">IF($AQ$96&gt;0,0,ROUND(X84*AI84,2))</f>
        <v>0</v>
      </c>
      <c r="AK84" s="241">
        <f t="shared" ref="AK84:AK94" si="11">O84</f>
        <v>0</v>
      </c>
      <c r="AO84" s="209">
        <f>ROUND(X84*(AA84+AD84+AE84+AH84)*(1+('IDENTIFICACIÓN TRABAJADOR'!$T$45+'IDENTIFICACIÓN TRABAJADOR'!$X$45)/(360-'IDENTIFICACIÓN TRABAJADOR'!$T$45-'IDENTIFICACIÓN TRABAJADOR'!$X$45)),2)</f>
        <v>0</v>
      </c>
      <c r="AP84" s="212"/>
      <c r="AQ84" s="212"/>
    </row>
    <row r="85" spans="2:43" ht="15" customHeight="1" x14ac:dyDescent="0.25">
      <c r="B85" s="233" t="s">
        <v>47</v>
      </c>
      <c r="C85" s="234">
        <f>IFERROR(IF(OR(DATE($B$81,MONTH(DATEVALUE(B85&amp;"1")),1)&lt;DATE(YEAR(EXPEDIENTE!$I$25),MONTH(EXPEDIENTE!$I$25),1),DATE($B$81,MONTH(DATEVALUE(B85&amp;"1")),1)&gt;DATE(YEAR(EXPEDIENTE!$I$27),MONTH(EXPEDIENTE!$I$27)+1,1)-1),0,ROUND('% DEDICACIÓN TRABAJADOR'!I47,4)),0)</f>
        <v>0</v>
      </c>
      <c r="D85" s="238">
        <f>'GASTOS EJER. 4'!F22+'GASTOS EJER. 4'!L22-'GASTOS EJER. 4'!X22-'GASTOS EJER. 4'!Y22</f>
        <v>0</v>
      </c>
      <c r="E85" s="236" t="str">
        <f>IF('GASTOS EJER. 4'!AA22="","",'GASTOS EJER. 4'!AA22)</f>
        <v/>
      </c>
      <c r="F85" s="237">
        <f>IF(E85&lt;=EXPEDIENTE!$I$29,D85,0)</f>
        <v>0</v>
      </c>
      <c r="G85" s="238">
        <f>'GASTOS EJER. 4'!Y22</f>
        <v>0</v>
      </c>
      <c r="H85" s="236" t="str">
        <f>IF('GASTOS EJER. 4'!AB22="","",'GASTOS EJER. 4'!AB22)</f>
        <v/>
      </c>
      <c r="I85" s="237">
        <f>IF(H85&lt;=EXPEDIENTE!$I$29,G85,0)</f>
        <v>0</v>
      </c>
      <c r="J85" s="239">
        <f>AUXILIAR!BU73</f>
        <v>0</v>
      </c>
      <c r="K85" s="238">
        <f>AUXILIAR!FP73</f>
        <v>0</v>
      </c>
      <c r="L85" s="236" t="str">
        <f>IF('GASTOS EJER. 4'!I51="","",'GASTOS EJER. 4'!I51)</f>
        <v/>
      </c>
      <c r="M85" s="237">
        <f>IF(L85&lt;=EXPEDIENTE!$I$29,K85,0)</f>
        <v>0</v>
      </c>
      <c r="N85" s="239">
        <f>IF($U$90=0,0,IF(AND($U$92&gt;$U$90,$U$88=1100%),MIN(AUXILIAR!$P$17,ROUND($U$90/$U$92*(F85+I85+J85+M85)*(1+('IDENTIFICACIÓN TRABAJADOR'!$T$45+'IDENTIFICACIÓN TRABAJADOR'!$X$45)/('IDENTIFICACIÓN TRABAJADOR'!$E$42-'IDENTIFICACIÓN TRABAJADOR'!$T$45-'IDENTIFICACIÓN TRABAJADOR'!$X$45)),2)),MIN(AUXILIAR!$P$17,ROUND((F85+I85+J85+M85)*(1+('IDENTIFICACIÓN TRABAJADOR'!$T$45+'IDENTIFICACIÓN TRABAJADOR'!$X$45)/('IDENTIFICACIÓN TRABAJADOR'!$E$42-'IDENTIFICACIÓN TRABAJADOR'!$T$45-'IDENTIFICACIÓN TRABAJADOR'!$X$45)),2))))</f>
        <v>0</v>
      </c>
      <c r="O85" s="241">
        <f t="shared" si="9"/>
        <v>0</v>
      </c>
      <c r="S85" s="209">
        <f>ROUND(C85*(F85+I85+J85+M85)*(1+('IDENTIFICACIÓN TRABAJADOR'!$T$45+'IDENTIFICACIÓN TRABAJADOR'!$X$45)/(360-'IDENTIFICACIÓN TRABAJADOR'!$T$45-'IDENTIFICACIÓN TRABAJADOR'!$X$45)),2)</f>
        <v>0</v>
      </c>
      <c r="T85" s="212"/>
      <c r="U85" s="212"/>
      <c r="W85" s="233" t="s">
        <v>47</v>
      </c>
      <c r="X85" s="234">
        <f>IFERROR(IF(OR(DATE($B$81,MONTH(DATEVALUE(W85&amp;"1")),1)&lt;DATE(YEAR(EXPEDIENTE!$I$25),MONTH(EXPEDIENTE!$I$25),1),DATE($B$81,MONTH(DATEVALUE(W85&amp;"1")),1)&gt;DATE(YEAR(EXPEDIENTE!$I$27),MONTH(EXPEDIENTE!$I$27)+1,1)-1),0,ROUND('% DEDICACIÓN TRABAJADOR'!I47,4)),0)</f>
        <v>0</v>
      </c>
      <c r="Y85" s="238">
        <f>'GASTOS EJER. 4'!AW22+'GASTOS EJER. 4'!BM22-'GASTOS EJER. 4'!CM22-'GASTOS EJER. 4'!CP22</f>
        <v>0</v>
      </c>
      <c r="Z85" s="236" t="str">
        <f>IF('GASTOS EJER. 4'!CT22="","",'GASTOS EJER. 4'!CT22)</f>
        <v/>
      </c>
      <c r="AA85" s="237">
        <f>IF(Z85&lt;=EXPEDIENTE!$I$29,Y85,0)</f>
        <v>0</v>
      </c>
      <c r="AB85" s="238">
        <f>'GASTOS EJER. 4'!CP22</f>
        <v>0</v>
      </c>
      <c r="AC85" s="236" t="str">
        <f>IF('GASTOS EJER. 4'!CW22="","",'GASTOS EJER. 4'!CW22)</f>
        <v/>
      </c>
      <c r="AD85" s="237">
        <f>IF(AC85&lt;=EXPEDIENTE!$I$29,AB85,0)</f>
        <v>0</v>
      </c>
      <c r="AE85" s="239">
        <f>AUXILIAR!DL73</f>
        <v>0</v>
      </c>
      <c r="AF85" s="238">
        <f>AUXILIAR!HU73</f>
        <v>0</v>
      </c>
      <c r="AG85" s="236" t="str">
        <f>IF('GASTOS EJER. 4'!BF51="","",'GASTOS EJER. 4'!BF51)</f>
        <v/>
      </c>
      <c r="AH85" s="237">
        <f>IF(AG85&lt;=EXPEDIENTE!$I$29,AF85,0)</f>
        <v>0</v>
      </c>
      <c r="AI85" s="239">
        <f>IF($AQ$90=0,0,IF(AND($AQ$92&gt;$AQ$90,$AQ$88=1100%),MIN(AUXILIAR!$P$17,ROUND($AQ$90/$AQ$92*(AA85+AD85+AE85+AH85)*(1+('IDENTIFICACIÓN TRABAJADOR'!$T$45+'IDENTIFICACIÓN TRABAJADOR'!$X$45)/('IDENTIFICACIÓN TRABAJADOR'!$E$42-'IDENTIFICACIÓN TRABAJADOR'!$T$45-'IDENTIFICACIÓN TRABAJADOR'!$X$45)),2)),MIN(AUXILIAR!$P$17,ROUND((AA85+AD85+AE85+AH85)*(1+('IDENTIFICACIÓN TRABAJADOR'!$T$45+'IDENTIFICACIÓN TRABAJADOR'!$X$45)/('IDENTIFICACIÓN TRABAJADOR'!$E$42-'IDENTIFICACIÓN TRABAJADOR'!$T$45-'IDENTIFICACIÓN TRABAJADOR'!$X$45)),2))))</f>
        <v>0</v>
      </c>
      <c r="AJ85" s="240">
        <f t="shared" si="10"/>
        <v>0</v>
      </c>
      <c r="AK85" s="241">
        <f t="shared" si="11"/>
        <v>0</v>
      </c>
      <c r="AO85" s="209">
        <f>ROUND(X85*(AA85+AD85+AE85+AH85)*(1+('IDENTIFICACIÓN TRABAJADOR'!$T$45+'IDENTIFICACIÓN TRABAJADOR'!$X$45)/(360-'IDENTIFICACIÓN TRABAJADOR'!$T$45-'IDENTIFICACIÓN TRABAJADOR'!$X$45)),2)</f>
        <v>0</v>
      </c>
      <c r="AP85" s="212"/>
      <c r="AQ85" s="212"/>
    </row>
    <row r="86" spans="2:43" ht="15" customHeight="1" x14ac:dyDescent="0.25">
      <c r="B86" s="233" t="s">
        <v>48</v>
      </c>
      <c r="C86" s="234">
        <f>IFERROR(IF(OR(DATE($B$81,MONTH(DATEVALUE(B86&amp;"1")),1)&lt;DATE(YEAR(EXPEDIENTE!$I$25),MONTH(EXPEDIENTE!$I$25),1),DATE($B$81,MONTH(DATEVALUE(B86&amp;"1")),1)&gt;DATE(YEAR(EXPEDIENTE!$I$27),MONTH(EXPEDIENTE!$I$27)+1,1)-1),0,ROUND('% DEDICACIÓN TRABAJADOR'!J47,4)),0)</f>
        <v>0</v>
      </c>
      <c r="D86" s="238">
        <f>'GASTOS EJER. 4'!F23+'GASTOS EJER. 4'!L23-'GASTOS EJER. 4'!X23-'GASTOS EJER. 4'!Y23</f>
        <v>0</v>
      </c>
      <c r="E86" s="236" t="str">
        <f>IF('GASTOS EJER. 4'!AA23="","",'GASTOS EJER. 4'!AA23)</f>
        <v/>
      </c>
      <c r="F86" s="237">
        <f>IF(E86&lt;=EXPEDIENTE!$I$29,D86,0)</f>
        <v>0</v>
      </c>
      <c r="G86" s="238">
        <f>'GASTOS EJER. 4'!Y23</f>
        <v>0</v>
      </c>
      <c r="H86" s="236" t="str">
        <f>IF('GASTOS EJER. 4'!AB23="","",'GASTOS EJER. 4'!AB23)</f>
        <v/>
      </c>
      <c r="I86" s="237">
        <f>IF(H86&lt;=EXPEDIENTE!$I$29,G86,0)</f>
        <v>0</v>
      </c>
      <c r="J86" s="239">
        <f>AUXILIAR!BU74</f>
        <v>0</v>
      </c>
      <c r="K86" s="238">
        <f>AUXILIAR!FP74</f>
        <v>0</v>
      </c>
      <c r="L86" s="236" t="str">
        <f>IF('GASTOS EJER. 4'!I52="","",'GASTOS EJER. 4'!I52)</f>
        <v/>
      </c>
      <c r="M86" s="237">
        <f>IF(L86&lt;=EXPEDIENTE!$I$29,K86,0)</f>
        <v>0</v>
      </c>
      <c r="N86" s="239">
        <f>IF($U$90=0,0,IF(AND($U$92&gt;$U$90,$U$88=1100%),MIN(AUXILIAR!$P$17,ROUND($U$90/$U$92*(F86+I86+J86+M86)*(1+('IDENTIFICACIÓN TRABAJADOR'!$T$45+'IDENTIFICACIÓN TRABAJADOR'!$X$45)/('IDENTIFICACIÓN TRABAJADOR'!$E$42-'IDENTIFICACIÓN TRABAJADOR'!$T$45-'IDENTIFICACIÓN TRABAJADOR'!$X$45)),2)),MIN(AUXILIAR!$P$17,ROUND((F86+I86+J86+M86)*(1+('IDENTIFICACIÓN TRABAJADOR'!$T$45+'IDENTIFICACIÓN TRABAJADOR'!$X$45)/('IDENTIFICACIÓN TRABAJADOR'!$E$42-'IDENTIFICACIÓN TRABAJADOR'!$T$45-'IDENTIFICACIÓN TRABAJADOR'!$X$45)),2))))</f>
        <v>0</v>
      </c>
      <c r="O86" s="241">
        <f t="shared" si="9"/>
        <v>0</v>
      </c>
      <c r="S86" s="209">
        <f>ROUND(C86*(F86+I86+J86+M86)*(1+('IDENTIFICACIÓN TRABAJADOR'!$T$45+'IDENTIFICACIÓN TRABAJADOR'!$X$45)/(360-'IDENTIFICACIÓN TRABAJADOR'!$T$45-'IDENTIFICACIÓN TRABAJADOR'!$X$45)),2)</f>
        <v>0</v>
      </c>
      <c r="T86" s="212"/>
      <c r="U86" s="212"/>
      <c r="W86" s="233" t="s">
        <v>48</v>
      </c>
      <c r="X86" s="234">
        <f>IFERROR(IF(OR(DATE($B$81,MONTH(DATEVALUE(W86&amp;"1")),1)&lt;DATE(YEAR(EXPEDIENTE!$I$25),MONTH(EXPEDIENTE!$I$25),1),DATE($B$81,MONTH(DATEVALUE(W86&amp;"1")),1)&gt;DATE(YEAR(EXPEDIENTE!$I$27),MONTH(EXPEDIENTE!$I$27)+1,1)-1),0,ROUND('% DEDICACIÓN TRABAJADOR'!J47,4)),0)</f>
        <v>0</v>
      </c>
      <c r="Y86" s="238">
        <f>'GASTOS EJER. 4'!AW23+'GASTOS EJER. 4'!BM23-'GASTOS EJER. 4'!CM23-'GASTOS EJER. 4'!CP23</f>
        <v>0</v>
      </c>
      <c r="Z86" s="236" t="str">
        <f>IF('GASTOS EJER. 4'!CT23="","",'GASTOS EJER. 4'!CT23)</f>
        <v/>
      </c>
      <c r="AA86" s="237">
        <f>IF(Z86&lt;=EXPEDIENTE!$I$29,Y86,0)</f>
        <v>0</v>
      </c>
      <c r="AB86" s="238">
        <f>'GASTOS EJER. 4'!CP23</f>
        <v>0</v>
      </c>
      <c r="AC86" s="236" t="str">
        <f>IF('GASTOS EJER. 4'!CW23="","",'GASTOS EJER. 4'!CW23)</f>
        <v/>
      </c>
      <c r="AD86" s="237">
        <f>IF(AC86&lt;=EXPEDIENTE!$I$29,AB86,0)</f>
        <v>0</v>
      </c>
      <c r="AE86" s="239">
        <f>AUXILIAR!DL74</f>
        <v>0</v>
      </c>
      <c r="AF86" s="238">
        <f>AUXILIAR!HU74</f>
        <v>0</v>
      </c>
      <c r="AG86" s="236" t="str">
        <f>IF('GASTOS EJER. 4'!BF52="","",'GASTOS EJER. 4'!BF52)</f>
        <v/>
      </c>
      <c r="AH86" s="237">
        <f>IF(AG86&lt;=EXPEDIENTE!$I$29,AF86,0)</f>
        <v>0</v>
      </c>
      <c r="AI86" s="239">
        <f>IF($AQ$90=0,0,IF(AND($AQ$92&gt;$AQ$90,$AQ$88=1100%),MIN(AUXILIAR!$P$17,ROUND($AQ$90/$AQ$92*(AA86+AD86+AE86+AH86)*(1+('IDENTIFICACIÓN TRABAJADOR'!$T$45+'IDENTIFICACIÓN TRABAJADOR'!$X$45)/('IDENTIFICACIÓN TRABAJADOR'!$E$42-'IDENTIFICACIÓN TRABAJADOR'!$T$45-'IDENTIFICACIÓN TRABAJADOR'!$X$45)),2)),MIN(AUXILIAR!$P$17,ROUND((AA86+AD86+AE86+AH86)*(1+('IDENTIFICACIÓN TRABAJADOR'!$T$45+'IDENTIFICACIÓN TRABAJADOR'!$X$45)/('IDENTIFICACIÓN TRABAJADOR'!$E$42-'IDENTIFICACIÓN TRABAJADOR'!$T$45-'IDENTIFICACIÓN TRABAJADOR'!$X$45)),2))))</f>
        <v>0</v>
      </c>
      <c r="AJ86" s="240">
        <f t="shared" si="10"/>
        <v>0</v>
      </c>
      <c r="AK86" s="241">
        <f t="shared" si="11"/>
        <v>0</v>
      </c>
      <c r="AO86" s="209">
        <f>ROUND(X86*(AA86+AD86+AE86+AH86)*(1+('IDENTIFICACIÓN TRABAJADOR'!$T$45+'IDENTIFICACIÓN TRABAJADOR'!$X$45)/(360-'IDENTIFICACIÓN TRABAJADOR'!$T$45-'IDENTIFICACIÓN TRABAJADOR'!$X$45)),2)</f>
        <v>0</v>
      </c>
      <c r="AP86" s="212"/>
      <c r="AQ86" s="212"/>
    </row>
    <row r="87" spans="2:43" ht="15" customHeight="1" x14ac:dyDescent="0.25">
      <c r="B87" s="233" t="s">
        <v>49</v>
      </c>
      <c r="C87" s="234">
        <f>IFERROR(IF(OR(DATE($B$81,MONTH(DATEVALUE(B87&amp;"1")),1)&lt;DATE(YEAR(EXPEDIENTE!$I$25),MONTH(EXPEDIENTE!$I$25),1),DATE($B$81,MONTH(DATEVALUE(B87&amp;"1")),1)&gt;DATE(YEAR(EXPEDIENTE!$I$27),MONTH(EXPEDIENTE!$I$27)+1,1)-1),0,ROUND('% DEDICACIÓN TRABAJADOR'!K47,4)),0)</f>
        <v>0</v>
      </c>
      <c r="D87" s="238">
        <f>'GASTOS EJER. 4'!F24+'GASTOS EJER. 4'!L24-'GASTOS EJER. 4'!X24-'GASTOS EJER. 4'!Y24</f>
        <v>0</v>
      </c>
      <c r="E87" s="236" t="str">
        <f>IF('GASTOS EJER. 4'!AA24="","",'GASTOS EJER. 4'!AA24)</f>
        <v/>
      </c>
      <c r="F87" s="237">
        <f>IF(E87&lt;=EXPEDIENTE!$I$29,D87,0)</f>
        <v>0</v>
      </c>
      <c r="G87" s="238">
        <f>'GASTOS EJER. 4'!Y24</f>
        <v>0</v>
      </c>
      <c r="H87" s="236" t="str">
        <f>IF('GASTOS EJER. 4'!AB24="","",'GASTOS EJER. 4'!AB24)</f>
        <v/>
      </c>
      <c r="I87" s="237">
        <f>IF(H87&lt;=EXPEDIENTE!$I$29,G87,0)</f>
        <v>0</v>
      </c>
      <c r="J87" s="239">
        <f>AUXILIAR!BU75</f>
        <v>0</v>
      </c>
      <c r="K87" s="238">
        <f>AUXILIAR!FP75</f>
        <v>0</v>
      </c>
      <c r="L87" s="236" t="str">
        <f>IF('GASTOS EJER. 4'!I53="","",'GASTOS EJER. 4'!I53)</f>
        <v/>
      </c>
      <c r="M87" s="237">
        <f>IF(L87&lt;=EXPEDIENTE!$I$29,K87,0)</f>
        <v>0</v>
      </c>
      <c r="N87" s="239">
        <f>IF($U$90=0,0,IF(AND($U$92&gt;$U$90,$U$88=1100%),MIN(AUXILIAR!$P$17,ROUND($U$90/$U$92*(F87+I87+J87+M87)*(1+('IDENTIFICACIÓN TRABAJADOR'!$T$45+'IDENTIFICACIÓN TRABAJADOR'!$X$45)/('IDENTIFICACIÓN TRABAJADOR'!$E$42-'IDENTIFICACIÓN TRABAJADOR'!$T$45-'IDENTIFICACIÓN TRABAJADOR'!$X$45)),2)),MIN(AUXILIAR!$P$17,ROUND((F87+I87+J87+M87)*(1+('IDENTIFICACIÓN TRABAJADOR'!$T$45+'IDENTIFICACIÓN TRABAJADOR'!$X$45)/('IDENTIFICACIÓN TRABAJADOR'!$E$42-'IDENTIFICACIÓN TRABAJADOR'!$T$45-'IDENTIFICACIÓN TRABAJADOR'!$X$45)),2))))</f>
        <v>0</v>
      </c>
      <c r="O87" s="241">
        <f t="shared" si="9"/>
        <v>0</v>
      </c>
      <c r="S87" s="209">
        <f>ROUND(C87*(F87+I87+J87+M87)*(1+('IDENTIFICACIÓN TRABAJADOR'!$T$45+'IDENTIFICACIÓN TRABAJADOR'!$X$45)/(360-'IDENTIFICACIÓN TRABAJADOR'!$T$45-'IDENTIFICACIÓN TRABAJADOR'!$X$45)),2)</f>
        <v>0</v>
      </c>
      <c r="T87" s="212"/>
      <c r="U87" s="208" t="s">
        <v>221</v>
      </c>
      <c r="W87" s="233" t="s">
        <v>49</v>
      </c>
      <c r="X87" s="234">
        <f>IFERROR(IF(OR(DATE($B$81,MONTH(DATEVALUE(W87&amp;"1")),1)&lt;DATE(YEAR(EXPEDIENTE!$I$25),MONTH(EXPEDIENTE!$I$25),1),DATE($B$81,MONTH(DATEVALUE(W87&amp;"1")),1)&gt;DATE(YEAR(EXPEDIENTE!$I$27),MONTH(EXPEDIENTE!$I$27)+1,1)-1),0,ROUND('% DEDICACIÓN TRABAJADOR'!K47,4)),0)</f>
        <v>0</v>
      </c>
      <c r="Y87" s="238">
        <f>'GASTOS EJER. 4'!AW24+'GASTOS EJER. 4'!BM24-'GASTOS EJER. 4'!CM24-'GASTOS EJER. 4'!CP24</f>
        <v>0</v>
      </c>
      <c r="Z87" s="236" t="str">
        <f>IF('GASTOS EJER. 4'!CT24="","",'GASTOS EJER. 4'!CT24)</f>
        <v/>
      </c>
      <c r="AA87" s="237">
        <f>IF(Z87&lt;=EXPEDIENTE!$I$29,Y87,0)</f>
        <v>0</v>
      </c>
      <c r="AB87" s="238">
        <f>'GASTOS EJER. 4'!CP24</f>
        <v>0</v>
      </c>
      <c r="AC87" s="236" t="str">
        <f>IF('GASTOS EJER. 4'!CW24="","",'GASTOS EJER. 4'!CW24)</f>
        <v/>
      </c>
      <c r="AD87" s="237">
        <f>IF(AC87&lt;=EXPEDIENTE!$I$29,AB87,0)</f>
        <v>0</v>
      </c>
      <c r="AE87" s="239">
        <f>AUXILIAR!DL75</f>
        <v>0</v>
      </c>
      <c r="AF87" s="238">
        <f>AUXILIAR!HU75</f>
        <v>0</v>
      </c>
      <c r="AG87" s="236" t="str">
        <f>IF('GASTOS EJER. 4'!BF53="","",'GASTOS EJER. 4'!BF53)</f>
        <v/>
      </c>
      <c r="AH87" s="237">
        <f>IF(AG87&lt;=EXPEDIENTE!$I$29,AF87,0)</f>
        <v>0</v>
      </c>
      <c r="AI87" s="239">
        <f>IF($AQ$90=0,0,IF(AND($AQ$92&gt;$AQ$90,$AQ$88=1100%),MIN(AUXILIAR!$P$17,ROUND($AQ$90/$AQ$92*(AA87+AD87+AE87+AH87)*(1+('IDENTIFICACIÓN TRABAJADOR'!$T$45+'IDENTIFICACIÓN TRABAJADOR'!$X$45)/('IDENTIFICACIÓN TRABAJADOR'!$E$42-'IDENTIFICACIÓN TRABAJADOR'!$T$45-'IDENTIFICACIÓN TRABAJADOR'!$X$45)),2)),MIN(AUXILIAR!$P$17,ROUND((AA87+AD87+AE87+AH87)*(1+('IDENTIFICACIÓN TRABAJADOR'!$T$45+'IDENTIFICACIÓN TRABAJADOR'!$X$45)/('IDENTIFICACIÓN TRABAJADOR'!$E$42-'IDENTIFICACIÓN TRABAJADOR'!$T$45-'IDENTIFICACIÓN TRABAJADOR'!$X$45)),2))))</f>
        <v>0</v>
      </c>
      <c r="AJ87" s="240">
        <f t="shared" si="10"/>
        <v>0</v>
      </c>
      <c r="AK87" s="241">
        <f t="shared" si="11"/>
        <v>0</v>
      </c>
      <c r="AO87" s="209">
        <f>ROUND(X87*(AA87+AD87+AE87+AH87)*(1+('IDENTIFICACIÓN TRABAJADOR'!$T$45+'IDENTIFICACIÓN TRABAJADOR'!$X$45)/(360-'IDENTIFICACIÓN TRABAJADOR'!$T$45-'IDENTIFICACIÓN TRABAJADOR'!$X$45)),2)</f>
        <v>0</v>
      </c>
      <c r="AP87" s="212"/>
      <c r="AQ87" s="208" t="s">
        <v>221</v>
      </c>
    </row>
    <row r="88" spans="2:43" ht="15" customHeight="1" x14ac:dyDescent="0.25">
      <c r="B88" s="233" t="s">
        <v>50</v>
      </c>
      <c r="C88" s="234">
        <f>IFERROR(IF(OR(DATE($B$81,MONTH(DATEVALUE(B88&amp;"1")),1)&lt;DATE(YEAR(EXPEDIENTE!$I$25),MONTH(EXPEDIENTE!$I$25),1),DATE($B$81,MONTH(DATEVALUE(B88&amp;"1")),1)&gt;DATE(YEAR(EXPEDIENTE!$I$27),MONTH(EXPEDIENTE!$I$27)+1,1)-1),0,ROUND('% DEDICACIÓN TRABAJADOR'!L47,4)),0)</f>
        <v>0</v>
      </c>
      <c r="D88" s="238">
        <f>'GASTOS EJER. 4'!F25+'GASTOS EJER. 4'!L25-'GASTOS EJER. 4'!X25-'GASTOS EJER. 4'!Y25</f>
        <v>0</v>
      </c>
      <c r="E88" s="236" t="str">
        <f>IF('GASTOS EJER. 4'!AA25="","",'GASTOS EJER. 4'!AA25)</f>
        <v/>
      </c>
      <c r="F88" s="237">
        <f>IF(E88&lt;=EXPEDIENTE!$I$29,D88,0)</f>
        <v>0</v>
      </c>
      <c r="G88" s="238">
        <f>'GASTOS EJER. 4'!Y25</f>
        <v>0</v>
      </c>
      <c r="H88" s="236" t="str">
        <f>IF('GASTOS EJER. 4'!AB25="","",'GASTOS EJER. 4'!AB25)</f>
        <v/>
      </c>
      <c r="I88" s="237">
        <f>IF(H88&lt;=EXPEDIENTE!$I$29,G88,0)</f>
        <v>0</v>
      </c>
      <c r="J88" s="239">
        <f>AUXILIAR!BU76</f>
        <v>0</v>
      </c>
      <c r="K88" s="238">
        <f>AUXILIAR!FP76</f>
        <v>0</v>
      </c>
      <c r="L88" s="236" t="str">
        <f>IF('GASTOS EJER. 4'!I54="","",'GASTOS EJER. 4'!I54)</f>
        <v/>
      </c>
      <c r="M88" s="237">
        <f>IF(L88&lt;=EXPEDIENTE!$I$29,K88,0)</f>
        <v>0</v>
      </c>
      <c r="N88" s="239">
        <f>IF($U$90=0,0,IF(AND($U$92&gt;$U$90,$U$88=1100%),MIN(AUXILIAR!$P$17,ROUND($U$90/$U$92*(F88+I88+J88+M88)*(1+('IDENTIFICACIÓN TRABAJADOR'!$T$45+'IDENTIFICACIÓN TRABAJADOR'!$X$45)/('IDENTIFICACIÓN TRABAJADOR'!$E$42-'IDENTIFICACIÓN TRABAJADOR'!$T$45-'IDENTIFICACIÓN TRABAJADOR'!$X$45)),2)),MIN(AUXILIAR!$P$17,ROUND((F88+I88+J88+M88)*(1+('IDENTIFICACIÓN TRABAJADOR'!$T$45+'IDENTIFICACIÓN TRABAJADOR'!$X$45)/('IDENTIFICACIÓN TRABAJADOR'!$E$42-'IDENTIFICACIÓN TRABAJADOR'!$T$45-'IDENTIFICACIÓN TRABAJADOR'!$X$45)),2))))</f>
        <v>0</v>
      </c>
      <c r="O88" s="241">
        <f t="shared" si="9"/>
        <v>0</v>
      </c>
      <c r="S88" s="209">
        <f>ROUND(C88*(F88+I88+J88+M88)*(1+('IDENTIFICACIÓN TRABAJADOR'!$T$45+'IDENTIFICACIÓN TRABAJADOR'!$X$45)/(360-'IDENTIFICACIÓN TRABAJADOR'!$T$45-'IDENTIFICACIÓN TRABAJADOR'!$X$45)),2)</f>
        <v>0</v>
      </c>
      <c r="T88" s="242"/>
      <c r="U88" s="243">
        <f>SUM('% DEDICACIÓN TRABAJADOR'!$G$47:$R$47)</f>
        <v>0</v>
      </c>
      <c r="W88" s="233" t="s">
        <v>50</v>
      </c>
      <c r="X88" s="234">
        <f>IFERROR(IF(OR(DATE($B$81,MONTH(DATEVALUE(W88&amp;"1")),1)&lt;DATE(YEAR(EXPEDIENTE!$I$25),MONTH(EXPEDIENTE!$I$25),1),DATE($B$81,MONTH(DATEVALUE(W88&amp;"1")),1)&gt;DATE(YEAR(EXPEDIENTE!$I$27),MONTH(EXPEDIENTE!$I$27)+1,1)-1),0,ROUND('% DEDICACIÓN TRABAJADOR'!L47,4)),0)</f>
        <v>0</v>
      </c>
      <c r="Y88" s="238">
        <f>'GASTOS EJER. 4'!AW25+'GASTOS EJER. 4'!BM25-'GASTOS EJER. 4'!CM25-'GASTOS EJER. 4'!CP25</f>
        <v>0</v>
      </c>
      <c r="Z88" s="236" t="str">
        <f>IF('GASTOS EJER. 4'!CT25="","",'GASTOS EJER. 4'!CT25)</f>
        <v/>
      </c>
      <c r="AA88" s="237">
        <f>IF(Z88&lt;=EXPEDIENTE!$I$29,Y88,0)</f>
        <v>0</v>
      </c>
      <c r="AB88" s="238">
        <f>'GASTOS EJER. 4'!CP25</f>
        <v>0</v>
      </c>
      <c r="AC88" s="236" t="str">
        <f>IF('GASTOS EJER. 4'!CW25="","",'GASTOS EJER. 4'!CW25)</f>
        <v/>
      </c>
      <c r="AD88" s="237">
        <f>IF(AC88&lt;=EXPEDIENTE!$I$29,AB88,0)</f>
        <v>0</v>
      </c>
      <c r="AE88" s="239">
        <f>AUXILIAR!DL76</f>
        <v>0</v>
      </c>
      <c r="AF88" s="238">
        <f>AUXILIAR!HU76</f>
        <v>0</v>
      </c>
      <c r="AG88" s="236" t="str">
        <f>IF('GASTOS EJER. 4'!BF54="","",'GASTOS EJER. 4'!BF54)</f>
        <v/>
      </c>
      <c r="AH88" s="237">
        <f>IF(AG88&lt;=EXPEDIENTE!$I$29,AF88,0)</f>
        <v>0</v>
      </c>
      <c r="AI88" s="239">
        <f>IF($AQ$90=0,0,IF(AND($AQ$92&gt;$AQ$90,$AQ$88=1100%),MIN(AUXILIAR!$P$17,ROUND($AQ$90/$AQ$92*(AA88+AD88+AE88+AH88)*(1+('IDENTIFICACIÓN TRABAJADOR'!$T$45+'IDENTIFICACIÓN TRABAJADOR'!$X$45)/('IDENTIFICACIÓN TRABAJADOR'!$E$42-'IDENTIFICACIÓN TRABAJADOR'!$T$45-'IDENTIFICACIÓN TRABAJADOR'!$X$45)),2)),MIN(AUXILIAR!$P$17,ROUND((AA88+AD88+AE88+AH88)*(1+('IDENTIFICACIÓN TRABAJADOR'!$T$45+'IDENTIFICACIÓN TRABAJADOR'!$X$45)/('IDENTIFICACIÓN TRABAJADOR'!$E$42-'IDENTIFICACIÓN TRABAJADOR'!$T$45-'IDENTIFICACIÓN TRABAJADOR'!$X$45)),2))))</f>
        <v>0</v>
      </c>
      <c r="AJ88" s="240">
        <f t="shared" si="10"/>
        <v>0</v>
      </c>
      <c r="AK88" s="241">
        <f t="shared" si="11"/>
        <v>0</v>
      </c>
      <c r="AO88" s="209">
        <f>ROUND(X88*(AA88+AD88+AE88+AH88)*(1+('IDENTIFICACIÓN TRABAJADOR'!$T$45+'IDENTIFICACIÓN TRABAJADOR'!$X$45)/(360-'IDENTIFICACIÓN TRABAJADOR'!$T$45-'IDENTIFICACIÓN TRABAJADOR'!$X$45)),2)</f>
        <v>0</v>
      </c>
      <c r="AP88" s="242"/>
      <c r="AQ88" s="243">
        <f>SUM('% DEDICACIÓN TRABAJADOR'!$G$47:$R$47)</f>
        <v>0</v>
      </c>
    </row>
    <row r="89" spans="2:43" ht="15" customHeight="1" x14ac:dyDescent="0.25">
      <c r="B89" s="233" t="s">
        <v>51</v>
      </c>
      <c r="C89" s="234">
        <f>IFERROR(IF(OR(DATE($B$81,MONTH(DATEVALUE(B89&amp;"1")),1)&lt;DATE(YEAR(EXPEDIENTE!$I$25),MONTH(EXPEDIENTE!$I$25),1),DATE($B$81,MONTH(DATEVALUE(B89&amp;"1")),1)&gt;DATE(YEAR(EXPEDIENTE!$I$27),MONTH(EXPEDIENTE!$I$27)+1,1)-1),0,ROUND('% DEDICACIÓN TRABAJADOR'!M47,4)),0)</f>
        <v>0</v>
      </c>
      <c r="D89" s="238">
        <f>'GASTOS EJER. 4'!F26+'GASTOS EJER. 4'!L26-'GASTOS EJER. 4'!X26-'GASTOS EJER. 4'!Y26</f>
        <v>0</v>
      </c>
      <c r="E89" s="236" t="str">
        <f>IF('GASTOS EJER. 4'!AA26="","",'GASTOS EJER. 4'!AA26)</f>
        <v/>
      </c>
      <c r="F89" s="237">
        <f>IF(E89&lt;=EXPEDIENTE!$I$29,D89,0)</f>
        <v>0</v>
      </c>
      <c r="G89" s="238">
        <f>'GASTOS EJER. 4'!Y26</f>
        <v>0</v>
      </c>
      <c r="H89" s="236" t="str">
        <f>IF('GASTOS EJER. 4'!AB26="","",'GASTOS EJER. 4'!AB26)</f>
        <v/>
      </c>
      <c r="I89" s="237">
        <f>IF(H89&lt;=EXPEDIENTE!$I$29,G89,0)</f>
        <v>0</v>
      </c>
      <c r="J89" s="239">
        <f>AUXILIAR!BU77</f>
        <v>0</v>
      </c>
      <c r="K89" s="238">
        <f>AUXILIAR!FP77</f>
        <v>0</v>
      </c>
      <c r="L89" s="236" t="str">
        <f>IF('GASTOS EJER. 4'!I55="","",'GASTOS EJER. 4'!I55)</f>
        <v/>
      </c>
      <c r="M89" s="237">
        <f>IF(L89&lt;=EXPEDIENTE!$I$29,K89,0)</f>
        <v>0</v>
      </c>
      <c r="N89" s="239">
        <f>IF($U$90=0,0,IF(AND($U$92&gt;$U$90,$U$88=1100%),MIN(AUXILIAR!$P$17,ROUND($U$90/$U$92*(F89+I89+J89+M89)*(1+('IDENTIFICACIÓN TRABAJADOR'!$T$45+'IDENTIFICACIÓN TRABAJADOR'!$X$45)/('IDENTIFICACIÓN TRABAJADOR'!$E$42-'IDENTIFICACIÓN TRABAJADOR'!$T$45-'IDENTIFICACIÓN TRABAJADOR'!$X$45)),2)),MIN(AUXILIAR!$P$17,ROUND((F89+I89+J89+M89)*(1+('IDENTIFICACIÓN TRABAJADOR'!$T$45+'IDENTIFICACIÓN TRABAJADOR'!$X$45)/('IDENTIFICACIÓN TRABAJADOR'!$E$42-'IDENTIFICACIÓN TRABAJADOR'!$T$45-'IDENTIFICACIÓN TRABAJADOR'!$X$45)),2))))</f>
        <v>0</v>
      </c>
      <c r="O89" s="241">
        <f t="shared" si="9"/>
        <v>0</v>
      </c>
      <c r="S89" s="209">
        <f>ROUND(C89*(F89+I89+J89+M89)*(1+('IDENTIFICACIÓN TRABAJADOR'!$T$45+'IDENTIFICACIÓN TRABAJADOR'!$X$45)/(360-'IDENTIFICACIÓN TRABAJADOR'!$T$45-'IDENTIFICACIÓN TRABAJADOR'!$X$45)),2)</f>
        <v>0</v>
      </c>
      <c r="T89" s="242"/>
      <c r="U89" s="208" t="s">
        <v>222</v>
      </c>
      <c r="W89" s="233" t="s">
        <v>51</v>
      </c>
      <c r="X89" s="234">
        <f>IFERROR(IF(OR(DATE($B$81,MONTH(DATEVALUE(W89&amp;"1")),1)&lt;DATE(YEAR(EXPEDIENTE!$I$25),MONTH(EXPEDIENTE!$I$25),1),DATE($B$81,MONTH(DATEVALUE(W89&amp;"1")),1)&gt;DATE(YEAR(EXPEDIENTE!$I$27),MONTH(EXPEDIENTE!$I$27)+1,1)-1),0,ROUND('% DEDICACIÓN TRABAJADOR'!M47,4)),0)</f>
        <v>0</v>
      </c>
      <c r="Y89" s="238">
        <f>'GASTOS EJER. 4'!AW26+'GASTOS EJER. 4'!BM26-'GASTOS EJER. 4'!CM26-'GASTOS EJER. 4'!CP26</f>
        <v>0</v>
      </c>
      <c r="Z89" s="236" t="str">
        <f>IF('GASTOS EJER. 4'!CT26="","",'GASTOS EJER. 4'!CT26)</f>
        <v/>
      </c>
      <c r="AA89" s="237">
        <f>IF(Z89&lt;=EXPEDIENTE!$I$29,Y89,0)</f>
        <v>0</v>
      </c>
      <c r="AB89" s="238">
        <f>'GASTOS EJER. 4'!CP26</f>
        <v>0</v>
      </c>
      <c r="AC89" s="236" t="str">
        <f>IF('GASTOS EJER. 4'!CW26="","",'GASTOS EJER. 4'!CW26)</f>
        <v/>
      </c>
      <c r="AD89" s="237">
        <f>IF(AC89&lt;=EXPEDIENTE!$I$29,AB89,0)</f>
        <v>0</v>
      </c>
      <c r="AE89" s="239">
        <f>AUXILIAR!DL77</f>
        <v>0</v>
      </c>
      <c r="AF89" s="238">
        <f>AUXILIAR!HU77</f>
        <v>0</v>
      </c>
      <c r="AG89" s="236" t="str">
        <f>IF('GASTOS EJER. 4'!BF55="","",'GASTOS EJER. 4'!BF55)</f>
        <v/>
      </c>
      <c r="AH89" s="237">
        <f>IF(AG89&lt;=EXPEDIENTE!$I$29,AF89,0)</f>
        <v>0</v>
      </c>
      <c r="AI89" s="239">
        <f>IF($AQ$90=0,0,IF(AND($AQ$92&gt;$AQ$90,$AQ$88=1100%),MIN(AUXILIAR!$P$17,ROUND($AQ$90/$AQ$92*(AA89+AD89+AE89+AH89)*(1+('IDENTIFICACIÓN TRABAJADOR'!$T$45+'IDENTIFICACIÓN TRABAJADOR'!$X$45)/('IDENTIFICACIÓN TRABAJADOR'!$E$42-'IDENTIFICACIÓN TRABAJADOR'!$T$45-'IDENTIFICACIÓN TRABAJADOR'!$X$45)),2)),MIN(AUXILIAR!$P$17,ROUND((AA89+AD89+AE89+AH89)*(1+('IDENTIFICACIÓN TRABAJADOR'!$T$45+'IDENTIFICACIÓN TRABAJADOR'!$X$45)/('IDENTIFICACIÓN TRABAJADOR'!$E$42-'IDENTIFICACIÓN TRABAJADOR'!$T$45-'IDENTIFICACIÓN TRABAJADOR'!$X$45)),2))))</f>
        <v>0</v>
      </c>
      <c r="AJ89" s="240">
        <f t="shared" si="10"/>
        <v>0</v>
      </c>
      <c r="AK89" s="241">
        <f t="shared" si="11"/>
        <v>0</v>
      </c>
      <c r="AO89" s="209">
        <f>ROUND(X89*(AA89+AD89+AE89+AH89)*(1+('IDENTIFICACIÓN TRABAJADOR'!$T$45+'IDENTIFICACIÓN TRABAJADOR'!$X$45)/(360-'IDENTIFICACIÓN TRABAJADOR'!$T$45-'IDENTIFICACIÓN TRABAJADOR'!$X$45)),2)</f>
        <v>0</v>
      </c>
      <c r="AP89" s="242"/>
      <c r="AQ89" s="208" t="s">
        <v>222</v>
      </c>
    </row>
    <row r="90" spans="2:43" ht="15" customHeight="1" x14ac:dyDescent="0.25">
      <c r="B90" s="233" t="s">
        <v>52</v>
      </c>
      <c r="C90" s="234">
        <f>IFERROR(IF(OR(DATE($B$81,MONTH(DATEVALUE(B90&amp;"1")),1)&lt;DATE(YEAR(EXPEDIENTE!$I$25),MONTH(EXPEDIENTE!$I$25),1),DATE($B$81,MONTH(DATEVALUE(B90&amp;"1")),1)&gt;DATE(YEAR(EXPEDIENTE!$I$27),MONTH(EXPEDIENTE!$I$27)+1,1)-1),0,ROUND('% DEDICACIÓN TRABAJADOR'!N47,4)),0)</f>
        <v>0</v>
      </c>
      <c r="D90" s="238">
        <f>'GASTOS EJER. 4'!F27+'GASTOS EJER. 4'!L27-'GASTOS EJER. 4'!X27-'GASTOS EJER. 4'!Y27</f>
        <v>0</v>
      </c>
      <c r="E90" s="236" t="str">
        <f>IF('GASTOS EJER. 4'!AA27="","",'GASTOS EJER. 4'!AA27)</f>
        <v/>
      </c>
      <c r="F90" s="237">
        <f>IF(E90&lt;=EXPEDIENTE!$I$29,D90,0)</f>
        <v>0</v>
      </c>
      <c r="G90" s="238">
        <f>'GASTOS EJER. 4'!Y27</f>
        <v>0</v>
      </c>
      <c r="H90" s="236" t="str">
        <f>IF('GASTOS EJER. 4'!AB27="","",'GASTOS EJER. 4'!AB27)</f>
        <v/>
      </c>
      <c r="I90" s="237">
        <f>IF(H90&lt;=EXPEDIENTE!$I$29,G90,0)</f>
        <v>0</v>
      </c>
      <c r="J90" s="239">
        <f>AUXILIAR!BU78</f>
        <v>0</v>
      </c>
      <c r="K90" s="238">
        <f>AUXILIAR!FP78</f>
        <v>0</v>
      </c>
      <c r="L90" s="236" t="str">
        <f>IF('GASTOS EJER. 4'!I56="","",'GASTOS EJER. 4'!I56)</f>
        <v/>
      </c>
      <c r="M90" s="237">
        <f>IF(L90&lt;=EXPEDIENTE!$I$29,K90,0)</f>
        <v>0</v>
      </c>
      <c r="N90" s="239">
        <f>IF($U$90=0,0,IF(AND($U$92&gt;$U$90,$U$88=1100%),MIN(AUXILIAR!$P$17,ROUND($U$90/$U$92*(F90+I90+J90+M90)*(1+('IDENTIFICACIÓN TRABAJADOR'!$T$45+'IDENTIFICACIÓN TRABAJADOR'!$X$45)/('IDENTIFICACIÓN TRABAJADOR'!$E$42-'IDENTIFICACIÓN TRABAJADOR'!$T$45-'IDENTIFICACIÓN TRABAJADOR'!$X$45)),2)),MIN(AUXILIAR!$P$17,ROUND((F90+I90+J90+M90)*(1+('IDENTIFICACIÓN TRABAJADOR'!$T$45+'IDENTIFICACIÓN TRABAJADOR'!$X$45)/('IDENTIFICACIÓN TRABAJADOR'!$E$42-'IDENTIFICACIÓN TRABAJADOR'!$T$45-'IDENTIFICACIÓN TRABAJADOR'!$X$45)),2))))</f>
        <v>0</v>
      </c>
      <c r="O90" s="241">
        <f t="shared" si="9"/>
        <v>0</v>
      </c>
      <c r="S90" s="209">
        <f>ROUND(C90*(F90+I90+J90+M90)*(1+('IDENTIFICACIÓN TRABAJADOR'!$T$45+'IDENTIFICACIÓN TRABAJADOR'!$X$45)/(360-'IDENTIFICACIÓN TRABAJADOR'!$T$45-'IDENTIFICACIÓN TRABAJADOR'!$X$45)),2)</f>
        <v>0</v>
      </c>
      <c r="T90" s="242"/>
      <c r="U90" s="244">
        <f>SUM(F83:F94)+SUM(I83:I94)+SUM(J83:J94)+SUM(M83:M94)</f>
        <v>0</v>
      </c>
      <c r="W90" s="233" t="s">
        <v>52</v>
      </c>
      <c r="X90" s="234">
        <f>IFERROR(IF(OR(DATE($B$81,MONTH(DATEVALUE(W90&amp;"1")),1)&lt;DATE(YEAR(EXPEDIENTE!$I$25),MONTH(EXPEDIENTE!$I$25),1),DATE($B$81,MONTH(DATEVALUE(W90&amp;"1")),1)&gt;DATE(YEAR(EXPEDIENTE!$I$27),MONTH(EXPEDIENTE!$I$27)+1,1)-1),0,ROUND('% DEDICACIÓN TRABAJADOR'!N47,4)),0)</f>
        <v>0</v>
      </c>
      <c r="Y90" s="238">
        <f>'GASTOS EJER. 4'!AW27+'GASTOS EJER. 4'!BM27-'GASTOS EJER. 4'!CM27-'GASTOS EJER. 4'!CP27</f>
        <v>0</v>
      </c>
      <c r="Z90" s="236" t="str">
        <f>IF('GASTOS EJER. 4'!CT27="","",'GASTOS EJER. 4'!CT27)</f>
        <v/>
      </c>
      <c r="AA90" s="237">
        <f>IF(Z90&lt;=EXPEDIENTE!$I$29,Y90,0)</f>
        <v>0</v>
      </c>
      <c r="AB90" s="238">
        <f>'GASTOS EJER. 4'!CP27</f>
        <v>0</v>
      </c>
      <c r="AC90" s="236" t="str">
        <f>IF('GASTOS EJER. 4'!CW27="","",'GASTOS EJER. 4'!CW27)</f>
        <v/>
      </c>
      <c r="AD90" s="237">
        <f>IF(AC90&lt;=EXPEDIENTE!$I$29,AB90,0)</f>
        <v>0</v>
      </c>
      <c r="AE90" s="239">
        <f>AUXILIAR!DL78</f>
        <v>0</v>
      </c>
      <c r="AF90" s="238">
        <f>AUXILIAR!HU78</f>
        <v>0</v>
      </c>
      <c r="AG90" s="236" t="str">
        <f>IF('GASTOS EJER. 4'!BF56="","",'GASTOS EJER. 4'!BF56)</f>
        <v/>
      </c>
      <c r="AH90" s="237">
        <f>IF(AG90&lt;=EXPEDIENTE!$I$29,AF90,0)</f>
        <v>0</v>
      </c>
      <c r="AI90" s="239">
        <f>IF($AQ$90=0,0,IF(AND($AQ$92&gt;$AQ$90,$AQ$88=1100%),MIN(AUXILIAR!$P$17,ROUND($AQ$90/$AQ$92*(AA90+AD90+AE90+AH90)*(1+('IDENTIFICACIÓN TRABAJADOR'!$T$45+'IDENTIFICACIÓN TRABAJADOR'!$X$45)/('IDENTIFICACIÓN TRABAJADOR'!$E$42-'IDENTIFICACIÓN TRABAJADOR'!$T$45-'IDENTIFICACIÓN TRABAJADOR'!$X$45)),2)),MIN(AUXILIAR!$P$17,ROUND((AA90+AD90+AE90+AH90)*(1+('IDENTIFICACIÓN TRABAJADOR'!$T$45+'IDENTIFICACIÓN TRABAJADOR'!$X$45)/('IDENTIFICACIÓN TRABAJADOR'!$E$42-'IDENTIFICACIÓN TRABAJADOR'!$T$45-'IDENTIFICACIÓN TRABAJADOR'!$X$45)),2))))</f>
        <v>0</v>
      </c>
      <c r="AJ90" s="240">
        <f t="shared" si="10"/>
        <v>0</v>
      </c>
      <c r="AK90" s="241">
        <f t="shared" si="11"/>
        <v>0</v>
      </c>
      <c r="AO90" s="209">
        <f>ROUND(X90*(AA90+AD90+AE90+AH90)*(1+('IDENTIFICACIÓN TRABAJADOR'!$T$45+'IDENTIFICACIÓN TRABAJADOR'!$X$45)/(360-'IDENTIFICACIÓN TRABAJADOR'!$T$45-'IDENTIFICACIÓN TRABAJADOR'!$X$45)),2)</f>
        <v>0</v>
      </c>
      <c r="AP90" s="242"/>
      <c r="AQ90" s="244">
        <f>SUM(AA83:AA94)+SUM(AD83:AD94)+SUM(AE83:AE94)+SUM(AH83:AH94)</f>
        <v>0</v>
      </c>
    </row>
    <row r="91" spans="2:43" ht="15" customHeight="1" x14ac:dyDescent="0.25">
      <c r="B91" s="233" t="s">
        <v>53</v>
      </c>
      <c r="C91" s="234">
        <f>IFERROR(IF(OR(DATE($B$81,MONTH(DATEVALUE(B91&amp;"1")),1)&lt;DATE(YEAR(EXPEDIENTE!$I$25),MONTH(EXPEDIENTE!$I$25),1),DATE($B$81,MONTH(DATEVALUE(B91&amp;"1")),1)&gt;DATE(YEAR(EXPEDIENTE!$I$27),MONTH(EXPEDIENTE!$I$27)+1,1)-1),0,ROUND('% DEDICACIÓN TRABAJADOR'!O47,4)),0)</f>
        <v>0</v>
      </c>
      <c r="D91" s="238">
        <f>'GASTOS EJER. 4'!F28+'GASTOS EJER. 4'!L28-'GASTOS EJER. 4'!X28-'GASTOS EJER. 4'!Y28</f>
        <v>0</v>
      </c>
      <c r="E91" s="236" t="str">
        <f>IF('GASTOS EJER. 4'!AA28="","",'GASTOS EJER. 4'!AA28)</f>
        <v/>
      </c>
      <c r="F91" s="237">
        <f>IF(E91&lt;=EXPEDIENTE!$I$29,D91,0)</f>
        <v>0</v>
      </c>
      <c r="G91" s="238">
        <f>'GASTOS EJER. 4'!Y28</f>
        <v>0</v>
      </c>
      <c r="H91" s="236" t="str">
        <f>IF('GASTOS EJER. 4'!AB28="","",'GASTOS EJER. 4'!AB28)</f>
        <v/>
      </c>
      <c r="I91" s="237">
        <f>IF(H91&lt;=EXPEDIENTE!$I$29,G91,0)</f>
        <v>0</v>
      </c>
      <c r="J91" s="239">
        <f>AUXILIAR!BU79</f>
        <v>0</v>
      </c>
      <c r="K91" s="238">
        <f>AUXILIAR!FP79</f>
        <v>0</v>
      </c>
      <c r="L91" s="236" t="str">
        <f>IF('GASTOS EJER. 4'!I57="","",'GASTOS EJER. 4'!I57)</f>
        <v/>
      </c>
      <c r="M91" s="237">
        <f>IF(L91&lt;=EXPEDIENTE!$I$29,K91,0)</f>
        <v>0</v>
      </c>
      <c r="N91" s="239">
        <f>IF($U$90=0,0,IF(AND($U$92&gt;$U$90,$U$88=1100%),MIN(AUXILIAR!$P$17,ROUND($U$90/$U$92*(F91+I91+J91+M91)*(1+('IDENTIFICACIÓN TRABAJADOR'!$T$45+'IDENTIFICACIÓN TRABAJADOR'!$X$45)/('IDENTIFICACIÓN TRABAJADOR'!$E$42-'IDENTIFICACIÓN TRABAJADOR'!$T$45-'IDENTIFICACIÓN TRABAJADOR'!$X$45)),2)),MIN(AUXILIAR!$P$17,ROUND((F91+I91+J91+M91)*(1+('IDENTIFICACIÓN TRABAJADOR'!$T$45+'IDENTIFICACIÓN TRABAJADOR'!$X$45)/('IDENTIFICACIÓN TRABAJADOR'!$E$42-'IDENTIFICACIÓN TRABAJADOR'!$T$45-'IDENTIFICACIÓN TRABAJADOR'!$X$45)),2))))</f>
        <v>0</v>
      </c>
      <c r="O91" s="241">
        <f t="shared" si="9"/>
        <v>0</v>
      </c>
      <c r="S91" s="209">
        <f>ROUND(C91*(F91+I91+J91+M91)*(1+('IDENTIFICACIÓN TRABAJADOR'!$T$45+'IDENTIFICACIÓN TRABAJADOR'!$X$45)/(360-'IDENTIFICACIÓN TRABAJADOR'!$T$45-'IDENTIFICACIÓN TRABAJADOR'!$X$45)),2)</f>
        <v>0</v>
      </c>
      <c r="T91" s="242"/>
      <c r="U91" s="208" t="s">
        <v>223</v>
      </c>
      <c r="W91" s="233" t="s">
        <v>53</v>
      </c>
      <c r="X91" s="234">
        <f>IFERROR(IF(OR(DATE($B$81,MONTH(DATEVALUE(W91&amp;"1")),1)&lt;DATE(YEAR(EXPEDIENTE!$I$25),MONTH(EXPEDIENTE!$I$25),1),DATE($B$81,MONTH(DATEVALUE(W91&amp;"1")),1)&gt;DATE(YEAR(EXPEDIENTE!$I$27),MONTH(EXPEDIENTE!$I$27)+1,1)-1),0,ROUND('% DEDICACIÓN TRABAJADOR'!O47,4)),0)</f>
        <v>0</v>
      </c>
      <c r="Y91" s="238">
        <f>'GASTOS EJER. 4'!AW28+'GASTOS EJER. 4'!BM28-'GASTOS EJER. 4'!CM28-'GASTOS EJER. 4'!CP28</f>
        <v>0</v>
      </c>
      <c r="Z91" s="236" t="str">
        <f>IF('GASTOS EJER. 4'!CT28="","",'GASTOS EJER. 4'!CT28)</f>
        <v/>
      </c>
      <c r="AA91" s="237">
        <f>IF(Z91&lt;=EXPEDIENTE!$I$29,Y91,0)</f>
        <v>0</v>
      </c>
      <c r="AB91" s="238">
        <f>'GASTOS EJER. 4'!CP28</f>
        <v>0</v>
      </c>
      <c r="AC91" s="236" t="str">
        <f>IF('GASTOS EJER. 4'!CW28="","",'GASTOS EJER. 4'!CW28)</f>
        <v/>
      </c>
      <c r="AD91" s="237">
        <f>IF(AC91&lt;=EXPEDIENTE!$I$29,AB91,0)</f>
        <v>0</v>
      </c>
      <c r="AE91" s="239">
        <f>AUXILIAR!DL79</f>
        <v>0</v>
      </c>
      <c r="AF91" s="238">
        <f>AUXILIAR!HU79</f>
        <v>0</v>
      </c>
      <c r="AG91" s="236" t="str">
        <f>IF('GASTOS EJER. 4'!BF57="","",'GASTOS EJER. 4'!BF57)</f>
        <v/>
      </c>
      <c r="AH91" s="237">
        <f>IF(AG91&lt;=EXPEDIENTE!$I$29,AF91,0)</f>
        <v>0</v>
      </c>
      <c r="AI91" s="239">
        <f>IF($AQ$90=0,0,IF(AND($AQ$92&gt;$AQ$90,$AQ$88=1100%),MIN(AUXILIAR!$P$17,ROUND($AQ$90/$AQ$92*(AA91+AD91+AE91+AH91)*(1+('IDENTIFICACIÓN TRABAJADOR'!$T$45+'IDENTIFICACIÓN TRABAJADOR'!$X$45)/('IDENTIFICACIÓN TRABAJADOR'!$E$42-'IDENTIFICACIÓN TRABAJADOR'!$T$45-'IDENTIFICACIÓN TRABAJADOR'!$X$45)),2)),MIN(AUXILIAR!$P$17,ROUND((AA91+AD91+AE91+AH91)*(1+('IDENTIFICACIÓN TRABAJADOR'!$T$45+'IDENTIFICACIÓN TRABAJADOR'!$X$45)/('IDENTIFICACIÓN TRABAJADOR'!$E$42-'IDENTIFICACIÓN TRABAJADOR'!$T$45-'IDENTIFICACIÓN TRABAJADOR'!$X$45)),2))))</f>
        <v>0</v>
      </c>
      <c r="AJ91" s="240">
        <f t="shared" si="10"/>
        <v>0</v>
      </c>
      <c r="AK91" s="241">
        <f t="shared" si="11"/>
        <v>0</v>
      </c>
      <c r="AO91" s="209">
        <f>ROUND(X91*(AA91+AD91+AE91+AH91)*(1+('IDENTIFICACIÓN TRABAJADOR'!$T$45+'IDENTIFICACIÓN TRABAJADOR'!$X$45)/(360-'IDENTIFICACIÓN TRABAJADOR'!$T$45-'IDENTIFICACIÓN TRABAJADOR'!$X$45)),2)</f>
        <v>0</v>
      </c>
      <c r="AP91" s="242"/>
      <c r="AQ91" s="208" t="s">
        <v>223</v>
      </c>
    </row>
    <row r="92" spans="2:43" ht="15" customHeight="1" x14ac:dyDescent="0.25">
      <c r="B92" s="233" t="s">
        <v>54</v>
      </c>
      <c r="C92" s="234">
        <f>IFERROR(IF(OR(DATE($B$81,MONTH(DATEVALUE(B92&amp;"1")),1)&lt;DATE(YEAR(EXPEDIENTE!$I$25),MONTH(EXPEDIENTE!$I$25),1),DATE($B$81,MONTH(DATEVALUE(B92&amp;"1")),1)&gt;DATE(YEAR(EXPEDIENTE!$I$27),MONTH(EXPEDIENTE!$I$27)+1,1)-1),0,ROUND('% DEDICACIÓN TRABAJADOR'!P47,4)),0)</f>
        <v>0</v>
      </c>
      <c r="D92" s="238">
        <f>'GASTOS EJER. 4'!F29+'GASTOS EJER. 4'!L29-'GASTOS EJER. 4'!X29-'GASTOS EJER. 4'!Y29</f>
        <v>0</v>
      </c>
      <c r="E92" s="236" t="str">
        <f>IF('GASTOS EJER. 4'!AA29="","",'GASTOS EJER. 4'!AA29)</f>
        <v/>
      </c>
      <c r="F92" s="237">
        <f>IF(E92&lt;=EXPEDIENTE!$I$29,D92,0)</f>
        <v>0</v>
      </c>
      <c r="G92" s="238">
        <f>'GASTOS EJER. 4'!Y29</f>
        <v>0</v>
      </c>
      <c r="H92" s="236" t="str">
        <f>IF('GASTOS EJER. 4'!AB29="","",'GASTOS EJER. 4'!AB29)</f>
        <v/>
      </c>
      <c r="I92" s="237">
        <f>IF(H92&lt;=EXPEDIENTE!$I$29,G92,0)</f>
        <v>0</v>
      </c>
      <c r="J92" s="239">
        <f>AUXILIAR!BU80</f>
        <v>0</v>
      </c>
      <c r="K92" s="238">
        <f>AUXILIAR!FP80</f>
        <v>0</v>
      </c>
      <c r="L92" s="236" t="str">
        <f>IF('GASTOS EJER. 4'!I58="","",'GASTOS EJER. 4'!I58)</f>
        <v/>
      </c>
      <c r="M92" s="237">
        <f>IF(L92&lt;=EXPEDIENTE!$I$29,K92,0)</f>
        <v>0</v>
      </c>
      <c r="N92" s="239">
        <f>IF($U$90=0,0,IF(AND($U$92&gt;$U$90,$U$88=1100%),MIN(AUXILIAR!$P$17,ROUND($U$90/$U$92*(F92+I92+J92+M92)*(1+('IDENTIFICACIÓN TRABAJADOR'!$T$45+'IDENTIFICACIÓN TRABAJADOR'!$X$45)/('IDENTIFICACIÓN TRABAJADOR'!$E$42-'IDENTIFICACIÓN TRABAJADOR'!$T$45-'IDENTIFICACIÓN TRABAJADOR'!$X$45)),2)),MIN(AUXILIAR!$P$17,ROUND((F92+I92+J92+M92)*(1+('IDENTIFICACIÓN TRABAJADOR'!$T$45+'IDENTIFICACIÓN TRABAJADOR'!$X$45)/('IDENTIFICACIÓN TRABAJADOR'!$E$42-'IDENTIFICACIÓN TRABAJADOR'!$T$45-'IDENTIFICACIÓN TRABAJADOR'!$X$45)),2))))</f>
        <v>0</v>
      </c>
      <c r="O92" s="241">
        <f t="shared" si="9"/>
        <v>0</v>
      </c>
      <c r="S92" s="209">
        <f>ROUND(C92*(F92+I92+J92+M92)*(1+('IDENTIFICACIÓN TRABAJADOR'!$T$45+'IDENTIFICACIÓN TRABAJADOR'!$X$45)/(360-'IDENTIFICACIÓN TRABAJADOR'!$T$45-'IDENTIFICACIÓN TRABAJADOR'!$X$45)),2)</f>
        <v>0</v>
      </c>
      <c r="T92" s="242"/>
      <c r="U92" s="244">
        <f>SUM(S83:S94)</f>
        <v>0</v>
      </c>
      <c r="W92" s="233" t="s">
        <v>54</v>
      </c>
      <c r="X92" s="234">
        <f>IFERROR(IF(OR(DATE($B$81,MONTH(DATEVALUE(W92&amp;"1")),1)&lt;DATE(YEAR(EXPEDIENTE!$I$25),MONTH(EXPEDIENTE!$I$25),1),DATE($B$81,MONTH(DATEVALUE(W92&amp;"1")),1)&gt;DATE(YEAR(EXPEDIENTE!$I$27),MONTH(EXPEDIENTE!$I$27)+1,1)-1),0,ROUND('% DEDICACIÓN TRABAJADOR'!P47,4)),0)</f>
        <v>0</v>
      </c>
      <c r="Y92" s="238">
        <f>'GASTOS EJER. 4'!AW29+'GASTOS EJER. 4'!BM29-'GASTOS EJER. 4'!CM29-'GASTOS EJER. 4'!CP29</f>
        <v>0</v>
      </c>
      <c r="Z92" s="236" t="str">
        <f>IF('GASTOS EJER. 4'!CT29="","",'GASTOS EJER. 4'!CT29)</f>
        <v/>
      </c>
      <c r="AA92" s="237">
        <f>IF(Z92&lt;=EXPEDIENTE!$I$29,Y92,0)</f>
        <v>0</v>
      </c>
      <c r="AB92" s="238">
        <f>'GASTOS EJER. 4'!CP29</f>
        <v>0</v>
      </c>
      <c r="AC92" s="236" t="str">
        <f>IF('GASTOS EJER. 4'!CW29="","",'GASTOS EJER. 4'!CW29)</f>
        <v/>
      </c>
      <c r="AD92" s="237">
        <f>IF(AC92&lt;=EXPEDIENTE!$I$29,AB92,0)</f>
        <v>0</v>
      </c>
      <c r="AE92" s="239">
        <f>AUXILIAR!DL80</f>
        <v>0</v>
      </c>
      <c r="AF92" s="238">
        <f>AUXILIAR!HU80</f>
        <v>0</v>
      </c>
      <c r="AG92" s="236" t="str">
        <f>IF('GASTOS EJER. 4'!BF58="","",'GASTOS EJER. 4'!BF58)</f>
        <v/>
      </c>
      <c r="AH92" s="237">
        <f>IF(AG92&lt;=EXPEDIENTE!$I$29,AF92,0)</f>
        <v>0</v>
      </c>
      <c r="AI92" s="239">
        <f>IF($AQ$90=0,0,IF(AND($AQ$92&gt;$AQ$90,$AQ$88=1100%),MIN(AUXILIAR!$P$17,ROUND($AQ$90/$AQ$92*(AA92+AD92+AE92+AH92)*(1+('IDENTIFICACIÓN TRABAJADOR'!$T$45+'IDENTIFICACIÓN TRABAJADOR'!$X$45)/('IDENTIFICACIÓN TRABAJADOR'!$E$42-'IDENTIFICACIÓN TRABAJADOR'!$T$45-'IDENTIFICACIÓN TRABAJADOR'!$X$45)),2)),MIN(AUXILIAR!$P$17,ROUND((AA92+AD92+AE92+AH92)*(1+('IDENTIFICACIÓN TRABAJADOR'!$T$45+'IDENTIFICACIÓN TRABAJADOR'!$X$45)/('IDENTIFICACIÓN TRABAJADOR'!$E$42-'IDENTIFICACIÓN TRABAJADOR'!$T$45-'IDENTIFICACIÓN TRABAJADOR'!$X$45)),2))))</f>
        <v>0</v>
      </c>
      <c r="AJ92" s="240">
        <f t="shared" si="10"/>
        <v>0</v>
      </c>
      <c r="AK92" s="241">
        <f t="shared" si="11"/>
        <v>0</v>
      </c>
      <c r="AO92" s="209">
        <f>ROUND(X92*(AA92+AD92+AE92+AH92)*(1+('IDENTIFICACIÓN TRABAJADOR'!$T$45+'IDENTIFICACIÓN TRABAJADOR'!$X$45)/(360-'IDENTIFICACIÓN TRABAJADOR'!$T$45-'IDENTIFICACIÓN TRABAJADOR'!$X$45)),2)</f>
        <v>0</v>
      </c>
      <c r="AP92" s="242"/>
      <c r="AQ92" s="244">
        <f>SUM(AO83:AO94)</f>
        <v>0</v>
      </c>
    </row>
    <row r="93" spans="2:43" ht="15" customHeight="1" x14ac:dyDescent="0.25">
      <c r="B93" s="233" t="s">
        <v>55</v>
      </c>
      <c r="C93" s="234">
        <f>IFERROR(IF(OR(DATE($B$81,MONTH(DATEVALUE(B93&amp;"1")),1)&lt;DATE(YEAR(EXPEDIENTE!$I$25),MONTH(EXPEDIENTE!$I$25),1),DATE($B$81,MONTH(DATEVALUE(B93&amp;"1")),1)&gt;DATE(YEAR(EXPEDIENTE!$I$27),MONTH(EXPEDIENTE!$I$27)+1,1)-1),0,ROUND('% DEDICACIÓN TRABAJADOR'!Q47,4)),0)</f>
        <v>0</v>
      </c>
      <c r="D93" s="238">
        <f>'GASTOS EJER. 4'!F30+'GASTOS EJER. 4'!L30-'GASTOS EJER. 4'!X30-'GASTOS EJER. 4'!Y30</f>
        <v>0</v>
      </c>
      <c r="E93" s="236" t="str">
        <f>IF('GASTOS EJER. 4'!AA30="","",'GASTOS EJER. 4'!AA30)</f>
        <v/>
      </c>
      <c r="F93" s="237">
        <f>IF(E93&lt;=EXPEDIENTE!$I$29,D93,0)</f>
        <v>0</v>
      </c>
      <c r="G93" s="238">
        <f>'GASTOS EJER. 4'!Y30</f>
        <v>0</v>
      </c>
      <c r="H93" s="236" t="str">
        <f>IF('GASTOS EJER. 4'!AB30="","",'GASTOS EJER. 4'!AB30)</f>
        <v/>
      </c>
      <c r="I93" s="237">
        <f>IF(H93&lt;=EXPEDIENTE!$I$29,G93,0)</f>
        <v>0</v>
      </c>
      <c r="J93" s="239">
        <f>AUXILIAR!BU81</f>
        <v>0</v>
      </c>
      <c r="K93" s="238">
        <f>AUXILIAR!FP81</f>
        <v>0</v>
      </c>
      <c r="L93" s="236" t="str">
        <f>IF('GASTOS EJER. 4'!I59="","",'GASTOS EJER. 4'!I59)</f>
        <v/>
      </c>
      <c r="M93" s="237">
        <f>IF(L93&lt;=EXPEDIENTE!$I$29,K93,0)</f>
        <v>0</v>
      </c>
      <c r="N93" s="239">
        <f>IF($U$90=0,0,IF(AND($U$92&gt;$U$90,$U$88=1100%),MIN(AUXILIAR!$P$17,ROUND($U$90/$U$92*(F93+I93+J93+M93)*(1+('IDENTIFICACIÓN TRABAJADOR'!$T$45+'IDENTIFICACIÓN TRABAJADOR'!$X$45)/('IDENTIFICACIÓN TRABAJADOR'!$E$42-'IDENTIFICACIÓN TRABAJADOR'!$T$45-'IDENTIFICACIÓN TRABAJADOR'!$X$45)),2)),MIN(AUXILIAR!$P$17,ROUND((F93+I93+J93+M93)*(1+('IDENTIFICACIÓN TRABAJADOR'!$T$45+'IDENTIFICACIÓN TRABAJADOR'!$X$45)/('IDENTIFICACIÓN TRABAJADOR'!$E$42-'IDENTIFICACIÓN TRABAJADOR'!$T$45-'IDENTIFICACIÓN TRABAJADOR'!$X$45)),2))))</f>
        <v>0</v>
      </c>
      <c r="O93" s="241">
        <f t="shared" si="9"/>
        <v>0</v>
      </c>
      <c r="S93" s="209">
        <f>ROUND(C93*(F93+I93+J93+M93)*(1+('IDENTIFICACIÓN TRABAJADOR'!$T$45+'IDENTIFICACIÓN TRABAJADOR'!$X$45)/(360-'IDENTIFICACIÓN TRABAJADOR'!$T$45-'IDENTIFICACIÓN TRABAJADOR'!$X$45)),2)</f>
        <v>0</v>
      </c>
      <c r="T93" s="242"/>
      <c r="U93" s="208" t="s">
        <v>224</v>
      </c>
      <c r="W93" s="233" t="s">
        <v>55</v>
      </c>
      <c r="X93" s="234">
        <f>IFERROR(IF(OR(DATE($B$81,MONTH(DATEVALUE(W93&amp;"1")),1)&lt;DATE(YEAR(EXPEDIENTE!$I$25),MONTH(EXPEDIENTE!$I$25),1),DATE($B$81,MONTH(DATEVALUE(W93&amp;"1")),1)&gt;DATE(YEAR(EXPEDIENTE!$I$27),MONTH(EXPEDIENTE!$I$27)+1,1)-1),0,ROUND('% DEDICACIÓN TRABAJADOR'!Q47,4)),0)</f>
        <v>0</v>
      </c>
      <c r="Y93" s="238">
        <f>'GASTOS EJER. 4'!AW30+'GASTOS EJER. 4'!BM30-'GASTOS EJER. 4'!CM30-'GASTOS EJER. 4'!CP30</f>
        <v>0</v>
      </c>
      <c r="Z93" s="236" t="str">
        <f>IF('GASTOS EJER. 4'!CT30="","",'GASTOS EJER. 4'!CT30)</f>
        <v/>
      </c>
      <c r="AA93" s="237">
        <f>IF(Z93&lt;=EXPEDIENTE!$I$29,Y93,0)</f>
        <v>0</v>
      </c>
      <c r="AB93" s="238">
        <f>'GASTOS EJER. 4'!CP30</f>
        <v>0</v>
      </c>
      <c r="AC93" s="236" t="str">
        <f>IF('GASTOS EJER. 4'!CW30="","",'GASTOS EJER. 4'!CW30)</f>
        <v/>
      </c>
      <c r="AD93" s="237">
        <f>IF(AC93&lt;=EXPEDIENTE!$I$29,AB93,0)</f>
        <v>0</v>
      </c>
      <c r="AE93" s="239">
        <f>AUXILIAR!DL81</f>
        <v>0</v>
      </c>
      <c r="AF93" s="238">
        <f>AUXILIAR!HU81</f>
        <v>0</v>
      </c>
      <c r="AG93" s="236" t="str">
        <f>IF('GASTOS EJER. 4'!BF59="","",'GASTOS EJER. 4'!BF59)</f>
        <v/>
      </c>
      <c r="AH93" s="237">
        <f>IF(AG93&lt;=EXPEDIENTE!$I$29,AF93,0)</f>
        <v>0</v>
      </c>
      <c r="AI93" s="239">
        <f>IF($AQ$90=0,0,IF(AND($AQ$92&gt;$AQ$90,$AQ$88=1100%),MIN(AUXILIAR!$P$17,ROUND($AQ$90/$AQ$92*(AA93+AD93+AE93+AH93)*(1+('IDENTIFICACIÓN TRABAJADOR'!$T$45+'IDENTIFICACIÓN TRABAJADOR'!$X$45)/('IDENTIFICACIÓN TRABAJADOR'!$E$42-'IDENTIFICACIÓN TRABAJADOR'!$T$45-'IDENTIFICACIÓN TRABAJADOR'!$X$45)),2)),MIN(AUXILIAR!$P$17,ROUND((AA93+AD93+AE93+AH93)*(1+('IDENTIFICACIÓN TRABAJADOR'!$T$45+'IDENTIFICACIÓN TRABAJADOR'!$X$45)/('IDENTIFICACIÓN TRABAJADOR'!$E$42-'IDENTIFICACIÓN TRABAJADOR'!$T$45-'IDENTIFICACIÓN TRABAJADOR'!$X$45)),2))))</f>
        <v>0</v>
      </c>
      <c r="AJ93" s="240">
        <f t="shared" si="10"/>
        <v>0</v>
      </c>
      <c r="AK93" s="241">
        <f t="shared" si="11"/>
        <v>0</v>
      </c>
      <c r="AO93" s="209">
        <f>ROUND(X93*(AA93+AD93+AE93+AH93)*(1+('IDENTIFICACIÓN TRABAJADOR'!$T$45+'IDENTIFICACIÓN TRABAJADOR'!$X$45)/(360-'IDENTIFICACIÓN TRABAJADOR'!$T$45-'IDENTIFICACIÓN TRABAJADOR'!$X$45)),2)</f>
        <v>0</v>
      </c>
      <c r="AP93" s="242"/>
      <c r="AQ93" s="208" t="s">
        <v>224</v>
      </c>
    </row>
    <row r="94" spans="2:43" ht="15" customHeight="1" thickBot="1" x14ac:dyDescent="0.3">
      <c r="B94" s="245" t="s">
        <v>56</v>
      </c>
      <c r="C94" s="246">
        <f>IFERROR(IF(OR(DATE($B$81,MONTH(DATEVALUE(B94&amp;"1")),1)&lt;DATE(YEAR(EXPEDIENTE!$I$25),MONTH(EXPEDIENTE!$I$25),1),DATE($B$81,MONTH(DATEVALUE(B94&amp;"1")),1)&gt;DATE(YEAR(EXPEDIENTE!$I$27),MONTH(EXPEDIENTE!$I$27)+1,1)-1),0,ROUND('% DEDICACIÓN TRABAJADOR'!R47,4)),0)</f>
        <v>0</v>
      </c>
      <c r="D94" s="250">
        <f>'GASTOS EJER. 4'!F31+'GASTOS EJER. 4'!L31-'GASTOS EJER. 4'!X31-'GASTOS EJER. 4'!Y31</f>
        <v>0</v>
      </c>
      <c r="E94" s="248" t="str">
        <f>IF('GASTOS EJER. 4'!AA31="","",'GASTOS EJER. 4'!AA31)</f>
        <v/>
      </c>
      <c r="F94" s="249">
        <f>IF(E94&lt;=EXPEDIENTE!$I$29,D94,0)</f>
        <v>0</v>
      </c>
      <c r="G94" s="250">
        <f>'GASTOS EJER. 4'!Y31</f>
        <v>0</v>
      </c>
      <c r="H94" s="248" t="str">
        <f>IF('GASTOS EJER. 4'!AB31="","",'GASTOS EJER. 4'!AB31)</f>
        <v/>
      </c>
      <c r="I94" s="249">
        <f>IF(H94&lt;=EXPEDIENTE!$I$29,G94,0)</f>
        <v>0</v>
      </c>
      <c r="J94" s="251">
        <f>AUXILIAR!BU82</f>
        <v>0</v>
      </c>
      <c r="K94" s="250">
        <f>AUXILIAR!FP82</f>
        <v>0</v>
      </c>
      <c r="L94" s="248" t="str">
        <f>IF('GASTOS EJER. 4'!I60="","",'GASTOS EJER. 4'!I60)</f>
        <v/>
      </c>
      <c r="M94" s="249">
        <f>IF(L94&lt;=EXPEDIENTE!$I$29,K94,0)</f>
        <v>0</v>
      </c>
      <c r="N94" s="251">
        <f>IF($U$90=0,0,IF(AND($U$92&gt;$U$90,$U$88=1100%),MIN(AUXILIAR!$P$17,ROUND($U$90/$U$92*(F94+I94+J94+M94)*(1+('IDENTIFICACIÓN TRABAJADOR'!$T$45+'IDENTIFICACIÓN TRABAJADOR'!$X$45)/('IDENTIFICACIÓN TRABAJADOR'!$E$42-'IDENTIFICACIÓN TRABAJADOR'!$T$45-'IDENTIFICACIÓN TRABAJADOR'!$X$45)),2)),MIN(AUXILIAR!$P$17,ROUND((F94+I94+J94+M94)*(1+('IDENTIFICACIÓN TRABAJADOR'!$T$45+'IDENTIFICACIÓN TRABAJADOR'!$X$45)/('IDENTIFICACIÓN TRABAJADOR'!$E$42-'IDENTIFICACIÓN TRABAJADOR'!$T$45-'IDENTIFICACIÓN TRABAJADOR'!$X$45)),2))))</f>
        <v>0</v>
      </c>
      <c r="O94" s="253">
        <f t="shared" si="9"/>
        <v>0</v>
      </c>
      <c r="S94" s="209">
        <f>ROUND(C94*(F94+I94+J94+M94)*(1+('IDENTIFICACIÓN TRABAJADOR'!$T$45+'IDENTIFICACIÓN TRABAJADOR'!$X$45)/(360-'IDENTIFICACIÓN TRABAJADOR'!$T$45-'IDENTIFICACIÓN TRABAJADOR'!$X$45)),2)</f>
        <v>0</v>
      </c>
      <c r="T94" s="242"/>
      <c r="U94" s="208" t="str">
        <f>IF(U92=0,"",U90/U92)</f>
        <v/>
      </c>
      <c r="W94" s="245" t="s">
        <v>56</v>
      </c>
      <c r="X94" s="246">
        <f>IFERROR(IF(OR(DATE($B$81,MONTH(DATEVALUE(W94&amp;"1")),1)&lt;DATE(YEAR(EXPEDIENTE!$I$25),MONTH(EXPEDIENTE!$I$25),1),DATE($B$81,MONTH(DATEVALUE(W94&amp;"1")),1)&gt;DATE(YEAR(EXPEDIENTE!$I$27),MONTH(EXPEDIENTE!$I$27)+1,1)-1),0,ROUND('% DEDICACIÓN TRABAJADOR'!R47,4)),0)</f>
        <v>0</v>
      </c>
      <c r="Y94" s="250">
        <f>'GASTOS EJER. 4'!AW31+'GASTOS EJER. 4'!BM31-'GASTOS EJER. 4'!CM31-'GASTOS EJER. 4'!CP31</f>
        <v>0</v>
      </c>
      <c r="Z94" s="248" t="str">
        <f>IF('GASTOS EJER. 4'!CT31="","",'GASTOS EJER. 4'!CT31)</f>
        <v/>
      </c>
      <c r="AA94" s="249">
        <f>IF(Z94&lt;=EXPEDIENTE!$I$29,Y94,0)</f>
        <v>0</v>
      </c>
      <c r="AB94" s="250">
        <f>'GASTOS EJER. 4'!CP31</f>
        <v>0</v>
      </c>
      <c r="AC94" s="248" t="str">
        <f>IF('GASTOS EJER. 4'!CW31="","",'GASTOS EJER. 4'!CW31)</f>
        <v/>
      </c>
      <c r="AD94" s="249">
        <f>IF(AC94&lt;=EXPEDIENTE!$I$29,AB94,0)</f>
        <v>0</v>
      </c>
      <c r="AE94" s="251">
        <f>AUXILIAR!DL82</f>
        <v>0</v>
      </c>
      <c r="AF94" s="250">
        <f>AUXILIAR!HU82</f>
        <v>0</v>
      </c>
      <c r="AG94" s="248" t="str">
        <f>IF('GASTOS EJER. 4'!BF60="","",'GASTOS EJER. 4'!BF60)</f>
        <v/>
      </c>
      <c r="AH94" s="249">
        <f>IF(AG94&lt;=EXPEDIENTE!$I$29,AF94,0)</f>
        <v>0</v>
      </c>
      <c r="AI94" s="251">
        <f>IF($AQ$90=0,0,IF(AND($AQ$92&gt;$AQ$90,$AQ$88=1100%),MIN(AUXILIAR!$P$17,ROUND($AQ$90/$AQ$92*(AA94+AD94+AE94+AH94)*(1+('IDENTIFICACIÓN TRABAJADOR'!$T$45+'IDENTIFICACIÓN TRABAJADOR'!$X$45)/('IDENTIFICACIÓN TRABAJADOR'!$E$42-'IDENTIFICACIÓN TRABAJADOR'!$T$45-'IDENTIFICACIÓN TRABAJADOR'!$X$45)),2)),MIN(AUXILIAR!$P$17,ROUND((AA94+AD94+AE94+AH94)*(1+('IDENTIFICACIÓN TRABAJADOR'!$T$45+'IDENTIFICACIÓN TRABAJADOR'!$X$45)/('IDENTIFICACIÓN TRABAJADOR'!$E$42-'IDENTIFICACIÓN TRABAJADOR'!$T$45-'IDENTIFICACIÓN TRABAJADOR'!$X$45)),2))))</f>
        <v>0</v>
      </c>
      <c r="AJ94" s="252">
        <f t="shared" si="10"/>
        <v>0</v>
      </c>
      <c r="AK94" s="253">
        <f t="shared" si="11"/>
        <v>0</v>
      </c>
      <c r="AO94" s="209">
        <f>ROUND(X94*(AA94+AD94+AE94+AH94)*(1+('IDENTIFICACIÓN TRABAJADOR'!$T$45+'IDENTIFICACIÓN TRABAJADOR'!$X$45)/(360-'IDENTIFICACIÓN TRABAJADOR'!$T$45-'IDENTIFICACIÓN TRABAJADOR'!$X$45)),2)</f>
        <v>0</v>
      </c>
      <c r="AP94" s="242"/>
      <c r="AQ94" s="208" t="str">
        <f>IF(AQ92=0,"",AQ90/AQ92)</f>
        <v/>
      </c>
    </row>
    <row r="95" spans="2:43" ht="14.25" thickBot="1" x14ac:dyDescent="0.3">
      <c r="M95" s="254"/>
      <c r="N95" s="254"/>
      <c r="O95" s="254"/>
      <c r="T95" s="212"/>
      <c r="U95" s="208" t="s">
        <v>170</v>
      </c>
      <c r="AH95" s="254"/>
      <c r="AI95" s="254"/>
      <c r="AJ95" s="254"/>
      <c r="AK95" s="254"/>
      <c r="AP95" s="212"/>
      <c r="AQ95" s="208" t="s">
        <v>170</v>
      </c>
    </row>
    <row r="96" spans="2:43" ht="20.100000000000001" customHeight="1" thickBot="1" x14ac:dyDescent="0.3">
      <c r="G96" s="255"/>
      <c r="M96" s="256"/>
      <c r="N96" s="257" t="str">
        <f>CONCATENATE("TOTAL EJERCICIO ",B81)</f>
        <v>TOTAL EJERCICIO 2026</v>
      </c>
      <c r="O96" s="133">
        <f>SUM(O83:O94)</f>
        <v>0</v>
      </c>
      <c r="Q96" s="126" t="str">
        <f>IF(U96&gt;0,"EXISTE ALGÚN % DE DEDICACIÓN SUPERIOR AL 100% EN ESTE EJERCICIO","")</f>
        <v/>
      </c>
      <c r="T96" s="212"/>
      <c r="U96" s="208">
        <f>'% DEDICACIÓN TRABAJADOR'!$B$47</f>
        <v>0</v>
      </c>
      <c r="AB96" s="255"/>
      <c r="AH96" s="256"/>
      <c r="AI96" s="257" t="str">
        <f>CONCATENATE("TOTAL EJERCICIO ",W81)</f>
        <v>TOTAL EJERCICIO 2026</v>
      </c>
      <c r="AJ96" s="133">
        <f>SUM(AJ83:AJ94)</f>
        <v>0</v>
      </c>
      <c r="AK96" s="133">
        <f>SUM(AK83:AK94)</f>
        <v>0</v>
      </c>
      <c r="AM96" s="126" t="str">
        <f>IF(AQ96&gt;0,"EXISTE ALGÚN % DE DEDICACIÓN SUPERIOR AL 100% EN ESTE EJERCICIO","")</f>
        <v/>
      </c>
      <c r="AP96" s="212"/>
      <c r="AQ96" s="208">
        <f>'% DEDICACIÓN TRABAJADOR'!$B$47</f>
        <v>0</v>
      </c>
    </row>
  </sheetData>
  <sheetProtection algorithmName="SHA-512" hashValue="QcA2XEv+o0dRJeqb5ExGRLfWWHmKPpTtzPMMWfkgGQ6uezGLoshVJHmCUf8eXnzxEKJ2FdHIsK4D4EASnPyHrA==" saltValue="FrTaZ0wdmFB0DTCjgCLFKg==" spinCount="100000" sheet="1" objects="1" scenarios="1"/>
  <mergeCells count="60">
    <mergeCell ref="AK9:AK10"/>
    <mergeCell ref="AK33:AK34"/>
    <mergeCell ref="AK57:AK58"/>
    <mergeCell ref="AK81:AK82"/>
    <mergeCell ref="AI57:AI58"/>
    <mergeCell ref="AJ57:AJ58"/>
    <mergeCell ref="AI81:AI82"/>
    <mergeCell ref="AJ81:AJ82"/>
    <mergeCell ref="AI9:AI10"/>
    <mergeCell ref="AJ9:AJ10"/>
    <mergeCell ref="AI33:AI34"/>
    <mergeCell ref="AJ33:AJ34"/>
    <mergeCell ref="W81:W82"/>
    <mergeCell ref="X81:X82"/>
    <mergeCell ref="Y81:AA81"/>
    <mergeCell ref="AB81:AD81"/>
    <mergeCell ref="AF81:AH81"/>
    <mergeCell ref="W57:W58"/>
    <mergeCell ref="X57:X58"/>
    <mergeCell ref="Y57:AA57"/>
    <mergeCell ref="AB57:AD57"/>
    <mergeCell ref="AF57:AH57"/>
    <mergeCell ref="W33:W34"/>
    <mergeCell ref="X33:X34"/>
    <mergeCell ref="Y33:AA33"/>
    <mergeCell ref="AB33:AD33"/>
    <mergeCell ref="AF33:AH33"/>
    <mergeCell ref="W9:W10"/>
    <mergeCell ref="X9:X10"/>
    <mergeCell ref="Y9:AA9"/>
    <mergeCell ref="AB9:AD9"/>
    <mergeCell ref="AF9:AH9"/>
    <mergeCell ref="N33:N34"/>
    <mergeCell ref="O33:O34"/>
    <mergeCell ref="B33:B34"/>
    <mergeCell ref="C33:C34"/>
    <mergeCell ref="D33:F33"/>
    <mergeCell ref="G33:I33"/>
    <mergeCell ref="K33:M33"/>
    <mergeCell ref="O9:O10"/>
    <mergeCell ref="K9:M9"/>
    <mergeCell ref="G9:I9"/>
    <mergeCell ref="B9:B10"/>
    <mergeCell ref="C9:C10"/>
    <mergeCell ref="D9:F9"/>
    <mergeCell ref="N9:N10"/>
    <mergeCell ref="N57:N58"/>
    <mergeCell ref="O57:O58"/>
    <mergeCell ref="B81:B82"/>
    <mergeCell ref="C81:C82"/>
    <mergeCell ref="D81:F81"/>
    <mergeCell ref="G81:I81"/>
    <mergeCell ref="K81:M81"/>
    <mergeCell ref="N81:N82"/>
    <mergeCell ref="O81:O82"/>
    <mergeCell ref="B57:B58"/>
    <mergeCell ref="C57:C58"/>
    <mergeCell ref="D57:F57"/>
    <mergeCell ref="G57:I57"/>
    <mergeCell ref="K57:M57"/>
  </mergeCells>
  <conditionalFormatting sqref="D11:N22">
    <cfRule type="expression" dxfId="30" priority="5">
      <formula>$C11=0</formula>
    </cfRule>
  </conditionalFormatting>
  <conditionalFormatting sqref="D35:N46">
    <cfRule type="expression" dxfId="29" priority="7">
      <formula>$C35=0</formula>
    </cfRule>
  </conditionalFormatting>
  <conditionalFormatting sqref="D59:N70">
    <cfRule type="expression" dxfId="28" priority="8">
      <formula>$C59=0</formula>
    </cfRule>
  </conditionalFormatting>
  <conditionalFormatting sqref="D83:N94">
    <cfRule type="expression" dxfId="27" priority="10">
      <formula>$C83=0</formula>
    </cfRule>
  </conditionalFormatting>
  <conditionalFormatting sqref="O96 O72 O48 O24">
    <cfRule type="expression" dxfId="26" priority="25">
      <formula>$U24&gt;0</formula>
    </cfRule>
  </conditionalFormatting>
  <conditionalFormatting sqref="Q96 Q72 Q48 Q24">
    <cfRule type="cellIs" dxfId="25" priority="27" operator="notEqual">
      <formula>""</formula>
    </cfRule>
  </conditionalFormatting>
  <conditionalFormatting sqref="Y11:AI22">
    <cfRule type="expression" dxfId="23" priority="11">
      <formula>$C11=0</formula>
    </cfRule>
  </conditionalFormatting>
  <conditionalFormatting sqref="Y35:AI46">
    <cfRule type="expression" dxfId="22" priority="12">
      <formula>$C35=0</formula>
    </cfRule>
  </conditionalFormatting>
  <conditionalFormatting sqref="Y59:AI70">
    <cfRule type="expression" dxfId="21" priority="13">
      <formula>$C59=0</formula>
    </cfRule>
  </conditionalFormatting>
  <conditionalFormatting sqref="Y83:AI94">
    <cfRule type="expression" dxfId="20" priority="14">
      <formula>$C83=0</formula>
    </cfRule>
  </conditionalFormatting>
  <conditionalFormatting sqref="AJ24:AK24 AJ48:AK48 AJ72:AK72 AJ96:AK96">
    <cfRule type="expression" dxfId="19" priority="26">
      <formula>$U24&gt;0</formula>
    </cfRule>
  </conditionalFormatting>
  <conditionalFormatting sqref="AM24 AM48 AM72 AM96">
    <cfRule type="cellIs" dxfId="18" priority="31" operator="notEqual">
      <formula>""</formula>
    </cfRule>
  </conditionalFormatting>
  <printOptions horizontalCentered="1"/>
  <pageMargins left="0.39370078740157483" right="0.39370078740157483" top="0.59055118110236227" bottom="0.39370078740157483" header="0.19685039370078741" footer="0.19685039370078741"/>
  <pageSetup paperSize="9" scale="66" orientation="landscape" r:id="rId1"/>
  <rowBreaks count="3" manualBreakCount="3">
    <brk id="24" max="15" man="1"/>
    <brk id="48" max="15" man="1"/>
    <brk id="72" max="15" man="1"/>
  </rowBreaks>
  <drawing r:id="rId2"/>
  <extLst>
    <ext xmlns:x14="http://schemas.microsoft.com/office/spreadsheetml/2009/9/main" uri="{78C0D931-6437-407d-A8EE-F0AAD7539E65}">
      <x14:conditionalFormattings>
        <x14:conditionalFormatting xmlns:xm="http://schemas.microsoft.com/office/excel/2006/main">
          <x14:cfRule type="expression" priority="1" stopIfTrue="1" id="{C6C860DA-8976-4E28-B511-D1E9239EB88F}">
            <xm:f>OR(EXPEDIENTE!$I$25="",EXPEDIENTE!$I$27="",AND(EXPEDIENTE!$I$25&lt;&gt;"",EXPEDIENTE!$I$27&lt;&gt;"",YEAR(EXPEDIENTE!$I$27)&lt;YEAR(EXPEDIENTE!$I$25)+1))</xm:f>
            <x14:dxf>
              <font>
                <color theme="0"/>
              </font>
              <fill>
                <patternFill>
                  <bgColor theme="0"/>
                </patternFill>
              </fill>
              <border>
                <left/>
                <right/>
                <top/>
                <bottom/>
              </border>
            </x14:dxf>
          </x14:cfRule>
          <xm:sqref>A26:XFD97</xm:sqref>
        </x14:conditionalFormatting>
        <x14:conditionalFormatting xmlns:xm="http://schemas.microsoft.com/office/excel/2006/main">
          <x14:cfRule type="expression" priority="2" stopIfTrue="1" id="{A904B5FD-63EF-40A8-AD69-EB50B8A7F5DA}">
            <xm:f>OR(EXPEDIENTE!$I$25="",EXPEDIENTE!$I$27="",AND(EXPEDIENTE!$I$25&lt;&gt;"",EXPEDIENTE!$I$27&lt;&gt;"",YEAR(EXPEDIENTE!$I$27)&lt;YEAR(EXPEDIENTE!$I$25)+2))</xm:f>
            <x14:dxf>
              <font>
                <color theme="0"/>
              </font>
              <fill>
                <patternFill>
                  <bgColor theme="0"/>
                </patternFill>
              </fill>
              <border>
                <left/>
                <right/>
                <top/>
                <bottom/>
              </border>
            </x14:dxf>
          </x14:cfRule>
          <xm:sqref>A50:XFD97</xm:sqref>
        </x14:conditionalFormatting>
        <x14:conditionalFormatting xmlns:xm="http://schemas.microsoft.com/office/excel/2006/main">
          <x14:cfRule type="expression" priority="3" stopIfTrue="1" id="{DC40AE50-4EF5-4F8D-8AEF-6D0BED3112E9}">
            <xm:f>OR(EXPEDIENTE!$I$25="",EXPEDIENTE!$I$27="",AND(EXPEDIENTE!$I$25&lt;&gt;"",EXPEDIENTE!$I$27&lt;&gt;"",YEAR(EXPEDIENTE!$I$27)&lt;YEAR(EXPEDIENTE!$I$25)+3))</xm:f>
            <x14:dxf>
              <font>
                <color theme="0"/>
              </font>
              <fill>
                <patternFill>
                  <bgColor theme="0"/>
                </patternFill>
              </fill>
              <border>
                <left/>
                <right/>
                <top/>
                <bottom/>
              </border>
            </x14:dxf>
          </x14:cfRule>
          <xm:sqref>A74:XFD97</xm:sqref>
        </x14:conditionalFormatting>
        <x14:conditionalFormatting xmlns:xm="http://schemas.microsoft.com/office/excel/2006/main">
          <x14:cfRule type="expression" priority="4" stopIfTrue="1" id="{67E79701-A440-4C43-BABC-91465E43B35C}">
            <xm:f>OR(USUARIO!$C$2="",AUXILIAR!$W$6&lt;&gt;USUARIO!$C$2)</xm:f>
            <x14:dxf>
              <font>
                <color theme="0"/>
              </font>
              <fill>
                <patternFill>
                  <bgColor theme="0"/>
                </patternFill>
              </fill>
              <border>
                <left/>
                <right/>
                <top/>
                <bottom/>
              </border>
            </x14:dxf>
          </x14:cfRule>
          <xm:sqref>V1:AN96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0318DC7C631D14DA8A9E220C61C5A1F" ma:contentTypeVersion="18" ma:contentTypeDescription="Crear nuevo documento." ma:contentTypeScope="" ma:versionID="997239abd12654605502c774b1692d60">
  <xsd:schema xmlns:xsd="http://www.w3.org/2001/XMLSchema" xmlns:xs="http://www.w3.org/2001/XMLSchema" xmlns:p="http://schemas.microsoft.com/office/2006/metadata/properties" xmlns:ns2="bc934ed1-fc6e-40dc-8eb3-366867545b6c" xmlns:ns3="ba600c26-20e0-433c-877d-adf8e183668e" targetNamespace="http://schemas.microsoft.com/office/2006/metadata/properties" ma:root="true" ma:fieldsID="a11dfc0605d0c718749bb71c844c3edf" ns2:_="" ns3:_="">
    <xsd:import namespace="bc934ed1-fc6e-40dc-8eb3-366867545b6c"/>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934ed1-fc6e-40dc-8eb3-366867545b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f85c0d6e-0e97-440c-ab15-3c72d7d9dc7a}"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c934ed1-fc6e-40dc-8eb3-366867545b6c">
      <Terms xmlns="http://schemas.microsoft.com/office/infopath/2007/PartnerControls"/>
    </lcf76f155ced4ddcb4097134ff3c332f>
    <TaxCatchAll xmlns="ba600c26-20e0-433c-877d-adf8e183668e" xsi:nil="true"/>
  </documentManagement>
</p:properties>
</file>

<file path=customXml/itemProps1.xml><?xml version="1.0" encoding="utf-8"?>
<ds:datastoreItem xmlns:ds="http://schemas.openxmlformats.org/officeDocument/2006/customXml" ds:itemID="{A526BC5F-E635-4FA2-AE5F-1E1CFACB4E7E}"/>
</file>

<file path=customXml/itemProps2.xml><?xml version="1.0" encoding="utf-8"?>
<ds:datastoreItem xmlns:ds="http://schemas.openxmlformats.org/officeDocument/2006/customXml" ds:itemID="{5AA4FAF2-C503-4007-9762-C4211A6C086E}">
  <ds:schemaRefs>
    <ds:schemaRef ds:uri="http://schemas.microsoft.com/sharepoint/v3/contenttype/forms"/>
  </ds:schemaRefs>
</ds:datastoreItem>
</file>

<file path=customXml/itemProps3.xml><?xml version="1.0" encoding="utf-8"?>
<ds:datastoreItem xmlns:ds="http://schemas.openxmlformats.org/officeDocument/2006/customXml" ds:itemID="{B0DE91E8-1C23-4F39-AE3B-C392C62347FC}">
  <ds:schemaRefs>
    <ds:schemaRef ds:uri="http://schemas.microsoft.com/office/2006/metadata/properties"/>
    <ds:schemaRef ds:uri="http://schemas.microsoft.com/office/infopath/2007/PartnerControls"/>
    <ds:schemaRef ds:uri="bc934ed1-fc6e-40dc-8eb3-366867545b6c"/>
    <ds:schemaRef ds:uri="ba600c26-20e0-433c-877d-adf8e183668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10</vt:i4>
      </vt:variant>
    </vt:vector>
  </HeadingPairs>
  <TitlesOfParts>
    <vt:vector size="23" baseType="lpstr">
      <vt:lpstr>INSTRUCCIONES</vt:lpstr>
      <vt:lpstr>EXPEDIENTE</vt:lpstr>
      <vt:lpstr>IDENTIFICACIÓN TRABAJADOR</vt:lpstr>
      <vt:lpstr>% DEDICACIÓN TRABAJADOR</vt:lpstr>
      <vt:lpstr>GASTOS EJER. 1</vt:lpstr>
      <vt:lpstr>GASTOS EJER. 2</vt:lpstr>
      <vt:lpstr>GASTOS EJER. 3</vt:lpstr>
      <vt:lpstr>GASTOS EJER. 4</vt:lpstr>
      <vt:lpstr>RESUMEN TRABAJADOR </vt:lpstr>
      <vt:lpstr>DATOS A INCORPORAR AL MOD-61</vt:lpstr>
      <vt:lpstr>INFORME</vt:lpstr>
      <vt:lpstr>AUXILIAR</vt:lpstr>
      <vt:lpstr>USUARIO</vt:lpstr>
      <vt:lpstr>'% DEDICACIÓN TRABAJADOR'!Área_de_impresión</vt:lpstr>
      <vt:lpstr>'DATOS A INCORPORAR AL MOD-61'!Área_de_impresión</vt:lpstr>
      <vt:lpstr>EXPEDIENTE!Área_de_impresión</vt:lpstr>
      <vt:lpstr>'GASTOS EJER. 1'!Área_de_impresión</vt:lpstr>
      <vt:lpstr>'GASTOS EJER. 2'!Área_de_impresión</vt:lpstr>
      <vt:lpstr>'GASTOS EJER. 4'!Área_de_impresión</vt:lpstr>
      <vt:lpstr>'IDENTIFICACIÓN TRABAJADOR'!Área_de_impresión</vt:lpstr>
      <vt:lpstr>INFORME!Área_de_impresión</vt:lpstr>
      <vt:lpstr>'RESUMEN TRABAJADOR '!Área_de_impresión</vt:lpstr>
      <vt:lpstr>LÍNEA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Vicente Marco Adrián</dc:creator>
  <cp:lastModifiedBy>Vicente Marco Adrián</cp:lastModifiedBy>
  <cp:lastPrinted>2024-06-25T11:00:07Z</cp:lastPrinted>
  <dcterms:created xsi:type="dcterms:W3CDTF">2023-12-14T12:28:36Z</dcterms:created>
  <dcterms:modified xsi:type="dcterms:W3CDTF">2025-11-13T11:19:46Z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0x010100A0318DC7C631D14DA8A9E220C61C5A1F</vt:lpwstr>
  </property>
</Properties>
</file>